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P5HQ\RestrictedIndependentSchools$\Childrens homes redaction\MI\March 2019\"/>
    </mc:Choice>
  </mc:AlternateContent>
  <xr:revisionPtr revIDLastSave="0" documentId="13_ncr:1_{F2A57252-76C4-455C-B3B4-D0C62CE6985D}" xr6:coauthVersionLast="36" xr6:coauthVersionMax="36" xr10:uidLastSave="{00000000-0000-0000-0000-000000000000}"/>
  <bookViews>
    <workbookView xWindow="0" yWindow="0" windowWidth="28800" windowHeight="11760" tabRatio="773" xr2:uid="{33D3DBCB-17D9-4A54-BEE6-4282529E806B}"/>
  </bookViews>
  <sheets>
    <sheet name="Cover" sheetId="1" r:id="rId1"/>
    <sheet name="Contents and guidance" sheetId="2" r:id="rId2"/>
    <sheet name="Data dictionary" sheetId="3" r:id="rId3"/>
    <sheet name="T1 In-year inspections" sheetId="12" r:id="rId4"/>
    <sheet name="T2 In-year standards" sheetId="13" r:id="rId5"/>
    <sheet name="T3 In-year monitoring" sheetId="14" r:id="rId6"/>
    <sheet name="T4 Most recent inspections" sheetId="15" r:id="rId7"/>
    <sheet name="D1 In-year standard inspections" sheetId="16" r:id="rId8"/>
    <sheet name="D2 In-year additional" sheetId="17" r:id="rId9"/>
    <sheet name="D3 Most recent inspections" sheetId="18" r:id="rId10"/>
  </sheets>
  <definedNames>
    <definedName name="_xlnm._FilterDatabase" localSheetId="7" hidden="1">'D1 In-year standard inspections'!$A$4:$IT$246</definedName>
    <definedName name="_xlnm._FilterDatabase" localSheetId="8" hidden="1">'D2 In-year additional'!$A$4:$IC$191</definedName>
    <definedName name="_xlnm._FilterDatabase" localSheetId="9" hidden="1">'D3 Most recent inspections'!$A$4:$AR$1096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96" i="18" l="1"/>
  <c r="A1095" i="18"/>
  <c r="A1094" i="18"/>
  <c r="A1093" i="18"/>
  <c r="A1092" i="18"/>
  <c r="A1091" i="18"/>
  <c r="A1090" i="18"/>
  <c r="A1089" i="18"/>
  <c r="A1088" i="18"/>
  <c r="A1087" i="18"/>
  <c r="A1086" i="18"/>
  <c r="A1085" i="18"/>
  <c r="A1084" i="18"/>
  <c r="A1083" i="18"/>
  <c r="A1082" i="18"/>
  <c r="A1081" i="18"/>
  <c r="A1080" i="18"/>
  <c r="A1079" i="18"/>
  <c r="A1078" i="18"/>
  <c r="A1077" i="18"/>
  <c r="A1076" i="18"/>
  <c r="A1075" i="18"/>
  <c r="A1074" i="18"/>
  <c r="A1073" i="18"/>
  <c r="A1072" i="18"/>
  <c r="A1071" i="18"/>
  <c r="A1070" i="18"/>
  <c r="A1069" i="18"/>
  <c r="A1068" i="18"/>
  <c r="A1067" i="18"/>
  <c r="A1066" i="18"/>
  <c r="A1065" i="18"/>
  <c r="A1064" i="18"/>
  <c r="A1063" i="18"/>
  <c r="A1062" i="18"/>
  <c r="A1061" i="18"/>
  <c r="A1060" i="18"/>
  <c r="A1059" i="18"/>
  <c r="A1058" i="18"/>
  <c r="A1057" i="18"/>
  <c r="A1056" i="18"/>
  <c r="A1055" i="18"/>
  <c r="A1054" i="18"/>
  <c r="A1053" i="18"/>
  <c r="A1052" i="18"/>
  <c r="A1051" i="18"/>
  <c r="A1050" i="18"/>
  <c r="A1049" i="18"/>
  <c r="A1048" i="18"/>
  <c r="A1047" i="18"/>
  <c r="A1046" i="18"/>
  <c r="A1045" i="18"/>
  <c r="A1044" i="18"/>
  <c r="A1043" i="18"/>
  <c r="A1042" i="18"/>
  <c r="A1041" i="18"/>
  <c r="A1040" i="18"/>
  <c r="A1039" i="18"/>
  <c r="A1038" i="18"/>
  <c r="A1037" i="18"/>
  <c r="A1036" i="18"/>
  <c r="A1035" i="18"/>
  <c r="A1034" i="18"/>
  <c r="A1033" i="18"/>
  <c r="A1032" i="18"/>
  <c r="A1031" i="18"/>
  <c r="A1030" i="18"/>
  <c r="A1029" i="18"/>
  <c r="A1028" i="18"/>
  <c r="A1027" i="18"/>
  <c r="A1026" i="18"/>
  <c r="A1025" i="18"/>
  <c r="A1024" i="18"/>
  <c r="A1023" i="18"/>
  <c r="A1022" i="18"/>
  <c r="A1021" i="18"/>
  <c r="A1020" i="18"/>
  <c r="A1019" i="18"/>
  <c r="A1018" i="18"/>
  <c r="A1017" i="18"/>
  <c r="A1016" i="18"/>
  <c r="A1015" i="18"/>
  <c r="A1014" i="18"/>
  <c r="A1013" i="18"/>
  <c r="A1012" i="18"/>
  <c r="A1011" i="18"/>
  <c r="A1010" i="18"/>
  <c r="A1009" i="18"/>
  <c r="A1008" i="18"/>
  <c r="A1007" i="18"/>
  <c r="A1006" i="18"/>
  <c r="A1005" i="18"/>
  <c r="A1004" i="18"/>
  <c r="A1003" i="18"/>
  <c r="A1002" i="18"/>
  <c r="A1001" i="18"/>
  <c r="A1000" i="18"/>
  <c r="A999" i="18"/>
  <c r="A998" i="18"/>
  <c r="A997" i="18"/>
  <c r="A996" i="18"/>
  <c r="A995" i="18"/>
  <c r="A994" i="18"/>
  <c r="A993" i="18"/>
  <c r="A992" i="18"/>
  <c r="A991" i="18"/>
  <c r="A990" i="18"/>
  <c r="A989" i="18"/>
  <c r="A988" i="18"/>
  <c r="A987" i="18"/>
  <c r="A986" i="18"/>
  <c r="A985" i="18"/>
  <c r="A984" i="18"/>
  <c r="A983" i="18"/>
  <c r="A982" i="18"/>
  <c r="A981" i="18"/>
  <c r="A980" i="18"/>
  <c r="A979" i="18"/>
  <c r="A978" i="18"/>
  <c r="A977" i="18"/>
  <c r="A976" i="18"/>
  <c r="A975" i="18"/>
  <c r="A974" i="18"/>
  <c r="A973" i="18"/>
  <c r="A972" i="18"/>
  <c r="A971" i="18"/>
  <c r="A970" i="18"/>
  <c r="A969" i="18"/>
  <c r="A968" i="18"/>
  <c r="A967" i="18"/>
  <c r="A966" i="18"/>
  <c r="A965" i="18"/>
  <c r="A964" i="18"/>
  <c r="A963" i="18"/>
  <c r="A962" i="18"/>
  <c r="A961" i="18"/>
  <c r="A960" i="18"/>
  <c r="A959" i="18"/>
  <c r="A958" i="18"/>
  <c r="A957" i="18"/>
  <c r="A956" i="18"/>
  <c r="A955" i="18"/>
  <c r="A954" i="18"/>
  <c r="A953" i="18"/>
  <c r="A952" i="18"/>
  <c r="A951" i="18"/>
  <c r="A950" i="18"/>
  <c r="A949" i="18"/>
  <c r="A948" i="18"/>
  <c r="A947" i="18"/>
  <c r="A946" i="18"/>
  <c r="A945" i="18"/>
  <c r="A944" i="18"/>
  <c r="A943" i="18"/>
  <c r="A942" i="18"/>
  <c r="A941" i="18"/>
  <c r="A940" i="18"/>
  <c r="A939" i="18"/>
  <c r="A938" i="18"/>
  <c r="A937" i="18"/>
  <c r="A936" i="18"/>
  <c r="A935" i="18"/>
  <c r="A934" i="18"/>
  <c r="A933" i="18"/>
  <c r="A932" i="18"/>
  <c r="A931" i="18"/>
  <c r="A930" i="18"/>
  <c r="A929" i="18"/>
  <c r="A928" i="18"/>
  <c r="A927" i="18"/>
  <c r="A926" i="18"/>
  <c r="A925" i="18"/>
  <c r="A924" i="18"/>
  <c r="A923" i="18"/>
  <c r="A922" i="18"/>
  <c r="A921" i="18"/>
  <c r="A920" i="18"/>
  <c r="A919" i="18"/>
  <c r="A918" i="18"/>
  <c r="A917" i="18"/>
  <c r="A916" i="18"/>
  <c r="A915" i="18"/>
  <c r="A914" i="18"/>
  <c r="A913" i="18"/>
  <c r="A912" i="18"/>
  <c r="A911" i="18"/>
  <c r="A910" i="18"/>
  <c r="A909" i="18"/>
  <c r="A908" i="18"/>
  <c r="A907" i="18"/>
  <c r="A906" i="18"/>
  <c r="A905" i="18"/>
  <c r="A904" i="18"/>
  <c r="A903" i="18"/>
  <c r="A902" i="18"/>
  <c r="A901" i="18"/>
  <c r="A900" i="18"/>
  <c r="A899" i="18"/>
  <c r="A898" i="18"/>
  <c r="A897" i="18"/>
  <c r="A896" i="18"/>
  <c r="A895" i="18"/>
  <c r="A894" i="18"/>
  <c r="A893" i="18"/>
  <c r="A892" i="18"/>
  <c r="A891" i="18"/>
  <c r="A890" i="18"/>
  <c r="A889" i="18"/>
  <c r="A888" i="18"/>
  <c r="A887" i="18"/>
  <c r="A886" i="18"/>
  <c r="A885" i="18"/>
  <c r="A884" i="18"/>
  <c r="A883" i="18"/>
  <c r="A882" i="18"/>
  <c r="A881" i="18"/>
  <c r="A880" i="18"/>
  <c r="A879" i="18"/>
  <c r="A878" i="18"/>
  <c r="A877" i="18"/>
  <c r="A876" i="18"/>
  <c r="A875" i="18"/>
  <c r="A874" i="18"/>
  <c r="A873" i="18"/>
  <c r="A872" i="18"/>
  <c r="A871" i="18"/>
  <c r="A870" i="18"/>
  <c r="A869" i="18"/>
  <c r="A868" i="18"/>
  <c r="A867" i="18"/>
  <c r="A866" i="18"/>
  <c r="A865" i="18"/>
  <c r="A864" i="18"/>
  <c r="A863" i="18"/>
  <c r="A862" i="18"/>
  <c r="A861" i="18"/>
  <c r="A860" i="18"/>
  <c r="A859" i="18"/>
  <c r="A858" i="18"/>
  <c r="A857" i="18"/>
  <c r="A856" i="18"/>
  <c r="A855" i="18"/>
  <c r="A854" i="18"/>
  <c r="A853" i="18"/>
  <c r="A852" i="18"/>
  <c r="A851" i="18"/>
  <c r="A850" i="18"/>
  <c r="A849" i="18"/>
  <c r="A848" i="18"/>
  <c r="A847" i="18"/>
  <c r="A846" i="18"/>
  <c r="A845" i="18"/>
  <c r="A844" i="18"/>
  <c r="A843" i="18"/>
  <c r="A842" i="18"/>
  <c r="A841" i="18"/>
  <c r="A840" i="18"/>
  <c r="A839" i="18"/>
  <c r="A838" i="18"/>
  <c r="A837" i="18"/>
  <c r="A836" i="18"/>
  <c r="A835" i="18"/>
  <c r="A834" i="18"/>
  <c r="A833" i="18"/>
  <c r="A832" i="18"/>
  <c r="A831" i="18"/>
  <c r="A830" i="18"/>
  <c r="A829" i="18"/>
  <c r="A828" i="18"/>
  <c r="A827" i="18"/>
  <c r="A826" i="18"/>
  <c r="A825" i="18"/>
  <c r="A824" i="18"/>
  <c r="A823" i="18"/>
  <c r="A822" i="18"/>
  <c r="A821" i="18"/>
  <c r="A820" i="18"/>
  <c r="A819" i="18"/>
  <c r="A818" i="18"/>
  <c r="A817" i="18"/>
  <c r="A816" i="18"/>
  <c r="A815" i="18"/>
  <c r="A814" i="18"/>
  <c r="A813" i="18"/>
  <c r="A812" i="18"/>
  <c r="A811" i="18"/>
  <c r="A810" i="18"/>
  <c r="A809" i="18"/>
  <c r="A808" i="18"/>
  <c r="A807" i="18"/>
  <c r="A806" i="18"/>
  <c r="A805" i="18"/>
  <c r="A804" i="18"/>
  <c r="A803" i="18"/>
  <c r="A802" i="18"/>
  <c r="A801" i="18"/>
  <c r="A800" i="18"/>
  <c r="A799" i="18"/>
  <c r="A798" i="18"/>
  <c r="A797" i="18"/>
  <c r="A796" i="18"/>
  <c r="A795" i="18"/>
  <c r="A794" i="18"/>
  <c r="A793" i="18"/>
  <c r="A792" i="18"/>
  <c r="A791" i="18"/>
  <c r="A790" i="18"/>
  <c r="A789" i="18"/>
  <c r="A788" i="18"/>
  <c r="A787" i="18"/>
  <c r="A786" i="18"/>
  <c r="A785" i="18"/>
  <c r="A784" i="18"/>
  <c r="A783" i="18"/>
  <c r="A782" i="18"/>
  <c r="A781" i="18"/>
  <c r="A780" i="18"/>
  <c r="A779" i="18"/>
  <c r="A778" i="18"/>
  <c r="A777" i="18"/>
  <c r="A776" i="18"/>
  <c r="A775" i="18"/>
  <c r="A774" i="18"/>
  <c r="A773" i="18"/>
  <c r="A772" i="18"/>
  <c r="A771" i="18"/>
  <c r="A770" i="18"/>
  <c r="A769" i="18"/>
  <c r="A768" i="18"/>
  <c r="A767" i="18"/>
  <c r="A766" i="18"/>
  <c r="A765" i="18"/>
  <c r="A764" i="18"/>
  <c r="A763" i="18"/>
  <c r="A762" i="18"/>
  <c r="A761" i="18"/>
  <c r="A760" i="18"/>
  <c r="A759" i="18"/>
  <c r="A758" i="18"/>
  <c r="A757" i="18"/>
  <c r="A756" i="18"/>
  <c r="A755" i="18"/>
  <c r="A754" i="18"/>
  <c r="A753" i="18"/>
  <c r="A752" i="18"/>
  <c r="A751" i="18"/>
  <c r="A750" i="18"/>
  <c r="A749" i="18"/>
  <c r="A748" i="18"/>
  <c r="A747" i="18"/>
  <c r="A746" i="18"/>
  <c r="A745" i="18"/>
  <c r="A744" i="18"/>
  <c r="A743" i="18"/>
  <c r="A742" i="18"/>
  <c r="A741" i="18"/>
  <c r="A740" i="18"/>
  <c r="A739" i="18"/>
  <c r="A738" i="18"/>
  <c r="A737" i="18"/>
  <c r="A736" i="18"/>
  <c r="A735" i="18"/>
  <c r="A734" i="18"/>
  <c r="A733" i="18"/>
  <c r="A732" i="18"/>
  <c r="A731" i="18"/>
  <c r="A730" i="18"/>
  <c r="A729" i="18"/>
  <c r="A728" i="18"/>
  <c r="A727" i="18"/>
  <c r="A726" i="18"/>
  <c r="A725" i="18"/>
  <c r="A724" i="18"/>
  <c r="A723" i="18"/>
  <c r="A722" i="18"/>
  <c r="A721" i="18"/>
  <c r="A720" i="18"/>
  <c r="A719" i="18"/>
  <c r="A718" i="18"/>
  <c r="A717" i="18"/>
  <c r="A716" i="18"/>
  <c r="A715" i="18"/>
  <c r="A714" i="18"/>
  <c r="A713" i="18"/>
  <c r="A712" i="18"/>
  <c r="A711" i="18"/>
  <c r="A710" i="18"/>
  <c r="A709" i="18"/>
  <c r="A708" i="18"/>
  <c r="A707" i="18"/>
  <c r="A706" i="18"/>
  <c r="A705" i="18"/>
  <c r="A704" i="18"/>
  <c r="A703" i="18"/>
  <c r="A702" i="18"/>
  <c r="A701" i="18"/>
  <c r="A700" i="18"/>
  <c r="A699" i="18"/>
  <c r="A698" i="18"/>
  <c r="A697" i="18"/>
  <c r="A696" i="18"/>
  <c r="A695" i="18"/>
  <c r="A694" i="18"/>
  <c r="A693" i="18"/>
  <c r="A692" i="18"/>
  <c r="A691" i="18"/>
  <c r="A690" i="18"/>
  <c r="A689" i="18"/>
  <c r="A688" i="18"/>
  <c r="A687" i="18"/>
  <c r="A686" i="18"/>
  <c r="A685" i="18"/>
  <c r="A684" i="18"/>
  <c r="A683" i="18"/>
  <c r="A682" i="18"/>
  <c r="A681" i="18"/>
  <c r="A680" i="18"/>
  <c r="A679" i="18"/>
  <c r="A678" i="18"/>
  <c r="A677" i="18"/>
  <c r="A676" i="18"/>
  <c r="A675" i="18"/>
  <c r="A674" i="18"/>
  <c r="A673" i="18"/>
  <c r="A672" i="18"/>
  <c r="A671" i="18"/>
  <c r="A670" i="18"/>
  <c r="A669" i="18"/>
  <c r="A668" i="18"/>
  <c r="A667" i="18"/>
  <c r="A666" i="18"/>
  <c r="A665" i="18"/>
  <c r="A664" i="18"/>
  <c r="A663" i="18"/>
  <c r="A662" i="18"/>
  <c r="A661" i="18"/>
  <c r="A660" i="18"/>
  <c r="A659" i="18"/>
  <c r="A658" i="18"/>
  <c r="A657" i="18"/>
  <c r="A656" i="18"/>
  <c r="A655" i="18"/>
  <c r="A654" i="18"/>
  <c r="A653" i="18"/>
  <c r="A652" i="18"/>
  <c r="A651" i="18"/>
  <c r="A650" i="18"/>
  <c r="A649" i="18"/>
  <c r="A648" i="18"/>
  <c r="A647" i="18"/>
  <c r="A646" i="18"/>
  <c r="A645" i="18"/>
  <c r="A644" i="18"/>
  <c r="A643" i="18"/>
  <c r="A642" i="18"/>
  <c r="A641" i="18"/>
  <c r="A640" i="18"/>
  <c r="A639" i="18"/>
  <c r="A638" i="18"/>
  <c r="A637" i="18"/>
  <c r="A636" i="18"/>
  <c r="A635" i="18"/>
  <c r="A634" i="18"/>
  <c r="A633" i="18"/>
  <c r="A632" i="18"/>
  <c r="A631" i="18"/>
  <c r="A630" i="18"/>
  <c r="A629" i="18"/>
  <c r="A628" i="18"/>
  <c r="A627" i="18"/>
  <c r="A626" i="18"/>
  <c r="A625" i="18"/>
  <c r="A624" i="18"/>
  <c r="A623" i="18"/>
  <c r="A622" i="18"/>
  <c r="A621" i="18"/>
  <c r="A620" i="18"/>
  <c r="A619" i="18"/>
  <c r="A618" i="18"/>
  <c r="A617" i="18"/>
  <c r="A616" i="18"/>
  <c r="A615" i="18"/>
  <c r="A614" i="18"/>
  <c r="A613" i="18"/>
  <c r="A612" i="18"/>
  <c r="A611" i="18"/>
  <c r="A610" i="18"/>
  <c r="A609" i="18"/>
  <c r="A608" i="18"/>
  <c r="A607" i="18"/>
  <c r="A606" i="18"/>
  <c r="A605" i="18"/>
  <c r="A604" i="18"/>
  <c r="A603" i="18"/>
  <c r="A602" i="18"/>
  <c r="A601" i="18"/>
  <c r="A600" i="18"/>
  <c r="A599" i="18"/>
  <c r="A598" i="18"/>
  <c r="A597" i="18"/>
  <c r="A596" i="18"/>
  <c r="A595" i="18"/>
  <c r="A594" i="18"/>
  <c r="A593" i="18"/>
  <c r="A592" i="18"/>
  <c r="A591" i="18"/>
  <c r="A590" i="18"/>
  <c r="A589" i="18"/>
  <c r="A588" i="18"/>
  <c r="A587" i="18"/>
  <c r="A586" i="18"/>
  <c r="A585" i="18"/>
  <c r="A584" i="18"/>
  <c r="A583" i="18"/>
  <c r="A582" i="18"/>
  <c r="A581" i="18"/>
  <c r="A580" i="18"/>
  <c r="A579" i="18"/>
  <c r="A578" i="18"/>
  <c r="A577" i="18"/>
  <c r="A576" i="18"/>
  <c r="A575" i="18"/>
  <c r="A574" i="18"/>
  <c r="A573" i="18"/>
  <c r="A572" i="18"/>
  <c r="A571" i="18"/>
  <c r="A570" i="18"/>
  <c r="A569" i="18"/>
  <c r="A568" i="18"/>
  <c r="A567" i="18"/>
  <c r="A566" i="18"/>
  <c r="A565" i="18"/>
  <c r="A564" i="18"/>
  <c r="A563" i="18"/>
  <c r="A562" i="18"/>
  <c r="A561" i="18"/>
  <c r="A560" i="18"/>
  <c r="A559" i="18"/>
  <c r="A558" i="18"/>
  <c r="A557" i="18"/>
  <c r="A556" i="18"/>
  <c r="A555" i="18"/>
  <c r="A554" i="18"/>
  <c r="A553" i="18"/>
  <c r="A552" i="18"/>
  <c r="A551" i="18"/>
  <c r="A550" i="18"/>
  <c r="A549" i="18"/>
  <c r="A548" i="18"/>
  <c r="A547" i="18"/>
  <c r="A546" i="18"/>
  <c r="A545" i="18"/>
  <c r="A544" i="18"/>
  <c r="A543" i="18"/>
  <c r="A542" i="18"/>
  <c r="A541" i="18"/>
  <c r="A540" i="18"/>
  <c r="A539" i="18"/>
  <c r="A538" i="18"/>
  <c r="A537" i="18"/>
  <c r="A536" i="18"/>
  <c r="A535" i="18"/>
  <c r="A534" i="18"/>
  <c r="A533" i="18"/>
  <c r="A532" i="18"/>
  <c r="A531" i="18"/>
  <c r="A530" i="18"/>
  <c r="A529" i="18"/>
  <c r="A528" i="18"/>
  <c r="A527" i="18"/>
  <c r="A526" i="18"/>
  <c r="A525" i="18"/>
  <c r="A524" i="18"/>
  <c r="A523" i="18"/>
  <c r="A522" i="18"/>
  <c r="A521" i="18"/>
  <c r="A520" i="18"/>
  <c r="A519" i="18"/>
  <c r="A518" i="18"/>
  <c r="A517" i="18"/>
  <c r="A516" i="18"/>
  <c r="A515" i="18"/>
  <c r="A514" i="18"/>
  <c r="A513" i="18"/>
  <c r="A512" i="18"/>
  <c r="A511" i="18"/>
  <c r="A510" i="18"/>
  <c r="A509" i="18"/>
  <c r="A508" i="18"/>
  <c r="A507" i="18"/>
  <c r="A506" i="18"/>
  <c r="A505" i="18"/>
  <c r="A504" i="18"/>
  <c r="A503" i="18"/>
  <c r="A502" i="18"/>
  <c r="A501" i="18"/>
  <c r="A500" i="18"/>
  <c r="A499" i="18"/>
  <c r="A498" i="18"/>
  <c r="A497" i="18"/>
  <c r="A496" i="18"/>
  <c r="A495" i="18"/>
  <c r="A494" i="18"/>
  <c r="A493" i="18"/>
  <c r="A492" i="18"/>
  <c r="A491" i="18"/>
  <c r="A490" i="18"/>
  <c r="A489" i="18"/>
  <c r="A488" i="18"/>
  <c r="A487" i="18"/>
  <c r="A486" i="18"/>
  <c r="A485" i="18"/>
  <c r="A484" i="18"/>
  <c r="A483" i="18"/>
  <c r="A482" i="18"/>
  <c r="A481" i="18"/>
  <c r="A480" i="18"/>
  <c r="A479" i="18"/>
  <c r="A478" i="18"/>
  <c r="A477" i="18"/>
  <c r="A476" i="18"/>
  <c r="A475" i="18"/>
  <c r="A474" i="18"/>
  <c r="A473" i="18"/>
  <c r="A472" i="18"/>
  <c r="A471" i="18"/>
  <c r="A470" i="18"/>
  <c r="A469" i="18"/>
  <c r="A468" i="18"/>
  <c r="A467" i="18"/>
  <c r="A466" i="18"/>
  <c r="A465" i="18"/>
  <c r="A464" i="18"/>
  <c r="A463" i="18"/>
  <c r="A462" i="18"/>
  <c r="A461" i="18"/>
  <c r="A460" i="18"/>
  <c r="A459" i="18"/>
  <c r="A458" i="18"/>
  <c r="A457" i="18"/>
  <c r="A456" i="18"/>
  <c r="A455" i="18"/>
  <c r="A454" i="18"/>
  <c r="A453" i="18"/>
  <c r="A452" i="18"/>
  <c r="A451" i="18"/>
  <c r="A450" i="18"/>
  <c r="A449" i="18"/>
  <c r="A448" i="18"/>
  <c r="A447" i="18"/>
  <c r="A446" i="18"/>
  <c r="A445" i="18"/>
  <c r="A444" i="18"/>
  <c r="A443" i="18"/>
  <c r="A442" i="18"/>
  <c r="A441" i="18"/>
  <c r="A440" i="18"/>
  <c r="A439" i="18"/>
  <c r="A438" i="18"/>
  <c r="A437" i="18"/>
  <c r="A436" i="18"/>
  <c r="A435" i="18"/>
  <c r="A434" i="18"/>
  <c r="A433" i="18"/>
  <c r="A432" i="18"/>
  <c r="A431" i="18"/>
  <c r="A430" i="18"/>
  <c r="A429" i="18"/>
  <c r="A428" i="18"/>
  <c r="A427" i="18"/>
  <c r="A426" i="18"/>
  <c r="A425" i="18"/>
  <c r="A424" i="18"/>
  <c r="A423" i="18"/>
  <c r="A422" i="18"/>
  <c r="A421" i="18"/>
  <c r="A420" i="18"/>
  <c r="A419" i="18"/>
  <c r="A418" i="18"/>
  <c r="A417" i="18"/>
  <c r="A416" i="18"/>
  <c r="A415" i="18"/>
  <c r="A414" i="18"/>
  <c r="A413" i="18"/>
  <c r="A412" i="18"/>
  <c r="A411" i="18"/>
  <c r="A410" i="18"/>
  <c r="A409" i="18"/>
  <c r="A408" i="18"/>
  <c r="A407" i="18"/>
  <c r="A406" i="18"/>
  <c r="A405" i="18"/>
  <c r="A404" i="18"/>
  <c r="A403" i="18"/>
  <c r="A402" i="18"/>
  <c r="A401" i="18"/>
  <c r="A400" i="18"/>
  <c r="A399" i="18"/>
  <c r="A398" i="18"/>
  <c r="A397" i="18"/>
  <c r="A396" i="18"/>
  <c r="A395" i="18"/>
  <c r="A394" i="18"/>
  <c r="A393" i="18"/>
  <c r="A392" i="18"/>
  <c r="A391" i="18"/>
  <c r="A390" i="18"/>
  <c r="A389" i="18"/>
  <c r="A388" i="18"/>
  <c r="A387" i="18"/>
  <c r="A386" i="18"/>
  <c r="A385" i="18"/>
  <c r="A384" i="18"/>
  <c r="A383" i="18"/>
  <c r="A382" i="18"/>
  <c r="A381" i="18"/>
  <c r="A380" i="18"/>
  <c r="A379" i="18"/>
  <c r="A378" i="18"/>
  <c r="A377" i="18"/>
  <c r="A376" i="18"/>
  <c r="A375" i="18"/>
  <c r="A374" i="18"/>
  <c r="A373" i="18"/>
  <c r="A372" i="18"/>
  <c r="A371" i="18"/>
  <c r="A370" i="18"/>
  <c r="A369" i="18"/>
  <c r="A368" i="18"/>
  <c r="A367" i="18"/>
  <c r="A366" i="18"/>
  <c r="A365" i="18"/>
  <c r="A364" i="18"/>
  <c r="A363" i="18"/>
  <c r="A362" i="18"/>
  <c r="A361" i="18"/>
  <c r="A360" i="18"/>
  <c r="A359" i="18"/>
  <c r="A358" i="18"/>
  <c r="A357" i="18"/>
  <c r="A356" i="18"/>
  <c r="A355" i="18"/>
  <c r="A354" i="18"/>
  <c r="A353" i="18"/>
  <c r="A352" i="18"/>
  <c r="A351" i="18"/>
  <c r="A350" i="18"/>
  <c r="A349" i="18"/>
  <c r="A348" i="18"/>
  <c r="A347" i="18"/>
  <c r="A346" i="18"/>
  <c r="A345" i="18"/>
  <c r="A344" i="18"/>
  <c r="A343" i="18"/>
  <c r="A342" i="18"/>
  <c r="A341" i="18"/>
  <c r="A340" i="18"/>
  <c r="A339" i="18"/>
  <c r="A338" i="18"/>
  <c r="A337" i="18"/>
  <c r="A336" i="18"/>
  <c r="A335" i="18"/>
  <c r="A334" i="18"/>
  <c r="A333" i="18"/>
  <c r="A332" i="18"/>
  <c r="A331" i="18"/>
  <c r="A330" i="18"/>
  <c r="A329" i="18"/>
  <c r="A328" i="18"/>
  <c r="A327" i="18"/>
  <c r="A326" i="18"/>
  <c r="A325" i="18"/>
  <c r="A324" i="18"/>
  <c r="A323" i="18"/>
  <c r="A322" i="18"/>
  <c r="A321" i="18"/>
  <c r="A320" i="18"/>
  <c r="A319" i="18"/>
  <c r="A318" i="18"/>
  <c r="A317" i="18"/>
  <c r="A316" i="18"/>
  <c r="A315" i="18"/>
  <c r="A314" i="18"/>
  <c r="A313" i="18"/>
  <c r="A312" i="18"/>
  <c r="A311" i="18"/>
  <c r="A310" i="18"/>
  <c r="A309" i="18"/>
  <c r="A308" i="18"/>
  <c r="A307" i="18"/>
  <c r="A306" i="18"/>
  <c r="A305" i="18"/>
  <c r="A304" i="18"/>
  <c r="A303" i="18"/>
  <c r="A302" i="18"/>
  <c r="A301" i="18"/>
  <c r="A300" i="18"/>
  <c r="A299" i="18"/>
  <c r="A298" i="18"/>
  <c r="A297" i="18"/>
  <c r="A296" i="18"/>
  <c r="A295" i="18"/>
  <c r="A294" i="18"/>
  <c r="A293" i="18"/>
  <c r="A292" i="18"/>
  <c r="A291" i="18"/>
  <c r="A290" i="18"/>
  <c r="A289" i="18"/>
  <c r="A288" i="18"/>
  <c r="A287" i="18"/>
  <c r="A286" i="18"/>
  <c r="A285" i="18"/>
  <c r="A284" i="18"/>
  <c r="A283" i="18"/>
  <c r="A282" i="18"/>
  <c r="A281" i="18"/>
  <c r="A280"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alcChain>
</file>

<file path=xl/sharedStrings.xml><?xml version="1.0" encoding="utf-8"?>
<sst xmlns="http://schemas.openxmlformats.org/spreadsheetml/2006/main" count="137316" uniqueCount="2932">
  <si>
    <t>Management information</t>
  </si>
  <si>
    <t>Policy area:</t>
  </si>
  <si>
    <t>Non-association independent schools inspections and outcomes</t>
  </si>
  <si>
    <t>Theme:</t>
  </si>
  <si>
    <t>Education, children's services and skills</t>
  </si>
  <si>
    <t>Published on:</t>
  </si>
  <si>
    <t>Coverage:</t>
  </si>
  <si>
    <t>England</t>
  </si>
  <si>
    <t>Period covered:
In-year inspection outcomes</t>
  </si>
  <si>
    <t>Period covered:
Most recent inspection outcomes</t>
  </si>
  <si>
    <t>Status:</t>
  </si>
  <si>
    <t>Management Information</t>
  </si>
  <si>
    <t>Statistician:</t>
  </si>
  <si>
    <t>Anita Patel</t>
  </si>
  <si>
    <t>Public enquiries:</t>
  </si>
  <si>
    <t>enquiries@ofsted.gov.uk</t>
  </si>
  <si>
    <t>Press enquiries:</t>
  </si>
  <si>
    <t>pressenquiries@ofsted.gov.uk</t>
  </si>
  <si>
    <t>Link to non-association independent schools management information web page including publication schedule:</t>
  </si>
  <si>
    <t>https://www.gov.uk/government/statistical-data-sets/non-association-independent-schools-inspections-and-outcomes-management-information</t>
  </si>
  <si>
    <t>Link to official statistics release web page:</t>
  </si>
  <si>
    <t>https://www.gov.uk/government/collections/independent-schools-inspections-and-outcomes</t>
  </si>
  <si>
    <t>© Crown copyright 2019</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</si>
  <si>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</si>
  <si>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</si>
  <si>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</si>
  <si>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</si>
  <si>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</si>
  <si>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</si>
  <si>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</si>
  <si>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Inspections from 1 September 2018 to 31 March 2019, published by 31 March 2019</t>
  </si>
  <si>
    <t>Contents and guidance</t>
  </si>
  <si>
    <t xml:space="preserve">Monthly management information is designed to provide an up to date picture of the most recent inspection of each non-association independent school at local authority and regional level.
These figures have not been reconciled centrally with any Official Statistics. 
</t>
  </si>
  <si>
    <t>Tables</t>
  </si>
  <si>
    <t>Table 1: In-year inspections</t>
  </si>
  <si>
    <t>Table 2: In-year standards</t>
  </si>
  <si>
    <t>Table 3: In-year monitoring</t>
  </si>
  <si>
    <t>Table 4: Most recent inspections</t>
  </si>
  <si>
    <t>Dataset 1: In-year standard inspections</t>
  </si>
  <si>
    <t>Dataset 2: In-year monitoring</t>
  </si>
  <si>
    <t>Dataset 3: Most recent inspections</t>
  </si>
  <si>
    <t xml:space="preserve">The Common Inspection Framework (CIF) for education, skills and early years was introduced in September 2015. </t>
  </si>
  <si>
    <t>All judgements made during these inspections have been included in the underlying dataset. There were a number of judgements introduced that do not map to previous frameworks. Please see the Ofsted website for details:</t>
  </si>
  <si>
    <t>https://www.gov.uk/government/publications/common-inspection-framework-education-skills-and-early-years-from-september-2015</t>
  </si>
  <si>
    <t>Only those judgements that map to the CIF have been included in this publication. All other judgements made on inspection can be found in the inspection report using the web link provided.</t>
  </si>
  <si>
    <t>Independent School Standards</t>
  </si>
  <si>
    <t>Data in D1, D2 and D3 presents information about whether a school has met the Independent School Standards.</t>
  </si>
  <si>
    <t xml:space="preserve">In order for a school to have ‘met’ the standards overall, all eight parts must have been met. </t>
  </si>
  <si>
    <t>For each part of the standards, ‘met’ means that all of the Independent Schools Standards have been met in that part.</t>
  </si>
  <si>
    <t>Further information about the Independent School Standards is available at the following link:</t>
  </si>
  <si>
    <t>http://www.legislation.gov.uk/uksi/2014/3283/contents/made</t>
  </si>
  <si>
    <t>Schedule of Independent School Standards</t>
  </si>
  <si>
    <t>Part 1: Quality of Education</t>
  </si>
  <si>
    <t>Part 2: Spiritual, Moral, Social and Cultural development of pupils (SMSC)</t>
  </si>
  <si>
    <t>Part 3: Welfare, health and safety of pupils</t>
  </si>
  <si>
    <t>Part 4: Suitability of staff, supply staff and proprietors</t>
  </si>
  <si>
    <t>Part 5: Premises and accommodation</t>
  </si>
  <si>
    <t>Part 6: Provision of information</t>
  </si>
  <si>
    <t>Part 7: Manner in which complaints are handled</t>
  </si>
  <si>
    <t>Part 8: Quality of Leadership and management in schools</t>
  </si>
  <si>
    <t>Faith schools</t>
  </si>
  <si>
    <t>The faith tables 1b and 4b are based on whether the school has declared a religious character or ethos.</t>
  </si>
  <si>
    <t>Religious character and ethos are sourced from Get Information About Schools, maintained by the Department for Education:</t>
  </si>
  <si>
    <t>https://get-information-schools.service.gov.uk/</t>
  </si>
  <si>
    <t>To group the faith schools into the five broad categories used for these tables, we have used religious character if the school declares a religious character.</t>
  </si>
  <si>
    <t>If the school does not declare a religious character (i.e. "none"), we have used religious ethos.</t>
  </si>
  <si>
    <t>If the school does not declare a religious character or ethos, they are categorised here as "non-faith".</t>
  </si>
  <si>
    <t>The following table summarises the faith groupings based on religious character or ethos:</t>
  </si>
  <si>
    <t>Religious character / ethos</t>
  </si>
  <si>
    <t>Faith grouping</t>
  </si>
  <si>
    <t>Anglican/Christian</t>
  </si>
  <si>
    <t>Christian</t>
  </si>
  <si>
    <t>Catholic</t>
  </si>
  <si>
    <t>Christian/Evangelical</t>
  </si>
  <si>
    <t>Church of England</t>
  </si>
  <si>
    <t>Christian/non-denominational</t>
  </si>
  <si>
    <t>Greek Orthodox</t>
  </si>
  <si>
    <t>Quaker</t>
  </si>
  <si>
    <t>Seventh Day Adventist</t>
  </si>
  <si>
    <t>Roman Catholic</t>
  </si>
  <si>
    <t>Charadi Jewish</t>
  </si>
  <si>
    <t>Jewish</t>
  </si>
  <si>
    <t>Orthodox Jewish</t>
  </si>
  <si>
    <t>Islam</t>
  </si>
  <si>
    <t>Muslim</t>
  </si>
  <si>
    <t>Sunni Deobandi</t>
  </si>
  <si>
    <t>Hindu</t>
  </si>
  <si>
    <t>Other Faiths</t>
  </si>
  <si>
    <t>Sikh</t>
  </si>
  <si>
    <t>Does not apply</t>
  </si>
  <si>
    <t>Non-faith</t>
  </si>
  <si>
    <t>Multi-faith</t>
  </si>
  <si>
    <t>Inter- / non- denominational</t>
  </si>
  <si>
    <t>None</t>
  </si>
  <si>
    <t>Type</t>
  </si>
  <si>
    <t>Field</t>
  </si>
  <si>
    <t>Description</t>
  </si>
  <si>
    <t>Data range</t>
  </si>
  <si>
    <t>School information</t>
  </si>
  <si>
    <t>Report</t>
  </si>
  <si>
    <t>Link to provider on Ofsted inspection report website</t>
  </si>
  <si>
    <t>-</t>
  </si>
  <si>
    <t>URN</t>
  </si>
  <si>
    <t>Unique reference number for the school</t>
  </si>
  <si>
    <t>LAESTAB</t>
  </si>
  <si>
    <t>Local authority establishment number (Department for Education reference number)</t>
  </si>
  <si>
    <t>School name</t>
  </si>
  <si>
    <t>Name of the school</t>
  </si>
  <si>
    <t>Type of education</t>
  </si>
  <si>
    <t>The type of school</t>
  </si>
  <si>
    <t>Other Independent special school
Other Independent school</t>
  </si>
  <si>
    <t>School Group</t>
  </si>
  <si>
    <t>School group</t>
  </si>
  <si>
    <t>Independent school
Independent special school</t>
  </si>
  <si>
    <t>Provider open/closed status</t>
  </si>
  <si>
    <t>Indicates whether the school is open or closed</t>
  </si>
  <si>
    <t>Open
Closed</t>
  </si>
  <si>
    <t>Religious character</t>
  </si>
  <si>
    <t>School religious character</t>
  </si>
  <si>
    <t>Religious ethos</t>
  </si>
  <si>
    <t>School religious ethos</t>
  </si>
  <si>
    <t>Christian
Church of England
Inter- / non- denominational
Islam
Jewish
Muslim
Roman Catholic
Seventh Day Adventist</t>
  </si>
  <si>
    <t>School religious character or, if "none" declared, ethos</t>
  </si>
  <si>
    <t>Faith grouping based on lookup table in "Contents and guidance" tab from religious character / ethos</t>
  </si>
  <si>
    <t>Christian
Jewish
Muslim
Other
Non-denominational</t>
  </si>
  <si>
    <t>Special Needs</t>
  </si>
  <si>
    <t>Flag to indicate whether provider has special educational needs classes</t>
  </si>
  <si>
    <t>Has special classes
No special classes</t>
  </si>
  <si>
    <t>Ofsted region</t>
  </si>
  <si>
    <t>School Ofsted region</t>
  </si>
  <si>
    <t>East Midlands
East of England
London
North East, Yorkshire and the Humber
North West
South East
South West
West Midlands</t>
  </si>
  <si>
    <t>Government office region</t>
  </si>
  <si>
    <t>School government office region</t>
  </si>
  <si>
    <t>East Midlands
East of England
London
North East
Yorkshire and the Humber
North West
South East
South West
West Midlands</t>
  </si>
  <si>
    <t>Local authority</t>
  </si>
  <si>
    <t xml:space="preserve">School local authority </t>
  </si>
  <si>
    <t>152 local authorities in England</t>
  </si>
  <si>
    <t>Postcode</t>
  </si>
  <si>
    <t>School postcode</t>
  </si>
  <si>
    <t>Inspection information</t>
  </si>
  <si>
    <t>Inspectorate</t>
  </si>
  <si>
    <t>Body responsible for inspecting school</t>
  </si>
  <si>
    <t>Inspection number</t>
  </si>
  <si>
    <t xml:space="preserve"> - </t>
  </si>
  <si>
    <t>First day of inspection</t>
  </si>
  <si>
    <t>Inspection start date</t>
  </si>
  <si>
    <t>Last day of inspection</t>
  </si>
  <si>
    <t>Inspection end date</t>
  </si>
  <si>
    <t>Publication date</t>
  </si>
  <si>
    <t>Date inspection report published</t>
  </si>
  <si>
    <t>Inspection type</t>
  </si>
  <si>
    <t>Inspection grouping name</t>
  </si>
  <si>
    <t>Inspection group</t>
  </si>
  <si>
    <t>Independent standard inspection
Inspection additional visits/Other</t>
  </si>
  <si>
    <t>Overall effectiveness</t>
  </si>
  <si>
    <t>1 = Outstanding 
2 = Good
3 = Requires improvement
4 = Inadequate</t>
  </si>
  <si>
    <t>Effectiveness of leadership and management</t>
  </si>
  <si>
    <t>Key judgement outcome</t>
  </si>
  <si>
    <t>Personal development, behaviour and welfare</t>
  </si>
  <si>
    <t>Quality of teaching</t>
  </si>
  <si>
    <t>Outcomes for pupils</t>
  </si>
  <si>
    <t>Early years provision</t>
  </si>
  <si>
    <t>1 = Outstanding
2 = Good
3 = Requires improvement
4 = Inadequate
0, 8, 9 = not enough evidence / not inspected / not applicable</t>
  </si>
  <si>
    <t>Sixth form provision</t>
  </si>
  <si>
    <t>Safeguarding is effective?</t>
  </si>
  <si>
    <t>Yes
No</t>
  </si>
  <si>
    <t>Outcome for part 1. Quality of education provided</t>
  </si>
  <si>
    <t>Independent Schools Standards outcome</t>
  </si>
  <si>
    <t>Met
Not met
Not applicable</t>
  </si>
  <si>
    <t>Outcome for part 2. Spiritual, moral, social and cultural education of pupils</t>
  </si>
  <si>
    <t>Outcome for part 3. Welfare, health and safety of pupils</t>
  </si>
  <si>
    <t>Outcome for part 4. Suitability of the proprietor, staff and supply staff</t>
  </si>
  <si>
    <t>Outcome for part 5. Premises and accommodation of schools</t>
  </si>
  <si>
    <t>Outcome for part 6. Provision of information for parents, carers and others</t>
  </si>
  <si>
    <t>Outcome for part 7. Manner in which complaints are to be handled</t>
  </si>
  <si>
    <t>Outcome for part 8. Quality of Leadership and Management</t>
  </si>
  <si>
    <t>Overall outcome of progress monitoring inspection</t>
  </si>
  <si>
    <t>Standards outcome of progress monitoring inspection</t>
  </si>
  <si>
    <t>Met all standards that were checked
Did not meet all standards that were checked</t>
  </si>
  <si>
    <t>Overall outcome of independent school standards</t>
  </si>
  <si>
    <t>Standards outcome of standard inspection</t>
  </si>
  <si>
    <t>All standards met
Did not meet all standards</t>
  </si>
  <si>
    <t>Independent Schools Standards: 2(1) - 34(1)</t>
  </si>
  <si>
    <t>Independent School Standards outcomes</t>
  </si>
  <si>
    <t>Safeguarding procedure 1-3</t>
  </si>
  <si>
    <t>Compliance to safeguarding procedures outcome</t>
  </si>
  <si>
    <t>Yes
No
No response
Not applicable</t>
  </si>
  <si>
    <t>Schedule 10 Equality Act 2010</t>
  </si>
  <si>
    <t>Compliance to the requirements of Schedule 10 of the Equality Act 2010 outcome</t>
  </si>
  <si>
    <t>Y=Yes
N=No</t>
  </si>
  <si>
    <t>EYFS learning and development requirements</t>
  </si>
  <si>
    <t>Compliance to the requirements of the Early Years Foundation Stage relating to learning and development</t>
  </si>
  <si>
    <t>Met
Not met
Not applicable to this setting</t>
  </si>
  <si>
    <t>EYFS safeguarding and welfare requirements</t>
  </si>
  <si>
    <t>Compliance to the requirements of the Early Years Foundation Stage relating to safeguarding and welfare</t>
  </si>
  <si>
    <t>Have all standards been met?</t>
  </si>
  <si>
    <t>Independent Schools Standards outcome at last full inspection</t>
  </si>
  <si>
    <t>Prog mon event number</t>
  </si>
  <si>
    <t>Progress monitoring inspection number</t>
  </si>
  <si>
    <t>Prog mon event type</t>
  </si>
  <si>
    <t>Progress monitoring inspection type</t>
  </si>
  <si>
    <t>Independent school progress monitoring inspection
Independent school progress monitoring inspection - Integrated</t>
  </si>
  <si>
    <t>Prog mon event end date</t>
  </si>
  <si>
    <t>Progress monitoring inspection end date</t>
  </si>
  <si>
    <t>Prog mon academic year</t>
  </si>
  <si>
    <t>Progress monitoring inspection academic year</t>
  </si>
  <si>
    <t>Prog mon last publication date</t>
  </si>
  <si>
    <t>Progress monitoring inspection report publication date</t>
  </si>
  <si>
    <t>Prog mon overall outcome</t>
  </si>
  <si>
    <t>Outcome of progress monitoring inspection</t>
  </si>
  <si>
    <t>Standards met
Met all standards that were checked
Did not meet all standards that were checked</t>
  </si>
  <si>
    <t>Ofsted
ISI</t>
  </si>
  <si>
    <t>Total number of inspections</t>
  </si>
  <si>
    <t>Number</t>
  </si>
  <si>
    <t>Percentage</t>
  </si>
  <si>
    <t>Outstanding</t>
  </si>
  <si>
    <t>Good</t>
  </si>
  <si>
    <t>Requires improvement</t>
  </si>
  <si>
    <t>Inadequate</t>
  </si>
  <si>
    <t>Yes</t>
  </si>
  <si>
    <t>No</t>
  </si>
  <si>
    <t>All non-association independent schools</t>
  </si>
  <si>
    <t>Other independent school</t>
  </si>
  <si>
    <t>Other independent special school</t>
  </si>
  <si>
    <t>1. The total number of inspections includes integrated inspections.</t>
  </si>
  <si>
    <t>2. Percentages are rounded and may not sum to 100. Where the number of inspections is small, percentages should be treated with caution.</t>
  </si>
  <si>
    <t>Other faith</t>
  </si>
  <si>
    <t>1. Data on faith is based on a declaration by the school that it has a religious character and / or ethos, recorded in the Get Information About Schools database (Source: Department for Education). The faith groupings are described in the "Contents and guidance" tab, in the "Faith schools" section.</t>
  </si>
  <si>
    <t>2. The total number of inspections includes integrated inspections.</t>
  </si>
  <si>
    <t>3. Percentages are rounded and may not sum to 100. Where the number of inspections is small, percentages should be treated with caution.</t>
  </si>
  <si>
    <t>Total number inspected</t>
  </si>
  <si>
    <t>Met</t>
  </si>
  <si>
    <t>Not met</t>
  </si>
  <si>
    <t>All standards</t>
  </si>
  <si>
    <t>1. Quality of education provided</t>
  </si>
  <si>
    <t>2. Spiritual, moral, social and cultural development of pupils</t>
  </si>
  <si>
    <t>3. Welfare, health and safety of pupils</t>
  </si>
  <si>
    <t>4. Suitability of staff, supply staff, and proprietors</t>
  </si>
  <si>
    <t>5. Premises of and accommodation at schools</t>
  </si>
  <si>
    <t>6. Provision of information</t>
  </si>
  <si>
    <t>7. Manner in which complaints are handled</t>
  </si>
  <si>
    <t>8. Quality of leadership in and management of schools</t>
  </si>
  <si>
    <t>1. In the ‘All standards’ row, ‘met’ means that all of the standards in all eight parts have been met. For each part of the standards, ‘met’ means that all of the Independent Schools Standards have been met in that part.</t>
  </si>
  <si>
    <r>
      <t>Table 3: Progress monitoring inspection outcomes for non-association independent schools</t>
    </r>
    <r>
      <rPr>
        <b/>
        <vertAlign val="superscript"/>
        <sz val="12"/>
        <rFont val="Tahoma"/>
        <family val="2"/>
      </rPr>
      <t xml:space="preserve"> 1 2</t>
    </r>
  </si>
  <si>
    <t>Total number of independent schools</t>
  </si>
  <si>
    <t>Number of independent schools that have been inspected</t>
  </si>
  <si>
    <t>Independent Schools Standards</t>
  </si>
  <si>
    <t>Other Independent School</t>
  </si>
  <si>
    <t>Other Independent Special School</t>
  </si>
  <si>
    <t xml:space="preserve">4. In the ‘standards’ columns, ‘met’ means that all of the standards in all eight parts of the Independent Schools Standards have been met. </t>
  </si>
  <si>
    <r>
      <t>Table 4c: Outcomes of most recent progress monitoring inspection following their most recent standard inspection, for non-association independent schools</t>
    </r>
    <r>
      <rPr>
        <b/>
        <vertAlign val="superscript"/>
        <sz val="12"/>
        <color theme="1"/>
        <rFont val="Tahoma"/>
        <family val="2"/>
      </rPr>
      <t>1 2 3 4</t>
    </r>
  </si>
  <si>
    <t>Progress monitoring inspection outcome</t>
  </si>
  <si>
    <t>RI and inadequate non-association independent schools subject to one or more progress monitoring inspections</t>
  </si>
  <si>
    <t>Total requires improvement and inadequate</t>
  </si>
  <si>
    <t>3. Non-association independent schools that failed at least one of the independent school standards and were therefore judged requires improvement or inadequate at their most recent standard inspection, normally receive a progress monitoring inspection.</t>
  </si>
  <si>
    <t>4. Not all RI and inadequate schools have been subject to a progress monitoring inspection at the time of this release. The Department for Education commission and determine the timing for Ofsted to carry out progress monitoring inspections.</t>
  </si>
  <si>
    <t>Dataset 1: Inspection outcomes and standards for non-association independent schools</t>
  </si>
  <si>
    <t>Quality of teaching, learning and assessment</t>
  </si>
  <si>
    <t>Outcomes for children and learners</t>
  </si>
  <si>
    <t>School complies with registration agreement (GIAS)?</t>
  </si>
  <si>
    <t>Proprietor change</t>
  </si>
  <si>
    <t>School premises change</t>
  </si>
  <si>
    <t>Age range of pupils change</t>
  </si>
  <si>
    <t>Maximum number of pupils change</t>
  </si>
  <si>
    <t>Single-sex/co-educational change</t>
  </si>
  <si>
    <t>Boarding accommodation change</t>
  </si>
  <si>
    <t>Admission of SEN pupils change</t>
  </si>
  <si>
    <t>Overall standards</t>
  </si>
  <si>
    <t>Part 1 overall</t>
  </si>
  <si>
    <t>Part 2 overall</t>
  </si>
  <si>
    <t>Part 3 overall</t>
  </si>
  <si>
    <t>Part 4 overall</t>
  </si>
  <si>
    <t>Part 5 overall</t>
  </si>
  <si>
    <t>Part 6 overall</t>
  </si>
  <si>
    <t>Part 7 overall</t>
  </si>
  <si>
    <t>Part 8 overall</t>
  </si>
  <si>
    <t>Independent Schools Standards: 2(1)</t>
  </si>
  <si>
    <t>Independent Schools Standards: 2(1)(a)</t>
  </si>
  <si>
    <t>Independent Schools Standards: 2(1)(b)</t>
  </si>
  <si>
    <t>Independent Schools Standards: 2(1)(b)(i)</t>
  </si>
  <si>
    <t>Independent Schools Standards: 2(1)(b)(ii)</t>
  </si>
  <si>
    <t>Independent Schools Standards: 2(2)</t>
  </si>
  <si>
    <t>Independent Schools Standards: 2(2)(a)</t>
  </si>
  <si>
    <t>Independent Schools Standards: 2(2)(b)</t>
  </si>
  <si>
    <t>Independent Schools Standards: 2(2)(c)</t>
  </si>
  <si>
    <t>Independent Schools Standards: 2(2)(d)</t>
  </si>
  <si>
    <t>Independent Schools Standards: 2(2)(d)(i)</t>
  </si>
  <si>
    <t>Independent Schools Standards: 2(2)(d)(ii)</t>
  </si>
  <si>
    <t>Independent Schools Standards: 2(2)(e)</t>
  </si>
  <si>
    <t>Independent Schools Standards: 2(2)(e)(i)</t>
  </si>
  <si>
    <t>Independent Schools Standards: 2(2)(e)(ii)</t>
  </si>
  <si>
    <t>Independent Schools Standards: 2(2)(e)(iii)</t>
  </si>
  <si>
    <t>Independent Schools Standards: 2(2)(f)</t>
  </si>
  <si>
    <t>Independent Schools Standards: 2(2)(g)</t>
  </si>
  <si>
    <t>Independent Schools Standards: 2(2)(h)</t>
  </si>
  <si>
    <t>Independent Schools Standards: 2(2)(i)</t>
  </si>
  <si>
    <t>Independent Schools Standards: 3</t>
  </si>
  <si>
    <t>Independent Schools Standards: 3(a)</t>
  </si>
  <si>
    <t>Independent Schools Standards: 3(b)</t>
  </si>
  <si>
    <t>Independent Schools Standards: 3(c)</t>
  </si>
  <si>
    <t>Independent Schools Standards: 3(d)</t>
  </si>
  <si>
    <t>Independent Schools Standards: 3(e)</t>
  </si>
  <si>
    <t>Independent Schools Standards: 3(f)</t>
  </si>
  <si>
    <t>Independent Schools Standards: 3(g)</t>
  </si>
  <si>
    <t>Independent Schools Standards: 3(h)</t>
  </si>
  <si>
    <t>Independent Schools Standards: 3(i)</t>
  </si>
  <si>
    <t>Independent Schools Standards: 3(j)</t>
  </si>
  <si>
    <t>Independent Schools Standards: 4</t>
  </si>
  <si>
    <t>Independent Schools Standards: 5</t>
  </si>
  <si>
    <t>Independent Schools Standards: 5(a)</t>
  </si>
  <si>
    <t>Independent Schools Standards: 5(b)</t>
  </si>
  <si>
    <t>Independent Schools Standards: 5(b)(i)</t>
  </si>
  <si>
    <t>Independent Schools Standards: 5(b)(ii)</t>
  </si>
  <si>
    <t>Independent Schools Standards: 5(b)(iii)</t>
  </si>
  <si>
    <t>Independent Schools Standards: 5(b)(iv)</t>
  </si>
  <si>
    <t>Independent Schools Standards: 5(b)(v)</t>
  </si>
  <si>
    <t>Independent Schools Standards: 5(b)(vi)</t>
  </si>
  <si>
    <t>Independent Schools Standards: 5(b)(vii)</t>
  </si>
  <si>
    <t>Independent Schools Standards: 5(c)</t>
  </si>
  <si>
    <t>Independent Schools Standards: 5(d)</t>
  </si>
  <si>
    <t>Independent Schools Standards: 5(d)(i)</t>
  </si>
  <si>
    <t>Independent Schools Standards: 5(d)(ii)</t>
  </si>
  <si>
    <t>Independent Schools Standards: 5(d)(iii)</t>
  </si>
  <si>
    <t>Independent Schools Standards: 7</t>
  </si>
  <si>
    <t>Independent Schools Standards: 7(a)</t>
  </si>
  <si>
    <t>Independent Schools Standards: 7(b)</t>
  </si>
  <si>
    <t>Independent Schools Standards: 8</t>
  </si>
  <si>
    <t>Independent Schools Standards: 8(a)</t>
  </si>
  <si>
    <t>Independent Schools Standards: 8(b)</t>
  </si>
  <si>
    <t>Independent Schools Standards: 9</t>
  </si>
  <si>
    <t>Independent Schools Standards: 9(a)</t>
  </si>
  <si>
    <t>Independent Schools Standards: 9(b)</t>
  </si>
  <si>
    <t>Independent Schools Standards: 9(c)</t>
  </si>
  <si>
    <t>Independent Schools Standards: 10</t>
  </si>
  <si>
    <t>Independent Schools Standards: 11</t>
  </si>
  <si>
    <t>Independent Schools Standards: 12</t>
  </si>
  <si>
    <t>Independent Schools Standards: 13</t>
  </si>
  <si>
    <t>Independent Schools Standards: 14</t>
  </si>
  <si>
    <t>Independent Schools Standards: 15</t>
  </si>
  <si>
    <t>Independent Schools Standards: 16</t>
  </si>
  <si>
    <t>Independent Schools Standards: 16(a)</t>
  </si>
  <si>
    <t>Independent Schools Standards: 16(b)</t>
  </si>
  <si>
    <t>Independent Schools Standards: 18(2)</t>
  </si>
  <si>
    <t>Independent Schools Standards: 18(2)(a)</t>
  </si>
  <si>
    <t>Independent Schools Standards: 18(2)(b)</t>
  </si>
  <si>
    <t>Independent Schools Standards: 18(2)(c)</t>
  </si>
  <si>
    <t>Independent Schools Standards: 18(2)(c)(i)</t>
  </si>
  <si>
    <t>Independent Schools Standards: 18(2)(c)(ii)</t>
  </si>
  <si>
    <t>Independent Schools Standards: 18(2)(c)(iii)</t>
  </si>
  <si>
    <t>Independent Schools Standards: 18(2)(c)(iv)</t>
  </si>
  <si>
    <t>Independent Schools Standards: 18(2)(d)</t>
  </si>
  <si>
    <t>Independent Schools Standards: 18(2)(e)</t>
  </si>
  <si>
    <t>Independent Schools Standards: 18(2)(f)</t>
  </si>
  <si>
    <t>Independent Schools Standards: 18(3)</t>
  </si>
  <si>
    <t>Independent Schools Standards: 19(2)</t>
  </si>
  <si>
    <t>Independent Schools Standards: 19(2)(a)</t>
  </si>
  <si>
    <t>Independent Schools Standards: 19(2)(a)(i)</t>
  </si>
  <si>
    <t>Independent Schools Standards: 19(2)(a)(i)(aa)</t>
  </si>
  <si>
    <t>Independent Schools Standards: 19(2)(a)(i)(bb)</t>
  </si>
  <si>
    <t>Independent Schools Standards: 19(2)(a)(i)(cc)</t>
  </si>
  <si>
    <t>Independent Schools Standards: 19(2)(a)(ii)</t>
  </si>
  <si>
    <t>Independent Schools Standards: 19(2)(b)</t>
  </si>
  <si>
    <t>Independent Schools Standards: 19(2)(c)</t>
  </si>
  <si>
    <t>Independent Schools Standards: 19(2)(d)</t>
  </si>
  <si>
    <t>Independent Schools Standards: 19(2)(d)(i)</t>
  </si>
  <si>
    <t>Independent Schools Standards: 19(2)(d)(ii)</t>
  </si>
  <si>
    <t>Independent Schools Standards: 19(2)(e)</t>
  </si>
  <si>
    <t>Independent Schools Standards: 19(3)</t>
  </si>
  <si>
    <t>Independent Schools Standards: 20(6)</t>
  </si>
  <si>
    <t>Independent Schools Standards: 20(6)(a)</t>
  </si>
  <si>
    <t>Independent Schools Standards: 20(6)(a)(i)</t>
  </si>
  <si>
    <t>Independent Schools Standards: 20(6)(a)(ii)</t>
  </si>
  <si>
    <t>Independent Schools Standards: 20(6)(b)</t>
  </si>
  <si>
    <t>Independent Schools Standards: 20(6)(b)(i)</t>
  </si>
  <si>
    <t>Independent Schools Standards: 20(6)(b)(ii)</t>
  </si>
  <si>
    <t>Independent Schools Standards: 20(6)(b)(iii)</t>
  </si>
  <si>
    <t>Independent Schools Standards: 20(6)(c)</t>
  </si>
  <si>
    <t>Independent Schools Standards: 21(1)</t>
  </si>
  <si>
    <t>Independent Schools Standards: 21(2)</t>
  </si>
  <si>
    <t>Independent Schools Standards: 21(3)</t>
  </si>
  <si>
    <t>Independent Schools Standards: 21(3)(a)</t>
  </si>
  <si>
    <t>Independent Schools Standards: 21(3)(a)(i)</t>
  </si>
  <si>
    <t>Independent Schools Standards: 21(3)(a)(ii)</t>
  </si>
  <si>
    <t>Independent Schools Standards: 21(3)(a)(iii)</t>
  </si>
  <si>
    <t>Independent Schools Standards: 21(3)(a)(iv)</t>
  </si>
  <si>
    <t>Independent Schools Standards: 21(3)(a)(v)</t>
  </si>
  <si>
    <t>Independent Schools Standards: 21(3)(a)(vi)</t>
  </si>
  <si>
    <t>Independent Schools Standards: 21(3)(a)(vii)</t>
  </si>
  <si>
    <t>Independent Schools Standards: 21(3)(a)(viii)</t>
  </si>
  <si>
    <t>Independent Schools Standards: 21(3)(b)</t>
  </si>
  <si>
    <t>Independent Schools Standards: 21(4)</t>
  </si>
  <si>
    <t>Independent Schools Standards: 21(5)</t>
  </si>
  <si>
    <t>Independent Schools Standards: 21(5)(a)</t>
  </si>
  <si>
    <t>Independent Schools Standards: 21(5)(a)(i)</t>
  </si>
  <si>
    <t>Independent Schools Standards: 21(5)(a)(ii)</t>
  </si>
  <si>
    <t>Independent Schools Standards: 21(5)(b)</t>
  </si>
  <si>
    <t>Independent Schools Standards: 21(5)(c)</t>
  </si>
  <si>
    <t>Independent Schools Standards: 21(6)</t>
  </si>
  <si>
    <t>Independent Schools Standards: 21(7)</t>
  </si>
  <si>
    <t>Independent Schools Standards: 21(7)(a)</t>
  </si>
  <si>
    <t>Independent Schools Standards: 21(7)(b)</t>
  </si>
  <si>
    <t>Independent Schools Standards: 23(1)</t>
  </si>
  <si>
    <t>Independent Schools Standards: 23(1)(a)</t>
  </si>
  <si>
    <t>Independent Schools Standards: 23(1)(b)</t>
  </si>
  <si>
    <t>Independent Schools Standards: 23(1)(c)</t>
  </si>
  <si>
    <t>Independent Schools Standards: 24(1)</t>
  </si>
  <si>
    <t>Independent Schools Standards: 24(1)(a)</t>
  </si>
  <si>
    <t>Independent Schools Standards: 24(1)(b)</t>
  </si>
  <si>
    <t>Independent Schools Standards: 24(1)(c)</t>
  </si>
  <si>
    <t>Independent Schools Standards: 24(2)</t>
  </si>
  <si>
    <t>Independent Schools Standards: 25</t>
  </si>
  <si>
    <t>Independent Schools Standards: 26</t>
  </si>
  <si>
    <t>Independent Schools Standards: 27</t>
  </si>
  <si>
    <t>Independent Schools Standards: 27(a)</t>
  </si>
  <si>
    <t>Independent Schools Standards: 27(b)</t>
  </si>
  <si>
    <t>Independent Schools Standards: 28(1)</t>
  </si>
  <si>
    <t>Independent Schools Standards: 28(1)(a)</t>
  </si>
  <si>
    <t>Independent Schools Standards: 28(1)(b)</t>
  </si>
  <si>
    <t>Independent Schools Standards: 28(1)(c)</t>
  </si>
  <si>
    <t>Independent Schools Standards: 28(1)(d)</t>
  </si>
  <si>
    <t>Independent Schools Standards: 28(2)</t>
  </si>
  <si>
    <t>Independent Schools Standards: 28(2)(a)</t>
  </si>
  <si>
    <t>Independent Schools Standards: 28(2)(b)</t>
  </si>
  <si>
    <t>Independent Schools Standards: 29(1)</t>
  </si>
  <si>
    <t>Independent Schools Standards: 29(1)(a)</t>
  </si>
  <si>
    <t>Independent Schools Standards: 29(1)(b)</t>
  </si>
  <si>
    <t>Independent Schools Standards: 30</t>
  </si>
  <si>
    <t>Independent Schools Standards: 32(1)</t>
  </si>
  <si>
    <t>Independent Schools Standards: 32(1)(a)</t>
  </si>
  <si>
    <t>Independent Schools Standards: 32(1)(b)</t>
  </si>
  <si>
    <t>Independent Schools Standards: 32(1)(c)</t>
  </si>
  <si>
    <t>Independent Schools Standards: 32(1)(d)</t>
  </si>
  <si>
    <t>Independent Schools Standards: 32(1)(e)</t>
  </si>
  <si>
    <t>Independent Schools Standards: 32(1)(f)</t>
  </si>
  <si>
    <t>Independent Schools Standards: 32(1)(g)</t>
  </si>
  <si>
    <t>Independent Schools Standards: 32(1)(h)</t>
  </si>
  <si>
    <t>Independent Schools Standards: 32(1)(i)</t>
  </si>
  <si>
    <t>Independent Schools Standards: 32(1)(j)</t>
  </si>
  <si>
    <t>Independent Schools Standards: 32(2)</t>
  </si>
  <si>
    <t>Independent Schools Standards: 32(2)(a)</t>
  </si>
  <si>
    <t>Independent Schools Standards: 32(2)(b)</t>
  </si>
  <si>
    <t>Independent Schools Standards: 32(2)(b)(i)</t>
  </si>
  <si>
    <t>Independent Schools Standards: 32(2)(b)(ii)</t>
  </si>
  <si>
    <t>Independent Schools Standards: 32(2)(c)</t>
  </si>
  <si>
    <t>Independent Schools Standards: 32(2)(d)</t>
  </si>
  <si>
    <t>Independent Schools Standards: 32(3)</t>
  </si>
  <si>
    <t>Independent Schools Standards: 32(3)(a)</t>
  </si>
  <si>
    <t>Independent Schools Standards: 32(3)(b)</t>
  </si>
  <si>
    <t>Independent Schools Standards: 32(3)(c)</t>
  </si>
  <si>
    <t>Independent Schools Standards: 32(3)(d)</t>
  </si>
  <si>
    <t>Independent Schools Standards: 32(3)(e)</t>
  </si>
  <si>
    <t>Independent Schools Standards: 32(3)(f)</t>
  </si>
  <si>
    <t>Independent Schools Standards: 32(3)(g)</t>
  </si>
  <si>
    <t>Independent Schools Standards: 32(4)</t>
  </si>
  <si>
    <t>Independent Schools Standards: 32(4)(a)</t>
  </si>
  <si>
    <t>Independent Schools Standards: 32(4)(b)</t>
  </si>
  <si>
    <t>Independent Schools Standards: 32(4)(c)</t>
  </si>
  <si>
    <t>Independent Schools Standards: 33</t>
  </si>
  <si>
    <t>Independent Schools Standards: 33(a)</t>
  </si>
  <si>
    <t>Independent Schools Standards: 33(b)</t>
  </si>
  <si>
    <t>Independent Schools Standards: 33(c)</t>
  </si>
  <si>
    <t>Independent Schools Standards: 33(d)</t>
  </si>
  <si>
    <t>Independent Schools Standards: 33(e)</t>
  </si>
  <si>
    <t>Independent Schools Standards: 33(f)</t>
  </si>
  <si>
    <t>Independent Schools Standards: 33(g)</t>
  </si>
  <si>
    <t>Independent Schools Standards: 33(h)</t>
  </si>
  <si>
    <t>Independent Schools Standards: 33(i)</t>
  </si>
  <si>
    <t>Independent Schools Standards: 33(i)(i)</t>
  </si>
  <si>
    <t>Independent Schools Standards: 33(i)(ii)</t>
  </si>
  <si>
    <t>Independent Schools Standards: 33(j)</t>
  </si>
  <si>
    <t>Independent Schools Standards: 33(j)(i)</t>
  </si>
  <si>
    <t>Independent Schools Standards: 33(j)(ii)</t>
  </si>
  <si>
    <t>Independent Schools Standards: 33(k)</t>
  </si>
  <si>
    <t>Independent Schools Standards: 34(1)</t>
  </si>
  <si>
    <t>Independent Schools Standards: 34(1)(a)</t>
  </si>
  <si>
    <t>Independent Schools Standards: 34(1)(b)</t>
  </si>
  <si>
    <t>Independent Schools Standards: 34(1)(c)</t>
  </si>
  <si>
    <t>Safeguarding procedure 1</t>
  </si>
  <si>
    <t>Safeguarding procedure 2</t>
  </si>
  <si>
    <t>Safeguarding procedure 3</t>
  </si>
  <si>
    <t>EYFS learning and development requirements (apart from where there is an exemption in place)</t>
  </si>
  <si>
    <t>Switched-On Christian School</t>
  </si>
  <si>
    <t>Independent school</t>
  </si>
  <si>
    <t>South West</t>
  </si>
  <si>
    <t>Bournemouth</t>
  </si>
  <si>
    <t>BH2 6NA</t>
  </si>
  <si>
    <t>NULL</t>
  </si>
  <si>
    <t>Ofsted</t>
  </si>
  <si>
    <t>Independent School standard inspection</t>
  </si>
  <si>
    <t>Independent Standard Inspection</t>
  </si>
  <si>
    <t>Y</t>
  </si>
  <si>
    <t>All standards Met</t>
  </si>
  <si>
    <t>Not applicable to this setting</t>
  </si>
  <si>
    <t>Not applicable</t>
  </si>
  <si>
    <t>Progress Schools - Wigan</t>
  </si>
  <si>
    <t>North West</t>
  </si>
  <si>
    <t>Wigan</t>
  </si>
  <si>
    <t>WN1 1RU</t>
  </si>
  <si>
    <t>Unknown</t>
  </si>
  <si>
    <t>Independent school standard inspection - first</t>
  </si>
  <si>
    <t>Independent Educational Services Long Street</t>
  </si>
  <si>
    <t>Independent special school</t>
  </si>
  <si>
    <t>West Midlands</t>
  </si>
  <si>
    <t>Warwickshire</t>
  </si>
  <si>
    <t>CV9 1AY</t>
  </si>
  <si>
    <t>Insights Independent School</t>
  </si>
  <si>
    <t>London</t>
  </si>
  <si>
    <t>Ealing</t>
  </si>
  <si>
    <t>W13 0NP</t>
  </si>
  <si>
    <t>Harrow Independent College</t>
  </si>
  <si>
    <t>Harrow</t>
  </si>
  <si>
    <t>HA2 9AH</t>
  </si>
  <si>
    <t>N</t>
  </si>
  <si>
    <t>Ysgol Gymraeg Llundain, London Welsh School</t>
  </si>
  <si>
    <t>W7 1PD</t>
  </si>
  <si>
    <t>Luton Pentecostal Church Christian Academy</t>
  </si>
  <si>
    <t>East of England</t>
  </si>
  <si>
    <t>Luton</t>
  </si>
  <si>
    <t>LU1 3JE</t>
  </si>
  <si>
    <t>Overley Hall School</t>
  </si>
  <si>
    <t>Telford and Wrekin</t>
  </si>
  <si>
    <t>TF6 5HE</t>
  </si>
  <si>
    <t>Hall Cliffe School</t>
  </si>
  <si>
    <t>North East, Yorkshire and the Humber</t>
  </si>
  <si>
    <t>Yorkshire and the Humber</t>
  </si>
  <si>
    <t>Wakefield</t>
  </si>
  <si>
    <t>WF4 6BB</t>
  </si>
  <si>
    <t>Downham Preparatory School and Montessori Nursery</t>
  </si>
  <si>
    <t>Norfolk</t>
  </si>
  <si>
    <t>PE34 3HT</t>
  </si>
  <si>
    <t>Park House, Taunton</t>
  </si>
  <si>
    <t>Somerset</t>
  </si>
  <si>
    <t>TA2 7AX</t>
  </si>
  <si>
    <t>Rawdhatul Uloom</t>
  </si>
  <si>
    <t>Lancashire</t>
  </si>
  <si>
    <t>BB10 1LU</t>
  </si>
  <si>
    <t>St Andrew's School</t>
  </si>
  <si>
    <t>NR11 8QA</t>
  </si>
  <si>
    <t>Embleton View</t>
  </si>
  <si>
    <t>North East</t>
  </si>
  <si>
    <t>Darlington</t>
  </si>
  <si>
    <t>DL3 8TF</t>
  </si>
  <si>
    <t>Al-Sadiq and Al-Zahra Schools</t>
  </si>
  <si>
    <t>Brent</t>
  </si>
  <si>
    <t>NW6 6PF</t>
  </si>
  <si>
    <t>Did not meet all standards</t>
  </si>
  <si>
    <t>Not Met</t>
  </si>
  <si>
    <t>Learn 4 Life School</t>
  </si>
  <si>
    <t>WN8 9AL</t>
  </si>
  <si>
    <t>Sunfield Children's Home Limited</t>
  </si>
  <si>
    <t>Worcestershire</t>
  </si>
  <si>
    <t>DY9 9PB</t>
  </si>
  <si>
    <t>Avicenna Academy</t>
  </si>
  <si>
    <t>Sheffield</t>
  </si>
  <si>
    <t>S9 5DL</t>
  </si>
  <si>
    <t>Bhaktivedanta Manor School</t>
  </si>
  <si>
    <t>Hertfordshire</t>
  </si>
  <si>
    <t>WD25 8HB</t>
  </si>
  <si>
    <t>Lawrence House School</t>
  </si>
  <si>
    <t>Knowsley</t>
  </si>
  <si>
    <t>L36 5SJ</t>
  </si>
  <si>
    <t>All Saints School</t>
  </si>
  <si>
    <t>NR12 0DJ</t>
  </si>
  <si>
    <t>Andalusia Academy Bristol</t>
  </si>
  <si>
    <t>Bristol</t>
  </si>
  <si>
    <t>BS2 0BA</t>
  </si>
  <si>
    <t>The School of the Islamic Republic of Iran</t>
  </si>
  <si>
    <t>NW6 5HE</t>
  </si>
  <si>
    <t>Woodbury School</t>
  </si>
  <si>
    <t>Wolverhampton</t>
  </si>
  <si>
    <t>WV10 8ED</t>
  </si>
  <si>
    <t>The Meadows</t>
  </si>
  <si>
    <t>East Midlands</t>
  </si>
  <si>
    <t>Derbyshire</t>
  </si>
  <si>
    <t>SK17 8DJ</t>
  </si>
  <si>
    <t>Buzz Learning School</t>
  </si>
  <si>
    <t>Northumberland</t>
  </si>
  <si>
    <t>NE63 8AP</t>
  </si>
  <si>
    <t>Brickyard Barn Outdoor Learning Centre</t>
  </si>
  <si>
    <t>CV33 9QD</t>
  </si>
  <si>
    <t>Woodhill Preparatory School</t>
  </si>
  <si>
    <t>South East</t>
  </si>
  <si>
    <t>Hampshire</t>
  </si>
  <si>
    <t>SO30 2ER</t>
  </si>
  <si>
    <t>Bethany School</t>
  </si>
  <si>
    <t>S3 7PS</t>
  </si>
  <si>
    <t>Novaturient School</t>
  </si>
  <si>
    <t>NR30 1EA</t>
  </si>
  <si>
    <t>Land of Learning Primary School</t>
  </si>
  <si>
    <t>Leicester</t>
  </si>
  <si>
    <t>LE5 5PF</t>
  </si>
  <si>
    <t>Brookways School</t>
  </si>
  <si>
    <t>Sutton</t>
  </si>
  <si>
    <t>SM3 9BZ</t>
  </si>
  <si>
    <t>Sunrise Primary School</t>
  </si>
  <si>
    <t>Haringey</t>
  </si>
  <si>
    <t>N17 0EX</t>
  </si>
  <si>
    <t>No response</t>
  </si>
  <si>
    <t>The Green Room School Kingsley</t>
  </si>
  <si>
    <t>GU35 9LU</t>
  </si>
  <si>
    <t>Kerem Shloime</t>
  </si>
  <si>
    <t>Salford</t>
  </si>
  <si>
    <t>M7 2EY</t>
  </si>
  <si>
    <t>Elizabeth House School</t>
  </si>
  <si>
    <t>Rochdale</t>
  </si>
  <si>
    <t>M24 4BD</t>
  </si>
  <si>
    <t>The Orchard School</t>
  </si>
  <si>
    <t>W6 9RU</t>
  </si>
  <si>
    <t>Al Islah Girls' High School</t>
  </si>
  <si>
    <t>Blackburn with Darwen</t>
  </si>
  <si>
    <t>BB1 1TF</t>
  </si>
  <si>
    <t>Cre8 Futures Learning Centre</t>
  </si>
  <si>
    <t>NR30 3LQ</t>
  </si>
  <si>
    <t>Torah Vodaas</t>
  </si>
  <si>
    <t>Barnet</t>
  </si>
  <si>
    <t>NW9 7AJ</t>
  </si>
  <si>
    <t>Leaways School</t>
  </si>
  <si>
    <t>Hackney</t>
  </si>
  <si>
    <t>E5 9NZ</t>
  </si>
  <si>
    <t>The Green Room</t>
  </si>
  <si>
    <t>Windsor and Maidenhead</t>
  </si>
  <si>
    <t>SL4 5BU</t>
  </si>
  <si>
    <t>Kings Bournemouth</t>
  </si>
  <si>
    <t>BH2 6LD</t>
  </si>
  <si>
    <t>Independent School standard inspection - integrated</t>
  </si>
  <si>
    <t>Beth Jacob Grammar School for Girls</t>
  </si>
  <si>
    <t>NW4 2AT</t>
  </si>
  <si>
    <t>Oak Tree High</t>
  </si>
  <si>
    <t>S4 8DG</t>
  </si>
  <si>
    <t>Rosa House School</t>
  </si>
  <si>
    <t>BB10 3RB</t>
  </si>
  <si>
    <t>First Rung Independent School</t>
  </si>
  <si>
    <t>Enfield</t>
  </si>
  <si>
    <t>NW9 6TH</t>
  </si>
  <si>
    <t>ID Academy</t>
  </si>
  <si>
    <t>North Tyneside</t>
  </si>
  <si>
    <t>NE13 6DS</t>
  </si>
  <si>
    <t>Excelsior College</t>
  </si>
  <si>
    <t>N17 8JN</t>
  </si>
  <si>
    <t>SIAL</t>
  </si>
  <si>
    <t>Kensington and Chelsea</t>
  </si>
  <si>
    <t>W11 4UH</t>
  </si>
  <si>
    <t>Harrow House International College</t>
  </si>
  <si>
    <t>Dorset</t>
  </si>
  <si>
    <t>BH19 1PE</t>
  </si>
  <si>
    <t>Halton House School</t>
  </si>
  <si>
    <t>Halton</t>
  </si>
  <si>
    <t>WA7 3EW</t>
  </si>
  <si>
    <t>Highcroft School</t>
  </si>
  <si>
    <t>Durham</t>
  </si>
  <si>
    <t>DL13 5AG</t>
  </si>
  <si>
    <t>Options Trent Acres School</t>
  </si>
  <si>
    <t>Staffordshire</t>
  </si>
  <si>
    <t>DE13 7HR</t>
  </si>
  <si>
    <t>North Road Academy</t>
  </si>
  <si>
    <t>Stoke-on-Trent</t>
  </si>
  <si>
    <t>ST6 2BP</t>
  </si>
  <si>
    <t>Kensington Park School</t>
  </si>
  <si>
    <t>Westminster</t>
  </si>
  <si>
    <t>W2 4AT</t>
  </si>
  <si>
    <t>ISI</t>
  </si>
  <si>
    <t>Insufficient evidence - amnesty granted</t>
  </si>
  <si>
    <t>St. Bees School</t>
  </si>
  <si>
    <t>Cumbria</t>
  </si>
  <si>
    <t>CA27 0DS</t>
  </si>
  <si>
    <t>The Prepatoria School</t>
  </si>
  <si>
    <t>Shropshire</t>
  </si>
  <si>
    <t>SY1 3AF</t>
  </si>
  <si>
    <t>The Japanese School</t>
  </si>
  <si>
    <t>W3 9PU</t>
  </si>
  <si>
    <t>Walthamstow Montessori School</t>
  </si>
  <si>
    <t>Waltham Forest</t>
  </si>
  <si>
    <t>E17 5DA</t>
  </si>
  <si>
    <t>Olive Secondary Girls</t>
  </si>
  <si>
    <t>Bradford</t>
  </si>
  <si>
    <t>BD3 0AD</t>
  </si>
  <si>
    <t>Al-Falah Primary School</t>
  </si>
  <si>
    <t>E5 8BY</t>
  </si>
  <si>
    <t>Browns School</t>
  </si>
  <si>
    <t>Bromley</t>
  </si>
  <si>
    <t>BR6 7PH</t>
  </si>
  <si>
    <t>The Mews School</t>
  </si>
  <si>
    <t>Lady Aisha Academy</t>
  </si>
  <si>
    <t>Barking and Dagenham</t>
  </si>
  <si>
    <t>IG11 8PY</t>
  </si>
  <si>
    <t>Rudolf Steiner School</t>
  </si>
  <si>
    <t>WD4 9HG</t>
  </si>
  <si>
    <t>Eastwood Grange School</t>
  </si>
  <si>
    <t>S45 0BA</t>
  </si>
  <si>
    <t>Northstar New School</t>
  </si>
  <si>
    <t>IG11 7JA</t>
  </si>
  <si>
    <t>Peninim</t>
  </si>
  <si>
    <t>NW4 2NL</t>
  </si>
  <si>
    <t>Little Acorns School</t>
  </si>
  <si>
    <t>Kent</t>
  </si>
  <si>
    <t>TN30 6SR</t>
  </si>
  <si>
    <t>St Helens Montessori</t>
  </si>
  <si>
    <t>ME15 0JT</t>
  </si>
  <si>
    <t>Wenlock School</t>
  </si>
  <si>
    <t>Dudley</t>
  </si>
  <si>
    <t>DY1 3SB</t>
  </si>
  <si>
    <t>Fountain House School</t>
  </si>
  <si>
    <t>Leeds</t>
  </si>
  <si>
    <t>SP1 3UT</t>
  </si>
  <si>
    <t>Beis Rochel d'Satmar Girls' School</t>
  </si>
  <si>
    <t>N16 5DL</t>
  </si>
  <si>
    <t>Madni Boys</t>
  </si>
  <si>
    <t>Slough</t>
  </si>
  <si>
    <t>SL1 6DQ</t>
  </si>
  <si>
    <t>Yesodey Hatorah School</t>
  </si>
  <si>
    <t>N16 5AE</t>
  </si>
  <si>
    <t>Cambian Tyldesley School</t>
  </si>
  <si>
    <t>M29 8BS</t>
  </si>
  <si>
    <t>Eton - Dorney School</t>
  </si>
  <si>
    <t>Buckinghamshire</t>
  </si>
  <si>
    <t>SL4 6QS</t>
  </si>
  <si>
    <t>Bep Academy</t>
  </si>
  <si>
    <t>Havering</t>
  </si>
  <si>
    <t>RM7 0AU</t>
  </si>
  <si>
    <t>Al Khair School</t>
  </si>
  <si>
    <t>Sandwell</t>
  </si>
  <si>
    <t>B68 8LR</t>
  </si>
  <si>
    <t>Lower Pastures</t>
  </si>
  <si>
    <t>BB3 3QP</t>
  </si>
  <si>
    <t>La Petite Ecole Bilingue</t>
  </si>
  <si>
    <t>W10 5UW</t>
  </si>
  <si>
    <t>Jamea Al Kauthar</t>
  </si>
  <si>
    <t>LA1 5AJ</t>
  </si>
  <si>
    <t>Oakwood Learning Centre</t>
  </si>
  <si>
    <t>DL2 2UH</t>
  </si>
  <si>
    <t>Jasper City School</t>
  </si>
  <si>
    <t>Redbridge</t>
  </si>
  <si>
    <t>IG1 4QR</t>
  </si>
  <si>
    <t>The Aspire Hub, Burnley</t>
  </si>
  <si>
    <t>BB11 1LE</t>
  </si>
  <si>
    <t>Birtenshaw School, Merseyside</t>
  </si>
  <si>
    <t>Liverpool</t>
  </si>
  <si>
    <t>L9 7AB</t>
  </si>
  <si>
    <t>Kings Kids Christian School</t>
  </si>
  <si>
    <t>Lewisham</t>
  </si>
  <si>
    <t>SE14 6EU</t>
  </si>
  <si>
    <t>Carmel Christian School</t>
  </si>
  <si>
    <t>BS4 5NL</t>
  </si>
  <si>
    <t>Harpurhey Alternative Provision School</t>
  </si>
  <si>
    <t>Manchester</t>
  </si>
  <si>
    <t>M9 8AE</t>
  </si>
  <si>
    <t>Blackford Education (Schools) Ltd T/A the Libra School</t>
  </si>
  <si>
    <t>Devon</t>
  </si>
  <si>
    <t>EX36 3LN</t>
  </si>
  <si>
    <t>Thornhill Park School</t>
  </si>
  <si>
    <t>Sunderland</t>
  </si>
  <si>
    <t>SR2 7LA</t>
  </si>
  <si>
    <t>Allen House Independent School</t>
  </si>
  <si>
    <t>Islington</t>
  </si>
  <si>
    <t>SW15 1SZ</t>
  </si>
  <si>
    <t>Bradford Christian School</t>
  </si>
  <si>
    <t>BD2 1BT</t>
  </si>
  <si>
    <t>Take 1 Learning Centre</t>
  </si>
  <si>
    <t>Nottingham</t>
  </si>
  <si>
    <t>NG7 6BE</t>
  </si>
  <si>
    <t>Compass Community School South</t>
  </si>
  <si>
    <t>East Sussex</t>
  </si>
  <si>
    <t>BN9 0NS</t>
  </si>
  <si>
    <t>TLG Tendring</t>
  </si>
  <si>
    <t>Essex</t>
  </si>
  <si>
    <t>CO13 9PW</t>
  </si>
  <si>
    <t>Cambridge Street School</t>
  </si>
  <si>
    <t>Kirklees</t>
  </si>
  <si>
    <t>WF17 5JB</t>
  </si>
  <si>
    <t>Linton School</t>
  </si>
  <si>
    <t>PR4 1HX</t>
  </si>
  <si>
    <t>Homeschool</t>
  </si>
  <si>
    <t>WS10 0GB</t>
  </si>
  <si>
    <t>Bnei Zion Community School</t>
  </si>
  <si>
    <t>N16 6TJ</t>
  </si>
  <si>
    <t>Manchester Jewish School for Special Education</t>
  </si>
  <si>
    <t>M7 4QY</t>
  </si>
  <si>
    <t>The Branch Christian School</t>
  </si>
  <si>
    <t>WF13 4LA</t>
  </si>
  <si>
    <t>The St Anne's College Grammar School</t>
  </si>
  <si>
    <t>FY8 1HN</t>
  </si>
  <si>
    <t>Moor Allerton Preparatory School</t>
  </si>
  <si>
    <t>M20 2PW</t>
  </si>
  <si>
    <t>Priory Hurworth House</t>
  </si>
  <si>
    <t>DL2 2AD</t>
  </si>
  <si>
    <t>SwitchED2</t>
  </si>
  <si>
    <t>LA11 6RG</t>
  </si>
  <si>
    <t>Kisimul School</t>
  </si>
  <si>
    <t>Surrey</t>
  </si>
  <si>
    <t>KT6 5HN</t>
  </si>
  <si>
    <t>Calder House School</t>
  </si>
  <si>
    <t>Wiltshire</t>
  </si>
  <si>
    <t>SN14 8BN</t>
  </si>
  <si>
    <t>Magic Arc School</t>
  </si>
  <si>
    <t>Medway</t>
  </si>
  <si>
    <t>ME3 8UJ</t>
  </si>
  <si>
    <t>Fairlight Glen Independent Special School</t>
  </si>
  <si>
    <t>CT6 5QQ</t>
  </si>
  <si>
    <t>Madaniyah Foundation</t>
  </si>
  <si>
    <t>Newham</t>
  </si>
  <si>
    <t>E7 8NN</t>
  </si>
  <si>
    <t>Olive Tree School</t>
  </si>
  <si>
    <t>SE13 6NZ</t>
  </si>
  <si>
    <t>High Grange School</t>
  </si>
  <si>
    <t>DE3 0DR</t>
  </si>
  <si>
    <t>Garden City Montessori School</t>
  </si>
  <si>
    <t>SG6 4UE</t>
  </si>
  <si>
    <t>Fullerton House School</t>
  </si>
  <si>
    <t>Doncaster</t>
  </si>
  <si>
    <t>DN12 4AR</t>
  </si>
  <si>
    <t>Delta Independent School</t>
  </si>
  <si>
    <t>DH8 5DH</t>
  </si>
  <si>
    <t>Oak Heights Independent School</t>
  </si>
  <si>
    <t>Hounslow</t>
  </si>
  <si>
    <t>TW3 1JS</t>
  </si>
  <si>
    <t>Hyland House School</t>
  </si>
  <si>
    <t>N17 9AD</t>
  </si>
  <si>
    <t>Assess Education</t>
  </si>
  <si>
    <t>L15 4LP</t>
  </si>
  <si>
    <t>London Steiner School</t>
  </si>
  <si>
    <t>Lambeth</t>
  </si>
  <si>
    <t>SW12 0LT</t>
  </si>
  <si>
    <t>Greenwich Steiner School</t>
  </si>
  <si>
    <t>Greenwich</t>
  </si>
  <si>
    <t>SE3 7SE</t>
  </si>
  <si>
    <t>Croydon Metropolitan College</t>
  </si>
  <si>
    <t>Croydon</t>
  </si>
  <si>
    <t>CR0 1DN</t>
  </si>
  <si>
    <t>Farney Close School</t>
  </si>
  <si>
    <t>West Sussex</t>
  </si>
  <si>
    <t>RH17 5RD</t>
  </si>
  <si>
    <t>Iona School</t>
  </si>
  <si>
    <t>NG3 7DN</t>
  </si>
  <si>
    <t>Greater Manchester Alternative Provision</t>
  </si>
  <si>
    <t>Tameside</t>
  </si>
  <si>
    <t>OL6 7HG</t>
  </si>
  <si>
    <t>Park House School</t>
  </si>
  <si>
    <t>Wandsworth</t>
  </si>
  <si>
    <t>SW18 2SL</t>
  </si>
  <si>
    <t>Jamia Al-Hudaa Residential College</t>
  </si>
  <si>
    <t>NG3 5TT</t>
  </si>
  <si>
    <t xml:space="preserve">Employability Solutions Independent School </t>
  </si>
  <si>
    <t>L19 2LX</t>
  </si>
  <si>
    <t>Aurora Keyes Barn School</t>
  </si>
  <si>
    <t>PR4 0YH</t>
  </si>
  <si>
    <t>Moorland Waldorf School</t>
  </si>
  <si>
    <t>North Yorkshire</t>
  </si>
  <si>
    <t>YO21 2NJ</t>
  </si>
  <si>
    <t>Mazahirul Uloom London School</t>
  </si>
  <si>
    <t>Tower Hamlets</t>
  </si>
  <si>
    <t>E1 4AA</t>
  </si>
  <si>
    <t>Pollyteach Limited</t>
  </si>
  <si>
    <t>Nottinghamshire</t>
  </si>
  <si>
    <t>NG17 9FW</t>
  </si>
  <si>
    <t>Cambian Bletchley Park School</t>
  </si>
  <si>
    <t>Milton Keynes</t>
  </si>
  <si>
    <t>MK3 7EB</t>
  </si>
  <si>
    <t>North London Hospital School</t>
  </si>
  <si>
    <t>N14 6RA</t>
  </si>
  <si>
    <t>Michael House School</t>
  </si>
  <si>
    <t>DE75 7JH</t>
  </si>
  <si>
    <t>Le Herisson School</t>
  </si>
  <si>
    <t>Hammersmith and Fulham</t>
  </si>
  <si>
    <t>W6 9JT</t>
  </si>
  <si>
    <t>Wilsic Hall School</t>
  </si>
  <si>
    <t>DN11 9AG</t>
  </si>
  <si>
    <t>On Track Education Centre Wisbech</t>
  </si>
  <si>
    <t>Cambridgeshire</t>
  </si>
  <si>
    <t>PE13 2RJ</t>
  </si>
  <si>
    <t>Assunnah Primary School</t>
  </si>
  <si>
    <t>N17 6SB</t>
  </si>
  <si>
    <t>Newbury Manor School</t>
  </si>
  <si>
    <t>BA11 3RG</t>
  </si>
  <si>
    <t>Paradise Primary School</t>
  </si>
  <si>
    <t>WF12 9BB</t>
  </si>
  <si>
    <t>Moorfield Learning Centre</t>
  </si>
  <si>
    <t>LA13 9RS</t>
  </si>
  <si>
    <t>Aurora St Christopher's School</t>
  </si>
  <si>
    <t>BS6 7JE</t>
  </si>
  <si>
    <t>Bright Futures School for children with autism</t>
  </si>
  <si>
    <t>Oldham</t>
  </si>
  <si>
    <t>OL4 3HS</t>
  </si>
  <si>
    <t>Gateshead Jewish Nursery School</t>
  </si>
  <si>
    <t>Gateshead</t>
  </si>
  <si>
    <t>NE8 1RB</t>
  </si>
  <si>
    <t>Phoenix Academy</t>
  </si>
  <si>
    <t>TA6 6NA</t>
  </si>
  <si>
    <t>Hafs Academy</t>
  </si>
  <si>
    <t>E15 1JW</t>
  </si>
  <si>
    <t>Horton House School</t>
  </si>
  <si>
    <t>Kingston upon Hull</t>
  </si>
  <si>
    <t>HU7 5YY</t>
  </si>
  <si>
    <t>The Mount School</t>
  </si>
  <si>
    <t>HD2 2AP</t>
  </si>
  <si>
    <t>Music Stuff</t>
  </si>
  <si>
    <t>M11 2NA</t>
  </si>
  <si>
    <t>Olive Tree Primary School</t>
  </si>
  <si>
    <t>LU1 1HE</t>
  </si>
  <si>
    <t>New Horizon Community School</t>
  </si>
  <si>
    <t>LS7 4JE</t>
  </si>
  <si>
    <t>Kingsbrook School</t>
  </si>
  <si>
    <t>IP25 7TJ</t>
  </si>
  <si>
    <t>Purbeck View School</t>
  </si>
  <si>
    <t>BH19 1PR</t>
  </si>
  <si>
    <t>Mechinoh School</t>
  </si>
  <si>
    <t>M7 4HY</t>
  </si>
  <si>
    <t>Denby Grange School</t>
  </si>
  <si>
    <t>WF4 4JG</t>
  </si>
  <si>
    <t>The Lambs Christian School</t>
  </si>
  <si>
    <t>Birmingham</t>
  </si>
  <si>
    <t>B19 1AY</t>
  </si>
  <si>
    <t>ISP School (Kent)</t>
  </si>
  <si>
    <t>ME9 9EA</t>
  </si>
  <si>
    <t>Bramdean School</t>
  </si>
  <si>
    <t>EX1 2QR</t>
  </si>
  <si>
    <t>Marathon Science School</t>
  </si>
  <si>
    <t>SE8 5RQ</t>
  </si>
  <si>
    <t>Talmud Torah London</t>
  </si>
  <si>
    <t>E5 9LE</t>
  </si>
  <si>
    <t>Lantern of Knowledge Secondary School</t>
  </si>
  <si>
    <t>E10 6QT</t>
  </si>
  <si>
    <t>Brantwood Specialist School</t>
  </si>
  <si>
    <t>S7 1NU</t>
  </si>
  <si>
    <t>Brighton &amp; Hove Clinic School</t>
  </si>
  <si>
    <t>Brighton and Hove</t>
  </si>
  <si>
    <t>BN3 4FH</t>
  </si>
  <si>
    <t>Sedgemoor Manor School</t>
  </si>
  <si>
    <t>TA9 4NP</t>
  </si>
  <si>
    <t>St George's Preparatory School &amp; Little Dragons Preschool</t>
  </si>
  <si>
    <t>Lincolnshire</t>
  </si>
  <si>
    <t>PE21 7HB</t>
  </si>
  <si>
    <t>Lime Meadows</t>
  </si>
  <si>
    <t>PR2 2YQ</t>
  </si>
  <si>
    <t>Ramillies Hall School</t>
  </si>
  <si>
    <t>Stockport</t>
  </si>
  <si>
    <t>SK8 7AJ</t>
  </si>
  <si>
    <t>Catch 22 Include Primary School Suffolk</t>
  </si>
  <si>
    <t>Suffolk</t>
  </si>
  <si>
    <t>IP8 3AS</t>
  </si>
  <si>
    <t>Essex Fresh Start</t>
  </si>
  <si>
    <t>CM8 2JL</t>
  </si>
  <si>
    <t>The Children's House Upper School</t>
  </si>
  <si>
    <t>N1 4PB</t>
  </si>
  <si>
    <t>Jasmine House School</t>
  </si>
  <si>
    <t>DE75 7DT</t>
  </si>
  <si>
    <t>Catch22 Include Bristol</t>
  </si>
  <si>
    <t>BS2 8SF</t>
  </si>
  <si>
    <t>The Acorn School</t>
  </si>
  <si>
    <t>Gloucestershire</t>
  </si>
  <si>
    <t>GL6 0BP</t>
  </si>
  <si>
    <t>Froebel House School</t>
  </si>
  <si>
    <t>HU5 3JP</t>
  </si>
  <si>
    <t>T T T Y Y School</t>
  </si>
  <si>
    <t>N16 5NH</t>
  </si>
  <si>
    <t>On Track Education Centre (Mildenhall)</t>
  </si>
  <si>
    <t>IP28 7RD</t>
  </si>
  <si>
    <t>Talmud Torah Yetev Lev</t>
  </si>
  <si>
    <t>N16 6AX</t>
  </si>
  <si>
    <t>Beis Ruchel Girls School</t>
  </si>
  <si>
    <t>M8 5BQ</t>
  </si>
  <si>
    <t>Hessle Mount School</t>
  </si>
  <si>
    <t>East Riding of Yorkshire</t>
  </si>
  <si>
    <t>HU13 0JZ</t>
  </si>
  <si>
    <t>The Parks</t>
  </si>
  <si>
    <t>WA3 3PU</t>
  </si>
  <si>
    <t>Oakwood School</t>
  </si>
  <si>
    <t>Leicestershire</t>
  </si>
  <si>
    <t>LE3 8DG</t>
  </si>
  <si>
    <t>Expanse Learning Wigan School</t>
  </si>
  <si>
    <t>WN3 5XF</t>
  </si>
  <si>
    <t>Tashbar of Manchester</t>
  </si>
  <si>
    <t>M7 4HL</t>
  </si>
  <si>
    <t>Al-Khair School</t>
  </si>
  <si>
    <t>CR0 6BE</t>
  </si>
  <si>
    <t>Sheridan House School</t>
  </si>
  <si>
    <t>IP26 5LQ</t>
  </si>
  <si>
    <t>King of Kings School</t>
  </si>
  <si>
    <t>M4 4DN</t>
  </si>
  <si>
    <t>Cambian Wisbech School</t>
  </si>
  <si>
    <t>PE13 1JF</t>
  </si>
  <si>
    <t>TLG Bradford</t>
  </si>
  <si>
    <t>BD1 4EL</t>
  </si>
  <si>
    <t>Al-Mahad-Al-Islami</t>
  </si>
  <si>
    <t>S9 5FP</t>
  </si>
  <si>
    <t>High Peak School</t>
  </si>
  <si>
    <t>Cheshire East</t>
  </si>
  <si>
    <t>UB7 0AE</t>
  </si>
  <si>
    <t>Tayyibah Girls' School</t>
  </si>
  <si>
    <t>N16 6JJ</t>
  </si>
  <si>
    <t>Ocean Lodge Independent School</t>
  </si>
  <si>
    <t>Southend on Sea</t>
  </si>
  <si>
    <t>SS0 7PU</t>
  </si>
  <si>
    <t>Dudley House School</t>
  </si>
  <si>
    <t>NG31 9AA</t>
  </si>
  <si>
    <t>Gryphon School</t>
  </si>
  <si>
    <t>LE12 8BQ</t>
  </si>
  <si>
    <t>Big Creative Independent School</t>
  </si>
  <si>
    <t>E17 5QJ</t>
  </si>
  <si>
    <t>Helen Allison School</t>
  </si>
  <si>
    <t>DA13 0EW</t>
  </si>
  <si>
    <t>Milverton House School</t>
  </si>
  <si>
    <t>CV11 4NS</t>
  </si>
  <si>
    <t>Arc Oakbridge School</t>
  </si>
  <si>
    <t>B19 3JG</t>
  </si>
  <si>
    <t>APTCOO - A Place to Call Our Own</t>
  </si>
  <si>
    <t>NG18 5NF</t>
  </si>
  <si>
    <t>Vishnitz Girls School</t>
  </si>
  <si>
    <t>Ashlea House School</t>
  </si>
  <si>
    <t>M34 6ET</t>
  </si>
  <si>
    <t>Fairways School</t>
  </si>
  <si>
    <t>B38 9EL</t>
  </si>
  <si>
    <t>Leeds Christian School of Excellence</t>
  </si>
  <si>
    <t>LS8 4EX</t>
  </si>
  <si>
    <t>Acorns School</t>
  </si>
  <si>
    <t>SK6 7NN</t>
  </si>
  <si>
    <t>The Corner School</t>
  </si>
  <si>
    <t>HA0 4DT</t>
  </si>
  <si>
    <t>Queenswood School</t>
  </si>
  <si>
    <t>LS27 9EB</t>
  </si>
  <si>
    <t>Gable End</t>
  </si>
  <si>
    <t>IP7 7NL</t>
  </si>
  <si>
    <t>Wakefield Independent School</t>
  </si>
  <si>
    <t>WF4 1QG</t>
  </si>
  <si>
    <t>Madni Academy</t>
  </si>
  <si>
    <t>WF12 9AY</t>
  </si>
  <si>
    <t xml:space="preserve">Islamic Preparatory School Wolverhampton </t>
  </si>
  <si>
    <t>WV1 4RA</t>
  </si>
  <si>
    <t>Draycott Moor College</t>
  </si>
  <si>
    <t>ST11 9AH</t>
  </si>
  <si>
    <t>Kestrel House School</t>
  </si>
  <si>
    <t>N8 9EA</t>
  </si>
  <si>
    <t>Drive Preparatory School</t>
  </si>
  <si>
    <t>BN3 6GE</t>
  </si>
  <si>
    <t>Snowflake School</t>
  </si>
  <si>
    <t>SW5 9SJ</t>
  </si>
  <si>
    <t>Owlswick School</t>
  </si>
  <si>
    <t>BN7 3NF</t>
  </si>
  <si>
    <t>Anderida Learning Centre</t>
  </si>
  <si>
    <t>BN22 8HR</t>
  </si>
  <si>
    <t>The Swedish School</t>
  </si>
  <si>
    <t>Richmond upon Thames</t>
  </si>
  <si>
    <t>SW13 9JS</t>
  </si>
  <si>
    <t>Westwood High</t>
  </si>
  <si>
    <t>OL9 6HR</t>
  </si>
  <si>
    <t>Prestwich Preparatory School</t>
  </si>
  <si>
    <t>Bury</t>
  </si>
  <si>
    <t>M25 1PZ</t>
  </si>
  <si>
    <t>Imam Zakariya Academy</t>
  </si>
  <si>
    <t>E7 8AB</t>
  </si>
  <si>
    <t>Cambian Home Tree School</t>
  </si>
  <si>
    <t>PE14 0LP</t>
  </si>
  <si>
    <t>Fenton Grange School</t>
  </si>
  <si>
    <t>Meadow View Farm School</t>
  </si>
  <si>
    <t>LE9 8FT</t>
  </si>
  <si>
    <t>L'Ecole Bilingue Elementaire</t>
  </si>
  <si>
    <t>W2 1SJ</t>
  </si>
  <si>
    <t>Longdon Park School</t>
  </si>
  <si>
    <t>DE65 6GU</t>
  </si>
  <si>
    <t>Cross Keys Learning</t>
  </si>
  <si>
    <t>CT10 3JJ</t>
  </si>
  <si>
    <t>Jefferson House</t>
  </si>
  <si>
    <t>Cheshire West and Chester</t>
  </si>
  <si>
    <t>SK6 2SR</t>
  </si>
  <si>
    <t>Ashcroft School</t>
  </si>
  <si>
    <t>SK8 1JE</t>
  </si>
  <si>
    <t>The Chelsea Group of Children</t>
  </si>
  <si>
    <t>SW18 3QG</t>
  </si>
  <si>
    <t>The Fountain</t>
  </si>
  <si>
    <t>BD5 8BP</t>
  </si>
  <si>
    <t>Progress Schools - Carlisle</t>
  </si>
  <si>
    <t>CA1 1EJ</t>
  </si>
  <si>
    <t>Islamic Tarbiyah Preparatory School</t>
  </si>
  <si>
    <t>BD8 8AW</t>
  </si>
  <si>
    <t>PPP Community School</t>
  </si>
  <si>
    <t>W10 6TH</t>
  </si>
  <si>
    <t>Bladon House School</t>
  </si>
  <si>
    <t>DE15 0TA</t>
  </si>
  <si>
    <t>Huntercombe Hospital School Stafford</t>
  </si>
  <si>
    <t>ST19 9QT</t>
  </si>
  <si>
    <t>Moorlands View School</t>
  </si>
  <si>
    <t>BB11 5PQ</t>
  </si>
  <si>
    <t>Grafton House Preparatory School</t>
  </si>
  <si>
    <t>OL6 6XB</t>
  </si>
  <si>
    <t>Barnsley</t>
  </si>
  <si>
    <t>S75 3DH</t>
  </si>
  <si>
    <t>More House School</t>
  </si>
  <si>
    <t>GU10 3AP</t>
  </si>
  <si>
    <t>International School of London</t>
  </si>
  <si>
    <t>W3 8LG</t>
  </si>
  <si>
    <r>
      <t>Table 1a: Non-association independent schools standard inspections and outcomes</t>
    </r>
    <r>
      <rPr>
        <b/>
        <vertAlign val="superscript"/>
        <sz val="12"/>
        <color theme="1"/>
        <rFont val="Tahoma"/>
        <family val="2"/>
      </rPr>
      <t xml:space="preserve">1 2 </t>
    </r>
  </si>
  <si>
    <t>Source: Ofsted</t>
  </si>
  <si>
    <r>
      <t>Table 1b: Non-association independent schools standard inspections and outcomes, by faith grouping</t>
    </r>
    <r>
      <rPr>
        <b/>
        <vertAlign val="superscript"/>
        <sz val="12"/>
        <color theme="1"/>
        <rFont val="Tahoma"/>
        <family val="2"/>
      </rPr>
      <t>1 2 3</t>
    </r>
  </si>
  <si>
    <r>
      <t>Table 2: Compliance with regulatory standards for non-association independent schools</t>
    </r>
    <r>
      <rPr>
        <b/>
        <vertAlign val="superscript"/>
        <sz val="12"/>
        <rFont val="Tahoma"/>
        <family val="2"/>
      </rPr>
      <t>1 2</t>
    </r>
  </si>
  <si>
    <t>1. One school that had a standard inspection did not receive an outcome for overall effectiveness.</t>
  </si>
  <si>
    <t>5. Data on the total number of independent schools, number inspected, their overall effectiveness and their compliance to the Independent Schools Standards is based on their most recent inspection if applicable. Data on Safeguarding is based on inspections since 1 September 2015, when the Common Inspection Framework was introduced.</t>
  </si>
  <si>
    <t>2. Data on faith is based on a declaration by the school that it has a religious character and / or ethos, recorded in the Get Information About Schools database (Source: Department for Education). The faith groupings are described in the "Contents and guidance" tab, in the "Faith schools" section.</t>
  </si>
  <si>
    <t>3. The total number of inspections includes integrated inspections.</t>
  </si>
  <si>
    <t>4. Percentages are rounded and may not sum to 100. Where the number of inspections is small, percentages should be treated with caution.</t>
  </si>
  <si>
    <t xml:space="preserve">5. In the ‘standards’ columns, ‘met’ means that all of the standards in all eight parts of the Independent Schools Standards have been met. </t>
  </si>
  <si>
    <t>6. Data on the total number of independent schools, number inspected, their overall effectiveness and their compliance to the Independent Schools Standards is based on their most recent inspection if applicable. Data on Safeguarding is based on inspections since 1 September 2015, when the Common Inspection Framework was introduced.</t>
  </si>
  <si>
    <t>Dataset 2: Inspection outcomes of additional inspections for non-association independent schools</t>
  </si>
  <si>
    <t>Overall outcome</t>
  </si>
  <si>
    <t>Bridge House Independent School</t>
  </si>
  <si>
    <t>PE21 7NL</t>
  </si>
  <si>
    <t>Independent school Material Change inspection</t>
  </si>
  <si>
    <t>Independent Additional Visits/Other</t>
  </si>
  <si>
    <t>Likely to meet relevant standards</t>
  </si>
  <si>
    <t>Not in scope for this inspection</t>
  </si>
  <si>
    <t>Mark College</t>
  </si>
  <si>
    <t>Independent school Progress Monitoring inspection</t>
  </si>
  <si>
    <t>Met all standards that were checked</t>
  </si>
  <si>
    <t>Wilds Lodge School</t>
  </si>
  <si>
    <t>Rutland</t>
  </si>
  <si>
    <t>LE15 8QQ</t>
  </si>
  <si>
    <t>Blackwater Academy</t>
  </si>
  <si>
    <t>B19 3SU</t>
  </si>
  <si>
    <t>Avon Park School</t>
  </si>
  <si>
    <t>CV22 5HR</t>
  </si>
  <si>
    <t>Pontville School</t>
  </si>
  <si>
    <t>L39 4TW</t>
  </si>
  <si>
    <t>The Shires</t>
  </si>
  <si>
    <t>LE15 7GT</t>
  </si>
  <si>
    <t>Queensgate College</t>
  </si>
  <si>
    <t>E9 6SJ</t>
  </si>
  <si>
    <t>Independent school emergency inspection</t>
  </si>
  <si>
    <t>School appears to have closed</t>
  </si>
  <si>
    <t>Wemms Education Centre</t>
  </si>
  <si>
    <t>KT22 7NZ</t>
  </si>
  <si>
    <t>Change implemented and does not meet relevant standards</t>
  </si>
  <si>
    <t>Eastcourt Independent School</t>
  </si>
  <si>
    <t>IG3 8UW</t>
  </si>
  <si>
    <t>St Mary's Independent School</t>
  </si>
  <si>
    <t>Southampton</t>
  </si>
  <si>
    <t>SO18 4DJ</t>
  </si>
  <si>
    <t>Willows</t>
  </si>
  <si>
    <t>TA21 9LQ</t>
  </si>
  <si>
    <t>Did not meet all standards that were checked</t>
  </si>
  <si>
    <t>London Christian Learning Centre</t>
  </si>
  <si>
    <t>E12 5AD</t>
  </si>
  <si>
    <t>Tarbiyyah Primary School</t>
  </si>
  <si>
    <t>TW5 0LJ</t>
  </si>
  <si>
    <t>The Yellow House School</t>
  </si>
  <si>
    <t>CO9 3HX</t>
  </si>
  <si>
    <t>Gloucestershire International School</t>
  </si>
  <si>
    <t>GL1 3PT</t>
  </si>
  <si>
    <t>The Davenport School</t>
  </si>
  <si>
    <t>CT13 0NY</t>
  </si>
  <si>
    <t>Cruckton Hall School</t>
  </si>
  <si>
    <t>SY5 8PR</t>
  </si>
  <si>
    <t>Include - Oxfordshire</t>
  </si>
  <si>
    <t>Oxfordshire</t>
  </si>
  <si>
    <t>OX4 6HW</t>
  </si>
  <si>
    <t>Smallbrook School</t>
  </si>
  <si>
    <t>SY4 3HE</t>
  </si>
  <si>
    <t>Azbuka Russian-English Bilingual School</t>
  </si>
  <si>
    <t>SW14 8NH</t>
  </si>
  <si>
    <t>Trinity School and College</t>
  </si>
  <si>
    <t>ME1 1BG</t>
  </si>
  <si>
    <t>Applied Educational Solutions</t>
  </si>
  <si>
    <t>EN3 7HG</t>
  </si>
  <si>
    <t>E-Spired</t>
  </si>
  <si>
    <t>Bedford</t>
  </si>
  <si>
    <t>MK42 9TW</t>
  </si>
  <si>
    <t>Unlikely to meet relevant standards</t>
  </si>
  <si>
    <t>Hamd House School</t>
  </si>
  <si>
    <t>B9 5QT</t>
  </si>
  <si>
    <t>Birmingham Muslim School</t>
  </si>
  <si>
    <t>B11 2PZ</t>
  </si>
  <si>
    <t>Al Jamiatul Islamiyah</t>
  </si>
  <si>
    <t>Bolton</t>
  </si>
  <si>
    <t>BL3 4HF</t>
  </si>
  <si>
    <t>The Belsteads School</t>
  </si>
  <si>
    <t>CM3 3PP</t>
  </si>
  <si>
    <t>The Hall School</t>
  </si>
  <si>
    <t>Hillingdon</t>
  </si>
  <si>
    <t>HA6 2RB</t>
  </si>
  <si>
    <t>Heathside Preparatory School</t>
  </si>
  <si>
    <t>Camden</t>
  </si>
  <si>
    <t>NW3 1JA</t>
  </si>
  <si>
    <t>Independent school emergency inspection -integrated</t>
  </si>
  <si>
    <t>Build-a-Future Independent School</t>
  </si>
  <si>
    <t>LN9 5PT</t>
  </si>
  <si>
    <t>Horatio House Independent School</t>
  </si>
  <si>
    <t>NR32 5LL</t>
  </si>
  <si>
    <t>Promised Land Academy</t>
  </si>
  <si>
    <t>E13 8SR</t>
  </si>
  <si>
    <t>Darul Hadis Latifiah</t>
  </si>
  <si>
    <t>E2 0HW</t>
  </si>
  <si>
    <t>Khalsa College London</t>
  </si>
  <si>
    <t>HA1 4ES</t>
  </si>
  <si>
    <t>Sporting Stars Academy</t>
  </si>
  <si>
    <t>ST2 7AS</t>
  </si>
  <si>
    <t>Old Farm School</t>
  </si>
  <si>
    <t>Redcar and Cleveland</t>
  </si>
  <si>
    <t>TS12 2TZ</t>
  </si>
  <si>
    <t>Archway Academy</t>
  </si>
  <si>
    <t>B9 4HN</t>
  </si>
  <si>
    <t>M7 2BT</t>
  </si>
  <si>
    <t>King Fahad Academy</t>
  </si>
  <si>
    <t>W3 7HD</t>
  </si>
  <si>
    <t>St Michael's School</t>
  </si>
  <si>
    <t>RG20 9JW</t>
  </si>
  <si>
    <t>Independent school progress monitoring inspection - Integrated</t>
  </si>
  <si>
    <t>Progress Schools - Wirral</t>
  </si>
  <si>
    <t>CH41 4EA</t>
  </si>
  <si>
    <t>Alamiyah School</t>
  </si>
  <si>
    <t>RM8 2ES</t>
  </si>
  <si>
    <t>Mountwood Academy</t>
  </si>
  <si>
    <t>PR3 3YB</t>
  </si>
  <si>
    <t>Amberleigh Therapeutic School</t>
  </si>
  <si>
    <t>TF2 9NZ</t>
  </si>
  <si>
    <t>Hazrat Khadijatul Kubra Girls School</t>
  </si>
  <si>
    <t>B10 0BP</t>
  </si>
  <si>
    <t>Aurora Hedgeway School</t>
  </si>
  <si>
    <t>South Gloucestershire</t>
  </si>
  <si>
    <t>BS35 4JN</t>
  </si>
  <si>
    <t>Read Academy</t>
  </si>
  <si>
    <t>IG1 4AD</t>
  </si>
  <si>
    <t>Olive Secondary Boys</t>
  </si>
  <si>
    <t>The Orchard</t>
  </si>
  <si>
    <t>North East Lincolnshire</t>
  </si>
  <si>
    <t>DN37 9PH</t>
  </si>
  <si>
    <t>The Gateshead Cheder Primary School</t>
  </si>
  <si>
    <t>NE8 3HY</t>
  </si>
  <si>
    <t>Felixstowe International College</t>
  </si>
  <si>
    <t>IP11 7RE</t>
  </si>
  <si>
    <t>Greek Primary School of London</t>
  </si>
  <si>
    <t>W3 9JR</t>
  </si>
  <si>
    <t>Darul Uloom Leicester</t>
  </si>
  <si>
    <t>LE4 5LN</t>
  </si>
  <si>
    <t>Magdalen Court School</t>
  </si>
  <si>
    <t>EX2 4NU</t>
  </si>
  <si>
    <t>Rabia Girls School</t>
  </si>
  <si>
    <t>LU4 8AX</t>
  </si>
  <si>
    <t>Park Avenue Girls' High School</t>
  </si>
  <si>
    <t>ST4 2DT</t>
  </si>
  <si>
    <t>Valley House</t>
  </si>
  <si>
    <t>CV7 8DL</t>
  </si>
  <si>
    <t>Holme Court School</t>
  </si>
  <si>
    <t>CB21 6BQ</t>
  </si>
  <si>
    <t>Meadowcroft School</t>
  </si>
  <si>
    <t>WF1 4AD</t>
  </si>
  <si>
    <t>Iqra High School</t>
  </si>
  <si>
    <t>OL4 1ER</t>
  </si>
  <si>
    <t>Newbury School</t>
  </si>
  <si>
    <t>B19 2SW</t>
  </si>
  <si>
    <t>Spring Hill High School</t>
  </si>
  <si>
    <t>B23 7PG</t>
  </si>
  <si>
    <t>Greek Secondary School of London</t>
  </si>
  <si>
    <t>N22 8LB</t>
  </si>
  <si>
    <t>Lucton School</t>
  </si>
  <si>
    <t>Herefordshire</t>
  </si>
  <si>
    <t>HR6 9PN</t>
  </si>
  <si>
    <t>Reddish Hall School</t>
  </si>
  <si>
    <t>SK5 6RN</t>
  </si>
  <si>
    <t>Al-Noor Primary School</t>
  </si>
  <si>
    <t>IG3 9RP</t>
  </si>
  <si>
    <t>Change implemented and meets relevant standards</t>
  </si>
  <si>
    <t>Glebe House</t>
  </si>
  <si>
    <t>CB21 4QH</t>
  </si>
  <si>
    <t>Talmud Torah Chinuch Norim</t>
  </si>
  <si>
    <t>M7 2AU</t>
  </si>
  <si>
    <t>Rawdhatul Uloom Islamic Primary School</t>
  </si>
  <si>
    <t>BB1 5NZ</t>
  </si>
  <si>
    <t>Education My Life Matters</t>
  </si>
  <si>
    <t>SE26 6AD</t>
  </si>
  <si>
    <t>Liberty Lodge Independent School</t>
  </si>
  <si>
    <t>IP1 2NY</t>
  </si>
  <si>
    <t>TLG North Birmingham</t>
  </si>
  <si>
    <t>B44 9SH</t>
  </si>
  <si>
    <t>Beis Malka Belz Girls School</t>
  </si>
  <si>
    <t>St. Andrew's College Cambridge</t>
  </si>
  <si>
    <t>CB1 2JB</t>
  </si>
  <si>
    <t>Aberdour Preparatory School</t>
  </si>
  <si>
    <t>KT20 6AJ</t>
  </si>
  <si>
    <t>Barbara Speake Stage School</t>
  </si>
  <si>
    <t>W3 7EG</t>
  </si>
  <si>
    <t>Wessex Lodge School</t>
  </si>
  <si>
    <t>BA11 4LA</t>
  </si>
  <si>
    <t>Advance Education</t>
  </si>
  <si>
    <t>NW10 7TR</t>
  </si>
  <si>
    <t>Sandwell Valley School</t>
  </si>
  <si>
    <t>B70 6QT</t>
  </si>
  <si>
    <t>Independent School material change inspection - Integrated</t>
  </si>
  <si>
    <t>Cumberland School</t>
  </si>
  <si>
    <t>BL6 7RX</t>
  </si>
  <si>
    <t>Wood Edge Independent School</t>
  </si>
  <si>
    <t>L39 4UL</t>
  </si>
  <si>
    <t>Al-Ashraf Primary School</t>
  </si>
  <si>
    <t>GL1 4HB</t>
  </si>
  <si>
    <t>Broadbeck Learning Centre</t>
  </si>
  <si>
    <t>BD6 2LE</t>
  </si>
  <si>
    <t>Hillcrest Shifnal School</t>
  </si>
  <si>
    <t>TF11 8SD</t>
  </si>
  <si>
    <t>Ashwicke Hall School</t>
  </si>
  <si>
    <t>SN14 8AG</t>
  </si>
  <si>
    <t>St Peter's Independent School</t>
  </si>
  <si>
    <t>Northamptonshire</t>
  </si>
  <si>
    <t>NN3 8TA</t>
  </si>
  <si>
    <t>Beis Ruchel D`Satmar</t>
  </si>
  <si>
    <t>N16 5RS</t>
  </si>
  <si>
    <t>Edgware Jewish Girls - Beis Chinuch</t>
  </si>
  <si>
    <t>HA8 8NP</t>
  </si>
  <si>
    <t>Madinatul Uloom Al Islamiya School</t>
  </si>
  <si>
    <t>DY10 4BH</t>
  </si>
  <si>
    <t>Fairfield House School</t>
  </si>
  <si>
    <t>Trafford</t>
  </si>
  <si>
    <t>M31 4NL</t>
  </si>
  <si>
    <t>Lubavitch Yeshiva Ketanah of London</t>
  </si>
  <si>
    <t>NW11 0QB</t>
  </si>
  <si>
    <t>The Villa</t>
  </si>
  <si>
    <t>Southwark</t>
  </si>
  <si>
    <t>SE15 5AH</t>
  </si>
  <si>
    <t>Guru Gobind Singh Khalsa College</t>
  </si>
  <si>
    <t>IG7 6BQ</t>
  </si>
  <si>
    <t>Dar-Ul-Madinah</t>
  </si>
  <si>
    <t>BB2 6HD</t>
  </si>
  <si>
    <t>The Robert Ogden School</t>
  </si>
  <si>
    <t>S63 0BG</t>
  </si>
  <si>
    <t>Buckswood School</t>
  </si>
  <si>
    <t>TN35 4LT</t>
  </si>
  <si>
    <t>Gateshead Jewish Primary School</t>
  </si>
  <si>
    <t>NE8 4EA</t>
  </si>
  <si>
    <t>Imedia School</t>
  </si>
  <si>
    <t>B23 6UT</t>
  </si>
  <si>
    <t>Wiznitz Cheder School</t>
  </si>
  <si>
    <t>N16 6QT</t>
  </si>
  <si>
    <t>Hillingdon Manor School</t>
  </si>
  <si>
    <t>UB8 3HD</t>
  </si>
  <si>
    <t>Break Through</t>
  </si>
  <si>
    <t>Bexley</t>
  </si>
  <si>
    <t>DA17 5JX</t>
  </si>
  <si>
    <t>Flexible Learning Centre</t>
  </si>
  <si>
    <t>B23 7RJ</t>
  </si>
  <si>
    <t>Brooke House Day School</t>
  </si>
  <si>
    <t>LE9 1SE</t>
  </si>
  <si>
    <t>Acorn School</t>
  </si>
  <si>
    <t>EX19 8EY</t>
  </si>
  <si>
    <t>The Christian School (Takeley)</t>
  </si>
  <si>
    <t>CM22 6QH</t>
  </si>
  <si>
    <t>Kings House Preparatory School and Nursery</t>
  </si>
  <si>
    <t>LU4 9JY</t>
  </si>
  <si>
    <t>The Llewellyn School and Nursery</t>
  </si>
  <si>
    <t>CT9 5DU</t>
  </si>
  <si>
    <t>Instituto Espanol Canada Blanch</t>
  </si>
  <si>
    <t>W10 5SZ</t>
  </si>
  <si>
    <t>Al-Ihsaan Community College</t>
  </si>
  <si>
    <t>LE1 2HX</t>
  </si>
  <si>
    <t>Best Futures School</t>
  </si>
  <si>
    <t>DN37 7AW</t>
  </si>
  <si>
    <t>King Edwin School</t>
  </si>
  <si>
    <t>Stockton-on-Tees</t>
  </si>
  <si>
    <t>TS20 1LG</t>
  </si>
  <si>
    <t>Greenfields School</t>
  </si>
  <si>
    <t>TN27 8BE</t>
  </si>
  <si>
    <t>Cambian Potterspury Lodge School</t>
  </si>
  <si>
    <t>NN12 7LL</t>
  </si>
  <si>
    <t>Mehria School</t>
  </si>
  <si>
    <t>LU4 8JD</t>
  </si>
  <si>
    <t>Jus'T'Learn</t>
  </si>
  <si>
    <t>Merton</t>
  </si>
  <si>
    <t>CR4 2QA</t>
  </si>
  <si>
    <t>Talmud Torah Bobov Primary School</t>
  </si>
  <si>
    <t>N16 6UE</t>
  </si>
  <si>
    <t>Clovelly House School</t>
  </si>
  <si>
    <t>LE67 1AP</t>
  </si>
  <si>
    <t>Aurora Hanley School</t>
  </si>
  <si>
    <t>ST2 8LY</t>
  </si>
  <si>
    <t>Peak Education</t>
  </si>
  <si>
    <t>ST19 5PR</t>
  </si>
  <si>
    <t>T Plus Centre (Taliesin Education)</t>
  </si>
  <si>
    <t>Cornwall</t>
  </si>
  <si>
    <t>PL14 4DA</t>
  </si>
  <si>
    <t>School for Inspiring Talents</t>
  </si>
  <si>
    <t>TQ12 6NQ</t>
  </si>
  <si>
    <t>Shiras Devorah</t>
  </si>
  <si>
    <t>N12 8RZ</t>
  </si>
  <si>
    <t>Independent School Pre-registration Inspection</t>
  </si>
  <si>
    <t>Likely to meet all standards</t>
  </si>
  <si>
    <t>In-tuition Holistic Education</t>
  </si>
  <si>
    <t>ST3 4JD</t>
  </si>
  <si>
    <t>The Seeds School</t>
  </si>
  <si>
    <t>TF4 3EE</t>
  </si>
  <si>
    <t>Sporting Chance</t>
  </si>
  <si>
    <t>Newcastle upon Tyne</t>
  </si>
  <si>
    <t>NE5 3UT</t>
  </si>
  <si>
    <t>Unlikely to meet all standards</t>
  </si>
  <si>
    <t>Tor View School</t>
  </si>
  <si>
    <t>PL19 0JN</t>
  </si>
  <si>
    <t>Independent School Pre-Registration inspection - integrated</t>
  </si>
  <si>
    <t>Act Fast</t>
  </si>
  <si>
    <t>North Lincolnshire</t>
  </si>
  <si>
    <t>DN17 3PS</t>
  </si>
  <si>
    <t>K-HQ</t>
  </si>
  <si>
    <t>EX15 2BY</t>
  </si>
  <si>
    <t>The Spires</t>
  </si>
  <si>
    <t>SP1 3YA</t>
  </si>
  <si>
    <t>Progress Schools - Chorley</t>
  </si>
  <si>
    <t>PR7 1BS</t>
  </si>
  <si>
    <t>Alex Park Democratic School</t>
  </si>
  <si>
    <t>M16 8PH</t>
  </si>
  <si>
    <t>Peak Education - Primary</t>
  </si>
  <si>
    <t>South Lakes Academy</t>
  </si>
  <si>
    <t>LA9 4ED</t>
  </si>
  <si>
    <t>The Pivot Academy LS East</t>
  </si>
  <si>
    <t>LS14 6UF</t>
  </si>
  <si>
    <t>Compton Dundon School</t>
  </si>
  <si>
    <t>TA11 6TE</t>
  </si>
  <si>
    <t>Norton College (Tewkesbury) Limited</t>
  </si>
  <si>
    <t>GL20 8UQ</t>
  </si>
  <si>
    <t>Young Women's Hub</t>
  </si>
  <si>
    <t>SE6 1AU</t>
  </si>
  <si>
    <t>Abbey Rose School</t>
  </si>
  <si>
    <t>GL20 7DG</t>
  </si>
  <si>
    <t>Tennis Avenue School</t>
  </si>
  <si>
    <t>Kingston upon Thames</t>
  </si>
  <si>
    <t>KT3 6AU</t>
  </si>
  <si>
    <t>Serenity School</t>
  </si>
  <si>
    <t>CR0 1DQ</t>
  </si>
  <si>
    <t>River Valley</t>
  </si>
  <si>
    <t>DA16 3NB</t>
  </si>
  <si>
    <t>New Skill Centre</t>
  </si>
  <si>
    <t>IP3 9QR</t>
  </si>
  <si>
    <t>Mountfield Heath School</t>
  </si>
  <si>
    <t>TN32 5JN</t>
  </si>
  <si>
    <t>ES Independent School Kirklees</t>
  </si>
  <si>
    <t>HD1 2BP</t>
  </si>
  <si>
    <t>Oaks International School</t>
  </si>
  <si>
    <t>CB1 8DW</t>
  </si>
  <si>
    <t>Dovetree School</t>
  </si>
  <si>
    <t>LE10 0TB</t>
  </si>
  <si>
    <t>Sycamore House School</t>
  </si>
  <si>
    <t>HU19 2NT</t>
  </si>
  <si>
    <t>OL6 8AJ</t>
  </si>
  <si>
    <t>Turning Point Academy NW</t>
  </si>
  <si>
    <t>Sefton</t>
  </si>
  <si>
    <t>L30 4UE</t>
  </si>
  <si>
    <t>Heath House Hospital School</t>
  </si>
  <si>
    <t>BS16 1EQ</t>
  </si>
  <si>
    <t>Keser Girls' School</t>
  </si>
  <si>
    <t>NE8 1NR</t>
  </si>
  <si>
    <t>Oxford International College</t>
  </si>
  <si>
    <t>OX4 1BD</t>
  </si>
  <si>
    <t>Community Mentoring and Support School</t>
  </si>
  <si>
    <t>GL15 5DZ</t>
  </si>
  <si>
    <t>The Derwen School</t>
  </si>
  <si>
    <t>SY11 3NA</t>
  </si>
  <si>
    <t>Alchemy School</t>
  </si>
  <si>
    <t>ME9 9SN</t>
  </si>
  <si>
    <t>New School, Canterbury</t>
  </si>
  <si>
    <t>CT4 5RU</t>
  </si>
  <si>
    <t>Overton School</t>
  </si>
  <si>
    <t>SY8 4AD</t>
  </si>
  <si>
    <t>Arun Court School</t>
  </si>
  <si>
    <t>GU5 0HF</t>
  </si>
  <si>
    <t>Independent Educational Services - Central</t>
  </si>
  <si>
    <t>CV11 5BB</t>
  </si>
  <si>
    <t>Lumiar Stowford</t>
  </si>
  <si>
    <t>BA14 9LH</t>
  </si>
  <si>
    <t>Wribbenhall School</t>
  </si>
  <si>
    <t>DY12 1JL</t>
  </si>
  <si>
    <t>Norton College Tewkesbury</t>
  </si>
  <si>
    <t>Argyll House</t>
  </si>
  <si>
    <t>NR27 9JN</t>
  </si>
  <si>
    <t>Abbeywood School</t>
  </si>
  <si>
    <t>Rotherham</t>
  </si>
  <si>
    <t>S66 8QN</t>
  </si>
  <si>
    <t>Cornfields</t>
  </si>
  <si>
    <t>TN24 8PL</t>
  </si>
  <si>
    <t>The School House</t>
  </si>
  <si>
    <t>GU22 9QJ</t>
  </si>
  <si>
    <t>The Nook</t>
  </si>
  <si>
    <t>BB8 8HH</t>
  </si>
  <si>
    <t>Ambassadors High School (London)</t>
  </si>
  <si>
    <t>SW16 6LG</t>
  </si>
  <si>
    <t>Operating without registration and unlikely to meet all standards</t>
  </si>
  <si>
    <t>Eden Springs</t>
  </si>
  <si>
    <t>BD5 7PE</t>
  </si>
  <si>
    <t>Southway</t>
  </si>
  <si>
    <t>LS10 3JA</t>
  </si>
  <si>
    <t>Operating without registration and likely to meet all standards</t>
  </si>
  <si>
    <t>West Midlands Education and Skills</t>
  </si>
  <si>
    <t>LSI Independent College</t>
  </si>
  <si>
    <t>Zelda School</t>
  </si>
  <si>
    <t>TR12 6UJ</t>
  </si>
  <si>
    <t>Dataset 3: Overall effectiveness and standards for non-association independent schools at their most recent inspection, and progress monitoring inspections and outcomes following an overall effectiveness grade of requires improvement or inadequate</t>
  </si>
  <si>
    <t>Provider open / closed status</t>
  </si>
  <si>
    <t>Region</t>
  </si>
  <si>
    <t>Have all standards been met</t>
  </si>
  <si>
    <t>Wynstones School</t>
  </si>
  <si>
    <t>Open</t>
  </si>
  <si>
    <t>GL4 0UF</t>
  </si>
  <si>
    <t>ITS298233</t>
  </si>
  <si>
    <t>Bristol Steiner School</t>
  </si>
  <si>
    <t>BS6 6UX</t>
  </si>
  <si>
    <t>ITS301503</t>
  </si>
  <si>
    <t>St Paul's Steiner School</t>
  </si>
  <si>
    <t>N1 2QH</t>
  </si>
  <si>
    <t>ITS301617</t>
  </si>
  <si>
    <t>York Steiner School</t>
  </si>
  <si>
    <t>York</t>
  </si>
  <si>
    <t>YO10 4PB</t>
  </si>
  <si>
    <t>ITS307266</t>
  </si>
  <si>
    <t>South Devon Steiner School</t>
  </si>
  <si>
    <t>TQ9 6AB</t>
  </si>
  <si>
    <t>ITS316952</t>
  </si>
  <si>
    <t>Lancaster Steiner School</t>
  </si>
  <si>
    <t>LA1 5QU</t>
  </si>
  <si>
    <t>ITS317816</t>
  </si>
  <si>
    <t>North London Rudolf Steiner School</t>
  </si>
  <si>
    <t>N8 7PN</t>
  </si>
  <si>
    <t>ITS317889</t>
  </si>
  <si>
    <t>The Brighton Waldorf School</t>
  </si>
  <si>
    <t>BN2 5RA</t>
  </si>
  <si>
    <t>ITS316921</t>
  </si>
  <si>
    <t>Cambridge Steiner School</t>
  </si>
  <si>
    <t>CB21 5DZ</t>
  </si>
  <si>
    <t>ITS320733</t>
  </si>
  <si>
    <t>Alder Bridge School</t>
  </si>
  <si>
    <t>West Berkshire</t>
  </si>
  <si>
    <t>RG7 4JU</t>
  </si>
  <si>
    <t>ITS322073</t>
  </si>
  <si>
    <t>ITS330791</t>
  </si>
  <si>
    <t>2018/19</t>
  </si>
  <si>
    <t>Elmfield Rudolf Steiner School Limited</t>
  </si>
  <si>
    <t>DY8 2EA</t>
  </si>
  <si>
    <t>ITS334309</t>
  </si>
  <si>
    <t>S162a - LTI Integrated Inspection Historic</t>
  </si>
  <si>
    <t>Ringwood Waldorf School</t>
  </si>
  <si>
    <t>BH24 2NN</t>
  </si>
  <si>
    <t>ITS329689</t>
  </si>
  <si>
    <t>S162a - LTI Inspection Historic</t>
  </si>
  <si>
    <t>Michael Hall School</t>
  </si>
  <si>
    <t>RH18 5JA</t>
  </si>
  <si>
    <t>ITS333827</t>
  </si>
  <si>
    <t>The From Boyhood To Manhood Foundation</t>
  </si>
  <si>
    <t>SE15 6EF</t>
  </si>
  <si>
    <t>ITS385632</t>
  </si>
  <si>
    <t>Calder Valley Steiner School</t>
  </si>
  <si>
    <t>Calderdale</t>
  </si>
  <si>
    <t>HX7 5TF</t>
  </si>
  <si>
    <t>ITS393359</t>
  </si>
  <si>
    <t>House of Light</t>
  </si>
  <si>
    <t>CV11 5RB</t>
  </si>
  <si>
    <t>ITS440219</t>
  </si>
  <si>
    <t>Stradbroke</t>
  </si>
  <si>
    <t>IG8 8HD</t>
  </si>
  <si>
    <t>ITS462888</t>
  </si>
  <si>
    <t>Manchester Islamic Grammar School for Girls</t>
  </si>
  <si>
    <t>M21 9FA</t>
  </si>
  <si>
    <t>Al Risalah Secondary School</t>
  </si>
  <si>
    <t>SW17 7TJ</t>
  </si>
  <si>
    <t>Gracefield Preparatory School</t>
  </si>
  <si>
    <t>BS16 2RG</t>
  </si>
  <si>
    <t>Northleigh House School</t>
  </si>
  <si>
    <t>CV35 7HZ</t>
  </si>
  <si>
    <t>International School of London (Surrey) Limited</t>
  </si>
  <si>
    <t>GU22 8HY</t>
  </si>
  <si>
    <t>The Imam Muhammad Adam Institute  School</t>
  </si>
  <si>
    <t>LE5 5AY</t>
  </si>
  <si>
    <t>Al-Islamia Institute for Education</t>
  </si>
  <si>
    <t>LE2 0SA</t>
  </si>
  <si>
    <t>Bloomfield School</t>
  </si>
  <si>
    <t>DY4 9ER</t>
  </si>
  <si>
    <t>Riverbank Primary School</t>
  </si>
  <si>
    <t>HX6 4DH</t>
  </si>
  <si>
    <t>Brian Jackson College</t>
  </si>
  <si>
    <t>WF16 0AD</t>
  </si>
  <si>
    <t>Edstart</t>
  </si>
  <si>
    <t>M6 6DW</t>
  </si>
  <si>
    <t>Crystal Gardens Primary School</t>
  </si>
  <si>
    <t>Prism Independent School</t>
  </si>
  <si>
    <t>BD8 9ES</t>
  </si>
  <si>
    <t>Huntercombe Hospital School Cotswold Spa</t>
  </si>
  <si>
    <t>WR12 7DE</t>
  </si>
  <si>
    <t>Dormer House School</t>
  </si>
  <si>
    <t>GL56 0AD</t>
  </si>
  <si>
    <t>Meadows School</t>
  </si>
  <si>
    <t>OL12 9EN</t>
  </si>
  <si>
    <t>Independent school standard inspection - group</t>
  </si>
  <si>
    <t>Newbold School</t>
  </si>
  <si>
    <t>Bracknell Forest</t>
  </si>
  <si>
    <t>RG42 4AH</t>
  </si>
  <si>
    <t>Cedar House School</t>
  </si>
  <si>
    <t>LA2 7DD</t>
  </si>
  <si>
    <t>Claremont School</t>
  </si>
  <si>
    <t>TN37 7PW</t>
  </si>
  <si>
    <t>The Evolution Centre</t>
  </si>
  <si>
    <t>SY3 8EQ</t>
  </si>
  <si>
    <t>Oakwood Primary School</t>
  </si>
  <si>
    <t>LU1 3RR</t>
  </si>
  <si>
    <t>North East Centre for Autism - Aycliffe School</t>
  </si>
  <si>
    <t>DL5 6UN</t>
  </si>
  <si>
    <t>Kent House Hospital School</t>
  </si>
  <si>
    <t>BR5 4EP</t>
  </si>
  <si>
    <t>Silver Birch</t>
  </si>
  <si>
    <t>B34 7RD</t>
  </si>
  <si>
    <t>Values Academy</t>
  </si>
  <si>
    <t>B18 5PB</t>
  </si>
  <si>
    <t>Park School</t>
  </si>
  <si>
    <t>TQ9 6EQ</t>
  </si>
  <si>
    <t>Sketchley School</t>
  </si>
  <si>
    <t>LE10 3HT</t>
  </si>
  <si>
    <t>Unsted Park School</t>
  </si>
  <si>
    <t>GU7 1UW</t>
  </si>
  <si>
    <t>Darul Hadis Latifiah Northwest</t>
  </si>
  <si>
    <t>OL8 1TJ</t>
  </si>
  <si>
    <t>Kings Oxford</t>
  </si>
  <si>
    <t>OX4 2UJ</t>
  </si>
  <si>
    <t>The Linnet Independent Learning Centre</t>
  </si>
  <si>
    <t>DE11 9JE</t>
  </si>
  <si>
    <t>National Institute for Conductive Education</t>
  </si>
  <si>
    <t>B13 8RD</t>
  </si>
  <si>
    <t>Broadwood School</t>
  </si>
  <si>
    <t>HX2 0RU</t>
  </si>
  <si>
    <t>Blue Skies School</t>
  </si>
  <si>
    <t>ME4 6DQ</t>
  </si>
  <si>
    <t>Hopedale School</t>
  </si>
  <si>
    <t>ST13 7ED</t>
  </si>
  <si>
    <t>Greenwich House School</t>
  </si>
  <si>
    <t>LN11 0HE</t>
  </si>
  <si>
    <t>Frewen College</t>
  </si>
  <si>
    <t>TN31 6NL</t>
  </si>
  <si>
    <t>Herington House School</t>
  </si>
  <si>
    <t>CM13 2NS</t>
  </si>
  <si>
    <t>Stepping Stones School Hindhead</t>
  </si>
  <si>
    <t>GU26 6SU</t>
  </si>
  <si>
    <t>LN6 9LU</t>
  </si>
  <si>
    <t>Woodcroft School</t>
  </si>
  <si>
    <t>IG10 1SQ</t>
  </si>
  <si>
    <t>Stafford Hall School</t>
  </si>
  <si>
    <t>HX3 0AW</t>
  </si>
  <si>
    <t>Ellingham Hospital School</t>
  </si>
  <si>
    <t>NR17 1AE</t>
  </si>
  <si>
    <t>Options Barton</t>
  </si>
  <si>
    <t>DN18 6DA</t>
  </si>
  <si>
    <t>Manchester Senior Girls School</t>
  </si>
  <si>
    <t>M7 4GB</t>
  </si>
  <si>
    <t>Huntercombe Hospital School Maidenhead</t>
  </si>
  <si>
    <t>SL6 0PQ</t>
  </si>
  <si>
    <t>Broadstones</t>
  </si>
  <si>
    <t>SK4 5HS</t>
  </si>
  <si>
    <t>Leeds Menorah School</t>
  </si>
  <si>
    <t>LS17 6HQ</t>
  </si>
  <si>
    <t>Jigsaw CABAS School</t>
  </si>
  <si>
    <t>GU6 8TB</t>
  </si>
  <si>
    <t xml:space="preserve">Access School </t>
  </si>
  <si>
    <t>SY4 3EW</t>
  </si>
  <si>
    <t>Hope View School</t>
  </si>
  <si>
    <t>CT4 8EG</t>
  </si>
  <si>
    <t>Ferndearle</t>
  </si>
  <si>
    <t>CT19 5HH</t>
  </si>
  <si>
    <t>The Meadows Montessori School</t>
  </si>
  <si>
    <t>IP1 6AR</t>
  </si>
  <si>
    <t>Austen House</t>
  </si>
  <si>
    <t>Aidenswood</t>
  </si>
  <si>
    <t>CW12 4ED</t>
  </si>
  <si>
    <t>Oliver House School</t>
  </si>
  <si>
    <t>PR7 1XA</t>
  </si>
  <si>
    <t>Meadow View Learning Centre</t>
  </si>
  <si>
    <t>PR6 8BN</t>
  </si>
  <si>
    <t>Al-Huda Primary School</t>
  </si>
  <si>
    <t>BL1 3EH</t>
  </si>
  <si>
    <t>The Beeches Independent School</t>
  </si>
  <si>
    <t>Peterborough</t>
  </si>
  <si>
    <t>PE1 3PB</t>
  </si>
  <si>
    <t>Radlett Preparatory School</t>
  </si>
  <si>
    <t>WD7 7LY</t>
  </si>
  <si>
    <t>Beech Grove School</t>
  </si>
  <si>
    <t>CT15 4FB</t>
  </si>
  <si>
    <t>Chilworth House Upper School</t>
  </si>
  <si>
    <t>OX33 1JP</t>
  </si>
  <si>
    <t>The Grange Learning Centre</t>
  </si>
  <si>
    <t>DL15 0TY</t>
  </si>
  <si>
    <t>Chilworth House School</t>
  </si>
  <si>
    <t>Newlands Hey</t>
  </si>
  <si>
    <t>L36 5SE</t>
  </si>
  <si>
    <t>Lighthouse School</t>
  </si>
  <si>
    <t>CT9 2QJ</t>
  </si>
  <si>
    <t>Seadown School</t>
  </si>
  <si>
    <t>BN11 2BE</t>
  </si>
  <si>
    <t>North West Priory School</t>
  </si>
  <si>
    <t>SK8 3DG</t>
  </si>
  <si>
    <t>Brewood Secondary School</t>
  </si>
  <si>
    <t>CT14 9TR</t>
  </si>
  <si>
    <t>The Birches</t>
  </si>
  <si>
    <t>Elland House School</t>
  </si>
  <si>
    <t>OL2 5PJ</t>
  </si>
  <si>
    <t>Greater Grace School of Christian Education</t>
  </si>
  <si>
    <t>CH2 4BE</t>
  </si>
  <si>
    <t>2017/18</t>
  </si>
  <si>
    <t>Arnfield Independent School</t>
  </si>
  <si>
    <t>SK10 5JR</t>
  </si>
  <si>
    <t>Auckland College</t>
  </si>
  <si>
    <t>L17 4LE</t>
  </si>
  <si>
    <t>Howard House</t>
  </si>
  <si>
    <t>NE22 6BB</t>
  </si>
  <si>
    <t>Lady Nafisa Independent Secondary School for Girls</t>
  </si>
  <si>
    <t>UB7 0JG</t>
  </si>
  <si>
    <t>REAL Alternative Provision School</t>
  </si>
  <si>
    <t>NG18 2AD</t>
  </si>
  <si>
    <t>Mander Portman Woodward</t>
  </si>
  <si>
    <t>CB2 1JE</t>
  </si>
  <si>
    <t>Wings School Notts</t>
  </si>
  <si>
    <t>Compass Community School North</t>
  </si>
  <si>
    <t>HX5 0SH</t>
  </si>
  <si>
    <t>The Priory Lodge School</t>
  </si>
  <si>
    <t>SW15 5JJ</t>
  </si>
  <si>
    <t>The Serendipity School</t>
  </si>
  <si>
    <t>SO19 6DS</t>
  </si>
  <si>
    <t>iMap Centre</t>
  </si>
  <si>
    <t>CH3 7JA</t>
  </si>
  <si>
    <t>St Andrew's College</t>
  </si>
  <si>
    <t>NN1 5HQ</t>
  </si>
  <si>
    <t>The Chalfonts Independent Grammar</t>
  </si>
  <si>
    <t>HP8 4AD</t>
  </si>
  <si>
    <t>Silverhill School</t>
  </si>
  <si>
    <t>BS36 1RL</t>
  </si>
  <si>
    <t>Stella Maris School</t>
  </si>
  <si>
    <t>SK4 3BR</t>
  </si>
  <si>
    <t>Exeter Tutorial College</t>
  </si>
  <si>
    <t>EX2 4TE</t>
  </si>
  <si>
    <t>The Pace Centre</t>
  </si>
  <si>
    <t>HP19 9JL</t>
  </si>
  <si>
    <t>Bosco Centre College</t>
  </si>
  <si>
    <t>SE16 4RS</t>
  </si>
  <si>
    <t>Columbus House</t>
  </si>
  <si>
    <t>2016/17</t>
  </si>
  <si>
    <t>Blossom House School</t>
  </si>
  <si>
    <t>KT3 6JJ</t>
  </si>
  <si>
    <t>The King's School</t>
  </si>
  <si>
    <t>AL5 4DU</t>
  </si>
  <si>
    <t>High Elms Manor School</t>
  </si>
  <si>
    <t>WD25 0JX</t>
  </si>
  <si>
    <t>Roselyn House School</t>
  </si>
  <si>
    <t>PR25 4SE</t>
  </si>
  <si>
    <t>Demeter House</t>
  </si>
  <si>
    <t>DN20 8EF</t>
  </si>
  <si>
    <t>Eden Park Academy</t>
  </si>
  <si>
    <t>CA1 1JZ</t>
  </si>
  <si>
    <t>Catch 22</t>
  </si>
  <si>
    <t>NG24 4UT</t>
  </si>
  <si>
    <t>Imam Muhammad Zakariya School</t>
  </si>
  <si>
    <t>PR1 3TN</t>
  </si>
  <si>
    <t>Lakeside School</t>
  </si>
  <si>
    <t>L27 2YA</t>
  </si>
  <si>
    <t>Bolton Islamic Girls School</t>
  </si>
  <si>
    <t>BL3 2AW</t>
  </si>
  <si>
    <t>Bramfield House School</t>
  </si>
  <si>
    <t>IP19 9AB</t>
  </si>
  <si>
    <t>Hillcrest Manor House School</t>
  </si>
  <si>
    <t>RH13 0QX</t>
  </si>
  <si>
    <t>The Academy School</t>
  </si>
  <si>
    <t>NW3 1NG</t>
  </si>
  <si>
    <t>Al Mumin Primary and Secondary School</t>
  </si>
  <si>
    <t>BD8 7DA</t>
  </si>
  <si>
    <t>StreetVibes Media Academy</t>
  </si>
  <si>
    <t>SE9 1DA</t>
  </si>
  <si>
    <t>Soaring High Montessori School</t>
  </si>
  <si>
    <t>CO6 1TH</t>
  </si>
  <si>
    <t>Radlett Lodge School</t>
  </si>
  <si>
    <t>WD7 9HW</t>
  </si>
  <si>
    <t>Madrasatul Imam Muhammad Zakariya</t>
  </si>
  <si>
    <t>BL1 8LX</t>
  </si>
  <si>
    <t>Prospect House</t>
  </si>
  <si>
    <t>LA5 9TG</t>
  </si>
  <si>
    <t>Lycee International De Londres</t>
  </si>
  <si>
    <t>HA9 9LY</t>
  </si>
  <si>
    <t>Ripplevale School</t>
  </si>
  <si>
    <t>CT14 8JG</t>
  </si>
  <si>
    <t>Stoneygate School</t>
  </si>
  <si>
    <t>LE8 9DJ</t>
  </si>
  <si>
    <t>Hall Cliffe Primary School</t>
  </si>
  <si>
    <t>WF2 0QB</t>
  </si>
  <si>
    <t>The Village School</t>
  </si>
  <si>
    <t>NW3 2YN</t>
  </si>
  <si>
    <t>Woodstar School</t>
  </si>
  <si>
    <t>N10 1JP</t>
  </si>
  <si>
    <t>Manchester Junior Girls' School</t>
  </si>
  <si>
    <t>M7 4JA</t>
  </si>
  <si>
    <t>Doucecroft School</t>
  </si>
  <si>
    <t>CO6 3QL</t>
  </si>
  <si>
    <t>Jamiatul-Ilm Wal-Huda UK School</t>
  </si>
  <si>
    <t>BB1 5JT</t>
  </si>
  <si>
    <t>Pear Tree School</t>
  </si>
  <si>
    <t>DL2 2UQ</t>
  </si>
  <si>
    <t>North West London Independent Special School</t>
  </si>
  <si>
    <t>W3 7DD</t>
  </si>
  <si>
    <t>Christian Fellowship School</t>
  </si>
  <si>
    <t>L7 3HL</t>
  </si>
  <si>
    <t>Yorston Lodge School</t>
  </si>
  <si>
    <t>WA16 0DP</t>
  </si>
  <si>
    <t>Islamia School for Girls'</t>
  </si>
  <si>
    <t>NW6 6PE</t>
  </si>
  <si>
    <t>Heath Farm School</t>
  </si>
  <si>
    <t>TN27 0AX</t>
  </si>
  <si>
    <t>Three Bridges School</t>
  </si>
  <si>
    <t>TR4 8EG</t>
  </si>
  <si>
    <t>Gretton School</t>
  </si>
  <si>
    <t>CB3 0RX</t>
  </si>
  <si>
    <t>St John's Preparatory and Senior School</t>
  </si>
  <si>
    <t>EN6 5QT</t>
  </si>
  <si>
    <t>Cedar Lodge</t>
  </si>
  <si>
    <t>Abbey College Cambridge</t>
  </si>
  <si>
    <t>CB2 8EB</t>
  </si>
  <si>
    <t>Park View Academy</t>
  </si>
  <si>
    <t>DA16 1SR</t>
  </si>
  <si>
    <t>Appletree School</t>
  </si>
  <si>
    <t>LA9 7QS</t>
  </si>
  <si>
    <t>North Hill House</t>
  </si>
  <si>
    <t>BA11 2HB</t>
  </si>
  <si>
    <t>Fell House School</t>
  </si>
  <si>
    <t>LA11 6AS</t>
  </si>
  <si>
    <t>Chelmsford Hospital School</t>
  </si>
  <si>
    <t>CM1 7SJ</t>
  </si>
  <si>
    <t>Lord's Independent School</t>
  </si>
  <si>
    <t>BL1 4JU</t>
  </si>
  <si>
    <t>West Heath School</t>
  </si>
  <si>
    <t>TN13 1SR</t>
  </si>
  <si>
    <t>Afifah School</t>
  </si>
  <si>
    <t>M16 9GN</t>
  </si>
  <si>
    <t>Colston Bassett School Limited</t>
  </si>
  <si>
    <t>NG12 3FD</t>
  </si>
  <si>
    <t>Eternal Light Secondary School</t>
  </si>
  <si>
    <t>BD5 9DH</t>
  </si>
  <si>
    <t>Bahr Academy</t>
  </si>
  <si>
    <t>NE4 6PR</t>
  </si>
  <si>
    <t>Clannad Education Centre</t>
  </si>
  <si>
    <t>Marchant Holliday School</t>
  </si>
  <si>
    <t>BA8 0AH</t>
  </si>
  <si>
    <t>Mill Cottage Montessori School</t>
  </si>
  <si>
    <t>HD6 4HA</t>
  </si>
  <si>
    <t>Green Meadow Independent Primary School</t>
  </si>
  <si>
    <t>WA3 2RD</t>
  </si>
  <si>
    <t>The Shires Oakham</t>
  </si>
  <si>
    <t>LE15 6JB</t>
  </si>
  <si>
    <t>Landmark International School</t>
  </si>
  <si>
    <t>CB21 5EP</t>
  </si>
  <si>
    <t>Fletewood School at Derry Villas</t>
  </si>
  <si>
    <t>Plymouth</t>
  </si>
  <si>
    <t>PL4 6AN</t>
  </si>
  <si>
    <t>Cambian Northampton School</t>
  </si>
  <si>
    <t>NN2 6LR</t>
  </si>
  <si>
    <t>Cambian Red Rose School</t>
  </si>
  <si>
    <t>PR5 8LN</t>
  </si>
  <si>
    <t>The Grange School</t>
  </si>
  <si>
    <t>WF5 9JE</t>
  </si>
  <si>
    <t>Halcyon London International School</t>
  </si>
  <si>
    <t>W1H 5AU</t>
  </si>
  <si>
    <t>Beis Malka Girls' School</t>
  </si>
  <si>
    <t>N16 6XD</t>
  </si>
  <si>
    <t>Progress School</t>
  </si>
  <si>
    <t>PR5 6AQ</t>
  </si>
  <si>
    <t>Hope House School</t>
  </si>
  <si>
    <t>NG24 3NE</t>
  </si>
  <si>
    <t>Beis Yaakov Girls School</t>
  </si>
  <si>
    <t>N16 0QJ</t>
  </si>
  <si>
    <t>Ticehurst Hospital School</t>
  </si>
  <si>
    <t>TN5 7HU</t>
  </si>
  <si>
    <t>David Game College</t>
  </si>
  <si>
    <t>EC3N 2ET</t>
  </si>
  <si>
    <t>Impact Independent School</t>
  </si>
  <si>
    <t>WS10 0JS</t>
  </si>
  <si>
    <t>Darul Uloom London</t>
  </si>
  <si>
    <t>BR7 6SD</t>
  </si>
  <si>
    <t>Include Schools Norfolk</t>
  </si>
  <si>
    <t>NR6 6HE</t>
  </si>
  <si>
    <t>Avocet House</t>
  </si>
  <si>
    <t>NR14 6QP</t>
  </si>
  <si>
    <t>Broadlands Hall</t>
  </si>
  <si>
    <t>CB9 7UD</t>
  </si>
  <si>
    <t>Progress Schools - Buckinghamshire</t>
  </si>
  <si>
    <t>HP12 4JG</t>
  </si>
  <si>
    <t>Weston Point College</t>
  </si>
  <si>
    <t>WA7 4UN</t>
  </si>
  <si>
    <t>Teaseldown School</t>
  </si>
  <si>
    <t>CO9 3PX</t>
  </si>
  <si>
    <t>Redstone Educational Academy</t>
  </si>
  <si>
    <t>B12 9AN</t>
  </si>
  <si>
    <t>The White House School</t>
  </si>
  <si>
    <t>SY13 2AA</t>
  </si>
  <si>
    <t>St Albans Independent College</t>
  </si>
  <si>
    <t>AL1 1LN</t>
  </si>
  <si>
    <t>Green Heath School</t>
  </si>
  <si>
    <t>B10 0NR</t>
  </si>
  <si>
    <t>My Choice School - Oak House</t>
  </si>
  <si>
    <t>RH16 1XQ</t>
  </si>
  <si>
    <t>Earlscliffe (Sussex Summer Schools Ltd)</t>
  </si>
  <si>
    <t>CT20 2NB</t>
  </si>
  <si>
    <t>The Treehouse School</t>
  </si>
  <si>
    <t>OX10 9LG</t>
  </si>
  <si>
    <t>Turnstone House School</t>
  </si>
  <si>
    <t>NR35 2HP</t>
  </si>
  <si>
    <t>IncludEd</t>
  </si>
  <si>
    <t>M16 8ER</t>
  </si>
  <si>
    <t>The Haven School</t>
  </si>
  <si>
    <t>ST17 9DJ</t>
  </si>
  <si>
    <t>Al Huda Girls' School</t>
  </si>
  <si>
    <t>B8 1RD</t>
  </si>
  <si>
    <t>Progress Schools - Northamptonshire</t>
  </si>
  <si>
    <t>NN1 2BG</t>
  </si>
  <si>
    <t>Hall School Wimbledon</t>
  </si>
  <si>
    <t>SW15 3EQ</t>
  </si>
  <si>
    <t>Twycross House School</t>
  </si>
  <si>
    <t>CV9 3PL</t>
  </si>
  <si>
    <t>Wharfedale Montessori School</t>
  </si>
  <si>
    <t>BD23 6AN</t>
  </si>
  <si>
    <t>Beis Hatalmud School</t>
  </si>
  <si>
    <t>M7 2FD</t>
  </si>
  <si>
    <t>St Paul's</t>
  </si>
  <si>
    <t>B12 8NJ</t>
  </si>
  <si>
    <t>Stanborough Primary School</t>
  </si>
  <si>
    <t>WD25 0DQ</t>
  </si>
  <si>
    <t>Future Education</t>
  </si>
  <si>
    <t>NR5 8EG</t>
  </si>
  <si>
    <t>R.Y.A.N Education Academy</t>
  </si>
  <si>
    <t>B11 1LF</t>
  </si>
  <si>
    <t>Riverside Education</t>
  </si>
  <si>
    <t>B33 9BF</t>
  </si>
  <si>
    <t>Dame Catherine Harpur's School</t>
  </si>
  <si>
    <t>DE73 7JW</t>
  </si>
  <si>
    <t>New Direction School</t>
  </si>
  <si>
    <t>S43 4BX</t>
  </si>
  <si>
    <t>My Choice School Osprey House</t>
  </si>
  <si>
    <t>Birmingham Independent College</t>
  </si>
  <si>
    <t>B6 5NU</t>
  </si>
  <si>
    <t>The Shrubbery School</t>
  </si>
  <si>
    <t>B76 1HY</t>
  </si>
  <si>
    <t>Macintyre School</t>
  </si>
  <si>
    <t>HP22 4PA</t>
  </si>
  <si>
    <t>Ghausia Girls' High School</t>
  </si>
  <si>
    <t>BB9 7EN</t>
  </si>
  <si>
    <t>Wings School</t>
  </si>
  <si>
    <t>Young Dancers Academy</t>
  </si>
  <si>
    <t>W12 8AR</t>
  </si>
  <si>
    <t>Iqra Academy</t>
  </si>
  <si>
    <t>PE3 8YQ</t>
  </si>
  <si>
    <t>Bridge Training and Development</t>
  </si>
  <si>
    <t>Church of England/Roman Catholic</t>
  </si>
  <si>
    <t>WR8 0DX</t>
  </si>
  <si>
    <t>On Track Education Centre Westbury</t>
  </si>
  <si>
    <t>BA13 4JY</t>
  </si>
  <si>
    <t>Blue Mountain Education</t>
  </si>
  <si>
    <t>NG16 2SD</t>
  </si>
  <si>
    <t>Sakutu Organisation Montessori</t>
  </si>
  <si>
    <t>NW2 6HL</t>
  </si>
  <si>
    <t>Sheiling School (Thornbury)</t>
  </si>
  <si>
    <t>BS35 1HP</t>
  </si>
  <si>
    <t>Hill House School</t>
  </si>
  <si>
    <t>SO41 8NE</t>
  </si>
  <si>
    <t>Rochdale Islamic Academy</t>
  </si>
  <si>
    <t>OL12 0HZ</t>
  </si>
  <si>
    <t>The Annex School House</t>
  </si>
  <si>
    <t>BR8 7PS</t>
  </si>
  <si>
    <t>Oscott Academy</t>
  </si>
  <si>
    <t>B23 5AP</t>
  </si>
  <si>
    <t>Excel and Exceed Centre</t>
  </si>
  <si>
    <t>BL8 2BS</t>
  </si>
  <si>
    <t>Cambian Spring Hill</t>
  </si>
  <si>
    <t>HG4 3HN</t>
  </si>
  <si>
    <t>The Unicorn School</t>
  </si>
  <si>
    <t>OX14 1AA</t>
  </si>
  <si>
    <t>The Education Centre</t>
  </si>
  <si>
    <t>RH16 1DB</t>
  </si>
  <si>
    <t>CACFO UK Education Centre</t>
  </si>
  <si>
    <t>CR7 8HQ</t>
  </si>
  <si>
    <t>Engaging Potential</t>
  </si>
  <si>
    <t>RG14 2PR</t>
  </si>
  <si>
    <t>Bridge School</t>
  </si>
  <si>
    <t>Nugent House School</t>
  </si>
  <si>
    <t>St Helens</t>
  </si>
  <si>
    <t>WN5 7TT</t>
  </si>
  <si>
    <t>Bnos Yisroel School Manchester</t>
  </si>
  <si>
    <t>M7 4DA</t>
  </si>
  <si>
    <t>Cressex Lodge (SWAAY)</t>
  </si>
  <si>
    <t>RG42 4DE</t>
  </si>
  <si>
    <t>Acorn Cottage</t>
  </si>
  <si>
    <t>IP7 6NY</t>
  </si>
  <si>
    <t>Fig Tree Primary School</t>
  </si>
  <si>
    <t>NG7 4AF</t>
  </si>
  <si>
    <t>Markazul Uloom</t>
  </si>
  <si>
    <t>BB2 3NY</t>
  </si>
  <si>
    <t>Leicester International School</t>
  </si>
  <si>
    <t>LE2 0AA</t>
  </si>
  <si>
    <t>Henley-in-Arden Montessori Primary School</t>
  </si>
  <si>
    <t>B95 5JP</t>
  </si>
  <si>
    <t>Al-Noor College</t>
  </si>
  <si>
    <t>B11 4RU</t>
  </si>
  <si>
    <t>Madani Primary School</t>
  </si>
  <si>
    <t>Portsmouth</t>
  </si>
  <si>
    <t>PO1 4JZ</t>
  </si>
  <si>
    <t>Phoenix School of Therapeutic Education</t>
  </si>
  <si>
    <t>S2 3PX</t>
  </si>
  <si>
    <t>Raise Education and Wellbeing School</t>
  </si>
  <si>
    <t>BL3 3HS</t>
  </si>
  <si>
    <t>Trinity College</t>
  </si>
  <si>
    <t>LE11 1BA</t>
  </si>
  <si>
    <t>Coxlease School</t>
  </si>
  <si>
    <t>SO43 7DE</t>
  </si>
  <si>
    <t>Headstart</t>
  </si>
  <si>
    <t>TN33 9EG</t>
  </si>
  <si>
    <t>Jamia Islamia Birmingham</t>
  </si>
  <si>
    <t>B11 1PL</t>
  </si>
  <si>
    <t>London East Academy</t>
  </si>
  <si>
    <t>E1 1JX</t>
  </si>
  <si>
    <t>Olsen House School</t>
  </si>
  <si>
    <t>L23 5TD</t>
  </si>
  <si>
    <t>Al-Ikhlaas Primary School</t>
  </si>
  <si>
    <t>BB9 7TN</t>
  </si>
  <si>
    <t>R.E.A.L Independent Schools</t>
  </si>
  <si>
    <t>NG21 0PN</t>
  </si>
  <si>
    <t>LS11 7EN</t>
  </si>
  <si>
    <t>Wolfdale School</t>
  </si>
  <si>
    <t>LE7 7BP</t>
  </si>
  <si>
    <t>Evergreen Primary School</t>
  </si>
  <si>
    <t>SW6 4QT</t>
  </si>
  <si>
    <t>Jack and Jill School</t>
  </si>
  <si>
    <t>TW12 3HX</t>
  </si>
  <si>
    <t>Date Valley School Trust</t>
  </si>
  <si>
    <t>CR4 4LB</t>
  </si>
  <si>
    <t>Meadowpark School</t>
  </si>
  <si>
    <t>SN6 6DD</t>
  </si>
  <si>
    <t>Etz Chaim Boys School</t>
  </si>
  <si>
    <t>M7 4LJ</t>
  </si>
  <si>
    <t>Somerset Progressive School</t>
  </si>
  <si>
    <t>TA3 5RH</t>
  </si>
  <si>
    <t>Lewis Charlton Learning Centre</t>
  </si>
  <si>
    <t>LE65 1HU</t>
  </si>
  <si>
    <t>Aurora Brambles School</t>
  </si>
  <si>
    <t>PR26 7TB</t>
  </si>
  <si>
    <t>Woodside Lodge Outdoor Learning Centre</t>
  </si>
  <si>
    <t>LE12 8DB</t>
  </si>
  <si>
    <t>Oxford Tutorial College</t>
  </si>
  <si>
    <t>OX1 4HT</t>
  </si>
  <si>
    <t>Focus 1st Academy</t>
  </si>
  <si>
    <t>N11 1BA</t>
  </si>
  <si>
    <t>The Old School House</t>
  </si>
  <si>
    <t>PE14 0HA</t>
  </si>
  <si>
    <t>Chiswick and Bedford Park Preparatory School</t>
  </si>
  <si>
    <t>W4 1TX</t>
  </si>
  <si>
    <t>Darul Uloom Islamic High School</t>
  </si>
  <si>
    <t>B10 0LL</t>
  </si>
  <si>
    <t>St Thomas Garnet's School</t>
  </si>
  <si>
    <t>BH5 2BH</t>
  </si>
  <si>
    <t>Philpots Manor School</t>
  </si>
  <si>
    <t>RH19 4PR</t>
  </si>
  <si>
    <t>Fulham Prep School</t>
  </si>
  <si>
    <t>W14 9SD</t>
  </si>
  <si>
    <t>My Choice School-Ocean Pearl</t>
  </si>
  <si>
    <t>BN18 9QY</t>
  </si>
  <si>
    <t>The Montessori Place</t>
  </si>
  <si>
    <t>BN3 3ER</t>
  </si>
  <si>
    <t>The Priory Woodbourne Hospital School</t>
  </si>
  <si>
    <t>B17 8BY</t>
  </si>
  <si>
    <t>Running Deer</t>
  </si>
  <si>
    <t>TQ13 8PY</t>
  </si>
  <si>
    <t>Limespring School</t>
  </si>
  <si>
    <t>N2 9PJ</t>
  </si>
  <si>
    <t>Farrowdale House School</t>
  </si>
  <si>
    <t>OL2 7AD</t>
  </si>
  <si>
    <t>Cotswold Chine School</t>
  </si>
  <si>
    <t>GL6 9AG</t>
  </si>
  <si>
    <t>Saville House School</t>
  </si>
  <si>
    <t>NG19 8AH</t>
  </si>
  <si>
    <t>Beis Soroh Schneirer</t>
  </si>
  <si>
    <t>NW9 6AX</t>
  </si>
  <si>
    <t>Hillcrest Jubilee School</t>
  </si>
  <si>
    <t>PO7 7RE</t>
  </si>
  <si>
    <t>KWS Educational Services</t>
  </si>
  <si>
    <t>MK41 9TJ</t>
  </si>
  <si>
    <t>Begdale House School</t>
  </si>
  <si>
    <t>PE14 0AZ</t>
  </si>
  <si>
    <t>Unity College</t>
  </si>
  <si>
    <t>HP12 3AE</t>
  </si>
  <si>
    <t>New Forest School</t>
  </si>
  <si>
    <t>SO45 1FJ</t>
  </si>
  <si>
    <t>Bracken School</t>
  </si>
  <si>
    <t>PR4 1YA</t>
  </si>
  <si>
    <t>St Martin's School</t>
  </si>
  <si>
    <t>NW7 3RG</t>
  </si>
  <si>
    <t>St George's School</t>
  </si>
  <si>
    <t>Central Bedfordshire</t>
  </si>
  <si>
    <t>LU5 4HR</t>
  </si>
  <si>
    <t>Southlands School</t>
  </si>
  <si>
    <t>SO41 5QB</t>
  </si>
  <si>
    <t>Finchley and Acton Yochien School</t>
  </si>
  <si>
    <t>N3 1UE</t>
  </si>
  <si>
    <t>Stepping Stones</t>
  </si>
  <si>
    <t>Aurora Brambles East School</t>
  </si>
  <si>
    <t>BB3 2NG</t>
  </si>
  <si>
    <t>Pulse and Water College</t>
  </si>
  <si>
    <t>SE18 6PF</t>
  </si>
  <si>
    <t>Eveline Day School</t>
  </si>
  <si>
    <t>SW17 7BQ</t>
  </si>
  <si>
    <t>Lote Tree Primary School</t>
  </si>
  <si>
    <t>Coventry</t>
  </si>
  <si>
    <t>CV6 5JQ</t>
  </si>
  <si>
    <t>Rossendale School</t>
  </si>
  <si>
    <t>BL0 0RT</t>
  </si>
  <si>
    <t>Rugeley School</t>
  </si>
  <si>
    <t>WS15 3JQ</t>
  </si>
  <si>
    <t>Jameah Academy</t>
  </si>
  <si>
    <t>LE5 3SD</t>
  </si>
  <si>
    <t>Islamic Shakhsiyah Foundation</t>
  </si>
  <si>
    <t>SL1 2SR</t>
  </si>
  <si>
    <t>Bright Futures</t>
  </si>
  <si>
    <t>Warrington</t>
  </si>
  <si>
    <t>WA13 0GH</t>
  </si>
  <si>
    <t>Jamiatul Uloom Al - Islamia</t>
  </si>
  <si>
    <t>LU3 1RF</t>
  </si>
  <si>
    <t>The British Muslim School</t>
  </si>
  <si>
    <t>B70 8NX</t>
  </si>
  <si>
    <t>Unity School</t>
  </si>
  <si>
    <t>ST1 4EU</t>
  </si>
  <si>
    <t>Oak House School</t>
  </si>
  <si>
    <t>IG3 9AB</t>
  </si>
  <si>
    <t>St Wilfrid's School</t>
  </si>
  <si>
    <t>EX4 4DA</t>
  </si>
  <si>
    <t>Educare Small School</t>
  </si>
  <si>
    <t>KT2 6DZ</t>
  </si>
  <si>
    <t>Trax Academy</t>
  </si>
  <si>
    <t>FY8 2PP</t>
  </si>
  <si>
    <t>Tabernacle School</t>
  </si>
  <si>
    <t>W11 4RS</t>
  </si>
  <si>
    <t>Nancy Reuben Primary School</t>
  </si>
  <si>
    <t>NW4 1DJ</t>
  </si>
  <si>
    <t>Normanton House School</t>
  </si>
  <si>
    <t>Derby</t>
  </si>
  <si>
    <t>DE23 8DF</t>
  </si>
  <si>
    <t>The Vine Christian School</t>
  </si>
  <si>
    <t>Wokingham</t>
  </si>
  <si>
    <t>RG7 1HF</t>
  </si>
  <si>
    <t>Wize Up</t>
  </si>
  <si>
    <t>SE9 6DN</t>
  </si>
  <si>
    <t>Willow House</t>
  </si>
  <si>
    <t>SK8 6RF</t>
  </si>
  <si>
    <t>Cambian Chesham House School</t>
  </si>
  <si>
    <t>BL9 6JD</t>
  </si>
  <si>
    <t>Thomas's Kensington</t>
  </si>
  <si>
    <t>W8 5PR</t>
  </si>
  <si>
    <t>Maple Hayes Hall School</t>
  </si>
  <si>
    <t>WS13 8BL</t>
  </si>
  <si>
    <t>Talmud Torah Tiferes Shlomoh</t>
  </si>
  <si>
    <t>NW11 9TB</t>
  </si>
  <si>
    <t>The Lloyd Williamson School</t>
  </si>
  <si>
    <t>W10 5SH</t>
  </si>
  <si>
    <t>Penarth Group School</t>
  </si>
  <si>
    <t>SK5 7JG</t>
  </si>
  <si>
    <t>Freshsteps</t>
  </si>
  <si>
    <t>EN2 9BQ</t>
  </si>
  <si>
    <t>Al-Madani Girls School</t>
  </si>
  <si>
    <t>SL1 5PR</t>
  </si>
  <si>
    <t>Kinetic Academy</t>
  </si>
  <si>
    <t>ST3 7DJ</t>
  </si>
  <si>
    <t>SW!TCH Borders</t>
  </si>
  <si>
    <t>RM8 2UT</t>
  </si>
  <si>
    <t>Alternative Centre of Education</t>
  </si>
  <si>
    <t>N9 0TZ</t>
  </si>
  <si>
    <t>Merlin School</t>
  </si>
  <si>
    <t>SW15 2BZ</t>
  </si>
  <si>
    <t>Benedict House Preparatory School</t>
  </si>
  <si>
    <t>DA15 7HD</t>
  </si>
  <si>
    <t>Rosslyn School</t>
  </si>
  <si>
    <t>B28 9JB</t>
  </si>
  <si>
    <t>Cambian New Elizabethan School</t>
  </si>
  <si>
    <t>DY11 7TE</t>
  </si>
  <si>
    <t>Elliott Park School</t>
  </si>
  <si>
    <t>ME12 2DP</t>
  </si>
  <si>
    <t>The Viking School</t>
  </si>
  <si>
    <t>PE25 2QJ</t>
  </si>
  <si>
    <t>Orchard School</t>
  </si>
  <si>
    <t>DN22 0DJ</t>
  </si>
  <si>
    <t>Knowl Hill School</t>
  </si>
  <si>
    <t>GU24 0JN</t>
  </si>
  <si>
    <t>Meredale Independent Primary School</t>
  </si>
  <si>
    <t>ME8 8EB</t>
  </si>
  <si>
    <t>Small Haven School</t>
  </si>
  <si>
    <t>CT12 6PT</t>
  </si>
  <si>
    <t>Fitrah Sips</t>
  </si>
  <si>
    <t>SO14 0EJ</t>
  </si>
  <si>
    <t>Black Country Wheels School</t>
  </si>
  <si>
    <t>DY9 7ND</t>
  </si>
  <si>
    <t>Pier View Academy</t>
  </si>
  <si>
    <t>DA12 2AX</t>
  </si>
  <si>
    <t>Rose House Montessori School</t>
  </si>
  <si>
    <t>SE23 2UJ</t>
  </si>
  <si>
    <t>Chase House School</t>
  </si>
  <si>
    <t>Walsall</t>
  </si>
  <si>
    <t>The Write Time</t>
  </si>
  <si>
    <t>CR0 2XX</t>
  </si>
  <si>
    <t>St Anthony's School for Girls</t>
  </si>
  <si>
    <t>NW11 7SX</t>
  </si>
  <si>
    <t>Aurora Meldreth Manor School</t>
  </si>
  <si>
    <t>SG8 6LG</t>
  </si>
  <si>
    <t>Madani Secondary Girls' School</t>
  </si>
  <si>
    <t>E1 1HL</t>
  </si>
  <si>
    <t>The Eden SDA School</t>
  </si>
  <si>
    <t>W3 8JY</t>
  </si>
  <si>
    <t>Al-Ashraf Secondary School for Girls</t>
  </si>
  <si>
    <t>GL1 4AW</t>
  </si>
  <si>
    <t>Tadley Court School</t>
  </si>
  <si>
    <t>RG26 3TB</t>
  </si>
  <si>
    <t>Eagle House School</t>
  </si>
  <si>
    <t>CR4 3HD</t>
  </si>
  <si>
    <t>Gloucester House, The Tavistock Children's Day Unit</t>
  </si>
  <si>
    <t>NW3 5BU</t>
  </si>
  <si>
    <t>On Track Education Centre Northants</t>
  </si>
  <si>
    <t>NN3 6QB</t>
  </si>
  <si>
    <t>NW5 4NL</t>
  </si>
  <si>
    <t>Woodlands School</t>
  </si>
  <si>
    <t>BL0 0QL</t>
  </si>
  <si>
    <t>Hopewell School (Harmony House)</t>
  </si>
  <si>
    <t>RM9 6XN</t>
  </si>
  <si>
    <t>L'Ecole des Petits School</t>
  </si>
  <si>
    <t>SW6 2NB</t>
  </si>
  <si>
    <t>Haddon Dene School</t>
  </si>
  <si>
    <t>CT10 2HY</t>
  </si>
  <si>
    <t>Leicester Islamic Academy</t>
  </si>
  <si>
    <t>LE2 2PJ</t>
  </si>
  <si>
    <t xml:space="preserve">Al-Ameen Primary School </t>
  </si>
  <si>
    <t>B11 2JR</t>
  </si>
  <si>
    <t>Priors Court School</t>
  </si>
  <si>
    <t>RG18 9NU</t>
  </si>
  <si>
    <t>Darul Uloom Dawatul Imaan</t>
  </si>
  <si>
    <t>BD4 9PH</t>
  </si>
  <si>
    <t>International Stanborough School</t>
  </si>
  <si>
    <t>WD25 9JT</t>
  </si>
  <si>
    <t>Springboard Education</t>
  </si>
  <si>
    <t>BN15 8AN</t>
  </si>
  <si>
    <t>Future First Independent School</t>
  </si>
  <si>
    <t>B18 7RL</t>
  </si>
  <si>
    <t>The London Acorn School</t>
  </si>
  <si>
    <t>SM4 5JD</t>
  </si>
  <si>
    <t>Clay Hill School</t>
  </si>
  <si>
    <t>Paragon Christian Academy</t>
  </si>
  <si>
    <t>E5 0JP</t>
  </si>
  <si>
    <t>Menorah Grammar School</t>
  </si>
  <si>
    <t>HA8 0QS</t>
  </si>
  <si>
    <t>Institute of Islamic Education</t>
  </si>
  <si>
    <t>WF12 9NG</t>
  </si>
  <si>
    <t>Sheiling School</t>
  </si>
  <si>
    <t>BH24 2EB</t>
  </si>
  <si>
    <t>Rowden House School</t>
  </si>
  <si>
    <t>HR7 4LS</t>
  </si>
  <si>
    <t>Apple Orchard Slinfold</t>
  </si>
  <si>
    <t>RH13 0RQ</t>
  </si>
  <si>
    <t>On Track Education Centre (Silsoe)</t>
  </si>
  <si>
    <t>MK45 4HS</t>
  </si>
  <si>
    <t>Al-Aqsa Schools Trust</t>
  </si>
  <si>
    <t>LE5 4PP</t>
  </si>
  <si>
    <t>The Jam Academy</t>
  </si>
  <si>
    <t>SL7 2LS</t>
  </si>
  <si>
    <t>The Sybil Elgar School</t>
  </si>
  <si>
    <t>UB2 4NY</t>
  </si>
  <si>
    <t>Longwood School &amp; Nursery</t>
  </si>
  <si>
    <t>WD23 2QG</t>
  </si>
  <si>
    <t>Sallygate School</t>
  </si>
  <si>
    <t>CT17 0RX</t>
  </si>
  <si>
    <t>Haskel School</t>
  </si>
  <si>
    <t>NE8 4DR</t>
  </si>
  <si>
    <t>Bow Street School</t>
  </si>
  <si>
    <t>WV14 7NB</t>
  </si>
  <si>
    <t>Evergreen School</t>
  </si>
  <si>
    <t>ST10 2LP</t>
  </si>
  <si>
    <t>The Ryes College and Community</t>
  </si>
  <si>
    <t>CO10 5NA</t>
  </si>
  <si>
    <t>Hillcrest New Barn</t>
  </si>
  <si>
    <t>RG20 8HZ</t>
  </si>
  <si>
    <t>The Lioncare School</t>
  </si>
  <si>
    <t>BN3 5HD</t>
  </si>
  <si>
    <t>Maria Montessori School</t>
  </si>
  <si>
    <t>NW3 5NW</t>
  </si>
  <si>
    <t>Al Huda Academy (Jamia Al-Hudaa)</t>
  </si>
  <si>
    <t>S9 3FY</t>
  </si>
  <si>
    <t>N9 8LD</t>
  </si>
  <si>
    <t>Kirby Moor School</t>
  </si>
  <si>
    <t>CA8 2AB</t>
  </si>
  <si>
    <t>The Tutorial Foundation</t>
  </si>
  <si>
    <t>BR1 3HY</t>
  </si>
  <si>
    <t>Brambles School</t>
  </si>
  <si>
    <t>SK14 6NT</t>
  </si>
  <si>
    <t>North Bridge Enterprise College</t>
  </si>
  <si>
    <t>DN5 8AF</t>
  </si>
  <si>
    <t>Stonegate School</t>
  </si>
  <si>
    <t>LA2 7BX</t>
  </si>
  <si>
    <t>Talmud Torah Chaim Meirim Wiznitz School</t>
  </si>
  <si>
    <t>N16 6XB</t>
  </si>
  <si>
    <t>The Dominie School Limited</t>
  </si>
  <si>
    <t>SW11 4DX</t>
  </si>
  <si>
    <t>Underley Garden School</t>
  </si>
  <si>
    <t>LA6 2DZ</t>
  </si>
  <si>
    <t>Jamiatul Ummah School</t>
  </si>
  <si>
    <t>E1 2ND</t>
  </si>
  <si>
    <t>Greenfields Primary School</t>
  </si>
  <si>
    <t>B10 9SN</t>
  </si>
  <si>
    <t>Bnos Zion of Bobov</t>
  </si>
  <si>
    <t>Chepstow House School</t>
  </si>
  <si>
    <t>W11 1QS</t>
  </si>
  <si>
    <t>The Pier Head Preparatory Montessori School</t>
  </si>
  <si>
    <t>E1W 3TD</t>
  </si>
  <si>
    <t>Toras Emes</t>
  </si>
  <si>
    <t>M7 4AH</t>
  </si>
  <si>
    <t>Tiferes</t>
  </si>
  <si>
    <t>M7 2JR</t>
  </si>
  <si>
    <t>Hill House International Junior School</t>
  </si>
  <si>
    <t>SW1X 0EP</t>
  </si>
  <si>
    <t>Chartwell House School</t>
  </si>
  <si>
    <t>PE13 5HQ</t>
  </si>
  <si>
    <t>Oversands School</t>
  </si>
  <si>
    <t>LA11 6SD</t>
  </si>
  <si>
    <t>Rabia Girls' and Boys' School</t>
  </si>
  <si>
    <t>Abu Bakr Girls School</t>
  </si>
  <si>
    <t>WS1 4JJ</t>
  </si>
  <si>
    <t>Noor Ul Islam Primary School</t>
  </si>
  <si>
    <t>E10 6QW</t>
  </si>
  <si>
    <t>Keys Tees Valley College</t>
  </si>
  <si>
    <t>Middlesbrough</t>
  </si>
  <si>
    <t>TS3 8BT</t>
  </si>
  <si>
    <t>Sol Christian Academy</t>
  </si>
  <si>
    <t>M12 6EL</t>
  </si>
  <si>
    <t>The GFC School</t>
  </si>
  <si>
    <t>ME7 4DD</t>
  </si>
  <si>
    <t>New Level Academy</t>
  </si>
  <si>
    <t>NW10 8LW</t>
  </si>
  <si>
    <t>The Place Independent School</t>
  </si>
  <si>
    <t>NG13 0EA</t>
  </si>
  <si>
    <t>Pivot Academy</t>
  </si>
  <si>
    <t>BD19 5LH</t>
  </si>
  <si>
    <t>Rainbow Montessori School</t>
  </si>
  <si>
    <t>NW6 3PL</t>
  </si>
  <si>
    <t>Ashgrove School Ltd</t>
  </si>
  <si>
    <t>BR1 3BE</t>
  </si>
  <si>
    <t>Ashbrooke House School</t>
  </si>
  <si>
    <t>North Somerset</t>
  </si>
  <si>
    <t>BS23 1XH</t>
  </si>
  <si>
    <t>Crookhey Hall School</t>
  </si>
  <si>
    <t>LA2 0HA</t>
  </si>
  <si>
    <t>Thomas's Clapham</t>
  </si>
  <si>
    <t>SW11 6JZ</t>
  </si>
  <si>
    <t>Ellern Mede School</t>
  </si>
  <si>
    <t>NW7 4HX</t>
  </si>
  <si>
    <t>Fair Ways School</t>
  </si>
  <si>
    <t>SO31 7HE</t>
  </si>
  <si>
    <t>The Holmewood School London</t>
  </si>
  <si>
    <t>N12 8SH</t>
  </si>
  <si>
    <t>Phoenix U16 Independent School</t>
  </si>
  <si>
    <t>ST1 4AF</t>
  </si>
  <si>
    <t>Kings London</t>
  </si>
  <si>
    <t>BR3 4PR</t>
  </si>
  <si>
    <t>Hardwick House School</t>
  </si>
  <si>
    <t>LE11 3HU</t>
  </si>
  <si>
    <t>Active Support Education Centre</t>
  </si>
  <si>
    <t>LU3 1RJ</t>
  </si>
  <si>
    <t>Hope Corner School</t>
  </si>
  <si>
    <t>WA7 4TD</t>
  </si>
  <si>
    <t>Centre Academy East Anglia</t>
  </si>
  <si>
    <t>IP7 7QR</t>
  </si>
  <si>
    <t>Tashbar of Edgware</t>
  </si>
  <si>
    <t>HA8 8JL</t>
  </si>
  <si>
    <t>Belmont School</t>
  </si>
  <si>
    <t>BB4 6RX</t>
  </si>
  <si>
    <t>London Bunka Yochien School</t>
  </si>
  <si>
    <t>W3 0BP</t>
  </si>
  <si>
    <t>Great Oaks Small School</t>
  </si>
  <si>
    <t>CT12 5FH</t>
  </si>
  <si>
    <t>Benjamin College</t>
  </si>
  <si>
    <t>HP19 7AR</t>
  </si>
  <si>
    <t>The Deenway Montessori School</t>
  </si>
  <si>
    <t>Reading</t>
  </si>
  <si>
    <t>RG1 4QX</t>
  </si>
  <si>
    <t>Avecinna Academy</t>
  </si>
  <si>
    <t>B9 4BS</t>
  </si>
  <si>
    <t>J.A.M.E.S</t>
  </si>
  <si>
    <t>BD9 4JB</t>
  </si>
  <si>
    <t>Footsteps Trust</t>
  </si>
  <si>
    <t>N22 5QW</t>
  </si>
  <si>
    <t>FUEL</t>
  </si>
  <si>
    <t>NG5 1DX</t>
  </si>
  <si>
    <t>Foundation Bridge Academy</t>
  </si>
  <si>
    <t>ST6 1JJ</t>
  </si>
  <si>
    <t>Ashbourne Independent School</t>
  </si>
  <si>
    <t>W8 4PL</t>
  </si>
  <si>
    <t>Dove School</t>
  </si>
  <si>
    <t>S75 6PP</t>
  </si>
  <si>
    <t>Talmud Torah Machzikei Hadass School</t>
  </si>
  <si>
    <t>E5 9SN</t>
  </si>
  <si>
    <t>Thomas's Battersea</t>
  </si>
  <si>
    <t>SW11 3JB</t>
  </si>
  <si>
    <t>Pardes House Grammar School</t>
  </si>
  <si>
    <t>N3 1SA</t>
  </si>
  <si>
    <t>Manchester Muslim Preparatory School</t>
  </si>
  <si>
    <t>M20 4BA</t>
  </si>
  <si>
    <t>Green Oak Academy</t>
  </si>
  <si>
    <t>B13 9BB</t>
  </si>
  <si>
    <t>Green Gables Montessori Primary School</t>
  </si>
  <si>
    <t>E1W 2RG</t>
  </si>
  <si>
    <t>Southover Partnership School</t>
  </si>
  <si>
    <t>NW9 9HA</t>
  </si>
  <si>
    <t>Cambian Hartlepool School</t>
  </si>
  <si>
    <t>Hartlepool</t>
  </si>
  <si>
    <t>TS25 1NN</t>
  </si>
  <si>
    <t>Physis Heathgates Academy</t>
  </si>
  <si>
    <t>SY13 9DE</t>
  </si>
  <si>
    <t>Tlg Nottingham</t>
  </si>
  <si>
    <t>NG5 5HN</t>
  </si>
  <si>
    <t>TLG Newcastle</t>
  </si>
  <si>
    <t>NE12 8UZ</t>
  </si>
  <si>
    <t>TLG Chelmsford</t>
  </si>
  <si>
    <t>CM2 0HG</t>
  </si>
  <si>
    <t>Cambian Hereford School</t>
  </si>
  <si>
    <t>HR6 8LL</t>
  </si>
  <si>
    <t>TLG - South East Birmingham</t>
  </si>
  <si>
    <t>B14 4BN</t>
  </si>
  <si>
    <t>Gloverspiece</t>
  </si>
  <si>
    <t>WR9 0RQ</t>
  </si>
  <si>
    <t>Hampstead Hill School</t>
  </si>
  <si>
    <t>NW3 2PP</t>
  </si>
  <si>
    <t>Dallington School</t>
  </si>
  <si>
    <t>EC1V 0BW</t>
  </si>
  <si>
    <t>Hillcrest Park School</t>
  </si>
  <si>
    <t>OX7 5QH</t>
  </si>
  <si>
    <t>Red Rose School</t>
  </si>
  <si>
    <t>FY8 2NQ</t>
  </si>
  <si>
    <t>Kingsmere School</t>
  </si>
  <si>
    <t>W14 8UD</t>
  </si>
  <si>
    <t>TTD Gur School</t>
  </si>
  <si>
    <t>N16 6UX</t>
  </si>
  <si>
    <t>Epic Learning Independent School</t>
  </si>
  <si>
    <t>W10 5QJ</t>
  </si>
  <si>
    <t>Golders Hill School</t>
  </si>
  <si>
    <t>NW11 7NT</t>
  </si>
  <si>
    <t>The Norwegian School in London</t>
  </si>
  <si>
    <t>SW20 8AH</t>
  </si>
  <si>
    <t>Mander Portman Woodward Independent College</t>
  </si>
  <si>
    <t>B15 3AU</t>
  </si>
  <si>
    <t>Oakfield House School</t>
  </si>
  <si>
    <t>Cornfield School</t>
  </si>
  <si>
    <t>RH1 5HS</t>
  </si>
  <si>
    <t>La Petite Ecole Francaise</t>
  </si>
  <si>
    <t>W10 6EJ</t>
  </si>
  <si>
    <t>Cressey College</t>
  </si>
  <si>
    <t>CR0 5SP</t>
  </si>
  <si>
    <t>St Philip's School</t>
  </si>
  <si>
    <t>SW7 4NE</t>
  </si>
  <si>
    <t>Connaught House School</t>
  </si>
  <si>
    <t>W2 2HL</t>
  </si>
  <si>
    <t>Northease Manor School</t>
  </si>
  <si>
    <t>BN7 3EY</t>
  </si>
  <si>
    <t>The Forum School</t>
  </si>
  <si>
    <t>DT11 0QS</t>
  </si>
  <si>
    <t>The Grange Therapeutic School</t>
  </si>
  <si>
    <t>LE15 8LY</t>
  </si>
  <si>
    <t>Thomas's Fulham</t>
  </si>
  <si>
    <t>SW6 3ES</t>
  </si>
  <si>
    <t>Brondesbury College London</t>
  </si>
  <si>
    <t>NW6 7BT</t>
  </si>
  <si>
    <t>Wentworth Tutorial College</t>
  </si>
  <si>
    <t>NW11 9LH</t>
  </si>
  <si>
    <t>Side By Side School</t>
  </si>
  <si>
    <t>E5 9HH</t>
  </si>
  <si>
    <t>Halton School</t>
  </si>
  <si>
    <t>WA7 2AN</t>
  </si>
  <si>
    <t>Ayesha Siddiqa Girls School</t>
  </si>
  <si>
    <t>UB1 1LS</t>
  </si>
  <si>
    <t>Date Palm Primary School</t>
  </si>
  <si>
    <t>E1 2DE</t>
  </si>
  <si>
    <t>Mackworth House School</t>
  </si>
  <si>
    <t>DE22 4LL</t>
  </si>
  <si>
    <t>Peak Education Stoke</t>
  </si>
  <si>
    <t>ST1 4LY</t>
  </si>
  <si>
    <t>Rida Girls' High School</t>
  </si>
  <si>
    <t>WF12 9EJ</t>
  </si>
  <si>
    <t>London Islamic School</t>
  </si>
  <si>
    <t>E1 2HX</t>
  </si>
  <si>
    <t>Al-Burhan Grammar School</t>
  </si>
  <si>
    <t>B11 3DW</t>
  </si>
  <si>
    <t>Parkgate House School</t>
  </si>
  <si>
    <t>SW4 9SD</t>
  </si>
  <si>
    <t>Birchfield Independent Girls' School</t>
  </si>
  <si>
    <t>B6 6JU</t>
  </si>
  <si>
    <t>Darul Uloom Al Arabiya Al Islamiya</t>
  </si>
  <si>
    <t>BL8 4NG</t>
  </si>
  <si>
    <t>Covenant Christian School</t>
  </si>
  <si>
    <t>SK4 4NX</t>
  </si>
  <si>
    <t>The Quest School</t>
  </si>
  <si>
    <t>TN12 6PY</t>
  </si>
  <si>
    <t>Manchester  Young Lives</t>
  </si>
  <si>
    <t>M22 9TF</t>
  </si>
  <si>
    <t>Longdon Hall School</t>
  </si>
  <si>
    <t>WS15 4PT</t>
  </si>
  <si>
    <t>Carfax College</t>
  </si>
  <si>
    <t>OX1 2EP</t>
  </si>
  <si>
    <t>Full Circle Education</t>
  </si>
  <si>
    <t>SE3 8ND</t>
  </si>
  <si>
    <t>Hackney City Farm</t>
  </si>
  <si>
    <t>E2 8QA</t>
  </si>
  <si>
    <t>ASPIRE: Lifeskills Learning Centre</t>
  </si>
  <si>
    <t>LE11 3EB</t>
  </si>
  <si>
    <t>Ashbrooke School</t>
  </si>
  <si>
    <t>SR2 7JA</t>
  </si>
  <si>
    <t>Cambian Somerset School</t>
  </si>
  <si>
    <t>TA3 5PX</t>
  </si>
  <si>
    <t>Azhar Academy Girls School</t>
  </si>
  <si>
    <t>E7 9HL</t>
  </si>
  <si>
    <t>Ecole Francaise de Londres Jacques Prevert</t>
  </si>
  <si>
    <t>W6 7BE</t>
  </si>
  <si>
    <t>The American School in London</t>
  </si>
  <si>
    <t>NW8 0NP</t>
  </si>
  <si>
    <t>Kingswood School</t>
  </si>
  <si>
    <t>Solihull</t>
  </si>
  <si>
    <t>B90 2BA</t>
  </si>
  <si>
    <t>Westmorland School</t>
  </si>
  <si>
    <t>PR7 3NQ</t>
  </si>
  <si>
    <t>Green Crescent School</t>
  </si>
  <si>
    <t>NG6 0DG</t>
  </si>
  <si>
    <t>TLG West London</t>
  </si>
  <si>
    <t>W6 9JJ</t>
  </si>
  <si>
    <t>City United Academy (CUA)</t>
  </si>
  <si>
    <t>B1 2RX</t>
  </si>
  <si>
    <t>TLG Lewisham</t>
  </si>
  <si>
    <t>SE13 7FY</t>
  </si>
  <si>
    <t>Oak Tree School</t>
  </si>
  <si>
    <t>TR4 9NH</t>
  </si>
  <si>
    <t>Liverpool Progressive School</t>
  </si>
  <si>
    <t>L9 1NR</t>
  </si>
  <si>
    <t>LPW Independent School</t>
  </si>
  <si>
    <t>BS3 4AG</t>
  </si>
  <si>
    <t>Lincoln House School</t>
  </si>
  <si>
    <t>Goodwyn School</t>
  </si>
  <si>
    <t>NW7 4DB</t>
  </si>
  <si>
    <t>Tawhid Boys School, Tawhid Educational Trust</t>
  </si>
  <si>
    <t>N16 6PA</t>
  </si>
  <si>
    <t>Quwwat Ul Islam Girls' School</t>
  </si>
  <si>
    <t>E7 9NB</t>
  </si>
  <si>
    <t>North London Grammar School</t>
  </si>
  <si>
    <t>NW9 6HB</t>
  </si>
  <si>
    <t>Westfield House School</t>
  </si>
  <si>
    <t>PE34 4EX</t>
  </si>
  <si>
    <t>Octavia House Schools</t>
  </si>
  <si>
    <t>SE11 6AU</t>
  </si>
  <si>
    <t>Nisai Learning Hub (Nottingham)</t>
  </si>
  <si>
    <t>NG1 1GD</t>
  </si>
  <si>
    <t>TLG Bolton</t>
  </si>
  <si>
    <t>BL4 9AL</t>
  </si>
  <si>
    <t>Rhodes Wood Hospital School</t>
  </si>
  <si>
    <t>AL9 6NN</t>
  </si>
  <si>
    <t>Aurora Redehall School</t>
  </si>
  <si>
    <t>RH6 9QA</t>
  </si>
  <si>
    <t>The German School</t>
  </si>
  <si>
    <t>TW10 7AH</t>
  </si>
  <si>
    <t>White Trees Independent School</t>
  </si>
  <si>
    <t>CM23 3SP</t>
  </si>
  <si>
    <t>River House Montessori School</t>
  </si>
  <si>
    <t>E14 9XP</t>
  </si>
  <si>
    <t>The Harrodian School</t>
  </si>
  <si>
    <t>SW13 9QN</t>
  </si>
  <si>
    <t>Sycamore Hall Preparatory School</t>
  </si>
  <si>
    <t>DN4 8PT</t>
  </si>
  <si>
    <t>Waterloo Lodge School</t>
  </si>
  <si>
    <t>PR6 7AX</t>
  </si>
  <si>
    <t>Cavendish School</t>
  </si>
  <si>
    <t>SE16 2PA</t>
  </si>
  <si>
    <t>Grantham Farm Montessori School</t>
  </si>
  <si>
    <t>RG26 5JS</t>
  </si>
  <si>
    <t>Estuary High School</t>
  </si>
  <si>
    <t>SS9 3NH</t>
  </si>
  <si>
    <t>The Wisdom Academy</t>
  </si>
  <si>
    <t>B6 5UH</t>
  </si>
  <si>
    <t>P.A.C.E Alternative Education Ltd</t>
  </si>
  <si>
    <t>ST5 0LS</t>
  </si>
  <si>
    <t>Norton College</t>
  </si>
  <si>
    <t>WR5 2PU</t>
  </si>
  <si>
    <t>Baston House School</t>
  </si>
  <si>
    <t>BR2 7AB</t>
  </si>
  <si>
    <t>Get U Started Training</t>
  </si>
  <si>
    <t>NE63 8SF</t>
  </si>
  <si>
    <t>Eifa International School</t>
  </si>
  <si>
    <t>W1B 1LS</t>
  </si>
  <si>
    <t>Knole Development Centre</t>
  </si>
  <si>
    <t>TN15 0JR</t>
  </si>
  <si>
    <t>The National Mathematics and Science College</t>
  </si>
  <si>
    <t>CV4 8JB</t>
  </si>
  <si>
    <t>Independent school standard inspection - integrated - first</t>
  </si>
  <si>
    <t>The Anderson School</t>
  </si>
  <si>
    <t>IG7 5AB</t>
  </si>
  <si>
    <t>Olive High Ltd</t>
  </si>
  <si>
    <t>BB10 1LJ</t>
  </si>
  <si>
    <t>Kensington Wade</t>
  </si>
  <si>
    <t>W14 8PU</t>
  </si>
  <si>
    <t>The Amicus School</t>
  </si>
  <si>
    <t>BN18 0SX</t>
  </si>
  <si>
    <t>Hidelow Grange School</t>
  </si>
  <si>
    <t>WR6 5AH</t>
  </si>
  <si>
    <t>Crown House School</t>
  </si>
  <si>
    <t>HP11 1QX</t>
  </si>
  <si>
    <t>Leicester Preparatory School</t>
  </si>
  <si>
    <t>LE2 2AA</t>
  </si>
  <si>
    <t>Al-Mizan School</t>
  </si>
  <si>
    <t>Cambian Scarborough School</t>
  </si>
  <si>
    <t>YO11 3BQ</t>
  </si>
  <si>
    <t>Acorn Park School</t>
  </si>
  <si>
    <t>NR16 2HU</t>
  </si>
  <si>
    <t>Abu Bakr Boys School</t>
  </si>
  <si>
    <t>WS2 7AN</t>
  </si>
  <si>
    <t>Birtley House Independent School</t>
  </si>
  <si>
    <t>TN15 6AY</t>
  </si>
  <si>
    <t>St John's Wood Pre-Preparatory School</t>
  </si>
  <si>
    <t>NW8 7NE</t>
  </si>
  <si>
    <t>Darvell School</t>
  </si>
  <si>
    <t>TN32 5DR</t>
  </si>
  <si>
    <t>Arc School Old Arley</t>
  </si>
  <si>
    <t>CV7 8NU</t>
  </si>
  <si>
    <t>Bicker Preparatory and Early Years School</t>
  </si>
  <si>
    <t>PE20 3DW</t>
  </si>
  <si>
    <t>Beis Aharon School</t>
  </si>
  <si>
    <t>N16 5ED</t>
  </si>
  <si>
    <t>Cambian Beverley School</t>
  </si>
  <si>
    <t>HU17 0EW</t>
  </si>
  <si>
    <t>Cambian Whinfell School</t>
  </si>
  <si>
    <t>LA9 5EZ</t>
  </si>
  <si>
    <t>South Park Enterprise College (11-19)</t>
  </si>
  <si>
    <t>DN17 2TX</t>
  </si>
  <si>
    <t>Shelldene House School</t>
  </si>
  <si>
    <t>PE14 0HJ</t>
  </si>
  <si>
    <t>TLG Manchester</t>
  </si>
  <si>
    <t>M9 5US</t>
  </si>
  <si>
    <t>Ateres Girls High School</t>
  </si>
  <si>
    <t>NE10 9PQ</t>
  </si>
  <si>
    <t>Serene House School</t>
  </si>
  <si>
    <t>The Complete Works Independent School</t>
  </si>
  <si>
    <t>E1 6LP</t>
  </si>
  <si>
    <t>Westminster Tutors</t>
  </si>
  <si>
    <t>SW7 3LQ</t>
  </si>
  <si>
    <t>Treasure House London CIC</t>
  </si>
  <si>
    <t>SE15 1JF</t>
  </si>
  <si>
    <t>Soteria House School</t>
  </si>
  <si>
    <t>NG34 9SJ</t>
  </si>
  <si>
    <t>Manorway Academy</t>
  </si>
  <si>
    <t>ME4 6BA</t>
  </si>
  <si>
    <t>New Barn School</t>
  </si>
  <si>
    <t>RH12 3PQ</t>
  </si>
  <si>
    <t>Progress Schools - Toxteth</t>
  </si>
  <si>
    <t>L8 8HD</t>
  </si>
  <si>
    <t>The Wasp Centre</t>
  </si>
  <si>
    <t>SP2 7PY</t>
  </si>
  <si>
    <t>Releasing Potential</t>
  </si>
  <si>
    <t>PO9 1LS</t>
  </si>
  <si>
    <t>Priory School</t>
  </si>
  <si>
    <t>Isle of Wight</t>
  </si>
  <si>
    <t>PO32 6LP</t>
  </si>
  <si>
    <t>Emmanuel School</t>
  </si>
  <si>
    <t>WS2 8PR</t>
  </si>
  <si>
    <t>The Island Project School</t>
  </si>
  <si>
    <t>CV7 7HQ</t>
  </si>
  <si>
    <t>Inaura School</t>
  </si>
  <si>
    <t>TA7 0RB</t>
  </si>
  <si>
    <t>La Chouette School</t>
  </si>
  <si>
    <t>W5 2PJ</t>
  </si>
  <si>
    <t>Arc School Ansley</t>
  </si>
  <si>
    <t>CV10 9ND</t>
  </si>
  <si>
    <t>The Norwegian Kindergarten In London</t>
  </si>
  <si>
    <t>Tlg Wakefield</t>
  </si>
  <si>
    <t>WF6 1NT</t>
  </si>
  <si>
    <t>Reflections Small School</t>
  </si>
  <si>
    <t>BN11 1PS</t>
  </si>
  <si>
    <t>Crossley Manor</t>
  </si>
  <si>
    <t>L35 6NE</t>
  </si>
  <si>
    <t>Edith Kay Independent School</t>
  </si>
  <si>
    <t>NW10 8HR</t>
  </si>
  <si>
    <t>Open Box Education Centre</t>
  </si>
  <si>
    <t>CM16 5DN</t>
  </si>
  <si>
    <t>Bradshaw Farm Independent School</t>
  </si>
  <si>
    <t>SK17 0QY</t>
  </si>
  <si>
    <t>Centre Academy London</t>
  </si>
  <si>
    <t>SW11 1SH</t>
  </si>
  <si>
    <t>St Mary's Hare Park School</t>
  </si>
  <si>
    <t>RM2 6HH</t>
  </si>
  <si>
    <t>St Edward's School</t>
  </si>
  <si>
    <t>SO51 6ZR</t>
  </si>
  <si>
    <t>Grateley House School</t>
  </si>
  <si>
    <t>SP11 8TA</t>
  </si>
  <si>
    <t>Shernold School</t>
  </si>
  <si>
    <t>ME16 0ER</t>
  </si>
  <si>
    <t>Learning Opportunities Centre Secondary</t>
  </si>
  <si>
    <t>CT14 8DW</t>
  </si>
  <si>
    <t>Tiferes High School</t>
  </si>
  <si>
    <t>NW4 2TA</t>
  </si>
  <si>
    <t>The Old Priory School</t>
  </si>
  <si>
    <t>CT11 9PG</t>
  </si>
  <si>
    <t>Brighton and Hove Montessori School</t>
  </si>
  <si>
    <t>BN1 6FB</t>
  </si>
  <si>
    <t>Right Choice Independent Special School</t>
  </si>
  <si>
    <t>SE18 6BB</t>
  </si>
  <si>
    <t>Emmanuel Christian School</t>
  </si>
  <si>
    <t>LE3 1QP</t>
  </si>
  <si>
    <t>Newbury Hall School</t>
  </si>
  <si>
    <t>RG14 6AD</t>
  </si>
  <si>
    <t>The Corner House School (Chs)</t>
  </si>
  <si>
    <t>B98 9BD</t>
  </si>
  <si>
    <t>TLC The Learning Centre</t>
  </si>
  <si>
    <t>BR5 1EB</t>
  </si>
  <si>
    <t>RISE Education</t>
  </si>
  <si>
    <t>CR4 3ED</t>
  </si>
  <si>
    <t>Unity Girls High School</t>
  </si>
  <si>
    <t>NW10 0LN</t>
  </si>
  <si>
    <t>Shaftesbury Extended Learning Centre</t>
  </si>
  <si>
    <t>CV7 8LA</t>
  </si>
  <si>
    <t>Ahavas Torah Boys Academy</t>
  </si>
  <si>
    <t>M27 8SJ</t>
  </si>
  <si>
    <t>Inspired Directions School</t>
  </si>
  <si>
    <t>E8 3AZ</t>
  </si>
  <si>
    <t>Manchester Vocational and Learning Academy</t>
  </si>
  <si>
    <t>M19 3AQ</t>
  </si>
  <si>
    <t>Gesher Primary Special School</t>
  </si>
  <si>
    <t>NW2 3BS</t>
  </si>
  <si>
    <t>Dovecote School</t>
  </si>
  <si>
    <t>HR9 6PB</t>
  </si>
  <si>
    <t>Bnois Jerusalem Girls School</t>
  </si>
  <si>
    <t>Quay View School</t>
  </si>
  <si>
    <t>PL20 7EX</t>
  </si>
  <si>
    <t>HR8 2PZ</t>
  </si>
  <si>
    <t>Cambian Walnut Tree Lodge School</t>
  </si>
  <si>
    <t>MK44 2PY</t>
  </si>
  <si>
    <t>Hillcrest Glebedale School</t>
  </si>
  <si>
    <t>ST4 3AY</t>
  </si>
  <si>
    <t>Our Place</t>
  </si>
  <si>
    <t>WR6 5JE</t>
  </si>
  <si>
    <t>Beis Medrash Elyon</t>
  </si>
  <si>
    <t>NW9 7DH</t>
  </si>
  <si>
    <t>Training and Skills Centre</t>
  </si>
  <si>
    <t>BD3 9BE</t>
  </si>
  <si>
    <t>Phoenixplace</t>
  </si>
  <si>
    <t>SE5 0NA</t>
  </si>
  <si>
    <t>Chances Educational Support Services</t>
  </si>
  <si>
    <t>EX7 0AF</t>
  </si>
  <si>
    <t>Beechtree Steiner Initiative</t>
  </si>
  <si>
    <t>LS7 4HZ</t>
  </si>
  <si>
    <t>Maple House</t>
  </si>
  <si>
    <t>BB4 6LN</t>
  </si>
  <si>
    <t>Wetherby Kensington</t>
  </si>
  <si>
    <t>SW5 0JN</t>
  </si>
  <si>
    <t>Nightingale House School</t>
  </si>
  <si>
    <t>Bryony School</t>
  </si>
  <si>
    <t>ME8 0AJ</t>
  </si>
  <si>
    <t>St Joseph's Convent Independent Preparatory School</t>
  </si>
  <si>
    <t>DA12 1NR</t>
  </si>
  <si>
    <t>Al-Furqaan Preparatory School</t>
  </si>
  <si>
    <t>WF13 2JR</t>
  </si>
  <si>
    <t>Pegasus School</t>
  </si>
  <si>
    <t>DE12 6RS</t>
  </si>
  <si>
    <t>3 Dimensions</t>
  </si>
  <si>
    <t>TA20 3AJ</t>
  </si>
  <si>
    <t>Aim Habonim</t>
  </si>
  <si>
    <t>M7 4NX</t>
  </si>
  <si>
    <t>Bnos Beis Yaakov Primary School</t>
  </si>
  <si>
    <t>NW9 8XR</t>
  </si>
  <si>
    <t>Cheshire Alternative Provision School</t>
  </si>
  <si>
    <t>CW12 1EH</t>
  </si>
  <si>
    <t>Lubavitch Senior Boys' School</t>
  </si>
  <si>
    <t>E5 9AE</t>
  </si>
  <si>
    <t>The Rowan School</t>
  </si>
  <si>
    <t>WV14 9JW</t>
  </si>
  <si>
    <t>Parkview Academy</t>
  </si>
  <si>
    <t>CT9 2AN</t>
  </si>
  <si>
    <t>Central Birmingham Education Centre</t>
  </si>
  <si>
    <t>B18 7HF</t>
  </si>
  <si>
    <t>Cherry Tree School</t>
  </si>
  <si>
    <t>CT9 5QN</t>
  </si>
  <si>
    <t>Peregrinate Ltd</t>
  </si>
  <si>
    <t>L9 7BN</t>
  </si>
  <si>
    <t>Watchorn Christian School</t>
  </si>
  <si>
    <t>DE55 7AQ</t>
  </si>
  <si>
    <t>College Francais Bilingue De Londres</t>
  </si>
  <si>
    <t>NW5 3AX</t>
  </si>
  <si>
    <t>Lycee Francais Charles de Gaulle</t>
  </si>
  <si>
    <t>SW7 2DG</t>
  </si>
  <si>
    <t>Beis Chinuch Lebonos Girls School</t>
  </si>
  <si>
    <t>N4 2SH</t>
  </si>
  <si>
    <t>Jaamiatul Imaam Muhammad Zakaria</t>
  </si>
  <si>
    <t>BD14 6JX</t>
  </si>
  <si>
    <t>Vranch House School</t>
  </si>
  <si>
    <t>EX4 8AD</t>
  </si>
  <si>
    <t>Chartfield School</t>
  </si>
  <si>
    <t>CT8 8DA</t>
  </si>
  <si>
    <t>Rikkyo School-in-England</t>
  </si>
  <si>
    <t>RH12 3BE</t>
  </si>
  <si>
    <t>Avondale Preparatory School</t>
  </si>
  <si>
    <t>SP4 9DR</t>
  </si>
  <si>
    <t>N15 5RG</t>
  </si>
  <si>
    <t>Step By Step School</t>
  </si>
  <si>
    <t>RH19 4HP</t>
  </si>
  <si>
    <t>Parkside House School</t>
  </si>
  <si>
    <t>NE27 0AB</t>
  </si>
  <si>
    <t>Papillon House</t>
  </si>
  <si>
    <t>KT20 7PA</t>
  </si>
  <si>
    <t>Options Higford</t>
  </si>
  <si>
    <t>TF11 9ET</t>
  </si>
  <si>
    <t>New Forest Small School</t>
  </si>
  <si>
    <t>SO43 7BU</t>
  </si>
  <si>
    <t>Kimichi School</t>
  </si>
  <si>
    <t>B27 6LL</t>
  </si>
  <si>
    <t>Arbour House</t>
  </si>
  <si>
    <t>DT4 7QF</t>
  </si>
  <si>
    <t>Bluebell School</t>
  </si>
  <si>
    <t>ST7 1EH</t>
  </si>
  <si>
    <t>Kings Brighton</t>
  </si>
  <si>
    <t>BN1 4SB</t>
  </si>
  <si>
    <t>L'Ecole de Battersea</t>
  </si>
  <si>
    <t>SW11 3DS</t>
  </si>
  <si>
    <t>Rutherford School</t>
  </si>
  <si>
    <t>CR2 7HZ</t>
  </si>
  <si>
    <t>Twycross House Pre-Preparatory School</t>
  </si>
  <si>
    <t>CV9 3PQ</t>
  </si>
  <si>
    <t>Roaches School</t>
  </si>
  <si>
    <t>ST8 7AB</t>
  </si>
  <si>
    <t>Barnet Hill Academy</t>
  </si>
  <si>
    <t>NW4 3ES</t>
  </si>
  <si>
    <t>Beis Trana Girls' School</t>
  </si>
  <si>
    <t>E5 9DH</t>
  </si>
  <si>
    <t>On Track Education Centre Totnes</t>
  </si>
  <si>
    <t>TQ9 5LQ</t>
  </si>
  <si>
    <t xml:space="preserve">Tumblewood Community School  </t>
  </si>
  <si>
    <t>BA13 4LF</t>
  </si>
  <si>
    <t>Freyburg School</t>
  </si>
  <si>
    <t>S80 3BP</t>
  </si>
  <si>
    <t>Great Howarth School</t>
  </si>
  <si>
    <t>OL12 9HJ</t>
  </si>
  <si>
    <t>Eagle House School Sutton</t>
  </si>
  <si>
    <t>SM2 5SJ</t>
  </si>
  <si>
    <t>Cambian Devon School</t>
  </si>
  <si>
    <t>TQ4 7DQ</t>
  </si>
  <si>
    <t>Old Sams Farm Independent School</t>
  </si>
  <si>
    <t>SK17 0SN</t>
  </si>
  <si>
    <t>Independent Educational Services</t>
  </si>
  <si>
    <t>CV10 8JH</t>
  </si>
  <si>
    <t>ALP Leicester</t>
  </si>
  <si>
    <t>LE4 4JG</t>
  </si>
  <si>
    <t>Pennine House School</t>
  </si>
  <si>
    <t>BL9 7TD</t>
  </si>
  <si>
    <t>The Retreat</t>
  </si>
  <si>
    <t>Gateshead Jewish Boarding School</t>
  </si>
  <si>
    <t>NE8 1HG</t>
  </si>
  <si>
    <t>Alderwasley Hall School</t>
  </si>
  <si>
    <t>DE56 2SR</t>
  </si>
  <si>
    <t>Hartmore School</t>
  </si>
  <si>
    <t>GL19 3BG</t>
  </si>
  <si>
    <t>The Loddon School</t>
  </si>
  <si>
    <t>RG27 0JD</t>
  </si>
  <si>
    <t>Yeshivah Ohr Torah School</t>
  </si>
  <si>
    <t>M7 4FX</t>
  </si>
  <si>
    <t>Darwin School</t>
  </si>
  <si>
    <t xml:space="preserve">Wathen Grange School </t>
  </si>
  <si>
    <t>CV9 1PZ</t>
  </si>
  <si>
    <t>East London Independent Special School</t>
  </si>
  <si>
    <t>E15 4HT</t>
  </si>
  <si>
    <t>TLG Reading</t>
  </si>
  <si>
    <t>RG31 4XR</t>
  </si>
  <si>
    <t>CV10 8JX</t>
  </si>
  <si>
    <t>Arc School Napton</t>
  </si>
  <si>
    <t>UB11 1AA</t>
  </si>
  <si>
    <t>Rotunda Independent School for Excellence</t>
  </si>
  <si>
    <t>L5 2PL</t>
  </si>
  <si>
    <t>Tram House School</t>
  </si>
  <si>
    <t>SW17 0NY</t>
  </si>
  <si>
    <t>On Track Education Centre Barnstaple</t>
  </si>
  <si>
    <t>EX32 8PA</t>
  </si>
  <si>
    <t>M7 4AJ</t>
  </si>
  <si>
    <t>Eden School</t>
  </si>
  <si>
    <t>SK10 3LQ</t>
  </si>
  <si>
    <t>Islamiyah School</t>
  </si>
  <si>
    <t>BB1 5NQ</t>
  </si>
  <si>
    <t>Al-Madani Independent Grammar School</t>
  </si>
  <si>
    <t>The Children's House School</t>
  </si>
  <si>
    <t>Zakariya Primary School</t>
  </si>
  <si>
    <t>Woodcote House School</t>
  </si>
  <si>
    <t>GU20 6PF</t>
  </si>
  <si>
    <t>Norwich Steiner School</t>
  </si>
  <si>
    <t>NR1 2HW</t>
  </si>
  <si>
    <t>The St Michael Steiner School</t>
  </si>
  <si>
    <t>TW13 6PN</t>
  </si>
  <si>
    <t>London Tutorial College</t>
  </si>
  <si>
    <t>KT6 7AB</t>
  </si>
  <si>
    <t>Youth Works Community College</t>
  </si>
  <si>
    <t>NN16 9HX</t>
  </si>
  <si>
    <t>Royale International School of Education</t>
  </si>
  <si>
    <t>OX2 0DJ</t>
  </si>
  <si>
    <t>The Independent Grammar School, Durham</t>
  </si>
  <si>
    <t>DH1 1RH</t>
  </si>
  <si>
    <t>Assure Community College</t>
  </si>
  <si>
    <t>SO16 6RB</t>
  </si>
  <si>
    <t>Re-Entry</t>
  </si>
  <si>
    <t>WV10 9PE</t>
  </si>
  <si>
    <t>Good Apple Independent School</t>
  </si>
  <si>
    <t>DN21 2NS</t>
  </si>
  <si>
    <t>The Beech House School</t>
  </si>
  <si>
    <t>KT8 2EJ</t>
  </si>
  <si>
    <t>Cannon Hill Girls School</t>
  </si>
  <si>
    <t>B12 9LB</t>
  </si>
  <si>
    <t>Unique Children's School</t>
  </si>
  <si>
    <t>N10 2PS</t>
  </si>
  <si>
    <t>Liral Veget College London</t>
  </si>
  <si>
    <t>SE1 5TY</t>
  </si>
  <si>
    <t>Jameah Boys Academy</t>
  </si>
  <si>
    <t>LE5 3SQ</t>
  </si>
  <si>
    <t>The Bridge</t>
  </si>
  <si>
    <t>RM1 2PS</t>
  </si>
  <si>
    <t>Priory Blandford Camhs</t>
  </si>
  <si>
    <t>DT11 7HX</t>
  </si>
  <si>
    <t>The Stables</t>
  </si>
  <si>
    <t>NR12 9EU</t>
  </si>
  <si>
    <t>Potters Bar Clinic School</t>
  </si>
  <si>
    <t>EN6 2SE</t>
  </si>
  <si>
    <t>The Greater Horseshoe School</t>
  </si>
  <si>
    <t>TQ12 6RH</t>
  </si>
  <si>
    <t>Ameina Community Education</t>
  </si>
  <si>
    <t>LU1 3RG</t>
  </si>
  <si>
    <t>Teenage Works</t>
  </si>
  <si>
    <t>M35 9RD</t>
  </si>
  <si>
    <t>Met
No response
Not in scope for this inspection
Not met</t>
  </si>
  <si>
    <r>
      <rPr>
        <b/>
        <sz val="12"/>
        <rFont val="Tahoma"/>
        <family val="2"/>
      </rPr>
      <t xml:space="preserve">Guidance
</t>
    </r>
    <r>
      <rPr>
        <sz val="12"/>
        <rFont val="Tahoma"/>
        <family val="2"/>
      </rPr>
      <t xml:space="preserve">
</t>
    </r>
  </si>
  <si>
    <t>Christian
Church of England
Church of England/Christian
Church of England/Free Church
Church of England/Methodist
Church of England/Methodist/United Reform Church/Baptist
Church of England/Roman Catholic
Church of England/United Reformed Church
Greek Orthodox
Hindu
Inter- / non- denominational
Islam
Orthodox Jewish
Methodist
Methodist/Church of England
Muslim
None
Quaker
Roman Catholic
Roman Catholic/Church of England
Seventh Day Adventist
Sikh
United Reformed Church</t>
  </si>
  <si>
    <t>Christian
Church of England
Church of England/Christian
Church of England/Free Church
Church of England/Methodist
Church of England/Methodist/United Reform Church/Baptist
Church of England/Roman Catholic
Church of England/United Reformed Church
Greek Orthodox
Hindu
Inter- / non- denominational
Islam
Jewish
Orthodox Jewish
Methodist
Methodist/Church of England
Muslim
None
Quaker
Roman Catholic
Roman Catholic/Church of England
Seventh Day Adventist
Sikh
United Reformed Church</t>
  </si>
  <si>
    <t>Most recent inspections as at 31 March 2019, published by 31 March 2019</t>
  </si>
  <si>
    <t>Most recent inspections as at 31 March, published by 31 March 2019</t>
  </si>
  <si>
    <r>
      <t>Table 4a: Non-association independent schools overall effectiveness at their most recent standard inspection</t>
    </r>
    <r>
      <rPr>
        <b/>
        <vertAlign val="superscript"/>
        <sz val="12"/>
        <color theme="1"/>
        <rFont val="Tahoma"/>
        <family val="2"/>
      </rPr>
      <t>1 2 3 4 5</t>
    </r>
    <r>
      <rPr>
        <b/>
        <sz val="12"/>
        <color theme="1"/>
        <rFont val="Tahoma"/>
        <family val="2"/>
      </rPr>
      <t xml:space="preserve"> </t>
    </r>
    <r>
      <rPr>
        <b/>
        <vertAlign val="superscript"/>
        <sz val="12"/>
        <color theme="1"/>
        <rFont val="Tahoma"/>
        <family val="2"/>
      </rPr>
      <t>6</t>
    </r>
  </si>
  <si>
    <r>
      <t>Table 4b: Non-association independent schools overall effectiveness at their most recent standard inspection, by faith grouping</t>
    </r>
    <r>
      <rPr>
        <b/>
        <vertAlign val="superscript"/>
        <sz val="12"/>
        <color theme="1"/>
        <rFont val="Tahoma"/>
        <family val="2"/>
      </rPr>
      <t>1 2 3 4 5 6</t>
    </r>
    <r>
      <rPr>
        <b/>
        <sz val="12"/>
        <color theme="1"/>
        <rFont val="Tahoma"/>
        <family val="2"/>
      </rPr>
      <t xml:space="preserve"> </t>
    </r>
    <r>
      <rPr>
        <b/>
        <vertAlign val="superscript"/>
        <sz val="12"/>
        <color theme="1"/>
        <rFont val="Tahoma"/>
        <family val="2"/>
      </rPr>
      <t>7</t>
    </r>
    <r>
      <rPr>
        <b/>
        <sz val="12"/>
        <color theme="1"/>
        <rFont val="Tahoma"/>
        <family val="2"/>
      </rPr>
      <t xml:space="preserve"> </t>
    </r>
  </si>
  <si>
    <t xml:space="preserve">The publication date of an inspection report is the date it was marked ‘published’ in our administrative system. </t>
  </si>
  <si>
    <t>Due to inspection volumes and publication processing times, it can take up to 24 hours for this to be reflected on our website.</t>
  </si>
  <si>
    <t>6. The total number of schools judged on their compliance with the Independent School Standards does not add up to the total number of schools inspected. Most schools which were judged on their compliance with the Independent School Standards were inspected from 2015 onwards.</t>
  </si>
  <si>
    <t>7. The total number of schools judged on their compliance with the Independent School Standards does not add up to the total number of schools inspected. Most schools which were judged on their compliance with the Independent School Standards were inspected from 2015 onwards.</t>
  </si>
  <si>
    <t>Independent school standard inspection</t>
  </si>
  <si>
    <t>Independent school standard inspection
Independent school standard inspection - first
Independent school standard inspection - group
Independent school standard inspection - integrated
Independent school standard inspection - integrated - first
S162a - Boarding Pilot Historic
S162a - LTI Inspection Historic
S162a - LTI Integrated Inspection Historic
S162a - LTI Pilot Historic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</si>
</sst>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0"/>
      <color theme="1"/>
      <name val="Tahoma"/>
      <family val="2"/>
    </font>
    <font>
      <sz val="10"/>
      <color theme="1"/>
      <name val="Tahoma"/>
      <family val="2"/>
    </font>
    <font>
      <b/>
      <sz val="10"/>
      <color theme="0"/>
      <name val="Tahoma"/>
      <family val="2"/>
    </font>
    <font>
      <sz val="10"/>
      <color rgb="FFFF0000"/>
      <name val="Tahoma"/>
      <family val="2"/>
    </font>
    <font>
      <b/>
      <sz val="10"/>
      <color theme="1"/>
      <name val="Tahoma"/>
      <family val="2"/>
    </font>
    <font>
      <u/>
      <sz val="10"/>
      <color theme="10"/>
      <name val="Tahoma"/>
      <family val="2"/>
    </font>
    <font>
      <sz val="10"/>
      <name val="Tahoma"/>
      <family val="2"/>
    </font>
    <font>
      <sz val="12"/>
      <name val="Tahoma"/>
      <family val="2"/>
    </font>
    <font>
      <sz val="11"/>
      <color theme="1"/>
      <name val="Calibri"/>
      <family val="2"/>
      <scheme val="minor"/>
    </font>
    <font>
      <b/>
      <sz val="20"/>
      <color indexed="9"/>
      <name val="Tahoma"/>
      <family val="2"/>
    </font>
    <font>
      <sz val="11"/>
      <color rgb="FFFF0000"/>
      <name val="Calibri"/>
      <family val="2"/>
      <scheme val="minor"/>
    </font>
    <font>
      <b/>
      <sz val="12"/>
      <name val="Tahoma"/>
      <family val="2"/>
    </font>
    <font>
      <sz val="12"/>
      <color theme="10"/>
      <name val="Tahoma"/>
      <family val="2"/>
    </font>
    <font>
      <u/>
      <sz val="10"/>
      <color indexed="12"/>
      <name val="Tahoma"/>
      <family val="2"/>
    </font>
    <font>
      <sz val="12"/>
      <color indexed="12"/>
      <name val="Tahoma"/>
      <family val="2"/>
    </font>
    <font>
      <sz val="11"/>
      <name val="Calibri"/>
      <family val="2"/>
      <scheme val="minor"/>
    </font>
    <font>
      <sz val="12"/>
      <color theme="1"/>
      <name val="Tahoma"/>
      <family val="2"/>
    </font>
    <font>
      <b/>
      <u/>
      <sz val="12"/>
      <name val="Tahoma"/>
      <family val="2"/>
    </font>
    <font>
      <u/>
      <sz val="12"/>
      <color indexed="12"/>
      <name val="Tahoma"/>
      <family val="2"/>
    </font>
    <font>
      <u/>
      <sz val="12"/>
      <color theme="10"/>
      <name val="Tahoma"/>
      <family val="2"/>
    </font>
    <font>
      <b/>
      <sz val="12"/>
      <color theme="1"/>
      <name val="Tahoma"/>
      <family val="2"/>
    </font>
    <font>
      <b/>
      <vertAlign val="superscript"/>
      <sz val="12"/>
      <color theme="1"/>
      <name val="Tahoma"/>
      <family val="2"/>
    </font>
    <font>
      <b/>
      <sz val="10"/>
      <name val="Tahoma"/>
      <family val="2"/>
    </font>
    <font>
      <b/>
      <vertAlign val="superscript"/>
      <sz val="12"/>
      <name val="Tahoma"/>
      <family val="2"/>
    </font>
    <font>
      <b/>
      <sz val="10"/>
      <color rgb="FFFF0000"/>
      <name val="Tahoma"/>
      <family val="2"/>
    </font>
    <font>
      <i/>
      <sz val="10"/>
      <name val="Tahoma"/>
      <family val="2"/>
    </font>
    <font>
      <sz val="10"/>
      <color rgb="FF000000"/>
      <name val="Tahoma"/>
      <family val="2"/>
    </font>
    <font>
      <u/>
      <sz val="11"/>
      <color rgb="FF0070C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theme="4"/>
      </patternFill>
    </fill>
    <fill>
      <patternFill patternType="solid">
        <fgColor theme="8" tint="0.79998168889431442"/>
        <bgColor theme="4" tint="0.59999389629810485"/>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8" tint="0.59999389629810485"/>
        <bgColor theme="4" tint="0.59999389629810485"/>
      </patternFill>
    </fill>
  </fills>
  <borders count="88">
    <border>
      <left/>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bottom style="thin">
        <color theme="0"/>
      </bottom>
      <diagonal/>
    </border>
    <border>
      <left style="thin">
        <color theme="0"/>
      </left>
      <right/>
      <top/>
      <bottom style="thin">
        <color theme="0"/>
      </bottom>
      <diagonal/>
    </border>
    <border>
      <left style="thin">
        <color theme="0"/>
      </left>
      <right/>
      <top/>
      <bottom/>
      <diagonal/>
    </border>
    <border>
      <left style="thin">
        <color theme="0"/>
      </left>
      <right style="thin">
        <color indexed="64"/>
      </right>
      <top/>
      <bottom style="thin">
        <color theme="0"/>
      </bottom>
      <diagonal/>
    </border>
    <border>
      <left style="thin">
        <color theme="0"/>
      </left>
      <right/>
      <top style="thin">
        <color theme="0"/>
      </top>
      <bottom/>
      <diagonal/>
    </border>
    <border>
      <left style="thin">
        <color theme="0"/>
      </left>
      <right style="thin">
        <color indexed="64"/>
      </right>
      <top style="thin">
        <color theme="0"/>
      </top>
      <bottom/>
      <diagonal/>
    </border>
    <border>
      <left style="thin">
        <color indexed="64"/>
      </left>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indexed="64"/>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indexed="64"/>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indexed="64"/>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theme="0"/>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s>
  <cellStyleXfs count="7">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13" fillId="0" borderId="0" applyNumberFormat="0" applyFill="0" applyBorder="0" applyAlignment="0" applyProtection="0">
      <alignment vertical="top"/>
      <protection locked="0"/>
    </xf>
    <xf numFmtId="0" fontId="6" fillId="0" borderId="0"/>
    <xf numFmtId="0" fontId="6" fillId="0" borderId="0"/>
  </cellStyleXfs>
  <cellXfs count="314">
    <xf numFmtId="0" fontId="0" fillId="0" borderId="0" xfId="0"/>
    <xf numFmtId="0" fontId="8" fillId="2" borderId="0" xfId="0" applyFont="1" applyFill="1"/>
    <xf numFmtId="0" fontId="7" fillId="0" borderId="3" xfId="3" applyFont="1" applyBorder="1" applyAlignment="1" applyProtection="1">
      <alignment vertical="center" wrapText="1"/>
      <protection locked="0" hidden="1"/>
    </xf>
    <xf numFmtId="0" fontId="7" fillId="0" borderId="4" xfId="3" applyFont="1" applyBorder="1" applyAlignment="1" applyProtection="1">
      <alignment vertical="center" wrapText="1"/>
      <protection locked="0" hidden="1"/>
    </xf>
    <xf numFmtId="0" fontId="7" fillId="0" borderId="2" xfId="3" applyFont="1" applyBorder="1" applyAlignment="1" applyProtection="1">
      <alignment vertical="center" wrapText="1"/>
      <protection hidden="1"/>
    </xf>
    <xf numFmtId="0" fontId="10" fillId="2" borderId="0" xfId="0" applyFont="1" applyFill="1"/>
    <xf numFmtId="0" fontId="11" fillId="0" borderId="3" xfId="3" applyFont="1" applyBorder="1" applyAlignment="1" applyProtection="1">
      <alignment vertical="center" wrapText="1"/>
      <protection locked="0" hidden="1"/>
    </xf>
    <xf numFmtId="0" fontId="7" fillId="2" borderId="3" xfId="3" applyFont="1" applyFill="1" applyBorder="1" applyAlignment="1" applyProtection="1">
      <alignment horizontal="left" vertical="center" wrapText="1"/>
      <protection locked="0" hidden="1"/>
    </xf>
    <xf numFmtId="0" fontId="7" fillId="0" borderId="3" xfId="3" applyFont="1" applyBorder="1" applyAlignment="1" applyProtection="1">
      <alignment horizontal="left" vertical="center" wrapText="1"/>
      <protection locked="0" hidden="1"/>
    </xf>
    <xf numFmtId="0" fontId="12" fillId="0" borderId="3" xfId="2" applyFont="1" applyBorder="1" applyAlignment="1" applyProtection="1">
      <alignment horizontal="left" vertical="center" wrapText="1"/>
      <protection locked="0" hidden="1"/>
    </xf>
    <xf numFmtId="0" fontId="7" fillId="2" borderId="5" xfId="3" applyFont="1" applyFill="1" applyBorder="1" applyProtection="1">
      <protection locked="0" hidden="1"/>
    </xf>
    <xf numFmtId="0" fontId="7" fillId="2" borderId="6" xfId="3" applyFont="1" applyFill="1" applyBorder="1" applyProtection="1">
      <protection locked="0" hidden="1"/>
    </xf>
    <xf numFmtId="3" fontId="7" fillId="2" borderId="5" xfId="3" applyNumberFormat="1" applyFont="1" applyFill="1" applyBorder="1" applyProtection="1">
      <protection locked="0" hidden="1"/>
    </xf>
    <xf numFmtId="3" fontId="7" fillId="2" borderId="6" xfId="3" applyNumberFormat="1" applyFont="1" applyFill="1" applyBorder="1" applyProtection="1">
      <protection locked="0" hidden="1"/>
    </xf>
    <xf numFmtId="3" fontId="11" fillId="2" borderId="6" xfId="3" applyNumberFormat="1" applyFont="1" applyFill="1" applyBorder="1" applyProtection="1">
      <protection locked="0" hidden="1"/>
    </xf>
    <xf numFmtId="3" fontId="7" fillId="2" borderId="6" xfId="3" applyNumberFormat="1" applyFont="1" applyFill="1" applyBorder="1" applyAlignment="1" applyProtection="1">
      <alignment wrapText="1"/>
      <protection locked="0" hidden="1"/>
    </xf>
    <xf numFmtId="3" fontId="7" fillId="2" borderId="5" xfId="3" applyNumberFormat="1" applyFont="1" applyFill="1" applyBorder="1" applyAlignment="1" applyProtection="1">
      <alignment wrapText="1"/>
      <protection locked="0" hidden="1"/>
    </xf>
    <xf numFmtId="3" fontId="12" fillId="2" borderId="5" xfId="2" applyNumberFormat="1" applyFont="1" applyFill="1" applyBorder="1" applyProtection="1">
      <protection locked="0" hidden="1"/>
    </xf>
    <xf numFmtId="3" fontId="14" fillId="2" borderId="6" xfId="4" applyNumberFormat="1" applyFont="1" applyFill="1" applyBorder="1" applyAlignment="1" applyProtection="1">
      <protection locked="0" hidden="1"/>
    </xf>
    <xf numFmtId="3" fontId="7" fillId="2" borderId="7" xfId="3" applyNumberFormat="1" applyFont="1" applyFill="1" applyBorder="1" applyProtection="1">
      <protection locked="0" hidden="1"/>
    </xf>
    <xf numFmtId="3" fontId="7" fillId="2" borderId="8" xfId="3" applyNumberFormat="1" applyFont="1" applyFill="1" applyBorder="1" applyProtection="1">
      <protection locked="0" hidden="1"/>
    </xf>
    <xf numFmtId="0" fontId="15" fillId="2" borderId="0" xfId="0" applyFont="1" applyFill="1"/>
    <xf numFmtId="0" fontId="11" fillId="4" borderId="0" xfId="5" applyFont="1" applyFill="1" applyProtection="1">
      <protection locked="0" hidden="1"/>
    </xf>
    <xf numFmtId="0" fontId="7" fillId="4" borderId="0" xfId="5" applyFont="1" applyFill="1" applyProtection="1">
      <protection locked="0" hidden="1"/>
    </xf>
    <xf numFmtId="0" fontId="16" fillId="2" borderId="0" xfId="0" applyFont="1" applyFill="1"/>
    <xf numFmtId="0" fontId="17" fillId="4" borderId="0" xfId="5" applyFont="1" applyFill="1" applyProtection="1">
      <protection locked="0" hidden="1"/>
    </xf>
    <xf numFmtId="0" fontId="18" fillId="2" borderId="0" xfId="4" applyFont="1" applyFill="1" applyAlignment="1" applyProtection="1">
      <alignment horizontal="left" vertical="center"/>
      <protection hidden="1"/>
    </xf>
    <xf numFmtId="0" fontId="18" fillId="2" borderId="0" xfId="4" applyFont="1" applyFill="1" applyAlignment="1" applyProtection="1">
      <alignment horizontal="left" vertical="top"/>
      <protection hidden="1"/>
    </xf>
    <xf numFmtId="0" fontId="0" fillId="2" borderId="0" xfId="0" applyFill="1"/>
    <xf numFmtId="0" fontId="19" fillId="2" borderId="0" xfId="2" applyFont="1" applyFill="1"/>
    <xf numFmtId="0" fontId="20" fillId="2" borderId="0" xfId="0" applyFont="1" applyFill="1"/>
    <xf numFmtId="0" fontId="11" fillId="5" borderId="9" xfId="0" applyFont="1" applyFill="1" applyBorder="1"/>
    <xf numFmtId="0" fontId="11" fillId="5" borderId="10" xfId="0" applyFont="1" applyFill="1" applyBorder="1"/>
    <xf numFmtId="0" fontId="16" fillId="2" borderId="9" xfId="0" applyFont="1" applyFill="1" applyBorder="1"/>
    <xf numFmtId="0" fontId="16" fillId="2" borderId="10" xfId="0" applyFont="1" applyFill="1" applyBorder="1"/>
    <xf numFmtId="0" fontId="16" fillId="2" borderId="11" xfId="0" applyFont="1" applyFill="1" applyBorder="1"/>
    <xf numFmtId="0" fontId="16" fillId="2" borderId="12" xfId="0" applyFont="1" applyFill="1" applyBorder="1"/>
    <xf numFmtId="0" fontId="1" fillId="2" borderId="0" xfId="0" applyFont="1" applyFill="1" applyAlignment="1">
      <alignment wrapText="1"/>
    </xf>
    <xf numFmtId="0" fontId="1" fillId="2" borderId="0" xfId="0" applyFont="1" applyFill="1" applyAlignment="1">
      <alignment vertical="center"/>
    </xf>
    <xf numFmtId="0" fontId="1" fillId="2" borderId="0" xfId="0" applyFont="1" applyFill="1" applyAlignment="1">
      <alignment vertical="center" wrapText="1"/>
    </xf>
    <xf numFmtId="0" fontId="1" fillId="2" borderId="0" xfId="0" applyFont="1" applyFill="1"/>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22" xfId="0" applyFont="1" applyFill="1" applyBorder="1" applyAlignment="1">
      <alignment vertical="center"/>
    </xf>
    <xf numFmtId="0" fontId="1" fillId="2" borderId="23" xfId="0" applyFont="1" applyFill="1" applyBorder="1" applyAlignment="1">
      <alignment vertical="center" wrapText="1"/>
    </xf>
    <xf numFmtId="0" fontId="0" fillId="2" borderId="22" xfId="0" applyFont="1" applyFill="1" applyBorder="1" applyAlignment="1">
      <alignment vertical="center"/>
    </xf>
    <xf numFmtId="0" fontId="1" fillId="2" borderId="27" xfId="0" applyFont="1" applyFill="1" applyBorder="1" applyAlignment="1">
      <alignment vertical="center"/>
    </xf>
    <xf numFmtId="0" fontId="1" fillId="2" borderId="29" xfId="0" applyFont="1" applyFill="1" applyBorder="1" applyAlignment="1">
      <alignment vertical="center" wrapText="1"/>
    </xf>
    <xf numFmtId="0" fontId="1" fillId="2" borderId="31" xfId="0" applyFont="1" applyFill="1" applyBorder="1" applyAlignment="1">
      <alignment vertical="center"/>
    </xf>
    <xf numFmtId="0" fontId="1" fillId="2" borderId="32" xfId="0" applyFont="1" applyFill="1" applyBorder="1" applyAlignment="1">
      <alignment vertical="center" wrapText="1"/>
    </xf>
    <xf numFmtId="0" fontId="4" fillId="2" borderId="0" xfId="0" applyFont="1" applyFill="1"/>
    <xf numFmtId="0" fontId="4" fillId="2" borderId="36" xfId="0" applyFont="1" applyFill="1" applyBorder="1"/>
    <xf numFmtId="0" fontId="22" fillId="2" borderId="29" xfId="0" applyFont="1" applyFill="1" applyBorder="1" applyAlignment="1">
      <alignment horizontal="right"/>
    </xf>
    <xf numFmtId="0" fontId="22" fillId="2" borderId="42" xfId="0" applyFont="1" applyFill="1" applyBorder="1" applyAlignment="1">
      <alignment horizontal="right"/>
    </xf>
    <xf numFmtId="0" fontId="22" fillId="2" borderId="43" xfId="0" applyFont="1" applyFill="1" applyBorder="1" applyAlignment="1">
      <alignment horizontal="right"/>
    </xf>
    <xf numFmtId="0" fontId="22" fillId="2" borderId="27" xfId="0" applyFont="1" applyFill="1" applyBorder="1" applyAlignment="1">
      <alignment horizontal="right"/>
    </xf>
    <xf numFmtId="1" fontId="22" fillId="2" borderId="44" xfId="0" applyNumberFormat="1" applyFont="1" applyFill="1" applyBorder="1" applyAlignment="1">
      <alignment horizontal="right"/>
    </xf>
    <xf numFmtId="1" fontId="22" fillId="2" borderId="45" xfId="0" applyNumberFormat="1" applyFont="1" applyFill="1" applyBorder="1" applyAlignment="1">
      <alignment horizontal="right"/>
    </xf>
    <xf numFmtId="1" fontId="22" fillId="2" borderId="46" xfId="0" applyNumberFormat="1" applyFont="1" applyFill="1" applyBorder="1" applyAlignment="1">
      <alignment horizontal="right"/>
    </xf>
    <xf numFmtId="1" fontId="22" fillId="2" borderId="27" xfId="1" applyNumberFormat="1" applyFont="1" applyFill="1" applyBorder="1" applyAlignment="1">
      <alignment horizontal="right"/>
    </xf>
    <xf numFmtId="0" fontId="1" fillId="2" borderId="36" xfId="0" applyFont="1" applyFill="1" applyBorder="1" applyAlignment="1">
      <alignment horizontal="left" indent="1"/>
    </xf>
    <xf numFmtId="0" fontId="6" fillId="2" borderId="36" xfId="0" applyFont="1" applyFill="1" applyBorder="1" applyAlignment="1">
      <alignment horizontal="right"/>
    </xf>
    <xf numFmtId="1" fontId="6" fillId="2" borderId="41" xfId="0" applyNumberFormat="1" applyFont="1" applyFill="1" applyBorder="1" applyAlignment="1">
      <alignment horizontal="right"/>
    </xf>
    <xf numFmtId="1" fontId="6" fillId="2" borderId="51" xfId="0" applyNumberFormat="1" applyFont="1" applyFill="1" applyBorder="1" applyAlignment="1">
      <alignment horizontal="right"/>
    </xf>
    <xf numFmtId="1" fontId="6" fillId="2" borderId="52" xfId="0" applyNumberFormat="1" applyFont="1" applyFill="1" applyBorder="1" applyAlignment="1">
      <alignment horizontal="right"/>
    </xf>
    <xf numFmtId="0" fontId="6" fillId="2" borderId="41" xfId="0" applyFont="1" applyFill="1" applyBorder="1" applyAlignment="1">
      <alignment horizontal="right"/>
    </xf>
    <xf numFmtId="0" fontId="6" fillId="2" borderId="37" xfId="0" applyFont="1" applyFill="1" applyBorder="1" applyAlignment="1">
      <alignment horizontal="right"/>
    </xf>
    <xf numFmtId="1" fontId="6" fillId="2" borderId="41" xfId="1" applyNumberFormat="1" applyFont="1" applyFill="1" applyBorder="1" applyAlignment="1">
      <alignment horizontal="right"/>
    </xf>
    <xf numFmtId="1" fontId="6" fillId="2" borderId="37" xfId="1" applyNumberFormat="1" applyFont="1" applyFill="1" applyBorder="1" applyAlignment="1">
      <alignment horizontal="right"/>
    </xf>
    <xf numFmtId="0" fontId="1" fillId="2" borderId="40" xfId="0" applyFont="1" applyFill="1" applyBorder="1" applyAlignment="1">
      <alignment horizontal="left" indent="1"/>
    </xf>
    <xf numFmtId="0" fontId="6" fillId="2" borderId="40" xfId="0" applyFont="1" applyFill="1" applyBorder="1" applyAlignment="1">
      <alignment horizontal="right"/>
    </xf>
    <xf numFmtId="1" fontId="6" fillId="2" borderId="56" xfId="0" applyNumberFormat="1" applyFont="1" applyFill="1" applyBorder="1" applyAlignment="1">
      <alignment horizontal="right"/>
    </xf>
    <xf numFmtId="1" fontId="6" fillId="2" borderId="55" xfId="0" applyNumberFormat="1" applyFont="1" applyFill="1" applyBorder="1" applyAlignment="1">
      <alignment horizontal="right"/>
    </xf>
    <xf numFmtId="1" fontId="6" fillId="2" borderId="57" xfId="0" applyNumberFormat="1" applyFont="1" applyFill="1" applyBorder="1" applyAlignment="1">
      <alignment horizontal="right"/>
    </xf>
    <xf numFmtId="0" fontId="6" fillId="2" borderId="53" xfId="0" applyFont="1" applyFill="1" applyBorder="1" applyAlignment="1">
      <alignment horizontal="right"/>
    </xf>
    <xf numFmtId="0" fontId="6" fillId="2" borderId="39" xfId="0" applyFont="1" applyFill="1" applyBorder="1" applyAlignment="1">
      <alignment horizontal="right"/>
    </xf>
    <xf numFmtId="1" fontId="6" fillId="2" borderId="53" xfId="1" applyNumberFormat="1" applyFont="1" applyFill="1" applyBorder="1" applyAlignment="1">
      <alignment horizontal="right"/>
    </xf>
    <xf numFmtId="1" fontId="6" fillId="2" borderId="39" xfId="1" applyNumberFormat="1" applyFont="1" applyFill="1" applyBorder="1" applyAlignment="1">
      <alignment horizontal="right"/>
    </xf>
    <xf numFmtId="0" fontId="1" fillId="2" borderId="43" xfId="0" applyFont="1" applyFill="1" applyBorder="1"/>
    <xf numFmtId="9" fontId="1" fillId="2" borderId="0" xfId="0" applyNumberFormat="1" applyFont="1" applyFill="1"/>
    <xf numFmtId="0" fontId="20" fillId="2" borderId="0" xfId="0" applyFont="1" applyFill="1" applyAlignment="1">
      <alignment horizontal="left" wrapText="1"/>
    </xf>
    <xf numFmtId="1" fontId="22" fillId="2" borderId="62" xfId="0" applyNumberFormat="1" applyFont="1" applyFill="1" applyBorder="1" applyAlignment="1">
      <alignment horizontal="right"/>
    </xf>
    <xf numFmtId="1" fontId="6" fillId="2" borderId="47" xfId="0" applyNumberFormat="1" applyFont="1" applyFill="1" applyBorder="1" applyAlignment="1">
      <alignment horizontal="right"/>
    </xf>
    <xf numFmtId="1" fontId="6" fillId="2" borderId="65" xfId="0" applyNumberFormat="1" applyFont="1" applyFill="1" applyBorder="1" applyAlignment="1">
      <alignment horizontal="right"/>
    </xf>
    <xf numFmtId="1" fontId="6" fillId="2" borderId="74" xfId="0" applyNumberFormat="1" applyFont="1" applyFill="1" applyBorder="1" applyAlignment="1">
      <alignment horizontal="right"/>
    </xf>
    <xf numFmtId="49" fontId="22" fillId="6" borderId="38" xfId="0" applyNumberFormat="1" applyFont="1" applyFill="1" applyBorder="1" applyAlignment="1">
      <alignment horizontal="center" vertical="center" wrapText="1"/>
    </xf>
    <xf numFmtId="49" fontId="22" fillId="6" borderId="41" xfId="0" applyNumberFormat="1" applyFont="1" applyFill="1" applyBorder="1" applyAlignment="1">
      <alignment horizontal="center" vertical="center" wrapText="1"/>
    </xf>
    <xf numFmtId="49" fontId="22" fillId="6" borderId="0" xfId="0" applyNumberFormat="1" applyFont="1" applyFill="1" applyBorder="1" applyAlignment="1">
      <alignment horizontal="center" vertical="center" wrapText="1"/>
    </xf>
    <xf numFmtId="49" fontId="22" fillId="6" borderId="35" xfId="0" applyNumberFormat="1" applyFont="1" applyFill="1" applyBorder="1" applyAlignment="1">
      <alignment horizontal="center" vertical="center" wrapText="1"/>
    </xf>
    <xf numFmtId="49" fontId="22" fillId="6" borderId="22" xfId="0" applyNumberFormat="1" applyFont="1" applyFill="1" applyBorder="1" applyAlignment="1">
      <alignment horizontal="center" vertical="center" wrapText="1"/>
    </xf>
    <xf numFmtId="49" fontId="22" fillId="6" borderId="34" xfId="0" applyNumberFormat="1" applyFont="1" applyFill="1" applyBorder="1" applyAlignment="1">
      <alignment horizontal="center" vertical="center" wrapText="1"/>
    </xf>
    <xf numFmtId="0" fontId="6" fillId="2" borderId="47" xfId="0" applyFont="1" applyFill="1" applyBorder="1" applyAlignment="1">
      <alignment horizontal="right"/>
    </xf>
    <xf numFmtId="0" fontId="6" fillId="2" borderId="48" xfId="0" applyFont="1" applyFill="1" applyBorder="1" applyAlignment="1">
      <alignment horizontal="right"/>
    </xf>
    <xf numFmtId="0" fontId="6" fillId="2" borderId="49" xfId="0" applyFont="1" applyFill="1" applyBorder="1" applyAlignment="1">
      <alignment horizontal="right"/>
    </xf>
    <xf numFmtId="0" fontId="6" fillId="2" borderId="50" xfId="0" applyFont="1" applyFill="1" applyBorder="1" applyAlignment="1">
      <alignment horizontal="right"/>
    </xf>
    <xf numFmtId="0" fontId="6" fillId="2" borderId="54" xfId="0" applyFont="1" applyFill="1" applyBorder="1" applyAlignment="1">
      <alignment horizontal="right"/>
    </xf>
    <xf numFmtId="0" fontId="6" fillId="2" borderId="55" xfId="0" applyFont="1" applyFill="1" applyBorder="1" applyAlignment="1">
      <alignment horizontal="right"/>
    </xf>
    <xf numFmtId="0" fontId="6" fillId="2" borderId="58"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6" fillId="2" borderId="59" xfId="0" applyFont="1" applyFill="1" applyBorder="1" applyAlignment="1" applyProtection="1">
      <alignment horizontal="right"/>
      <protection hidden="1"/>
    </xf>
    <xf numFmtId="0" fontId="1" fillId="2" borderId="49" xfId="0" applyFont="1" applyFill="1" applyBorder="1"/>
    <xf numFmtId="0" fontId="1" fillId="2" borderId="60" xfId="0" applyFont="1" applyFill="1" applyBorder="1"/>
    <xf numFmtId="0" fontId="1" fillId="2" borderId="61" xfId="0" applyFont="1" applyFill="1" applyBorder="1"/>
    <xf numFmtId="0" fontId="1" fillId="2" borderId="59" xfId="0" applyFont="1" applyFill="1" applyBorder="1"/>
    <xf numFmtId="0" fontId="1" fillId="2" borderId="54" xfId="0" applyFont="1" applyFill="1" applyBorder="1"/>
    <xf numFmtId="0" fontId="6" fillId="2" borderId="63" xfId="0" applyFont="1" applyFill="1" applyBorder="1" applyAlignment="1">
      <alignment horizontal="right"/>
    </xf>
    <xf numFmtId="0" fontId="6" fillId="2" borderId="64" xfId="0" applyFont="1" applyFill="1" applyBorder="1" applyAlignment="1">
      <alignment horizontal="right"/>
    </xf>
    <xf numFmtId="0" fontId="6" fillId="2" borderId="66" xfId="0" applyFont="1" applyFill="1" applyBorder="1" applyAlignment="1">
      <alignment horizontal="right"/>
    </xf>
    <xf numFmtId="0" fontId="6" fillId="2" borderId="67" xfId="0" applyFont="1" applyFill="1" applyBorder="1" applyAlignment="1">
      <alignment horizontal="right"/>
    </xf>
    <xf numFmtId="0" fontId="6" fillId="2" borderId="68" xfId="0" applyFont="1" applyFill="1" applyBorder="1" applyAlignment="1">
      <alignment horizontal="right"/>
    </xf>
    <xf numFmtId="0" fontId="6" fillId="2" borderId="69" xfId="0" applyFont="1" applyFill="1" applyBorder="1" applyAlignment="1">
      <alignment horizontal="right"/>
    </xf>
    <xf numFmtId="0" fontId="6" fillId="2" borderId="70" xfId="0" applyFont="1" applyFill="1" applyBorder="1" applyAlignment="1">
      <alignment horizontal="right"/>
    </xf>
    <xf numFmtId="0" fontId="6" fillId="2" borderId="71" xfId="0" applyFont="1" applyFill="1" applyBorder="1" applyAlignment="1">
      <alignment horizontal="right"/>
    </xf>
    <xf numFmtId="0" fontId="6" fillId="2" borderId="56" xfId="0" applyFont="1" applyFill="1" applyBorder="1" applyAlignment="1">
      <alignment horizontal="right"/>
    </xf>
    <xf numFmtId="0" fontId="6" fillId="2" borderId="72" xfId="0" applyFont="1" applyFill="1" applyBorder="1" applyAlignment="1">
      <alignment horizontal="right"/>
    </xf>
    <xf numFmtId="0" fontId="6" fillId="2" borderId="73" xfId="0" applyFont="1" applyFill="1" applyBorder="1" applyAlignment="1">
      <alignment horizontal="right"/>
    </xf>
    <xf numFmtId="0" fontId="1" fillId="2" borderId="75" xfId="0" applyFont="1" applyFill="1" applyBorder="1"/>
    <xf numFmtId="0" fontId="6" fillId="2" borderId="76" xfId="0" applyFont="1" applyFill="1" applyBorder="1" applyAlignment="1" applyProtection="1">
      <alignment horizontal="right"/>
      <protection hidden="1"/>
    </xf>
    <xf numFmtId="0" fontId="1" fillId="2" borderId="68" xfId="0" applyFont="1" applyFill="1" applyBorder="1"/>
    <xf numFmtId="0" fontId="1" fillId="2" borderId="51" xfId="0" applyFont="1" applyFill="1" applyBorder="1"/>
    <xf numFmtId="0" fontId="6" fillId="2" borderId="41" xfId="0" applyFont="1" applyFill="1" applyBorder="1" applyAlignment="1" applyProtection="1">
      <alignment horizontal="right" vertical="center" indent="2"/>
      <protection hidden="1"/>
    </xf>
    <xf numFmtId="0" fontId="6" fillId="2" borderId="37" xfId="0" applyFont="1" applyFill="1" applyBorder="1" applyAlignment="1" applyProtection="1">
      <alignment horizontal="right" vertical="center" indent="2"/>
      <protection hidden="1"/>
    </xf>
    <xf numFmtId="0" fontId="6" fillId="2" borderId="53" xfId="0" applyFont="1" applyFill="1" applyBorder="1" applyAlignment="1" applyProtection="1">
      <alignment horizontal="right" vertical="center" indent="2"/>
      <protection hidden="1"/>
    </xf>
    <xf numFmtId="0" fontId="6" fillId="2" borderId="39" xfId="0" applyFont="1" applyFill="1" applyBorder="1" applyAlignment="1" applyProtection="1">
      <alignment horizontal="right" vertical="center" indent="2"/>
      <protection hidden="1"/>
    </xf>
    <xf numFmtId="0" fontId="1" fillId="2" borderId="0" xfId="0" applyFont="1" applyFill="1" applyAlignment="1">
      <alignment horizontal="right" vertical="top"/>
    </xf>
    <xf numFmtId="0" fontId="1" fillId="2" borderId="76" xfId="0" applyFont="1" applyFill="1" applyBorder="1" applyAlignment="1" applyProtection="1">
      <alignment horizontal="right" vertical="top"/>
      <protection locked="0" hidden="1"/>
    </xf>
    <xf numFmtId="0" fontId="11" fillId="2" borderId="76" xfId="0" applyFont="1" applyFill="1" applyBorder="1" applyAlignment="1" applyProtection="1">
      <alignment vertical="center"/>
      <protection hidden="1"/>
    </xf>
    <xf numFmtId="0" fontId="22" fillId="2" borderId="76" xfId="0" applyFont="1" applyFill="1" applyBorder="1" applyAlignment="1" applyProtection="1">
      <alignment vertical="center"/>
      <protection locked="0" hidden="1"/>
    </xf>
    <xf numFmtId="0" fontId="24" fillId="2" borderId="76" xfId="0" applyFont="1" applyFill="1" applyBorder="1" applyAlignment="1" applyProtection="1">
      <alignment vertical="center"/>
      <protection locked="0" hidden="1"/>
    </xf>
    <xf numFmtId="0" fontId="6" fillId="2" borderId="76" xfId="0" quotePrefix="1" applyFont="1" applyFill="1" applyBorder="1" applyAlignment="1" applyProtection="1">
      <alignment vertical="center"/>
      <protection hidden="1"/>
    </xf>
    <xf numFmtId="0" fontId="6" fillId="2" borderId="65" xfId="0" quotePrefix="1" applyFont="1" applyFill="1" applyBorder="1" applyAlignment="1" applyProtection="1">
      <alignment vertical="center"/>
      <protection hidden="1"/>
    </xf>
    <xf numFmtId="0" fontId="1" fillId="2" borderId="77" xfId="0" applyFont="1" applyFill="1" applyBorder="1" applyAlignment="1" applyProtection="1">
      <alignment horizontal="right" vertical="top"/>
      <protection locked="0" hidden="1"/>
    </xf>
    <xf numFmtId="0" fontId="22" fillId="2" borderId="78" xfId="0" applyFont="1" applyFill="1" applyBorder="1" applyAlignment="1" applyProtection="1">
      <alignment vertical="center" wrapText="1"/>
      <protection hidden="1"/>
    </xf>
    <xf numFmtId="0" fontId="22" fillId="2" borderId="44" xfId="0" applyFont="1" applyFill="1" applyBorder="1" applyAlignment="1" applyProtection="1">
      <alignment horizontal="right" vertical="center" indent="3"/>
      <protection hidden="1"/>
    </xf>
    <xf numFmtId="0" fontId="22" fillId="2" borderId="42" xfId="0" applyFont="1" applyFill="1" applyBorder="1" applyAlignment="1" applyProtection="1">
      <alignment horizontal="right" vertical="center" indent="2"/>
      <protection hidden="1"/>
    </xf>
    <xf numFmtId="0" fontId="22" fillId="2" borderId="27" xfId="0" applyFont="1" applyFill="1" applyBorder="1" applyAlignment="1" applyProtection="1">
      <alignment horizontal="right" vertical="center" indent="2"/>
      <protection hidden="1"/>
    </xf>
    <xf numFmtId="0" fontId="22" fillId="2" borderId="79" xfId="0" applyFont="1" applyFill="1" applyBorder="1" applyAlignment="1" applyProtection="1">
      <alignment horizontal="right" vertical="center" indent="2"/>
      <protection hidden="1"/>
    </xf>
    <xf numFmtId="0" fontId="22" fillId="2" borderId="78" xfId="0" applyFont="1" applyFill="1" applyBorder="1" applyAlignment="1" applyProtection="1">
      <alignment horizontal="left" vertical="center" wrapText="1" indent="1"/>
      <protection hidden="1"/>
    </xf>
    <xf numFmtId="0" fontId="22" fillId="2" borderId="80" xfId="0" applyFont="1" applyFill="1" applyBorder="1" applyAlignment="1" applyProtection="1">
      <alignment horizontal="right" vertical="center" indent="3"/>
      <protection hidden="1"/>
    </xf>
    <xf numFmtId="1" fontId="6" fillId="2" borderId="69" xfId="1" applyNumberFormat="1" applyFont="1" applyFill="1" applyBorder="1" applyAlignment="1" applyProtection="1">
      <alignment horizontal="right" vertical="center" indent="2"/>
      <protection hidden="1"/>
    </xf>
    <xf numFmtId="1" fontId="6" fillId="2" borderId="78" xfId="1" applyNumberFormat="1" applyFont="1" applyFill="1" applyBorder="1" applyAlignment="1" applyProtection="1">
      <alignment horizontal="right" vertical="center" indent="2"/>
      <protection hidden="1"/>
    </xf>
    <xf numFmtId="0" fontId="1" fillId="2" borderId="77" xfId="0" applyFont="1" applyFill="1" applyBorder="1" applyAlignment="1" applyProtection="1">
      <alignment horizontal="right" vertical="top" wrapText="1"/>
      <protection locked="0" hidden="1"/>
    </xf>
    <xf numFmtId="0" fontId="6" fillId="2" borderId="78" xfId="0" applyFont="1" applyFill="1" applyBorder="1" applyAlignment="1" applyProtection="1">
      <alignment horizontal="left" vertical="top" wrapText="1" indent="1"/>
      <protection hidden="1"/>
    </xf>
    <xf numFmtId="0" fontId="6" fillId="2" borderId="81" xfId="0" applyFont="1" applyFill="1" applyBorder="1" applyAlignment="1" applyProtection="1">
      <alignment horizontal="left" vertical="top" wrapText="1" indent="1"/>
      <protection hidden="1"/>
    </xf>
    <xf numFmtId="0" fontId="6" fillId="2" borderId="82" xfId="0" applyFont="1" applyFill="1" applyBorder="1" applyAlignment="1" applyProtection="1">
      <alignment horizontal="right" vertical="center" indent="3"/>
      <protection hidden="1"/>
    </xf>
    <xf numFmtId="1" fontId="6" fillId="2" borderId="71" xfId="1" applyNumberFormat="1" applyFont="1" applyFill="1" applyBorder="1" applyAlignment="1" applyProtection="1">
      <alignment horizontal="right" vertical="center" indent="2"/>
      <protection hidden="1"/>
    </xf>
    <xf numFmtId="0" fontId="22" fillId="2" borderId="78" xfId="0" applyFont="1" applyFill="1" applyBorder="1" applyAlignment="1" applyProtection="1">
      <alignment horizontal="left" vertical="center" wrapText="1" indent="2"/>
      <protection hidden="1"/>
    </xf>
    <xf numFmtId="0" fontId="6" fillId="2" borderId="78" xfId="0" applyFont="1" applyFill="1" applyBorder="1" applyAlignment="1" applyProtection="1">
      <alignment horizontal="left" vertical="top" wrapText="1" indent="2"/>
      <protection hidden="1"/>
    </xf>
    <xf numFmtId="0" fontId="6" fillId="2" borderId="81" xfId="0" applyFont="1" applyFill="1" applyBorder="1" applyAlignment="1" applyProtection="1">
      <alignment horizontal="left" vertical="top" wrapText="1" indent="2"/>
      <protection hidden="1"/>
    </xf>
    <xf numFmtId="0" fontId="6" fillId="2" borderId="83" xfId="0" applyFont="1" applyFill="1" applyBorder="1" applyAlignment="1" applyProtection="1">
      <alignment horizontal="left" vertical="top" wrapText="1" indent="2"/>
      <protection hidden="1"/>
    </xf>
    <xf numFmtId="0" fontId="22" fillId="2" borderId="74" xfId="0" applyFont="1" applyFill="1" applyBorder="1" applyAlignment="1" applyProtection="1">
      <alignment horizontal="right" vertical="center" indent="3"/>
      <protection hidden="1"/>
    </xf>
    <xf numFmtId="1" fontId="6" fillId="2" borderId="73" xfId="1" applyNumberFormat="1" applyFont="1" applyFill="1" applyBorder="1" applyAlignment="1" applyProtection="1">
      <alignment horizontal="right" vertical="center" indent="2"/>
      <protection hidden="1"/>
    </xf>
    <xf numFmtId="1" fontId="6" fillId="2" borderId="83" xfId="1" applyNumberFormat="1" applyFont="1" applyFill="1" applyBorder="1" applyAlignment="1" applyProtection="1">
      <alignment horizontal="right" vertical="center" indent="2"/>
      <protection hidden="1"/>
    </xf>
    <xf numFmtId="0" fontId="1" fillId="2" borderId="58" xfId="0" applyFont="1" applyFill="1" applyBorder="1" applyProtection="1">
      <protection hidden="1"/>
    </xf>
    <xf numFmtId="0" fontId="6" fillId="2" borderId="76" xfId="0" applyFont="1" applyFill="1" applyBorder="1" applyProtection="1">
      <protection locked="0" hidden="1"/>
    </xf>
    <xf numFmtId="0" fontId="1" fillId="2" borderId="76" xfId="0" applyFont="1" applyFill="1" applyBorder="1" applyProtection="1">
      <protection hidden="1"/>
    </xf>
    <xf numFmtId="0" fontId="6" fillId="2" borderId="76" xfId="6" applyFont="1" applyFill="1" applyBorder="1" applyProtection="1">
      <protection locked="0" hidden="1"/>
    </xf>
    <xf numFmtId="49" fontId="22" fillId="6" borderId="29" xfId="0" applyNumberFormat="1" applyFont="1" applyFill="1" applyBorder="1" applyAlignment="1">
      <alignment horizontal="center" vertical="center" wrapText="1"/>
    </xf>
    <xf numFmtId="49" fontId="22" fillId="6" borderId="40" xfId="0" applyNumberFormat="1" applyFont="1" applyFill="1" applyBorder="1" applyAlignment="1">
      <alignment horizontal="center" vertical="center" wrapText="1"/>
    </xf>
    <xf numFmtId="49" fontId="22" fillId="6" borderId="37" xfId="0" applyNumberFormat="1" applyFont="1" applyFill="1" applyBorder="1" applyAlignment="1">
      <alignment horizontal="center" vertical="center" wrapText="1"/>
    </xf>
    <xf numFmtId="49" fontId="22" fillId="6" borderId="39" xfId="0" applyNumberFormat="1" applyFont="1" applyFill="1" applyBorder="1" applyAlignment="1">
      <alignment horizontal="center" vertical="center" wrapText="1"/>
    </xf>
    <xf numFmtId="0" fontId="4" fillId="2" borderId="36" xfId="0" applyFont="1" applyFill="1" applyBorder="1" applyAlignment="1">
      <alignment horizontal="left"/>
    </xf>
    <xf numFmtId="1" fontId="22" fillId="2" borderId="43" xfId="1" applyNumberFormat="1" applyFont="1" applyFill="1" applyBorder="1" applyAlignment="1">
      <alignment horizontal="right"/>
    </xf>
    <xf numFmtId="1" fontId="6" fillId="2" borderId="0" xfId="0" applyNumberFormat="1" applyFont="1" applyFill="1" applyBorder="1" applyAlignment="1">
      <alignment horizontal="right"/>
    </xf>
    <xf numFmtId="1" fontId="6" fillId="2" borderId="37" xfId="0" applyNumberFormat="1" applyFont="1" applyFill="1" applyBorder="1" applyAlignment="1">
      <alignment horizontal="right"/>
    </xf>
    <xf numFmtId="1" fontId="6" fillId="2" borderId="38" xfId="0" applyNumberFormat="1" applyFont="1" applyFill="1" applyBorder="1" applyAlignment="1">
      <alignment horizontal="right"/>
    </xf>
    <xf numFmtId="1" fontId="6" fillId="2" borderId="39" xfId="0" applyNumberFormat="1" applyFont="1" applyFill="1" applyBorder="1" applyAlignment="1">
      <alignment horizontal="right"/>
    </xf>
    <xf numFmtId="0" fontId="1" fillId="2" borderId="76" xfId="0" applyFont="1" applyFill="1" applyBorder="1" applyProtection="1">
      <protection locked="0" hidden="1"/>
    </xf>
    <xf numFmtId="0" fontId="11" fillId="2" borderId="65" xfId="0" applyFont="1" applyFill="1" applyBorder="1" applyAlignment="1" applyProtection="1">
      <alignment vertical="center"/>
      <protection hidden="1"/>
    </xf>
    <xf numFmtId="0" fontId="22" fillId="2" borderId="76" xfId="0" applyFont="1" applyFill="1" applyBorder="1" applyAlignment="1" applyProtection="1">
      <alignment vertical="center" wrapText="1"/>
      <protection locked="0" hidden="1"/>
    </xf>
    <xf numFmtId="0" fontId="22" fillId="2" borderId="65" xfId="0" applyFont="1" applyFill="1" applyBorder="1" applyAlignment="1" applyProtection="1">
      <alignment vertical="center" wrapText="1"/>
      <protection locked="0" hidden="1"/>
    </xf>
    <xf numFmtId="0" fontId="22" fillId="2" borderId="65" xfId="0" applyFont="1" applyFill="1" applyBorder="1" applyAlignment="1" applyProtection="1">
      <alignment vertical="center"/>
      <protection hidden="1"/>
    </xf>
    <xf numFmtId="0" fontId="1" fillId="2" borderId="65" xfId="0" applyFont="1" applyFill="1" applyBorder="1" applyProtection="1">
      <protection locked="0" hidden="1"/>
    </xf>
    <xf numFmtId="0" fontId="22" fillId="2" borderId="65" xfId="0" applyFont="1" applyFill="1" applyBorder="1" applyAlignment="1" applyProtection="1">
      <alignment horizontal="center" vertical="center" wrapText="1"/>
      <protection locked="0" hidden="1"/>
    </xf>
    <xf numFmtId="0" fontId="1" fillId="2" borderId="77" xfId="0" applyFont="1" applyFill="1" applyBorder="1" applyProtection="1">
      <protection locked="0" hidden="1"/>
    </xf>
    <xf numFmtId="0" fontId="22" fillId="2" borderId="67" xfId="0" applyFont="1" applyFill="1" applyBorder="1" applyAlignment="1" applyProtection="1">
      <alignment vertical="center" wrapText="1"/>
      <protection locked="0" hidden="1"/>
    </xf>
    <xf numFmtId="0" fontId="1" fillId="2" borderId="67" xfId="0" applyFont="1" applyFill="1" applyBorder="1" applyProtection="1">
      <protection locked="0" hidden="1"/>
    </xf>
    <xf numFmtId="0" fontId="24" fillId="2" borderId="67" xfId="0" applyFont="1" applyFill="1" applyBorder="1" applyAlignment="1" applyProtection="1">
      <alignment horizontal="center" vertical="center"/>
      <protection hidden="1"/>
    </xf>
    <xf numFmtId="0" fontId="22" fillId="2" borderId="67" xfId="0" applyFont="1" applyFill="1" applyBorder="1" applyAlignment="1" applyProtection="1">
      <alignment horizontal="center" vertical="center"/>
      <protection hidden="1"/>
    </xf>
    <xf numFmtId="0" fontId="22" fillId="2" borderId="58" xfId="0" applyFont="1" applyFill="1" applyBorder="1" applyProtection="1">
      <protection hidden="1"/>
    </xf>
    <xf numFmtId="0" fontId="1" fillId="2" borderId="58" xfId="0" applyFont="1" applyFill="1" applyBorder="1" applyProtection="1">
      <protection locked="0" hidden="1"/>
    </xf>
    <xf numFmtId="0" fontId="25" fillId="2" borderId="76" xfId="0" applyFont="1" applyFill="1" applyBorder="1" applyAlignment="1" applyProtection="1">
      <alignment horizontal="right"/>
      <protection hidden="1"/>
    </xf>
    <xf numFmtId="0" fontId="22" fillId="2" borderId="0" xfId="0" applyFont="1" applyFill="1" applyBorder="1" applyProtection="1">
      <protection hidden="1"/>
    </xf>
    <xf numFmtId="0" fontId="3" fillId="2" borderId="0" xfId="0" applyFont="1" applyFill="1"/>
    <xf numFmtId="3" fontId="22" fillId="2" borderId="29" xfId="0" applyNumberFormat="1" applyFont="1" applyFill="1" applyBorder="1" applyAlignment="1">
      <alignment horizontal="right" indent="1"/>
    </xf>
    <xf numFmtId="0" fontId="22" fillId="2" borderId="42" xfId="0" applyFont="1" applyFill="1" applyBorder="1" applyAlignment="1">
      <alignment horizontal="right" indent="1"/>
    </xf>
    <xf numFmtId="0" fontId="22" fillId="2" borderId="43" xfId="0" applyFont="1" applyFill="1" applyBorder="1" applyAlignment="1">
      <alignment horizontal="right" indent="1"/>
    </xf>
    <xf numFmtId="1" fontId="22" fillId="2" borderId="42" xfId="1" applyNumberFormat="1" applyFont="1" applyFill="1" applyBorder="1" applyAlignment="1">
      <alignment horizontal="right" indent="1"/>
    </xf>
    <xf numFmtId="1" fontId="22" fillId="2" borderId="0" xfId="1" applyNumberFormat="1" applyFont="1" applyFill="1" applyBorder="1" applyAlignment="1">
      <alignment horizontal="right" indent="1"/>
    </xf>
    <xf numFmtId="1" fontId="22" fillId="2" borderId="43" xfId="1" applyNumberFormat="1" applyFont="1" applyFill="1" applyBorder="1" applyAlignment="1">
      <alignment horizontal="right" indent="1"/>
    </xf>
    <xf numFmtId="1" fontId="22" fillId="2" borderId="42" xfId="1" applyNumberFormat="1" applyFont="1" applyFill="1" applyBorder="1" applyAlignment="1">
      <alignment horizontal="right"/>
    </xf>
    <xf numFmtId="1" fontId="22" fillId="2" borderId="41" xfId="1" applyNumberFormat="1" applyFont="1" applyFill="1" applyBorder="1" applyAlignment="1">
      <alignment horizontal="right"/>
    </xf>
    <xf numFmtId="1" fontId="22" fillId="2" borderId="0" xfId="1" applyNumberFormat="1" applyFont="1" applyFill="1" applyBorder="1" applyAlignment="1">
      <alignment horizontal="right"/>
    </xf>
    <xf numFmtId="0" fontId="1" fillId="2" borderId="41" xfId="0" applyFont="1" applyFill="1" applyBorder="1"/>
    <xf numFmtId="0" fontId="1" fillId="2" borderId="0" xfId="0" applyFont="1" applyFill="1" applyBorder="1"/>
    <xf numFmtId="3" fontId="6" fillId="2" borderId="36" xfId="0" applyNumberFormat="1" applyFont="1" applyFill="1" applyBorder="1" applyAlignment="1">
      <alignment horizontal="right" indent="1"/>
    </xf>
    <xf numFmtId="0" fontId="6" fillId="2" borderId="41" xfId="0" applyFont="1" applyFill="1" applyBorder="1" applyAlignment="1">
      <alignment horizontal="right" indent="1"/>
    </xf>
    <xf numFmtId="0" fontId="6" fillId="2" borderId="0" xfId="0" applyFont="1" applyFill="1" applyBorder="1" applyAlignment="1">
      <alignment horizontal="right" indent="1"/>
    </xf>
    <xf numFmtId="1" fontId="6" fillId="2" borderId="41" xfId="1" applyNumberFormat="1" applyFont="1" applyFill="1" applyBorder="1" applyAlignment="1">
      <alignment horizontal="right" indent="1"/>
    </xf>
    <xf numFmtId="1" fontId="6" fillId="2" borderId="0" xfId="1" applyNumberFormat="1" applyFont="1" applyFill="1" applyBorder="1" applyAlignment="1">
      <alignment horizontal="right" indent="1"/>
    </xf>
    <xf numFmtId="0" fontId="6" fillId="2" borderId="0" xfId="0" applyFont="1" applyFill="1" applyBorder="1" applyAlignment="1">
      <alignment horizontal="right"/>
    </xf>
    <xf numFmtId="1" fontId="6" fillId="2" borderId="0" xfId="1" applyNumberFormat="1" applyFont="1" applyFill="1" applyBorder="1" applyAlignment="1">
      <alignment horizontal="right"/>
    </xf>
    <xf numFmtId="3" fontId="6" fillId="2" borderId="40" xfId="0" applyNumberFormat="1" applyFont="1" applyFill="1" applyBorder="1" applyAlignment="1">
      <alignment horizontal="right" indent="1"/>
    </xf>
    <xf numFmtId="0" fontId="6" fillId="2" borderId="53" xfId="0" applyFont="1" applyFill="1" applyBorder="1" applyAlignment="1">
      <alignment horizontal="right" indent="1"/>
    </xf>
    <xf numFmtId="0" fontId="6" fillId="2" borderId="38" xfId="0" applyFont="1" applyFill="1" applyBorder="1" applyAlignment="1">
      <alignment horizontal="right" indent="1"/>
    </xf>
    <xf numFmtId="1" fontId="6" fillId="2" borderId="53" xfId="1" applyNumberFormat="1" applyFont="1" applyFill="1" applyBorder="1" applyAlignment="1">
      <alignment horizontal="right" indent="1"/>
    </xf>
    <xf numFmtId="1" fontId="6" fillId="2" borderId="38" xfId="1" applyNumberFormat="1" applyFont="1" applyFill="1" applyBorder="1" applyAlignment="1">
      <alignment horizontal="right" indent="1"/>
    </xf>
    <xf numFmtId="0" fontId="6" fillId="2" borderId="38" xfId="0" applyFont="1" applyFill="1" applyBorder="1" applyAlignment="1">
      <alignment horizontal="right"/>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1" fontId="1" fillId="2" borderId="0" xfId="0" applyNumberFormat="1" applyFont="1" applyFill="1" applyBorder="1" applyAlignment="1">
      <alignment horizontal="center" vertical="center"/>
    </xf>
    <xf numFmtId="1" fontId="6" fillId="2" borderId="38" xfId="1" applyNumberFormat="1" applyFont="1" applyFill="1" applyBorder="1" applyAlignment="1">
      <alignment horizontal="right"/>
    </xf>
    <xf numFmtId="0" fontId="24" fillId="2" borderId="0" xfId="0" applyFont="1" applyFill="1"/>
    <xf numFmtId="0" fontId="1" fillId="2" borderId="0" xfId="0" applyFont="1" applyFill="1" applyAlignment="1">
      <alignment horizontal="left"/>
    </xf>
    <xf numFmtId="0" fontId="4" fillId="2" borderId="29" xfId="0" applyFont="1" applyFill="1" applyBorder="1" applyAlignment="1">
      <alignment wrapText="1"/>
    </xf>
    <xf numFmtId="0" fontId="22" fillId="2" borderId="85" xfId="0" applyFont="1" applyFill="1" applyBorder="1" applyAlignment="1" applyProtection="1">
      <alignment horizontal="right" vertical="center" indent="3"/>
      <protection hidden="1"/>
    </xf>
    <xf numFmtId="0" fontId="22" fillId="2" borderId="62" xfId="0" applyFont="1" applyFill="1" applyBorder="1" applyAlignment="1" applyProtection="1">
      <alignment horizontal="right" vertical="center" indent="2"/>
      <protection hidden="1"/>
    </xf>
    <xf numFmtId="0" fontId="22" fillId="2" borderId="86" xfId="0" applyFont="1" applyFill="1" applyBorder="1" applyAlignment="1" applyProtection="1">
      <alignment horizontal="right" vertical="center" indent="2"/>
      <protection hidden="1"/>
    </xf>
    <xf numFmtId="1" fontId="22" fillId="2" borderId="87" xfId="1" applyNumberFormat="1" applyFont="1" applyFill="1" applyBorder="1" applyAlignment="1" applyProtection="1">
      <alignment horizontal="right" vertical="center" indent="2"/>
      <protection hidden="1"/>
    </xf>
    <xf numFmtId="1" fontId="22" fillId="2" borderId="69" xfId="1" applyNumberFormat="1" applyFont="1" applyFill="1" applyBorder="1" applyAlignment="1" applyProtection="1">
      <alignment horizontal="right" vertical="center" indent="2"/>
      <protection hidden="1"/>
    </xf>
    <xf numFmtId="0" fontId="6" fillId="2" borderId="78" xfId="0" applyFont="1" applyFill="1" applyBorder="1" applyAlignment="1" applyProtection="1">
      <alignment horizontal="right" vertical="center" indent="3"/>
      <protection hidden="1"/>
    </xf>
    <xf numFmtId="0" fontId="6" fillId="2" borderId="87" xfId="0" applyFont="1" applyFill="1" applyBorder="1" applyAlignment="1" applyProtection="1">
      <alignment horizontal="right" vertical="center" indent="2"/>
      <protection hidden="1"/>
    </xf>
    <xf numFmtId="0" fontId="6" fillId="2" borderId="69" xfId="0" applyFont="1" applyFill="1" applyBorder="1" applyAlignment="1" applyProtection="1">
      <alignment horizontal="right" vertical="center" indent="2"/>
      <protection hidden="1"/>
    </xf>
    <xf numFmtId="1" fontId="6" fillId="2" borderId="87" xfId="1" applyNumberFormat="1" applyFont="1" applyFill="1" applyBorder="1" applyAlignment="1" applyProtection="1">
      <alignment horizontal="right" vertical="center" indent="2"/>
      <protection hidden="1"/>
    </xf>
    <xf numFmtId="0" fontId="6" fillId="2" borderId="83" xfId="0" applyFont="1" applyFill="1" applyBorder="1" applyAlignment="1" applyProtection="1">
      <alignment horizontal="right" vertical="center" indent="3"/>
      <protection hidden="1"/>
    </xf>
    <xf numFmtId="0" fontId="6" fillId="2" borderId="56" xfId="0" applyFont="1" applyFill="1" applyBorder="1" applyAlignment="1" applyProtection="1">
      <alignment horizontal="right" vertical="center" indent="2"/>
      <protection hidden="1"/>
    </xf>
    <xf numFmtId="0" fontId="6" fillId="2" borderId="73" xfId="0" applyFont="1" applyFill="1" applyBorder="1" applyAlignment="1" applyProtection="1">
      <alignment horizontal="right" vertical="center" indent="2"/>
      <protection hidden="1"/>
    </xf>
    <xf numFmtId="1" fontId="6" fillId="2" borderId="56" xfId="1" applyNumberFormat="1" applyFont="1" applyFill="1" applyBorder="1" applyAlignment="1" applyProtection="1">
      <alignment horizontal="right" vertical="center" indent="2"/>
      <protection hidden="1"/>
    </xf>
    <xf numFmtId="49" fontId="22" fillId="6" borderId="53" xfId="0" applyNumberFormat="1" applyFont="1" applyFill="1" applyBorder="1" applyAlignment="1">
      <alignment horizontal="center" vertical="center" wrapText="1"/>
    </xf>
    <xf numFmtId="0" fontId="26" fillId="2" borderId="0" xfId="0" applyFont="1" applyFill="1" applyAlignment="1">
      <alignment horizontal="left" vertical="center"/>
    </xf>
    <xf numFmtId="14" fontId="1" fillId="2" borderId="0" xfId="0" applyNumberFormat="1" applyFont="1" applyFill="1"/>
    <xf numFmtId="0" fontId="0" fillId="2" borderId="0" xfId="0" applyFont="1" applyFill="1"/>
    <xf numFmtId="0" fontId="2" fillId="7" borderId="0" xfId="0" applyFont="1" applyFill="1" applyBorder="1" applyAlignment="1">
      <alignment wrapText="1"/>
    </xf>
    <xf numFmtId="0" fontId="2" fillId="7" borderId="49" xfId="0" applyFont="1" applyFill="1" applyBorder="1" applyAlignment="1">
      <alignment wrapText="1"/>
    </xf>
    <xf numFmtId="0" fontId="2" fillId="7" borderId="49" xfId="0" applyFont="1" applyFill="1" applyBorder="1" applyAlignment="1">
      <alignment vertical="center" wrapText="1"/>
    </xf>
    <xf numFmtId="0" fontId="0" fillId="8" borderId="51" xfId="0" applyFont="1" applyFill="1" applyBorder="1"/>
    <xf numFmtId="0" fontId="0" fillId="8" borderId="51" xfId="0" applyNumberFormat="1" applyFont="1" applyFill="1" applyBorder="1"/>
    <xf numFmtId="14" fontId="0" fillId="8" borderId="51" xfId="0" applyNumberFormat="1" applyFont="1" applyFill="1" applyBorder="1"/>
    <xf numFmtId="0" fontId="0" fillId="9" borderId="51" xfId="0" applyFont="1" applyFill="1" applyBorder="1"/>
    <xf numFmtId="0" fontId="0" fillId="9" borderId="51" xfId="0" applyNumberFormat="1" applyFont="1" applyFill="1" applyBorder="1"/>
    <xf numFmtId="14" fontId="0" fillId="9" borderId="51" xfId="0" applyNumberFormat="1" applyFont="1" applyFill="1" applyBorder="1"/>
    <xf numFmtId="0" fontId="27" fillId="8" borderId="59" xfId="0" applyFont="1" applyFill="1" applyBorder="1"/>
    <xf numFmtId="0" fontId="27" fillId="9" borderId="59" xfId="0" applyFont="1" applyFill="1" applyBorder="1"/>
    <xf numFmtId="0" fontId="27" fillId="10" borderId="59" xfId="0" applyFont="1" applyFill="1" applyBorder="1"/>
    <xf numFmtId="0" fontId="0" fillId="10" borderId="51" xfId="0" applyFont="1" applyFill="1" applyBorder="1"/>
    <xf numFmtId="0" fontId="0" fillId="10" borderId="51" xfId="0" applyFont="1" applyFill="1" applyBorder="1" applyAlignment="1">
      <alignment horizontal="right"/>
    </xf>
    <xf numFmtId="14" fontId="0" fillId="10" borderId="51" xfId="0" applyNumberFormat="1" applyFont="1" applyFill="1" applyBorder="1"/>
    <xf numFmtId="14" fontId="0" fillId="10" borderId="51" xfId="0" applyNumberFormat="1" applyFont="1" applyFill="1" applyBorder="1" applyAlignment="1">
      <alignment horizontal="right"/>
    </xf>
    <xf numFmtId="0" fontId="27" fillId="11" borderId="59" xfId="0" applyFont="1" applyFill="1" applyBorder="1"/>
    <xf numFmtId="0" fontId="0" fillId="11" borderId="51" xfId="0" applyFont="1" applyFill="1" applyBorder="1"/>
    <xf numFmtId="0" fontId="0" fillId="11" borderId="51" xfId="0" applyFont="1" applyFill="1" applyBorder="1" applyAlignment="1">
      <alignment horizontal="right"/>
    </xf>
    <xf numFmtId="14" fontId="0" fillId="11" borderId="51" xfId="0" applyNumberFormat="1" applyFont="1" applyFill="1" applyBorder="1"/>
    <xf numFmtId="14" fontId="0" fillId="11" borderId="51" xfId="0" applyNumberFormat="1" applyFont="1" applyFill="1" applyBorder="1" applyAlignment="1">
      <alignment horizontal="right"/>
    </xf>
    <xf numFmtId="0" fontId="4" fillId="6" borderId="13" xfId="0" applyFont="1" applyFill="1" applyBorder="1" applyAlignment="1">
      <alignment wrapText="1"/>
    </xf>
    <xf numFmtId="0" fontId="4" fillId="6" borderId="14" xfId="0" applyFont="1" applyFill="1" applyBorder="1" applyAlignment="1">
      <alignment vertical="center"/>
    </xf>
    <xf numFmtId="0" fontId="4" fillId="6" borderId="15" xfId="0" applyFont="1" applyFill="1" applyBorder="1" applyAlignment="1">
      <alignment vertical="center" wrapText="1"/>
    </xf>
    <xf numFmtId="0" fontId="27" fillId="8" borderId="59" xfId="0" applyNumberFormat="1" applyFont="1" applyFill="1" applyBorder="1"/>
    <xf numFmtId="0" fontId="27" fillId="9" borderId="59" xfId="0" applyNumberFormat="1" applyFont="1" applyFill="1" applyBorder="1"/>
    <xf numFmtId="0" fontId="2" fillId="7" borderId="0" xfId="0" applyFont="1" applyFill="1" applyBorder="1"/>
    <xf numFmtId="0" fontId="2" fillId="7" borderId="49" xfId="0" applyFont="1" applyFill="1" applyBorder="1"/>
    <xf numFmtId="0" fontId="2" fillId="7" borderId="0" xfId="0" applyFont="1" applyFill="1" applyBorder="1" applyAlignment="1">
      <alignment horizontal="left" wrapText="1"/>
    </xf>
    <xf numFmtId="0" fontId="2" fillId="7" borderId="49" xfId="0" applyFont="1" applyFill="1" applyBorder="1" applyAlignment="1">
      <alignment horizontal="left" wrapText="1"/>
    </xf>
    <xf numFmtId="0" fontId="0" fillId="2" borderId="0" xfId="0" applyFont="1" applyFill="1" applyAlignment="1"/>
    <xf numFmtId="164" fontId="7" fillId="0" borderId="3" xfId="3" quotePrefix="1" applyNumberFormat="1" applyFont="1" applyFill="1" applyBorder="1" applyAlignment="1" applyProtection="1">
      <alignment horizontal="left" vertical="center" wrapText="1"/>
      <protection hidden="1"/>
    </xf>
    <xf numFmtId="0" fontId="7" fillId="2" borderId="0" xfId="4" applyFont="1" applyFill="1" applyAlignment="1" applyProtection="1">
      <alignment horizontal="left" vertical="top"/>
      <protection hidden="1"/>
    </xf>
    <xf numFmtId="0" fontId="7" fillId="0" borderId="0" xfId="4" applyFont="1" applyFill="1" applyAlignment="1" applyProtection="1">
      <alignment horizontal="left" vertical="top"/>
      <protection hidden="1"/>
    </xf>
    <xf numFmtId="0" fontId="0" fillId="2" borderId="24" xfId="0" applyFont="1" applyFill="1" applyBorder="1" applyAlignment="1">
      <alignment vertical="top" wrapText="1"/>
    </xf>
    <xf numFmtId="0" fontId="1" fillId="2" borderId="0" xfId="0" applyFont="1" applyFill="1" applyAlignment="1">
      <alignment vertical="top"/>
    </xf>
    <xf numFmtId="0" fontId="4" fillId="6" borderId="16" xfId="0" applyFont="1" applyFill="1" applyBorder="1" applyAlignment="1">
      <alignment vertical="top"/>
    </xf>
    <xf numFmtId="0" fontId="1" fillId="2" borderId="20" xfId="0" applyFont="1" applyFill="1" applyBorder="1" applyAlignment="1">
      <alignment vertical="top"/>
    </xf>
    <xf numFmtId="0" fontId="1" fillId="2" borderId="24" xfId="0" applyFont="1" applyFill="1" applyBorder="1" applyAlignment="1">
      <alignment vertical="top"/>
    </xf>
    <xf numFmtId="0" fontId="1" fillId="2" borderId="24" xfId="0" applyFont="1" applyFill="1" applyBorder="1" applyAlignment="1">
      <alignment vertical="top" wrapText="1"/>
    </xf>
    <xf numFmtId="0" fontId="0" fillId="2" borderId="24" xfId="0" applyFont="1" applyFill="1" applyBorder="1" applyAlignment="1">
      <alignment vertical="top"/>
    </xf>
    <xf numFmtId="0" fontId="1" fillId="2" borderId="28" xfId="0" applyFont="1" applyFill="1" applyBorder="1" applyAlignment="1">
      <alignment vertical="top" wrapText="1"/>
    </xf>
    <xf numFmtId="0" fontId="0" fillId="2" borderId="28" xfId="0" applyFont="1" applyFill="1" applyBorder="1" applyAlignment="1">
      <alignment vertical="top" wrapText="1"/>
    </xf>
    <xf numFmtId="0" fontId="1" fillId="2" borderId="33" xfId="0" applyFont="1" applyFill="1" applyBorder="1" applyAlignment="1">
      <alignment vertical="top" wrapText="1"/>
    </xf>
    <xf numFmtId="0" fontId="7" fillId="0" borderId="1" xfId="3" applyFont="1" applyBorder="1" applyAlignment="1" applyProtection="1">
      <alignment horizontal="center" vertical="center" wrapText="1"/>
      <protection locked="0" hidden="1"/>
    </xf>
    <xf numFmtId="0" fontId="7" fillId="0" borderId="2" xfId="3" applyFont="1" applyBorder="1" applyAlignment="1" applyProtection="1">
      <alignment horizontal="center" vertical="center" wrapText="1"/>
      <protection locked="0" hidden="1"/>
    </xf>
    <xf numFmtId="0" fontId="9" fillId="3" borderId="3" xfId="3" applyFont="1" applyFill="1" applyBorder="1" applyAlignment="1" applyProtection="1">
      <alignment horizontal="left" vertical="center" wrapText="1"/>
      <protection locked="0" hidden="1"/>
    </xf>
    <xf numFmtId="0" fontId="7" fillId="2" borderId="0" xfId="5" applyFont="1" applyFill="1" applyAlignment="1" applyProtection="1">
      <alignment horizontal="left" vertical="center" wrapText="1"/>
      <protection hidden="1"/>
    </xf>
    <xf numFmtId="0" fontId="18" fillId="2" borderId="0" xfId="4" applyFont="1" applyFill="1" applyAlignment="1" applyProtection="1">
      <alignment horizontal="left" vertical="top" wrapText="1"/>
      <protection hidden="1"/>
    </xf>
    <xf numFmtId="0" fontId="7" fillId="0" borderId="0" xfId="4" applyFont="1" applyFill="1" applyAlignment="1" applyProtection="1">
      <alignment horizontal="left" vertical="top" wrapText="1"/>
      <protection locked="0" hidden="1"/>
    </xf>
    <xf numFmtId="0" fontId="7" fillId="4" borderId="0" xfId="5" applyFont="1" applyFill="1" applyAlignment="1" applyProtection="1">
      <alignment horizontal="left" vertical="center" wrapText="1"/>
      <protection hidden="1"/>
    </xf>
    <xf numFmtId="0" fontId="1" fillId="2" borderId="1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51" xfId="0" applyFont="1" applyFill="1" applyBorder="1" applyAlignment="1">
      <alignment horizontal="left" wrapText="1"/>
    </xf>
    <xf numFmtId="0" fontId="1" fillId="2" borderId="59" xfId="0" applyFont="1" applyFill="1" applyBorder="1" applyAlignment="1">
      <alignment horizontal="left" wrapText="1"/>
    </xf>
    <xf numFmtId="0" fontId="20" fillId="2" borderId="0" xfId="0" applyFont="1" applyFill="1" applyAlignment="1">
      <alignment horizontal="left" wrapText="1"/>
    </xf>
    <xf numFmtId="49" fontId="22" fillId="6" borderId="29" xfId="0" applyNumberFormat="1" applyFont="1" applyFill="1" applyBorder="1" applyAlignment="1">
      <alignment horizontal="left" vertical="center" wrapText="1"/>
    </xf>
    <xf numFmtId="49" fontId="22" fillId="6" borderId="36" xfId="0" applyNumberFormat="1" applyFont="1" applyFill="1" applyBorder="1" applyAlignment="1">
      <alignment horizontal="left" vertical="center" wrapText="1"/>
    </xf>
    <xf numFmtId="49" fontId="22" fillId="6" borderId="40" xfId="0" applyNumberFormat="1" applyFont="1" applyFill="1" applyBorder="1" applyAlignment="1">
      <alignment horizontal="left" vertical="center" wrapText="1"/>
    </xf>
    <xf numFmtId="49" fontId="22" fillId="6" borderId="27" xfId="0" applyNumberFormat="1" applyFont="1" applyFill="1" applyBorder="1" applyAlignment="1">
      <alignment horizontal="center" vertical="center" wrapText="1"/>
    </xf>
    <xf numFmtId="49" fontId="22" fillId="6" borderId="37" xfId="0" applyNumberFormat="1" applyFont="1" applyFill="1" applyBorder="1" applyAlignment="1">
      <alignment horizontal="center" vertical="center" wrapText="1"/>
    </xf>
    <xf numFmtId="49" fontId="22" fillId="6" borderId="39" xfId="0" applyNumberFormat="1" applyFont="1" applyFill="1" applyBorder="1" applyAlignment="1">
      <alignment horizontal="center" vertical="center" wrapText="1"/>
    </xf>
    <xf numFmtId="49" fontId="22" fillId="6" borderId="34" xfId="0" applyNumberFormat="1" applyFont="1" applyFill="1" applyBorder="1" applyAlignment="1">
      <alignment horizontal="center" vertical="center" wrapText="1"/>
    </xf>
    <xf numFmtId="49" fontId="22" fillId="6" borderId="35" xfId="0" applyNumberFormat="1" applyFont="1" applyFill="1" applyBorder="1" applyAlignment="1">
      <alignment horizontal="center" vertical="center" wrapText="1"/>
    </xf>
    <xf numFmtId="49" fontId="22" fillId="6" borderId="22" xfId="0" applyNumberFormat="1" applyFont="1" applyFill="1" applyBorder="1" applyAlignment="1">
      <alignment horizontal="center" vertical="center" wrapText="1"/>
    </xf>
    <xf numFmtId="49" fontId="22" fillId="6" borderId="38" xfId="0" applyNumberFormat="1" applyFont="1" applyFill="1" applyBorder="1" applyAlignment="1">
      <alignment horizontal="center" vertical="center" wrapText="1"/>
    </xf>
    <xf numFmtId="0" fontId="6" fillId="2" borderId="77" xfId="0" applyFont="1" applyFill="1" applyBorder="1" applyAlignment="1" applyProtection="1">
      <alignment horizontal="left" wrapText="1"/>
      <protection locked="0" hidden="1"/>
    </xf>
    <xf numFmtId="0" fontId="6" fillId="2" borderId="84" xfId="0" applyFont="1" applyFill="1" applyBorder="1" applyAlignment="1" applyProtection="1">
      <alignment horizontal="left" wrapText="1"/>
      <protection locked="0" hidden="1"/>
    </xf>
    <xf numFmtId="0" fontId="6" fillId="2" borderId="67" xfId="0" applyFont="1" applyFill="1" applyBorder="1" applyAlignment="1" applyProtection="1">
      <alignment horizontal="left" wrapText="1"/>
      <protection locked="0" hidden="1"/>
    </xf>
    <xf numFmtId="0" fontId="1" fillId="2" borderId="0" xfId="0" applyFont="1" applyFill="1" applyAlignment="1">
      <alignment horizontal="left" vertical="top" wrapText="1"/>
    </xf>
    <xf numFmtId="0" fontId="1" fillId="2" borderId="0" xfId="0" applyFont="1" applyFill="1" applyAlignment="1">
      <alignment horizontal="left" wrapText="1"/>
    </xf>
    <xf numFmtId="0" fontId="0" fillId="2" borderId="0" xfId="0" applyFont="1" applyFill="1" applyAlignment="1">
      <alignment horizontal="left" vertical="top" wrapText="1"/>
    </xf>
    <xf numFmtId="0" fontId="20" fillId="2" borderId="0" xfId="0" applyFont="1" applyFill="1" applyAlignment="1">
      <alignment horizontal="left" vertical="top" wrapText="1"/>
    </xf>
    <xf numFmtId="0" fontId="0" fillId="2" borderId="0" xfId="0" applyFont="1" applyFill="1" applyAlignment="1">
      <alignment horizontal="left" wrapText="1"/>
    </xf>
    <xf numFmtId="49" fontId="22" fillId="6" borderId="29" xfId="0" applyNumberFormat="1" applyFont="1" applyFill="1" applyBorder="1" applyAlignment="1">
      <alignment horizontal="center" vertical="center" wrapText="1"/>
    </xf>
    <xf numFmtId="49" fontId="22" fillId="6" borderId="36" xfId="0" applyNumberFormat="1" applyFont="1" applyFill="1" applyBorder="1" applyAlignment="1">
      <alignment horizontal="center" vertical="center" wrapText="1"/>
    </xf>
    <xf numFmtId="49" fontId="22" fillId="6" borderId="40" xfId="0" applyNumberFormat="1" applyFont="1" applyFill="1" applyBorder="1" applyAlignment="1">
      <alignment horizontal="center" vertical="center" wrapText="1"/>
    </xf>
  </cellXfs>
  <cellStyles count="7">
    <cellStyle name="Hyperlink" xfId="2" builtinId="8"/>
    <cellStyle name="Hyperlink 2" xfId="4" xr:uid="{6229ABD8-85F9-43BB-A8C7-4F7E010553B4}"/>
    <cellStyle name="Normal" xfId="0" builtinId="0"/>
    <cellStyle name="Normal 10" xfId="3" xr:uid="{443BBAF4-C8EF-48C9-82EF-29795F74B322}"/>
    <cellStyle name="Normal 2" xfId="6" xr:uid="{63066A8A-AA52-42EE-A6FF-20580774D6E4}"/>
    <cellStyle name="Normal 29" xfId="5" xr:uid="{36F001BC-D608-416D-9F33-54DA28D1F036}"/>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4076700</xdr:colOff>
      <xdr:row>1</xdr:row>
      <xdr:rowOff>182880</xdr:rowOff>
    </xdr:from>
    <xdr:to>
      <xdr:col>2</xdr:col>
      <xdr:colOff>5331619</xdr:colOff>
      <xdr:row>1</xdr:row>
      <xdr:rowOff>1245870</xdr:rowOff>
    </xdr:to>
    <xdr:pic>
      <xdr:nvPicPr>
        <xdr:cNvPr id="2" name="Picture 1" descr="ofsted_logo">
          <a:extLst>
            <a:ext uri="{FF2B5EF4-FFF2-40B4-BE49-F238E27FC236}">
              <a16:creationId xmlns:a16="http://schemas.microsoft.com/office/drawing/2014/main" id="{D219772E-14AB-4805-80E2-A953F4E872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61950"/>
          <a:ext cx="1254919" cy="106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non-association-independent-schools-inspections-and-outcomes-management-information" TargetMode="External"/><Relationship Id="rId3" Type="http://schemas.openxmlformats.org/officeDocument/2006/relationships/hyperlink" Target="mailto:psi@nationalarchives.gsi.gov.uk" TargetMode="External"/><Relationship Id="rId7" Type="http://schemas.openxmlformats.org/officeDocument/2006/relationships/hyperlink" Target="mailto:enquiries@ofsted.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www.gov.uk/government/collections/independent-schools-inspections-and-outcomes" TargetMode="External"/><Relationship Id="rId5" Type="http://schemas.openxmlformats.org/officeDocument/2006/relationships/hyperlink" Target="mailto:press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get-information-schools.service.gov.uk/" TargetMode="External"/><Relationship Id="rId2" Type="http://schemas.openxmlformats.org/officeDocument/2006/relationships/hyperlink" Target="http://www.legislation.gov.uk/uksi/2014/3283/contents/made" TargetMode="External"/><Relationship Id="rId1" Type="http://schemas.openxmlformats.org/officeDocument/2006/relationships/hyperlink" Target="https://www.gov.uk/government/publications/common-inspection-framework-education-skills-and-early-years-from-september-2015"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1B29-1E09-4923-BB7C-1CF5342FB5ED}">
  <sheetPr>
    <tabColor theme="7" tint="0.79998168889431442"/>
  </sheetPr>
  <dimension ref="B2:E27"/>
  <sheetViews>
    <sheetView tabSelected="1" workbookViewId="0"/>
  </sheetViews>
  <sheetFormatPr defaultColWidth="8.85546875" defaultRowHeight="15" x14ac:dyDescent="0.25"/>
  <cols>
    <col min="1" max="1" width="2.7109375" style="21" customWidth="1"/>
    <col min="2" max="2" width="35.7109375" style="21" customWidth="1"/>
    <col min="3" max="3" width="80.7109375" style="21" customWidth="1"/>
    <col min="4" max="16384" width="8.85546875" style="21"/>
  </cols>
  <sheetData>
    <row r="2" spans="2:5" s="1" customFormat="1" ht="108" customHeight="1" x14ac:dyDescent="0.25">
      <c r="B2" s="278"/>
      <c r="C2" s="279"/>
    </row>
    <row r="3" spans="2:5" s="1" customFormat="1" ht="24.6" customHeight="1" x14ac:dyDescent="0.25">
      <c r="B3" s="280" t="s">
        <v>0</v>
      </c>
      <c r="C3" s="280"/>
    </row>
    <row r="4" spans="2:5" s="1" customFormat="1" ht="15" customHeight="1" x14ac:dyDescent="0.25">
      <c r="B4" s="2" t="s">
        <v>1</v>
      </c>
      <c r="C4" s="2" t="s">
        <v>2</v>
      </c>
    </row>
    <row r="5" spans="2:5" s="1" customFormat="1" ht="15" customHeight="1" x14ac:dyDescent="0.25">
      <c r="B5" s="2" t="s">
        <v>3</v>
      </c>
      <c r="C5" s="2" t="s">
        <v>4</v>
      </c>
    </row>
    <row r="6" spans="2:5" s="1" customFormat="1" ht="15" customHeight="1" x14ac:dyDescent="0.25">
      <c r="B6" s="2" t="s">
        <v>5</v>
      </c>
      <c r="C6" s="265">
        <v>43594</v>
      </c>
    </row>
    <row r="7" spans="2:5" s="1" customFormat="1" ht="15" customHeight="1" x14ac:dyDescent="0.25">
      <c r="B7" s="3" t="s">
        <v>6</v>
      </c>
      <c r="C7" s="2" t="s">
        <v>7</v>
      </c>
    </row>
    <row r="8" spans="2:5" s="1" customFormat="1" ht="30" customHeight="1" x14ac:dyDescent="0.25">
      <c r="B8" s="3" t="s">
        <v>8</v>
      </c>
      <c r="C8" s="4" t="s">
        <v>30</v>
      </c>
      <c r="E8" s="5"/>
    </row>
    <row r="9" spans="2:5" s="1" customFormat="1" ht="30" customHeight="1" x14ac:dyDescent="0.25">
      <c r="B9" s="3" t="s">
        <v>9</v>
      </c>
      <c r="C9" s="4" t="s">
        <v>2922</v>
      </c>
      <c r="E9" s="5"/>
    </row>
    <row r="10" spans="2:5" s="1" customFormat="1" ht="15" customHeight="1" x14ac:dyDescent="0.25">
      <c r="B10" s="3" t="s">
        <v>10</v>
      </c>
      <c r="C10" s="6" t="s">
        <v>11</v>
      </c>
    </row>
    <row r="11" spans="2:5" s="1" customFormat="1" ht="15" customHeight="1" x14ac:dyDescent="0.25">
      <c r="B11" s="7" t="s">
        <v>12</v>
      </c>
      <c r="C11" s="7" t="s">
        <v>13</v>
      </c>
    </row>
    <row r="12" spans="2:5" s="1" customFormat="1" ht="15" customHeight="1" x14ac:dyDescent="0.25">
      <c r="B12" s="8" t="s">
        <v>14</v>
      </c>
      <c r="C12" s="9" t="s">
        <v>15</v>
      </c>
    </row>
    <row r="13" spans="2:5" s="1" customFormat="1" ht="15" customHeight="1" x14ac:dyDescent="0.25">
      <c r="B13" s="8" t="s">
        <v>16</v>
      </c>
      <c r="C13" s="9" t="s">
        <v>17</v>
      </c>
    </row>
    <row r="14" spans="2:5" s="1" customFormat="1" ht="75" customHeight="1" x14ac:dyDescent="0.25">
      <c r="B14" s="7" t="s">
        <v>18</v>
      </c>
      <c r="C14" s="9" t="s">
        <v>19</v>
      </c>
    </row>
    <row r="15" spans="2:5" s="1" customFormat="1" ht="30" customHeight="1" x14ac:dyDescent="0.25">
      <c r="B15" s="8" t="s">
        <v>20</v>
      </c>
      <c r="C15" s="9" t="s">
        <v>21</v>
      </c>
    </row>
    <row r="16" spans="2:5" s="1" customFormat="1" ht="15.6" customHeight="1" x14ac:dyDescent="0.25">
      <c r="B16" s="10"/>
      <c r="C16" s="11"/>
    </row>
    <row r="17" spans="2:3" s="1" customFormat="1" ht="15.6" customHeight="1" x14ac:dyDescent="0.25">
      <c r="B17" s="12"/>
      <c r="C17" s="13"/>
    </row>
    <row r="18" spans="2:3" s="1" customFormat="1" ht="15.6" customHeight="1" x14ac:dyDescent="0.25">
      <c r="B18" s="12" t="s">
        <v>22</v>
      </c>
      <c r="C18" s="13"/>
    </row>
    <row r="19" spans="2:3" s="1" customFormat="1" ht="15.6" customHeight="1" x14ac:dyDescent="0.25">
      <c r="B19" s="12"/>
      <c r="C19" s="14"/>
    </row>
    <row r="20" spans="2:3" s="1" customFormat="1" ht="15.6" customHeight="1" x14ac:dyDescent="0.25">
      <c r="B20" s="12" t="s">
        <v>23</v>
      </c>
      <c r="C20" s="15"/>
    </row>
    <row r="21" spans="2:3" s="1" customFormat="1" ht="15.6" customHeight="1" x14ac:dyDescent="0.25">
      <c r="B21" s="12" t="s">
        <v>24</v>
      </c>
      <c r="C21" s="15"/>
    </row>
    <row r="22" spans="2:3" s="1" customFormat="1" ht="15.6" customHeight="1" x14ac:dyDescent="0.25">
      <c r="B22" s="16" t="s">
        <v>25</v>
      </c>
      <c r="C22" s="15"/>
    </row>
    <row r="23" spans="2:3" s="1" customFormat="1" ht="15.6" customHeight="1" x14ac:dyDescent="0.25">
      <c r="B23" s="17" t="s">
        <v>26</v>
      </c>
      <c r="C23" s="18"/>
    </row>
    <row r="24" spans="2:3" s="1" customFormat="1" ht="15.6" customHeight="1" x14ac:dyDescent="0.25">
      <c r="B24" s="12" t="s">
        <v>27</v>
      </c>
      <c r="C24" s="13"/>
    </row>
    <row r="25" spans="2:3" s="1" customFormat="1" ht="15.6" customHeight="1" x14ac:dyDescent="0.25">
      <c r="B25" s="12" t="s">
        <v>28</v>
      </c>
      <c r="C25" s="13"/>
    </row>
    <row r="26" spans="2:3" s="1" customFormat="1" ht="15.6" customHeight="1" x14ac:dyDescent="0.25">
      <c r="B26" s="17" t="s">
        <v>29</v>
      </c>
      <c r="C26" s="18"/>
    </row>
    <row r="27" spans="2:3" s="1" customFormat="1" ht="15.6" customHeight="1" x14ac:dyDescent="0.25">
      <c r="B27" s="19"/>
      <c r="C27" s="20"/>
    </row>
  </sheetData>
  <mergeCells count="2">
    <mergeCell ref="B2:C2"/>
    <mergeCell ref="B3:C3"/>
  </mergeCells>
  <hyperlinks>
    <hyperlink ref="B23:C23" r:id="rId1" display="visit http://www.nationalarchives.gov.uk/doc/open-government-licence/" xr:uid="{E19F72F4-5D9B-406F-AB4F-C697DAA1C974}"/>
    <hyperlink ref="B23" r:id="rId2" xr:uid="{1D6DB5DB-9595-47CF-937D-3907599107D7}"/>
    <hyperlink ref="B26:C26" r:id="rId3" display="psi@nationalarchives.gsi.gov.uk" xr:uid="{FB0A29A3-DB62-4908-935E-9573F31DBCA3}"/>
    <hyperlink ref="B26" r:id="rId4" xr:uid="{C8B5806D-B985-47B2-9263-E9FBFAF5BD36}"/>
    <hyperlink ref="C13" r:id="rId5" xr:uid="{A21D940A-129F-4120-A249-F215A9F21807}"/>
    <hyperlink ref="C15" r:id="rId6" xr:uid="{1D1976CF-4227-415B-8927-2416CADCF3FD}"/>
    <hyperlink ref="C12" r:id="rId7" xr:uid="{610A5865-E1DA-4C68-83AF-41245C0954B5}"/>
    <hyperlink ref="C14" r:id="rId8" xr:uid="{AB596E9D-3366-4386-8D2A-3D129FFC645F}"/>
  </hyperlinks>
  <pageMargins left="0.7" right="0.7" top="0.75" bottom="0.75" header="0.3" footer="0.3"/>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6FE81-89C9-4E0F-8F56-E4DACFCEC3B6}">
  <sheetPr>
    <tabColor theme="9" tint="0.79998168889431442"/>
  </sheetPr>
  <dimension ref="A1:AR1096"/>
  <sheetViews>
    <sheetView workbookViewId="0"/>
  </sheetViews>
  <sheetFormatPr defaultColWidth="8.85546875" defaultRowHeight="12.75" x14ac:dyDescent="0.2"/>
  <cols>
    <col min="1" max="1" width="26.140625" style="28" customWidth="1"/>
    <col min="2" max="2" width="7.28515625" style="28" bestFit="1" customWidth="1"/>
    <col min="3" max="3" width="10.85546875" style="28" bestFit="1" customWidth="1"/>
    <col min="4" max="4" width="49.7109375" style="28" bestFit="1" customWidth="1"/>
    <col min="5" max="5" width="29.28515625" style="28" bestFit="1" customWidth="1"/>
    <col min="6" max="6" width="19.85546875" style="28" bestFit="1" customWidth="1"/>
    <col min="7" max="8" width="30.140625" style="28" bestFit="1" customWidth="1"/>
    <col min="9" max="9" width="15.140625" style="28" bestFit="1" customWidth="1"/>
    <col min="10" max="10" width="14.42578125" style="28" bestFit="1" customWidth="1"/>
    <col min="11" max="11" width="35" style="28" bestFit="1" customWidth="1"/>
    <col min="12" max="12" width="24.42578125" style="28" bestFit="1" customWidth="1"/>
    <col min="13" max="13" width="32.85546875" style="28" bestFit="1" customWidth="1"/>
    <col min="14" max="14" width="22.7109375" style="28" bestFit="1" customWidth="1"/>
    <col min="15" max="15" width="23.7109375" style="28" bestFit="1" customWidth="1"/>
    <col min="16" max="16" width="23" style="28" bestFit="1" customWidth="1"/>
    <col min="17" max="17" width="19.28515625" style="28" bestFit="1" customWidth="1"/>
    <col min="18" max="18" width="22.5703125" style="28" bestFit="1" customWidth="1"/>
    <col min="19" max="19" width="22.28515625" style="28" bestFit="1" customWidth="1"/>
    <col min="20" max="20" width="16.5703125" style="28" bestFit="1" customWidth="1"/>
    <col min="21" max="21" width="54.7109375" style="28" bestFit="1" customWidth="1"/>
    <col min="22" max="22" width="16.42578125" style="28" customWidth="1"/>
    <col min="23" max="23" width="25.42578125" style="28" customWidth="1"/>
    <col min="24" max="24" width="44.7109375" style="28" bestFit="1" customWidth="1"/>
    <col min="25" max="25" width="45.5703125" style="28" bestFit="1" customWidth="1"/>
    <col min="26" max="26" width="44.7109375" style="28" bestFit="1" customWidth="1"/>
    <col min="27" max="27" width="35.140625" style="28" bestFit="1" customWidth="1"/>
    <col min="28" max="28" width="28.85546875" style="28" bestFit="1" customWidth="1"/>
    <col min="29" max="29" width="25.140625" style="28" bestFit="1" customWidth="1"/>
    <col min="30" max="30" width="53.140625" style="28" bestFit="1" customWidth="1"/>
    <col min="31" max="31" width="25.140625" style="28" customWidth="1"/>
    <col min="32" max="32" width="24.28515625" style="28" bestFit="1" customWidth="1"/>
    <col min="33" max="33" width="27.42578125" style="28" bestFit="1" customWidth="1"/>
    <col min="34" max="34" width="35.140625" style="28" bestFit="1" customWidth="1"/>
    <col min="35" max="35" width="34.28515625" style="28" bestFit="1" customWidth="1"/>
    <col min="36" max="36" width="33.42578125" style="28" bestFit="1" customWidth="1"/>
    <col min="37" max="37" width="32.140625" style="28" bestFit="1" customWidth="1"/>
    <col min="38" max="38" width="28.42578125" style="28" bestFit="1" customWidth="1"/>
    <col min="39" max="39" width="24.28515625" style="28" bestFit="1" customWidth="1"/>
    <col min="40" max="40" width="54.7109375" style="28" bestFit="1" customWidth="1"/>
    <col min="41" max="41" width="25.42578125" style="28" bestFit="1" customWidth="1"/>
    <col min="42" max="42" width="24.7109375" style="28" bestFit="1" customWidth="1"/>
    <col min="43" max="43" width="30.7109375" style="28" bestFit="1" customWidth="1"/>
    <col min="44" max="44" width="39.42578125" style="28" bestFit="1" customWidth="1"/>
    <col min="45" max="16384" width="8.85546875" style="28"/>
  </cols>
  <sheetData>
    <row r="1" spans="1:44" s="40" customFormat="1" ht="15" x14ac:dyDescent="0.2">
      <c r="A1" s="30" t="s">
        <v>1485</v>
      </c>
    </row>
    <row r="2" spans="1:44" s="40" customFormat="1" x14ac:dyDescent="0.2">
      <c r="A2" s="233" t="s">
        <v>2922</v>
      </c>
      <c r="C2" s="232"/>
    </row>
    <row r="4" spans="1:44" s="233" customFormat="1" ht="41.45" customHeight="1" x14ac:dyDescent="0.2">
      <c r="A4" s="260" t="s">
        <v>99</v>
      </c>
      <c r="B4" s="261" t="s">
        <v>102</v>
      </c>
      <c r="C4" s="261" t="s">
        <v>104</v>
      </c>
      <c r="D4" s="261" t="s">
        <v>106</v>
      </c>
      <c r="E4" s="261" t="s">
        <v>108</v>
      </c>
      <c r="F4" s="261" t="s">
        <v>117</v>
      </c>
      <c r="G4" s="261" t="s">
        <v>119</v>
      </c>
      <c r="H4" s="261" t="s">
        <v>68</v>
      </c>
      <c r="I4" s="261" t="s">
        <v>69</v>
      </c>
      <c r="J4" s="261" t="s">
        <v>1486</v>
      </c>
      <c r="K4" s="261" t="s">
        <v>125</v>
      </c>
      <c r="L4" s="261" t="s">
        <v>140</v>
      </c>
      <c r="M4" s="261" t="s">
        <v>128</v>
      </c>
      <c r="N4" s="261" t="s">
        <v>1487</v>
      </c>
      <c r="O4" s="261" t="s">
        <v>134</v>
      </c>
      <c r="P4" s="261" t="s">
        <v>137</v>
      </c>
      <c r="Q4" s="261" t="s">
        <v>142</v>
      </c>
      <c r="R4" s="261" t="s">
        <v>144</v>
      </c>
      <c r="S4" s="261" t="s">
        <v>146</v>
      </c>
      <c r="T4" s="261" t="s">
        <v>148</v>
      </c>
      <c r="U4" s="261" t="s">
        <v>150</v>
      </c>
      <c r="V4" s="261" t="s">
        <v>154</v>
      </c>
      <c r="W4" s="261" t="s">
        <v>164</v>
      </c>
      <c r="X4" s="261" t="s">
        <v>156</v>
      </c>
      <c r="Y4" s="261" t="s">
        <v>158</v>
      </c>
      <c r="Z4" s="261" t="s">
        <v>257</v>
      </c>
      <c r="AA4" s="261" t="s">
        <v>258</v>
      </c>
      <c r="AB4" s="261" t="s">
        <v>161</v>
      </c>
      <c r="AC4" s="261" t="s">
        <v>163</v>
      </c>
      <c r="AD4" s="261" t="s">
        <v>259</v>
      </c>
      <c r="AE4" s="261" t="s">
        <v>260</v>
      </c>
      <c r="AF4" s="261" t="s">
        <v>261</v>
      </c>
      <c r="AG4" s="261" t="s">
        <v>262</v>
      </c>
      <c r="AH4" s="261" t="s">
        <v>263</v>
      </c>
      <c r="AI4" s="261" t="s">
        <v>264</v>
      </c>
      <c r="AJ4" s="261" t="s">
        <v>265</v>
      </c>
      <c r="AK4" s="261" t="s">
        <v>266</v>
      </c>
      <c r="AL4" s="261" t="s">
        <v>1488</v>
      </c>
      <c r="AM4" s="261" t="s">
        <v>197</v>
      </c>
      <c r="AN4" s="261" t="s">
        <v>199</v>
      </c>
      <c r="AO4" s="261" t="s">
        <v>202</v>
      </c>
      <c r="AP4" s="261" t="s">
        <v>204</v>
      </c>
      <c r="AQ4" s="261" t="s">
        <v>206</v>
      </c>
      <c r="AR4" s="261" t="s">
        <v>208</v>
      </c>
    </row>
    <row r="5" spans="1:44" ht="14.45" customHeight="1" x14ac:dyDescent="0.25">
      <c r="A5" s="245" t="str">
        <f>HYPERLINK("http://www.ofsted.gov.uk/inspection-reports/find-inspection-report/provider/ELS/115793 ","Ofsted School Webpage")</f>
        <v>Ofsted School Webpage</v>
      </c>
      <c r="B5" s="246">
        <v>115793</v>
      </c>
      <c r="C5" s="246">
        <v>9166031</v>
      </c>
      <c r="D5" s="246" t="s">
        <v>1489</v>
      </c>
      <c r="E5" s="246" t="s">
        <v>247</v>
      </c>
      <c r="F5" s="246" t="s">
        <v>93</v>
      </c>
      <c r="G5" s="246" t="s">
        <v>93</v>
      </c>
      <c r="H5" s="246" t="s">
        <v>93</v>
      </c>
      <c r="I5" s="246" t="s">
        <v>90</v>
      </c>
      <c r="J5" s="246" t="s">
        <v>1490</v>
      </c>
      <c r="K5" s="246" t="s">
        <v>486</v>
      </c>
      <c r="L5" s="246" t="s">
        <v>487</v>
      </c>
      <c r="M5" s="246" t="s">
        <v>483</v>
      </c>
      <c r="N5" s="246" t="s">
        <v>483</v>
      </c>
      <c r="O5" s="246" t="s">
        <v>948</v>
      </c>
      <c r="P5" s="246" t="s">
        <v>1491</v>
      </c>
      <c r="Q5" s="247" t="s">
        <v>1492</v>
      </c>
      <c r="R5" s="248">
        <v>39119</v>
      </c>
      <c r="S5" s="248">
        <v>39120</v>
      </c>
      <c r="T5" s="248">
        <v>39147</v>
      </c>
      <c r="U5" s="246" t="s">
        <v>488</v>
      </c>
      <c r="V5" s="246">
        <v>2</v>
      </c>
      <c r="W5" s="246" t="s">
        <v>486</v>
      </c>
      <c r="X5" s="246" t="s">
        <v>486</v>
      </c>
      <c r="Y5" s="246" t="s">
        <v>486</v>
      </c>
      <c r="Z5" s="246">
        <v>2</v>
      </c>
      <c r="AA5" s="246">
        <v>2</v>
      </c>
      <c r="AB5" s="246" t="s">
        <v>486</v>
      </c>
      <c r="AC5" s="246" t="s">
        <v>486</v>
      </c>
      <c r="AD5" s="246" t="s">
        <v>486</v>
      </c>
      <c r="AE5" s="246" t="s">
        <v>486</v>
      </c>
      <c r="AF5" s="246" t="s">
        <v>486</v>
      </c>
      <c r="AG5" s="246" t="s">
        <v>486</v>
      </c>
      <c r="AH5" s="246" t="s">
        <v>486</v>
      </c>
      <c r="AI5" s="246" t="s">
        <v>486</v>
      </c>
      <c r="AJ5" s="246" t="s">
        <v>486</v>
      </c>
      <c r="AK5" s="246" t="s">
        <v>486</v>
      </c>
      <c r="AL5" s="246" t="s">
        <v>486</v>
      </c>
      <c r="AM5" s="246" t="s">
        <v>486</v>
      </c>
      <c r="AN5" s="246" t="s">
        <v>486</v>
      </c>
      <c r="AO5" s="248" t="s">
        <v>486</v>
      </c>
      <c r="AP5" s="247" t="s">
        <v>486</v>
      </c>
      <c r="AQ5" s="249" t="s">
        <v>486</v>
      </c>
      <c r="AR5" s="246" t="s">
        <v>486</v>
      </c>
    </row>
    <row r="6" spans="1:44" ht="15" x14ac:dyDescent="0.25">
      <c r="A6" s="250" t="str">
        <f>HYPERLINK("http://www.ofsted.gov.uk/inspection-reports/find-inspection-report/provider/ELS/109345 ","Ofsted School Webpage")</f>
        <v>Ofsted School Webpage</v>
      </c>
      <c r="B6" s="251">
        <v>109345</v>
      </c>
      <c r="C6" s="251">
        <v>8016011</v>
      </c>
      <c r="D6" s="251" t="s">
        <v>1493</v>
      </c>
      <c r="E6" s="251" t="s">
        <v>247</v>
      </c>
      <c r="F6" s="251" t="s">
        <v>93</v>
      </c>
      <c r="G6" s="251" t="s">
        <v>93</v>
      </c>
      <c r="H6" s="251" t="s">
        <v>93</v>
      </c>
      <c r="I6" s="251" t="s">
        <v>90</v>
      </c>
      <c r="J6" s="251" t="s">
        <v>1490</v>
      </c>
      <c r="K6" s="251" t="s">
        <v>486</v>
      </c>
      <c r="L6" s="251" t="s">
        <v>487</v>
      </c>
      <c r="M6" s="251" t="s">
        <v>483</v>
      </c>
      <c r="N6" s="251" t="s">
        <v>483</v>
      </c>
      <c r="O6" s="251" t="s">
        <v>564</v>
      </c>
      <c r="P6" s="251" t="s">
        <v>1494</v>
      </c>
      <c r="Q6" s="252" t="s">
        <v>1495</v>
      </c>
      <c r="R6" s="253">
        <v>39211</v>
      </c>
      <c r="S6" s="253">
        <v>39212</v>
      </c>
      <c r="T6" s="253">
        <v>39234</v>
      </c>
      <c r="U6" s="251" t="s">
        <v>488</v>
      </c>
      <c r="V6" s="251">
        <v>2</v>
      </c>
      <c r="W6" s="251" t="s">
        <v>486</v>
      </c>
      <c r="X6" s="251" t="s">
        <v>486</v>
      </c>
      <c r="Y6" s="251" t="s">
        <v>486</v>
      </c>
      <c r="Z6" s="251">
        <v>2</v>
      </c>
      <c r="AA6" s="251">
        <v>2</v>
      </c>
      <c r="AB6" s="251" t="s">
        <v>486</v>
      </c>
      <c r="AC6" s="251" t="s">
        <v>486</v>
      </c>
      <c r="AD6" s="251" t="s">
        <v>486</v>
      </c>
      <c r="AE6" s="251" t="s">
        <v>486</v>
      </c>
      <c r="AF6" s="251" t="s">
        <v>486</v>
      </c>
      <c r="AG6" s="251" t="s">
        <v>486</v>
      </c>
      <c r="AH6" s="251" t="s">
        <v>486</v>
      </c>
      <c r="AI6" s="251" t="s">
        <v>486</v>
      </c>
      <c r="AJ6" s="251" t="s">
        <v>486</v>
      </c>
      <c r="AK6" s="251" t="s">
        <v>486</v>
      </c>
      <c r="AL6" s="251" t="s">
        <v>486</v>
      </c>
      <c r="AM6" s="251" t="s">
        <v>486</v>
      </c>
      <c r="AN6" s="251" t="s">
        <v>486</v>
      </c>
      <c r="AO6" s="253" t="s">
        <v>486</v>
      </c>
      <c r="AP6" s="252" t="s">
        <v>486</v>
      </c>
      <c r="AQ6" s="254" t="s">
        <v>486</v>
      </c>
      <c r="AR6" s="251" t="s">
        <v>486</v>
      </c>
    </row>
    <row r="7" spans="1:44" ht="15" x14ac:dyDescent="0.25">
      <c r="A7" s="245" t="str">
        <f>HYPERLINK("http://www.ofsted.gov.uk/inspection-reports/find-inspection-report/provider/ELS/131362 ","Ofsted School Webpage")</f>
        <v>Ofsted School Webpage</v>
      </c>
      <c r="B7" s="246">
        <v>131362</v>
      </c>
      <c r="C7" s="246">
        <v>2066379</v>
      </c>
      <c r="D7" s="246" t="s">
        <v>1496</v>
      </c>
      <c r="E7" s="246" t="s">
        <v>247</v>
      </c>
      <c r="F7" s="246" t="s">
        <v>93</v>
      </c>
      <c r="G7" s="246" t="s">
        <v>93</v>
      </c>
      <c r="H7" s="246" t="s">
        <v>93</v>
      </c>
      <c r="I7" s="246" t="s">
        <v>90</v>
      </c>
      <c r="J7" s="246" t="s">
        <v>1490</v>
      </c>
      <c r="K7" s="246" t="s">
        <v>486</v>
      </c>
      <c r="L7" s="246" t="s">
        <v>487</v>
      </c>
      <c r="M7" s="246" t="s">
        <v>506</v>
      </c>
      <c r="N7" s="246" t="s">
        <v>506</v>
      </c>
      <c r="O7" s="246" t="s">
        <v>753</v>
      </c>
      <c r="P7" s="246" t="s">
        <v>1497</v>
      </c>
      <c r="Q7" s="247" t="s">
        <v>1498</v>
      </c>
      <c r="R7" s="248">
        <v>39246</v>
      </c>
      <c r="S7" s="248">
        <v>39247</v>
      </c>
      <c r="T7" s="248">
        <v>39274</v>
      </c>
      <c r="U7" s="246" t="s">
        <v>488</v>
      </c>
      <c r="V7" s="246">
        <v>3</v>
      </c>
      <c r="W7" s="246" t="s">
        <v>486</v>
      </c>
      <c r="X7" s="246" t="s">
        <v>486</v>
      </c>
      <c r="Y7" s="246" t="s">
        <v>486</v>
      </c>
      <c r="Z7" s="246">
        <v>3</v>
      </c>
      <c r="AA7" s="246">
        <v>3</v>
      </c>
      <c r="AB7" s="246" t="s">
        <v>486</v>
      </c>
      <c r="AC7" s="246" t="s">
        <v>486</v>
      </c>
      <c r="AD7" s="246" t="s">
        <v>486</v>
      </c>
      <c r="AE7" s="246" t="s">
        <v>486</v>
      </c>
      <c r="AF7" s="246" t="s">
        <v>486</v>
      </c>
      <c r="AG7" s="246" t="s">
        <v>486</v>
      </c>
      <c r="AH7" s="246" t="s">
        <v>486</v>
      </c>
      <c r="AI7" s="246" t="s">
        <v>486</v>
      </c>
      <c r="AJ7" s="246" t="s">
        <v>486</v>
      </c>
      <c r="AK7" s="246" t="s">
        <v>486</v>
      </c>
      <c r="AL7" s="246" t="s">
        <v>486</v>
      </c>
      <c r="AM7" s="246" t="s">
        <v>486</v>
      </c>
      <c r="AN7" s="246" t="s">
        <v>486</v>
      </c>
      <c r="AO7" s="248" t="s">
        <v>486</v>
      </c>
      <c r="AP7" s="247" t="s">
        <v>486</v>
      </c>
      <c r="AQ7" s="249" t="s">
        <v>486</v>
      </c>
      <c r="AR7" s="246" t="s">
        <v>486</v>
      </c>
    </row>
    <row r="8" spans="1:44" ht="15" x14ac:dyDescent="0.25">
      <c r="A8" s="250" t="str">
        <f>HYPERLINK("http://www.ofsted.gov.uk/inspection-reports/find-inspection-report/provider/ELS/121759 ","Ofsted School Webpage")</f>
        <v>Ofsted School Webpage</v>
      </c>
      <c r="B8" s="251">
        <v>121759</v>
      </c>
      <c r="C8" s="251">
        <v>8166008</v>
      </c>
      <c r="D8" s="251" t="s">
        <v>1499</v>
      </c>
      <c r="E8" s="251" t="s">
        <v>247</v>
      </c>
      <c r="F8" s="251" t="s">
        <v>93</v>
      </c>
      <c r="G8" s="251" t="s">
        <v>93</v>
      </c>
      <c r="H8" s="251" t="s">
        <v>93</v>
      </c>
      <c r="I8" s="251" t="s">
        <v>90</v>
      </c>
      <c r="J8" s="251" t="s">
        <v>1490</v>
      </c>
      <c r="K8" s="251" t="s">
        <v>486</v>
      </c>
      <c r="L8" s="251" t="s">
        <v>487</v>
      </c>
      <c r="M8" s="251" t="s">
        <v>523</v>
      </c>
      <c r="N8" s="251" t="s">
        <v>524</v>
      </c>
      <c r="O8" s="251" t="s">
        <v>1500</v>
      </c>
      <c r="P8" s="251" t="s">
        <v>1501</v>
      </c>
      <c r="Q8" s="252" t="s">
        <v>1502</v>
      </c>
      <c r="R8" s="253">
        <v>39252</v>
      </c>
      <c r="S8" s="253">
        <v>39253</v>
      </c>
      <c r="T8" s="253">
        <v>39275</v>
      </c>
      <c r="U8" s="251" t="s">
        <v>488</v>
      </c>
      <c r="V8" s="251">
        <v>2</v>
      </c>
      <c r="W8" s="251" t="s">
        <v>486</v>
      </c>
      <c r="X8" s="251" t="s">
        <v>486</v>
      </c>
      <c r="Y8" s="251" t="s">
        <v>486</v>
      </c>
      <c r="Z8" s="251">
        <v>2</v>
      </c>
      <c r="AA8" s="251">
        <v>2</v>
      </c>
      <c r="AB8" s="251" t="s">
        <v>486</v>
      </c>
      <c r="AC8" s="251" t="s">
        <v>486</v>
      </c>
      <c r="AD8" s="251" t="s">
        <v>486</v>
      </c>
      <c r="AE8" s="251" t="s">
        <v>486</v>
      </c>
      <c r="AF8" s="251" t="s">
        <v>486</v>
      </c>
      <c r="AG8" s="251" t="s">
        <v>486</v>
      </c>
      <c r="AH8" s="251" t="s">
        <v>486</v>
      </c>
      <c r="AI8" s="251" t="s">
        <v>486</v>
      </c>
      <c r="AJ8" s="251" t="s">
        <v>486</v>
      </c>
      <c r="AK8" s="251" t="s">
        <v>486</v>
      </c>
      <c r="AL8" s="251" t="s">
        <v>486</v>
      </c>
      <c r="AM8" s="251" t="s">
        <v>486</v>
      </c>
      <c r="AN8" s="251" t="s">
        <v>486</v>
      </c>
      <c r="AO8" s="253" t="s">
        <v>486</v>
      </c>
      <c r="AP8" s="252" t="s">
        <v>486</v>
      </c>
      <c r="AQ8" s="254" t="s">
        <v>486</v>
      </c>
      <c r="AR8" s="251" t="s">
        <v>486</v>
      </c>
    </row>
    <row r="9" spans="1:44" ht="15" x14ac:dyDescent="0.25">
      <c r="A9" s="245" t="str">
        <f>HYPERLINK("http://www.ofsted.gov.uk/inspection-reports/find-inspection-report/provider/ELS/113603 ","Ofsted School Webpage")</f>
        <v>Ofsted School Webpage</v>
      </c>
      <c r="B9" s="246">
        <v>113603</v>
      </c>
      <c r="C9" s="246">
        <v>8786029</v>
      </c>
      <c r="D9" s="246" t="s">
        <v>1503</v>
      </c>
      <c r="E9" s="246" t="s">
        <v>247</v>
      </c>
      <c r="F9" s="246" t="s">
        <v>93</v>
      </c>
      <c r="G9" s="246" t="s">
        <v>93</v>
      </c>
      <c r="H9" s="246" t="s">
        <v>93</v>
      </c>
      <c r="I9" s="246" t="s">
        <v>90</v>
      </c>
      <c r="J9" s="246" t="s">
        <v>1490</v>
      </c>
      <c r="K9" s="246" t="s">
        <v>486</v>
      </c>
      <c r="L9" s="246" t="s">
        <v>487</v>
      </c>
      <c r="M9" s="246" t="s">
        <v>483</v>
      </c>
      <c r="N9" s="246" t="s">
        <v>483</v>
      </c>
      <c r="O9" s="246" t="s">
        <v>747</v>
      </c>
      <c r="P9" s="246" t="s">
        <v>1504</v>
      </c>
      <c r="Q9" s="247" t="s">
        <v>1505</v>
      </c>
      <c r="R9" s="248">
        <v>39337</v>
      </c>
      <c r="S9" s="248">
        <v>39338</v>
      </c>
      <c r="T9" s="248">
        <v>39366</v>
      </c>
      <c r="U9" s="246" t="s">
        <v>488</v>
      </c>
      <c r="V9" s="246">
        <v>2</v>
      </c>
      <c r="W9" s="246" t="s">
        <v>486</v>
      </c>
      <c r="X9" s="246" t="s">
        <v>486</v>
      </c>
      <c r="Y9" s="246" t="s">
        <v>486</v>
      </c>
      <c r="Z9" s="246">
        <v>2</v>
      </c>
      <c r="AA9" s="246">
        <v>2</v>
      </c>
      <c r="AB9" s="246" t="s">
        <v>486</v>
      </c>
      <c r="AC9" s="246" t="s">
        <v>486</v>
      </c>
      <c r="AD9" s="246" t="s">
        <v>486</v>
      </c>
      <c r="AE9" s="246" t="s">
        <v>486</v>
      </c>
      <c r="AF9" s="246" t="s">
        <v>486</v>
      </c>
      <c r="AG9" s="246" t="s">
        <v>486</v>
      </c>
      <c r="AH9" s="246" t="s">
        <v>486</v>
      </c>
      <c r="AI9" s="246" t="s">
        <v>486</v>
      </c>
      <c r="AJ9" s="246" t="s">
        <v>486</v>
      </c>
      <c r="AK9" s="246" t="s">
        <v>486</v>
      </c>
      <c r="AL9" s="246" t="s">
        <v>486</v>
      </c>
      <c r="AM9" s="246" t="s">
        <v>486</v>
      </c>
      <c r="AN9" s="246" t="s">
        <v>486</v>
      </c>
      <c r="AO9" s="248" t="s">
        <v>486</v>
      </c>
      <c r="AP9" s="247" t="s">
        <v>486</v>
      </c>
      <c r="AQ9" s="249" t="s">
        <v>486</v>
      </c>
      <c r="AR9" s="246" t="s">
        <v>486</v>
      </c>
    </row>
    <row r="10" spans="1:44" ht="15" x14ac:dyDescent="0.25">
      <c r="A10" s="250" t="str">
        <f>HYPERLINK("http://www.ofsted.gov.uk/inspection-reports/find-inspection-report/provider/ELS/132095 ","Ofsted School Webpage")</f>
        <v>Ofsted School Webpage</v>
      </c>
      <c r="B10" s="251">
        <v>132095</v>
      </c>
      <c r="C10" s="251">
        <v>8886040</v>
      </c>
      <c r="D10" s="251" t="s">
        <v>1506</v>
      </c>
      <c r="E10" s="251" t="s">
        <v>247</v>
      </c>
      <c r="F10" s="251" t="s">
        <v>93</v>
      </c>
      <c r="G10" s="251" t="s">
        <v>93</v>
      </c>
      <c r="H10" s="251" t="s">
        <v>93</v>
      </c>
      <c r="I10" s="251" t="s">
        <v>90</v>
      </c>
      <c r="J10" s="251" t="s">
        <v>1490</v>
      </c>
      <c r="K10" s="251" t="s">
        <v>486</v>
      </c>
      <c r="L10" s="251" t="s">
        <v>487</v>
      </c>
      <c r="M10" s="251" t="s">
        <v>495</v>
      </c>
      <c r="N10" s="251" t="s">
        <v>495</v>
      </c>
      <c r="O10" s="251" t="s">
        <v>534</v>
      </c>
      <c r="P10" s="251" t="s">
        <v>1507</v>
      </c>
      <c r="Q10" s="252" t="s">
        <v>1508</v>
      </c>
      <c r="R10" s="253">
        <v>39351</v>
      </c>
      <c r="S10" s="253">
        <v>39352</v>
      </c>
      <c r="T10" s="253">
        <v>39373</v>
      </c>
      <c r="U10" s="251" t="s">
        <v>488</v>
      </c>
      <c r="V10" s="251">
        <v>3</v>
      </c>
      <c r="W10" s="251" t="s">
        <v>486</v>
      </c>
      <c r="X10" s="251" t="s">
        <v>486</v>
      </c>
      <c r="Y10" s="251" t="s">
        <v>486</v>
      </c>
      <c r="Z10" s="251">
        <v>3</v>
      </c>
      <c r="AA10" s="251">
        <v>3</v>
      </c>
      <c r="AB10" s="251" t="s">
        <v>486</v>
      </c>
      <c r="AC10" s="251" t="s">
        <v>486</v>
      </c>
      <c r="AD10" s="251" t="s">
        <v>486</v>
      </c>
      <c r="AE10" s="251" t="s">
        <v>486</v>
      </c>
      <c r="AF10" s="251" t="s">
        <v>486</v>
      </c>
      <c r="AG10" s="251" t="s">
        <v>486</v>
      </c>
      <c r="AH10" s="251" t="s">
        <v>486</v>
      </c>
      <c r="AI10" s="251" t="s">
        <v>486</v>
      </c>
      <c r="AJ10" s="251" t="s">
        <v>486</v>
      </c>
      <c r="AK10" s="251" t="s">
        <v>486</v>
      </c>
      <c r="AL10" s="251" t="s">
        <v>486</v>
      </c>
      <c r="AM10" s="251" t="s">
        <v>486</v>
      </c>
      <c r="AN10" s="251" t="s">
        <v>486</v>
      </c>
      <c r="AO10" s="253" t="s">
        <v>486</v>
      </c>
      <c r="AP10" s="252" t="s">
        <v>486</v>
      </c>
      <c r="AQ10" s="254" t="s">
        <v>486</v>
      </c>
      <c r="AR10" s="251" t="s">
        <v>486</v>
      </c>
    </row>
    <row r="11" spans="1:44" ht="15" x14ac:dyDescent="0.25">
      <c r="A11" s="245" t="str">
        <f>HYPERLINK("http://www.ofsted.gov.uk/inspection-reports/find-inspection-report/provider/ELS/102169 ","Ofsted School Webpage")</f>
        <v>Ofsted School Webpage</v>
      </c>
      <c r="B11" s="246">
        <v>102169</v>
      </c>
      <c r="C11" s="246">
        <v>3096067</v>
      </c>
      <c r="D11" s="246" t="s">
        <v>1509</v>
      </c>
      <c r="E11" s="246" t="s">
        <v>247</v>
      </c>
      <c r="F11" s="246" t="s">
        <v>93</v>
      </c>
      <c r="G11" s="246" t="s">
        <v>93</v>
      </c>
      <c r="H11" s="246" t="s">
        <v>93</v>
      </c>
      <c r="I11" s="246" t="s">
        <v>90</v>
      </c>
      <c r="J11" s="246" t="s">
        <v>1490</v>
      </c>
      <c r="K11" s="246" t="s">
        <v>486</v>
      </c>
      <c r="L11" s="246" t="s">
        <v>487</v>
      </c>
      <c r="M11" s="246" t="s">
        <v>506</v>
      </c>
      <c r="N11" s="246" t="s">
        <v>506</v>
      </c>
      <c r="O11" s="246" t="s">
        <v>595</v>
      </c>
      <c r="P11" s="246" t="s">
        <v>1510</v>
      </c>
      <c r="Q11" s="247" t="s">
        <v>1511</v>
      </c>
      <c r="R11" s="248">
        <v>39359</v>
      </c>
      <c r="S11" s="248">
        <v>39360</v>
      </c>
      <c r="T11" s="248">
        <v>39385</v>
      </c>
      <c r="U11" s="246" t="s">
        <v>488</v>
      </c>
      <c r="V11" s="246">
        <v>3</v>
      </c>
      <c r="W11" s="246" t="s">
        <v>486</v>
      </c>
      <c r="X11" s="246" t="s">
        <v>486</v>
      </c>
      <c r="Y11" s="246" t="s">
        <v>486</v>
      </c>
      <c r="Z11" s="246">
        <v>3</v>
      </c>
      <c r="AA11" s="246">
        <v>3</v>
      </c>
      <c r="AB11" s="246" t="s">
        <v>486</v>
      </c>
      <c r="AC11" s="246" t="s">
        <v>486</v>
      </c>
      <c r="AD11" s="246" t="s">
        <v>486</v>
      </c>
      <c r="AE11" s="246" t="s">
        <v>486</v>
      </c>
      <c r="AF11" s="246" t="s">
        <v>486</v>
      </c>
      <c r="AG11" s="246" t="s">
        <v>486</v>
      </c>
      <c r="AH11" s="246" t="s">
        <v>486</v>
      </c>
      <c r="AI11" s="246" t="s">
        <v>486</v>
      </c>
      <c r="AJ11" s="246" t="s">
        <v>486</v>
      </c>
      <c r="AK11" s="246" t="s">
        <v>486</v>
      </c>
      <c r="AL11" s="246" t="s">
        <v>486</v>
      </c>
      <c r="AM11" s="246" t="s">
        <v>486</v>
      </c>
      <c r="AN11" s="246" t="s">
        <v>486</v>
      </c>
      <c r="AO11" s="248" t="s">
        <v>486</v>
      </c>
      <c r="AP11" s="247" t="s">
        <v>486</v>
      </c>
      <c r="AQ11" s="249" t="s">
        <v>486</v>
      </c>
      <c r="AR11" s="246" t="s">
        <v>486</v>
      </c>
    </row>
    <row r="12" spans="1:44" ht="15" x14ac:dyDescent="0.25">
      <c r="A12" s="250" t="str">
        <f>HYPERLINK("http://www.ofsted.gov.uk/inspection-reports/find-inspection-report/provider/ELS/114661 ","Ofsted School Webpage")</f>
        <v>Ofsted School Webpage</v>
      </c>
      <c r="B12" s="251">
        <v>114661</v>
      </c>
      <c r="C12" s="251">
        <v>8466016</v>
      </c>
      <c r="D12" s="251" t="s">
        <v>1512</v>
      </c>
      <c r="E12" s="251" t="s">
        <v>247</v>
      </c>
      <c r="F12" s="251" t="s">
        <v>93</v>
      </c>
      <c r="G12" s="251" t="s">
        <v>93</v>
      </c>
      <c r="H12" s="251" t="s">
        <v>93</v>
      </c>
      <c r="I12" s="251" t="s">
        <v>90</v>
      </c>
      <c r="J12" s="251" t="s">
        <v>1490</v>
      </c>
      <c r="K12" s="251" t="s">
        <v>486</v>
      </c>
      <c r="L12" s="251" t="s">
        <v>487</v>
      </c>
      <c r="M12" s="251" t="s">
        <v>581</v>
      </c>
      <c r="N12" s="251" t="s">
        <v>581</v>
      </c>
      <c r="O12" s="251" t="s">
        <v>924</v>
      </c>
      <c r="P12" s="251" t="s">
        <v>1513</v>
      </c>
      <c r="Q12" s="252" t="s">
        <v>1514</v>
      </c>
      <c r="R12" s="253">
        <v>39399</v>
      </c>
      <c r="S12" s="253">
        <v>39400</v>
      </c>
      <c r="T12" s="253">
        <v>39423</v>
      </c>
      <c r="U12" s="251" t="s">
        <v>488</v>
      </c>
      <c r="V12" s="251">
        <v>3</v>
      </c>
      <c r="W12" s="251" t="s">
        <v>486</v>
      </c>
      <c r="X12" s="251" t="s">
        <v>486</v>
      </c>
      <c r="Y12" s="251" t="s">
        <v>486</v>
      </c>
      <c r="Z12" s="251">
        <v>3</v>
      </c>
      <c r="AA12" s="251">
        <v>3</v>
      </c>
      <c r="AB12" s="251" t="s">
        <v>486</v>
      </c>
      <c r="AC12" s="251" t="s">
        <v>486</v>
      </c>
      <c r="AD12" s="251" t="s">
        <v>486</v>
      </c>
      <c r="AE12" s="251" t="s">
        <v>486</v>
      </c>
      <c r="AF12" s="251" t="s">
        <v>486</v>
      </c>
      <c r="AG12" s="251" t="s">
        <v>486</v>
      </c>
      <c r="AH12" s="251" t="s">
        <v>486</v>
      </c>
      <c r="AI12" s="251" t="s">
        <v>486</v>
      </c>
      <c r="AJ12" s="251" t="s">
        <v>486</v>
      </c>
      <c r="AK12" s="251" t="s">
        <v>486</v>
      </c>
      <c r="AL12" s="251" t="s">
        <v>486</v>
      </c>
      <c r="AM12" s="251" t="s">
        <v>486</v>
      </c>
      <c r="AN12" s="251" t="s">
        <v>486</v>
      </c>
      <c r="AO12" s="253" t="s">
        <v>486</v>
      </c>
      <c r="AP12" s="252" t="s">
        <v>486</v>
      </c>
      <c r="AQ12" s="254" t="s">
        <v>486</v>
      </c>
      <c r="AR12" s="251" t="s">
        <v>486</v>
      </c>
    </row>
    <row r="13" spans="1:44" ht="15" x14ac:dyDescent="0.25">
      <c r="A13" s="245" t="str">
        <f>HYPERLINK("http://www.ofsted.gov.uk/inspection-reports/find-inspection-report/provider/ELS/131937 ","Ofsted School Webpage")</f>
        <v>Ofsted School Webpage</v>
      </c>
      <c r="B13" s="246">
        <v>131937</v>
      </c>
      <c r="C13" s="246">
        <v>8736029</v>
      </c>
      <c r="D13" s="246" t="s">
        <v>1515</v>
      </c>
      <c r="E13" s="246" t="s">
        <v>247</v>
      </c>
      <c r="F13" s="246" t="s">
        <v>93</v>
      </c>
      <c r="G13" s="246" t="s">
        <v>93</v>
      </c>
      <c r="H13" s="246" t="s">
        <v>93</v>
      </c>
      <c r="I13" s="246" t="s">
        <v>90</v>
      </c>
      <c r="J13" s="246" t="s">
        <v>1490</v>
      </c>
      <c r="K13" s="246" t="s">
        <v>486</v>
      </c>
      <c r="L13" s="246" t="s">
        <v>487</v>
      </c>
      <c r="M13" s="246" t="s">
        <v>516</v>
      </c>
      <c r="N13" s="246" t="s">
        <v>516</v>
      </c>
      <c r="O13" s="246" t="s">
        <v>867</v>
      </c>
      <c r="P13" s="246" t="s">
        <v>1516</v>
      </c>
      <c r="Q13" s="247" t="s">
        <v>1517</v>
      </c>
      <c r="R13" s="248">
        <v>39512</v>
      </c>
      <c r="S13" s="248">
        <v>39513</v>
      </c>
      <c r="T13" s="248">
        <v>39559</v>
      </c>
      <c r="U13" s="246" t="s">
        <v>488</v>
      </c>
      <c r="V13" s="246">
        <v>2</v>
      </c>
      <c r="W13" s="246" t="s">
        <v>486</v>
      </c>
      <c r="X13" s="246" t="s">
        <v>486</v>
      </c>
      <c r="Y13" s="246" t="s">
        <v>486</v>
      </c>
      <c r="Z13" s="246">
        <v>2</v>
      </c>
      <c r="AA13" s="246">
        <v>2</v>
      </c>
      <c r="AB13" s="246" t="s">
        <v>486</v>
      </c>
      <c r="AC13" s="246" t="s">
        <v>486</v>
      </c>
      <c r="AD13" s="246" t="s">
        <v>486</v>
      </c>
      <c r="AE13" s="246" t="s">
        <v>486</v>
      </c>
      <c r="AF13" s="246" t="s">
        <v>486</v>
      </c>
      <c r="AG13" s="246" t="s">
        <v>486</v>
      </c>
      <c r="AH13" s="246" t="s">
        <v>486</v>
      </c>
      <c r="AI13" s="246" t="s">
        <v>486</v>
      </c>
      <c r="AJ13" s="246" t="s">
        <v>486</v>
      </c>
      <c r="AK13" s="246" t="s">
        <v>486</v>
      </c>
      <c r="AL13" s="246" t="s">
        <v>486</v>
      </c>
      <c r="AM13" s="246" t="s">
        <v>486</v>
      </c>
      <c r="AN13" s="246" t="s">
        <v>486</v>
      </c>
      <c r="AO13" s="248" t="s">
        <v>486</v>
      </c>
      <c r="AP13" s="247" t="s">
        <v>486</v>
      </c>
      <c r="AQ13" s="249" t="s">
        <v>486</v>
      </c>
      <c r="AR13" s="246" t="s">
        <v>486</v>
      </c>
    </row>
    <row r="14" spans="1:44" ht="15" x14ac:dyDescent="0.25">
      <c r="A14" s="250" t="str">
        <f>HYPERLINK("http://www.ofsted.gov.uk/inspection-reports/find-inspection-report/provider/ELS/110175 ","Ofsted School Webpage")</f>
        <v>Ofsted School Webpage</v>
      </c>
      <c r="B14" s="251">
        <v>110175</v>
      </c>
      <c r="C14" s="251">
        <v>8696013</v>
      </c>
      <c r="D14" s="251" t="s">
        <v>1518</v>
      </c>
      <c r="E14" s="251" t="s">
        <v>247</v>
      </c>
      <c r="F14" s="251" t="s">
        <v>93</v>
      </c>
      <c r="G14" s="251" t="s">
        <v>93</v>
      </c>
      <c r="H14" s="251" t="s">
        <v>93</v>
      </c>
      <c r="I14" s="251" t="s">
        <v>90</v>
      </c>
      <c r="J14" s="251" t="s">
        <v>1490</v>
      </c>
      <c r="K14" s="251" t="s">
        <v>486</v>
      </c>
      <c r="L14" s="251" t="s">
        <v>487</v>
      </c>
      <c r="M14" s="251" t="s">
        <v>581</v>
      </c>
      <c r="N14" s="251" t="s">
        <v>581</v>
      </c>
      <c r="O14" s="251" t="s">
        <v>1519</v>
      </c>
      <c r="P14" s="251" t="s">
        <v>1520</v>
      </c>
      <c r="Q14" s="252" t="s">
        <v>1521</v>
      </c>
      <c r="R14" s="253">
        <v>39581</v>
      </c>
      <c r="S14" s="253">
        <v>39582</v>
      </c>
      <c r="T14" s="253">
        <v>39615</v>
      </c>
      <c r="U14" s="251" t="s">
        <v>488</v>
      </c>
      <c r="V14" s="251">
        <v>2</v>
      </c>
      <c r="W14" s="251" t="s">
        <v>486</v>
      </c>
      <c r="X14" s="251" t="s">
        <v>486</v>
      </c>
      <c r="Y14" s="251" t="s">
        <v>486</v>
      </c>
      <c r="Z14" s="251">
        <v>2</v>
      </c>
      <c r="AA14" s="251">
        <v>2</v>
      </c>
      <c r="AB14" s="251" t="s">
        <v>486</v>
      </c>
      <c r="AC14" s="251" t="s">
        <v>486</v>
      </c>
      <c r="AD14" s="251" t="s">
        <v>486</v>
      </c>
      <c r="AE14" s="251" t="s">
        <v>486</v>
      </c>
      <c r="AF14" s="251" t="s">
        <v>486</v>
      </c>
      <c r="AG14" s="251" t="s">
        <v>486</v>
      </c>
      <c r="AH14" s="251" t="s">
        <v>486</v>
      </c>
      <c r="AI14" s="251" t="s">
        <v>486</v>
      </c>
      <c r="AJ14" s="251" t="s">
        <v>486</v>
      </c>
      <c r="AK14" s="251" t="s">
        <v>486</v>
      </c>
      <c r="AL14" s="251" t="s">
        <v>486</v>
      </c>
      <c r="AM14" s="251" t="s">
        <v>486</v>
      </c>
      <c r="AN14" s="251" t="s">
        <v>486</v>
      </c>
      <c r="AO14" s="253" t="s">
        <v>486</v>
      </c>
      <c r="AP14" s="252" t="s">
        <v>486</v>
      </c>
      <c r="AQ14" s="254" t="s">
        <v>486</v>
      </c>
      <c r="AR14" s="251" t="s">
        <v>486</v>
      </c>
    </row>
    <row r="15" spans="1:44" ht="15" x14ac:dyDescent="0.25">
      <c r="A15" s="245" t="str">
        <f>HYPERLINK("http://www.ofsted.gov.uk/inspection-reports/find-inspection-report/provider/ELS/122143 ","Ofsted School Webpage")</f>
        <v>Ofsted School Webpage</v>
      </c>
      <c r="B15" s="246">
        <v>122143</v>
      </c>
      <c r="C15" s="246">
        <v>9286056</v>
      </c>
      <c r="D15" s="246" t="s">
        <v>1296</v>
      </c>
      <c r="E15" s="246" t="s">
        <v>247</v>
      </c>
      <c r="F15" s="246" t="s">
        <v>93</v>
      </c>
      <c r="G15" s="246" t="s">
        <v>71</v>
      </c>
      <c r="H15" s="246" t="s">
        <v>71</v>
      </c>
      <c r="I15" s="246" t="s">
        <v>71</v>
      </c>
      <c r="J15" s="246" t="s">
        <v>1490</v>
      </c>
      <c r="K15" s="246" t="s">
        <v>486</v>
      </c>
      <c r="L15" s="246" t="s">
        <v>487</v>
      </c>
      <c r="M15" s="246" t="s">
        <v>572</v>
      </c>
      <c r="N15" s="246" t="s">
        <v>572</v>
      </c>
      <c r="O15" s="246" t="s">
        <v>1297</v>
      </c>
      <c r="P15" s="246" t="s">
        <v>1298</v>
      </c>
      <c r="Q15" s="247" t="s">
        <v>1522</v>
      </c>
      <c r="R15" s="248">
        <v>39714</v>
      </c>
      <c r="S15" s="248">
        <v>39715</v>
      </c>
      <c r="T15" s="248">
        <v>39737</v>
      </c>
      <c r="U15" s="246" t="s">
        <v>488</v>
      </c>
      <c r="V15" s="246">
        <v>3</v>
      </c>
      <c r="W15" s="246" t="s">
        <v>486</v>
      </c>
      <c r="X15" s="246" t="s">
        <v>486</v>
      </c>
      <c r="Y15" s="246" t="s">
        <v>486</v>
      </c>
      <c r="Z15" s="246">
        <v>3</v>
      </c>
      <c r="AA15" s="246">
        <v>3</v>
      </c>
      <c r="AB15" s="246">
        <v>4</v>
      </c>
      <c r="AC15" s="246" t="s">
        <v>486</v>
      </c>
      <c r="AD15" s="246" t="s">
        <v>486</v>
      </c>
      <c r="AE15" s="246" t="s">
        <v>486</v>
      </c>
      <c r="AF15" s="246" t="s">
        <v>486</v>
      </c>
      <c r="AG15" s="246" t="s">
        <v>486</v>
      </c>
      <c r="AH15" s="246" t="s">
        <v>486</v>
      </c>
      <c r="AI15" s="246" t="s">
        <v>486</v>
      </c>
      <c r="AJ15" s="246" t="s">
        <v>486</v>
      </c>
      <c r="AK15" s="246" t="s">
        <v>486</v>
      </c>
      <c r="AL15" s="246" t="s">
        <v>486</v>
      </c>
      <c r="AM15" s="246">
        <v>10085182</v>
      </c>
      <c r="AN15" s="246" t="s">
        <v>1109</v>
      </c>
      <c r="AO15" s="248">
        <v>43474</v>
      </c>
      <c r="AP15" s="247" t="s">
        <v>1523</v>
      </c>
      <c r="AQ15" s="249">
        <v>43503</v>
      </c>
      <c r="AR15" s="246" t="s">
        <v>1110</v>
      </c>
    </row>
    <row r="16" spans="1:44" ht="15" x14ac:dyDescent="0.25">
      <c r="A16" s="250" t="str">
        <f>HYPERLINK("http://www.ofsted.gov.uk/inspection-reports/find-inspection-report/provider/ELS/103876 ","Ofsted School Webpage")</f>
        <v>Ofsted School Webpage</v>
      </c>
      <c r="B16" s="251">
        <v>103876</v>
      </c>
      <c r="C16" s="251">
        <v>3326000</v>
      </c>
      <c r="D16" s="251" t="s">
        <v>1524</v>
      </c>
      <c r="E16" s="251" t="s">
        <v>247</v>
      </c>
      <c r="F16" s="251" t="s">
        <v>93</v>
      </c>
      <c r="G16" s="251" t="s">
        <v>93</v>
      </c>
      <c r="H16" s="251" t="s">
        <v>93</v>
      </c>
      <c r="I16" s="251" t="s">
        <v>90</v>
      </c>
      <c r="J16" s="251" t="s">
        <v>1490</v>
      </c>
      <c r="K16" s="251" t="s">
        <v>486</v>
      </c>
      <c r="L16" s="251" t="s">
        <v>487</v>
      </c>
      <c r="M16" s="251" t="s">
        <v>502</v>
      </c>
      <c r="N16" s="251" t="s">
        <v>502</v>
      </c>
      <c r="O16" s="251" t="s">
        <v>699</v>
      </c>
      <c r="P16" s="251" t="s">
        <v>1525</v>
      </c>
      <c r="Q16" s="252" t="s">
        <v>1526</v>
      </c>
      <c r="R16" s="253">
        <v>39932</v>
      </c>
      <c r="S16" s="253">
        <v>39933</v>
      </c>
      <c r="T16" s="253">
        <v>39965</v>
      </c>
      <c r="U16" s="251" t="s">
        <v>1527</v>
      </c>
      <c r="V16" s="251">
        <v>2</v>
      </c>
      <c r="W16" s="251" t="s">
        <v>486</v>
      </c>
      <c r="X16" s="251" t="s">
        <v>486</v>
      </c>
      <c r="Y16" s="251" t="s">
        <v>486</v>
      </c>
      <c r="Z16" s="251">
        <v>2</v>
      </c>
      <c r="AA16" s="251">
        <v>2</v>
      </c>
      <c r="AB16" s="251">
        <v>3</v>
      </c>
      <c r="AC16" s="251" t="s">
        <v>486</v>
      </c>
      <c r="AD16" s="251" t="s">
        <v>486</v>
      </c>
      <c r="AE16" s="251" t="s">
        <v>486</v>
      </c>
      <c r="AF16" s="251" t="s">
        <v>486</v>
      </c>
      <c r="AG16" s="251" t="s">
        <v>486</v>
      </c>
      <c r="AH16" s="251" t="s">
        <v>486</v>
      </c>
      <c r="AI16" s="251" t="s">
        <v>486</v>
      </c>
      <c r="AJ16" s="251" t="s">
        <v>486</v>
      </c>
      <c r="AK16" s="251" t="s">
        <v>486</v>
      </c>
      <c r="AL16" s="251" t="s">
        <v>486</v>
      </c>
      <c r="AM16" s="251" t="s">
        <v>486</v>
      </c>
      <c r="AN16" s="251" t="s">
        <v>486</v>
      </c>
      <c r="AO16" s="253" t="s">
        <v>486</v>
      </c>
      <c r="AP16" s="252" t="s">
        <v>486</v>
      </c>
      <c r="AQ16" s="254" t="s">
        <v>486</v>
      </c>
      <c r="AR16" s="251" t="s">
        <v>486</v>
      </c>
    </row>
    <row r="17" spans="1:44" ht="15" x14ac:dyDescent="0.25">
      <c r="A17" s="245" t="str">
        <f>HYPERLINK("http://www.ofsted.gov.uk/inspection-reports/find-inspection-report/provider/ELS/113943 ","Ofsted School Webpage")</f>
        <v>Ofsted School Webpage</v>
      </c>
      <c r="B17" s="246">
        <v>113943</v>
      </c>
      <c r="C17" s="246">
        <v>8356022</v>
      </c>
      <c r="D17" s="246" t="s">
        <v>1528</v>
      </c>
      <c r="E17" s="246" t="s">
        <v>247</v>
      </c>
      <c r="F17" s="246" t="s">
        <v>93</v>
      </c>
      <c r="G17" s="246" t="s">
        <v>93</v>
      </c>
      <c r="H17" s="246" t="s">
        <v>93</v>
      </c>
      <c r="I17" s="246" t="s">
        <v>90</v>
      </c>
      <c r="J17" s="246" t="s">
        <v>1490</v>
      </c>
      <c r="K17" s="246" t="s">
        <v>486</v>
      </c>
      <c r="L17" s="246" t="s">
        <v>487</v>
      </c>
      <c r="M17" s="246" t="s">
        <v>483</v>
      </c>
      <c r="N17" s="246" t="s">
        <v>483</v>
      </c>
      <c r="O17" s="246" t="s">
        <v>643</v>
      </c>
      <c r="P17" s="246" t="s">
        <v>1529</v>
      </c>
      <c r="Q17" s="247" t="s">
        <v>1530</v>
      </c>
      <c r="R17" s="248">
        <v>39968</v>
      </c>
      <c r="S17" s="248">
        <v>39968</v>
      </c>
      <c r="T17" s="248">
        <v>39993</v>
      </c>
      <c r="U17" s="246" t="s">
        <v>1531</v>
      </c>
      <c r="V17" s="246">
        <v>2</v>
      </c>
      <c r="W17" s="246" t="s">
        <v>486</v>
      </c>
      <c r="X17" s="246" t="s">
        <v>486</v>
      </c>
      <c r="Y17" s="246" t="s">
        <v>486</v>
      </c>
      <c r="Z17" s="246">
        <v>2</v>
      </c>
      <c r="AA17" s="246">
        <v>2</v>
      </c>
      <c r="AB17" s="246">
        <v>2</v>
      </c>
      <c r="AC17" s="246" t="s">
        <v>486</v>
      </c>
      <c r="AD17" s="246" t="s">
        <v>486</v>
      </c>
      <c r="AE17" s="246" t="s">
        <v>486</v>
      </c>
      <c r="AF17" s="246" t="s">
        <v>486</v>
      </c>
      <c r="AG17" s="246" t="s">
        <v>486</v>
      </c>
      <c r="AH17" s="246" t="s">
        <v>486</v>
      </c>
      <c r="AI17" s="246" t="s">
        <v>486</v>
      </c>
      <c r="AJ17" s="246" t="s">
        <v>486</v>
      </c>
      <c r="AK17" s="246" t="s">
        <v>486</v>
      </c>
      <c r="AL17" s="246" t="s">
        <v>486</v>
      </c>
      <c r="AM17" s="246" t="s">
        <v>486</v>
      </c>
      <c r="AN17" s="246" t="s">
        <v>486</v>
      </c>
      <c r="AO17" s="248" t="s">
        <v>486</v>
      </c>
      <c r="AP17" s="247" t="s">
        <v>486</v>
      </c>
      <c r="AQ17" s="249" t="s">
        <v>486</v>
      </c>
      <c r="AR17" s="246" t="s">
        <v>486</v>
      </c>
    </row>
    <row r="18" spans="1:44" ht="15" x14ac:dyDescent="0.25">
      <c r="A18" s="250" t="str">
        <f>HYPERLINK("http://www.ofsted.gov.uk/inspection-reports/find-inspection-report/provider/ELS/114625 ","Ofsted School Webpage")</f>
        <v>Ofsted School Webpage</v>
      </c>
      <c r="B18" s="251">
        <v>114625</v>
      </c>
      <c r="C18" s="251">
        <v>8456037</v>
      </c>
      <c r="D18" s="251" t="s">
        <v>1532</v>
      </c>
      <c r="E18" s="251" t="s">
        <v>247</v>
      </c>
      <c r="F18" s="251" t="s">
        <v>93</v>
      </c>
      <c r="G18" s="251" t="s">
        <v>93</v>
      </c>
      <c r="H18" s="251" t="s">
        <v>93</v>
      </c>
      <c r="I18" s="251" t="s">
        <v>90</v>
      </c>
      <c r="J18" s="251" t="s">
        <v>1490</v>
      </c>
      <c r="K18" s="251" t="s">
        <v>486</v>
      </c>
      <c r="L18" s="251" t="s">
        <v>487</v>
      </c>
      <c r="M18" s="251" t="s">
        <v>581</v>
      </c>
      <c r="N18" s="251" t="s">
        <v>581</v>
      </c>
      <c r="O18" s="251" t="s">
        <v>761</v>
      </c>
      <c r="P18" s="251" t="s">
        <v>1533</v>
      </c>
      <c r="Q18" s="252" t="s">
        <v>1534</v>
      </c>
      <c r="R18" s="253">
        <v>39993</v>
      </c>
      <c r="S18" s="253">
        <v>39994</v>
      </c>
      <c r="T18" s="253">
        <v>40026</v>
      </c>
      <c r="U18" s="251" t="s">
        <v>1527</v>
      </c>
      <c r="V18" s="251">
        <v>2</v>
      </c>
      <c r="W18" s="251" t="s">
        <v>486</v>
      </c>
      <c r="X18" s="251" t="s">
        <v>486</v>
      </c>
      <c r="Y18" s="251" t="s">
        <v>486</v>
      </c>
      <c r="Z18" s="251">
        <v>2</v>
      </c>
      <c r="AA18" s="251">
        <v>2</v>
      </c>
      <c r="AB18" s="251">
        <v>2</v>
      </c>
      <c r="AC18" s="251" t="s">
        <v>486</v>
      </c>
      <c r="AD18" s="251" t="s">
        <v>486</v>
      </c>
      <c r="AE18" s="251" t="s">
        <v>486</v>
      </c>
      <c r="AF18" s="251" t="s">
        <v>486</v>
      </c>
      <c r="AG18" s="251" t="s">
        <v>486</v>
      </c>
      <c r="AH18" s="251" t="s">
        <v>486</v>
      </c>
      <c r="AI18" s="251" t="s">
        <v>486</v>
      </c>
      <c r="AJ18" s="251" t="s">
        <v>486</v>
      </c>
      <c r="AK18" s="251" t="s">
        <v>486</v>
      </c>
      <c r="AL18" s="251" t="s">
        <v>486</v>
      </c>
      <c r="AM18" s="251" t="s">
        <v>486</v>
      </c>
      <c r="AN18" s="251" t="s">
        <v>486</v>
      </c>
      <c r="AO18" s="253" t="s">
        <v>486</v>
      </c>
      <c r="AP18" s="252" t="s">
        <v>486</v>
      </c>
      <c r="AQ18" s="254" t="s">
        <v>486</v>
      </c>
      <c r="AR18" s="251" t="s">
        <v>486</v>
      </c>
    </row>
    <row r="19" spans="1:44" ht="15" x14ac:dyDescent="0.25">
      <c r="A19" s="245" t="str">
        <f>HYPERLINK("http://www.ofsted.gov.uk/inspection-reports/find-inspection-report/provider/ELS/134573 ","Ofsted School Webpage")</f>
        <v>Ofsted School Webpage</v>
      </c>
      <c r="B19" s="246">
        <v>134573</v>
      </c>
      <c r="C19" s="246">
        <v>2106394</v>
      </c>
      <c r="D19" s="246" t="s">
        <v>1535</v>
      </c>
      <c r="E19" s="246" t="s">
        <v>247</v>
      </c>
      <c r="F19" s="246" t="s">
        <v>93</v>
      </c>
      <c r="G19" s="246" t="s">
        <v>93</v>
      </c>
      <c r="H19" s="246" t="s">
        <v>93</v>
      </c>
      <c r="I19" s="246" t="s">
        <v>90</v>
      </c>
      <c r="J19" s="246" t="s">
        <v>1490</v>
      </c>
      <c r="K19" s="246" t="s">
        <v>486</v>
      </c>
      <c r="L19" s="246" t="s">
        <v>487</v>
      </c>
      <c r="M19" s="246" t="s">
        <v>506</v>
      </c>
      <c r="N19" s="246" t="s">
        <v>506</v>
      </c>
      <c r="O19" s="246" t="s">
        <v>1311</v>
      </c>
      <c r="P19" s="246" t="s">
        <v>1536</v>
      </c>
      <c r="Q19" s="247" t="s">
        <v>1537</v>
      </c>
      <c r="R19" s="248">
        <v>40862</v>
      </c>
      <c r="S19" s="248">
        <v>40863</v>
      </c>
      <c r="T19" s="248">
        <v>40886</v>
      </c>
      <c r="U19" s="246" t="s">
        <v>488</v>
      </c>
      <c r="V19" s="246">
        <v>2</v>
      </c>
      <c r="W19" s="246" t="s">
        <v>486</v>
      </c>
      <c r="X19" s="246" t="s">
        <v>486</v>
      </c>
      <c r="Y19" s="246" t="s">
        <v>486</v>
      </c>
      <c r="Z19" s="246">
        <v>2</v>
      </c>
      <c r="AA19" s="246">
        <v>2</v>
      </c>
      <c r="AB19" s="246">
        <v>8</v>
      </c>
      <c r="AC19" s="246" t="s">
        <v>486</v>
      </c>
      <c r="AD19" s="246" t="s">
        <v>486</v>
      </c>
      <c r="AE19" s="246" t="s">
        <v>486</v>
      </c>
      <c r="AF19" s="246" t="s">
        <v>486</v>
      </c>
      <c r="AG19" s="246" t="s">
        <v>486</v>
      </c>
      <c r="AH19" s="246" t="s">
        <v>486</v>
      </c>
      <c r="AI19" s="246" t="s">
        <v>486</v>
      </c>
      <c r="AJ19" s="246" t="s">
        <v>486</v>
      </c>
      <c r="AK19" s="246" t="s">
        <v>486</v>
      </c>
      <c r="AL19" s="246" t="s">
        <v>545</v>
      </c>
      <c r="AM19" s="246" t="s">
        <v>486</v>
      </c>
      <c r="AN19" s="246" t="s">
        <v>486</v>
      </c>
      <c r="AO19" s="248" t="s">
        <v>486</v>
      </c>
      <c r="AP19" s="247" t="s">
        <v>486</v>
      </c>
      <c r="AQ19" s="249" t="s">
        <v>486</v>
      </c>
      <c r="AR19" s="246" t="s">
        <v>486</v>
      </c>
    </row>
    <row r="20" spans="1:44" ht="15" x14ac:dyDescent="0.25">
      <c r="A20" s="250" t="str">
        <f>HYPERLINK("http://www.ofsted.gov.uk/inspection-reports/find-inspection-report/provider/ELS/137503 ","Ofsted School Webpage")</f>
        <v>Ofsted School Webpage</v>
      </c>
      <c r="B20" s="251">
        <v>137503</v>
      </c>
      <c r="C20" s="251">
        <v>3816002</v>
      </c>
      <c r="D20" s="251" t="s">
        <v>1538</v>
      </c>
      <c r="E20" s="251" t="s">
        <v>247</v>
      </c>
      <c r="F20" s="251" t="s">
        <v>93</v>
      </c>
      <c r="G20" s="251" t="s">
        <v>93</v>
      </c>
      <c r="H20" s="251" t="s">
        <v>93</v>
      </c>
      <c r="I20" s="251" t="s">
        <v>90</v>
      </c>
      <c r="J20" s="251" t="s">
        <v>1490</v>
      </c>
      <c r="K20" s="251" t="s">
        <v>486</v>
      </c>
      <c r="L20" s="251" t="s">
        <v>487</v>
      </c>
      <c r="M20" s="251" t="s">
        <v>523</v>
      </c>
      <c r="N20" s="251" t="s">
        <v>524</v>
      </c>
      <c r="O20" s="251" t="s">
        <v>1539</v>
      </c>
      <c r="P20" s="251" t="s">
        <v>1540</v>
      </c>
      <c r="Q20" s="252" t="s">
        <v>1541</v>
      </c>
      <c r="R20" s="253">
        <v>41031</v>
      </c>
      <c r="S20" s="253">
        <v>41032</v>
      </c>
      <c r="T20" s="253">
        <v>41054</v>
      </c>
      <c r="U20" s="251" t="s">
        <v>499</v>
      </c>
      <c r="V20" s="251">
        <v>2</v>
      </c>
      <c r="W20" s="251" t="s">
        <v>486</v>
      </c>
      <c r="X20" s="251" t="s">
        <v>486</v>
      </c>
      <c r="Y20" s="251" t="s">
        <v>486</v>
      </c>
      <c r="Z20" s="251">
        <v>2</v>
      </c>
      <c r="AA20" s="251">
        <v>2</v>
      </c>
      <c r="AB20" s="251">
        <v>8</v>
      </c>
      <c r="AC20" s="251" t="s">
        <v>486</v>
      </c>
      <c r="AD20" s="251" t="s">
        <v>486</v>
      </c>
      <c r="AE20" s="251" t="s">
        <v>486</v>
      </c>
      <c r="AF20" s="251" t="s">
        <v>486</v>
      </c>
      <c r="AG20" s="251" t="s">
        <v>486</v>
      </c>
      <c r="AH20" s="251" t="s">
        <v>486</v>
      </c>
      <c r="AI20" s="251" t="s">
        <v>486</v>
      </c>
      <c r="AJ20" s="251" t="s">
        <v>486</v>
      </c>
      <c r="AK20" s="251" t="s">
        <v>486</v>
      </c>
      <c r="AL20" s="251" t="s">
        <v>486</v>
      </c>
      <c r="AM20" s="251" t="s">
        <v>486</v>
      </c>
      <c r="AN20" s="251" t="s">
        <v>486</v>
      </c>
      <c r="AO20" s="253" t="s">
        <v>486</v>
      </c>
      <c r="AP20" s="252" t="s">
        <v>486</v>
      </c>
      <c r="AQ20" s="254" t="s">
        <v>486</v>
      </c>
      <c r="AR20" s="251" t="s">
        <v>486</v>
      </c>
    </row>
    <row r="21" spans="1:44" ht="15" x14ac:dyDescent="0.25">
      <c r="A21" s="245" t="str">
        <f>HYPERLINK("http://www.ofsted.gov.uk/inspection-reports/find-inspection-report/provider/ELS/136043 ","Ofsted School Webpage")</f>
        <v>Ofsted School Webpage</v>
      </c>
      <c r="B21" s="246">
        <v>136043</v>
      </c>
      <c r="C21" s="246">
        <v>9376107</v>
      </c>
      <c r="D21" s="246" t="s">
        <v>1542</v>
      </c>
      <c r="E21" s="246" t="s">
        <v>247</v>
      </c>
      <c r="F21" s="246" t="s">
        <v>83</v>
      </c>
      <c r="G21" s="246" t="s">
        <v>84</v>
      </c>
      <c r="H21" s="246" t="s">
        <v>83</v>
      </c>
      <c r="I21" s="246" t="s">
        <v>84</v>
      </c>
      <c r="J21" s="246" t="s">
        <v>1490</v>
      </c>
      <c r="K21" s="246" t="s">
        <v>486</v>
      </c>
      <c r="L21" s="246" t="s">
        <v>487</v>
      </c>
      <c r="M21" s="246" t="s">
        <v>502</v>
      </c>
      <c r="N21" s="246" t="s">
        <v>502</v>
      </c>
      <c r="O21" s="246" t="s">
        <v>503</v>
      </c>
      <c r="P21" s="246" t="s">
        <v>1543</v>
      </c>
      <c r="Q21" s="247" t="s">
        <v>1544</v>
      </c>
      <c r="R21" s="248">
        <v>41716</v>
      </c>
      <c r="S21" s="248">
        <v>41718</v>
      </c>
      <c r="T21" s="248">
        <v>41738</v>
      </c>
      <c r="U21" s="246" t="s">
        <v>488</v>
      </c>
      <c r="V21" s="246">
        <v>2</v>
      </c>
      <c r="W21" s="246" t="s">
        <v>486</v>
      </c>
      <c r="X21" s="246">
        <v>2</v>
      </c>
      <c r="Y21" s="246" t="s">
        <v>486</v>
      </c>
      <c r="Z21" s="246">
        <v>2</v>
      </c>
      <c r="AA21" s="246">
        <v>2</v>
      </c>
      <c r="AB21" s="246" t="s">
        <v>486</v>
      </c>
      <c r="AC21" s="246" t="s">
        <v>486</v>
      </c>
      <c r="AD21" s="246" t="s">
        <v>486</v>
      </c>
      <c r="AE21" s="246" t="s">
        <v>486</v>
      </c>
      <c r="AF21" s="246" t="s">
        <v>486</v>
      </c>
      <c r="AG21" s="246" t="s">
        <v>486</v>
      </c>
      <c r="AH21" s="246" t="s">
        <v>486</v>
      </c>
      <c r="AI21" s="246" t="s">
        <v>486</v>
      </c>
      <c r="AJ21" s="246" t="s">
        <v>486</v>
      </c>
      <c r="AK21" s="246" t="s">
        <v>486</v>
      </c>
      <c r="AL21" s="246" t="s">
        <v>545</v>
      </c>
      <c r="AM21" s="246" t="s">
        <v>486</v>
      </c>
      <c r="AN21" s="246" t="s">
        <v>486</v>
      </c>
      <c r="AO21" s="248" t="s">
        <v>486</v>
      </c>
      <c r="AP21" s="247" t="s">
        <v>486</v>
      </c>
      <c r="AQ21" s="249" t="s">
        <v>486</v>
      </c>
      <c r="AR21" s="246" t="s">
        <v>486</v>
      </c>
    </row>
    <row r="22" spans="1:44" ht="15" x14ac:dyDescent="0.25">
      <c r="A22" s="250" t="str">
        <f>HYPERLINK("http://www.ofsted.gov.uk/inspection-reports/find-inspection-report/provider/ELS/136244 ","Ofsted School Webpage")</f>
        <v>Ofsted School Webpage</v>
      </c>
      <c r="B22" s="251">
        <v>136244</v>
      </c>
      <c r="C22" s="251">
        <v>3176080</v>
      </c>
      <c r="D22" s="251" t="s">
        <v>1545</v>
      </c>
      <c r="E22" s="251" t="s">
        <v>248</v>
      </c>
      <c r="F22" s="251" t="s">
        <v>93</v>
      </c>
      <c r="G22" s="251" t="s">
        <v>93</v>
      </c>
      <c r="H22" s="251" t="s">
        <v>93</v>
      </c>
      <c r="I22" s="251" t="s">
        <v>90</v>
      </c>
      <c r="J22" s="251" t="s">
        <v>1490</v>
      </c>
      <c r="K22" s="251" t="s">
        <v>486</v>
      </c>
      <c r="L22" s="251" t="s">
        <v>487</v>
      </c>
      <c r="M22" s="251" t="s">
        <v>506</v>
      </c>
      <c r="N22" s="251" t="s">
        <v>506</v>
      </c>
      <c r="O22" s="251" t="s">
        <v>731</v>
      </c>
      <c r="P22" s="251" t="s">
        <v>1546</v>
      </c>
      <c r="Q22" s="252" t="s">
        <v>1547</v>
      </c>
      <c r="R22" s="253">
        <v>42185</v>
      </c>
      <c r="S22" s="253">
        <v>42186</v>
      </c>
      <c r="T22" s="253">
        <v>42257</v>
      </c>
      <c r="U22" s="251" t="s">
        <v>2930</v>
      </c>
      <c r="V22" s="251">
        <v>2</v>
      </c>
      <c r="W22" s="251" t="s">
        <v>486</v>
      </c>
      <c r="X22" s="251">
        <v>2</v>
      </c>
      <c r="Y22" s="251" t="s">
        <v>486</v>
      </c>
      <c r="Z22" s="251">
        <v>2</v>
      </c>
      <c r="AA22" s="251">
        <v>2</v>
      </c>
      <c r="AB22" s="251">
        <v>9</v>
      </c>
      <c r="AC22" s="251">
        <v>9</v>
      </c>
      <c r="AD22" s="251" t="s">
        <v>486</v>
      </c>
      <c r="AE22" s="251" t="s">
        <v>486</v>
      </c>
      <c r="AF22" s="251" t="s">
        <v>486</v>
      </c>
      <c r="AG22" s="251" t="s">
        <v>486</v>
      </c>
      <c r="AH22" s="251" t="s">
        <v>486</v>
      </c>
      <c r="AI22" s="251" t="s">
        <v>486</v>
      </c>
      <c r="AJ22" s="251" t="s">
        <v>486</v>
      </c>
      <c r="AK22" s="251" t="s">
        <v>486</v>
      </c>
      <c r="AL22" s="251" t="s">
        <v>491</v>
      </c>
      <c r="AM22" s="251" t="s">
        <v>486</v>
      </c>
      <c r="AN22" s="251" t="s">
        <v>486</v>
      </c>
      <c r="AO22" s="253" t="s">
        <v>486</v>
      </c>
      <c r="AP22" s="252" t="s">
        <v>486</v>
      </c>
      <c r="AQ22" s="254" t="s">
        <v>486</v>
      </c>
      <c r="AR22" s="251" t="s">
        <v>486</v>
      </c>
    </row>
    <row r="23" spans="1:44" ht="15" x14ac:dyDescent="0.25">
      <c r="A23" s="245" t="str">
        <f>HYPERLINK("http://www.ofsted.gov.uk/inspection-reports/find-inspection-report/provider/ELS/130318 ","Ofsted School Webpage")</f>
        <v>Ofsted School Webpage</v>
      </c>
      <c r="B23" s="246">
        <v>130318</v>
      </c>
      <c r="C23" s="246">
        <v>3526040</v>
      </c>
      <c r="D23" s="246" t="s">
        <v>1548</v>
      </c>
      <c r="E23" s="246" t="s">
        <v>247</v>
      </c>
      <c r="F23" s="246" t="s">
        <v>83</v>
      </c>
      <c r="G23" s="246" t="s">
        <v>84</v>
      </c>
      <c r="H23" s="246" t="s">
        <v>83</v>
      </c>
      <c r="I23" s="246" t="s">
        <v>84</v>
      </c>
      <c r="J23" s="246" t="s">
        <v>1490</v>
      </c>
      <c r="K23" s="246" t="s">
        <v>486</v>
      </c>
      <c r="L23" s="246" t="s">
        <v>487</v>
      </c>
      <c r="M23" s="246" t="s">
        <v>495</v>
      </c>
      <c r="N23" s="246" t="s">
        <v>495</v>
      </c>
      <c r="O23" s="246" t="s">
        <v>744</v>
      </c>
      <c r="P23" s="246" t="s">
        <v>1549</v>
      </c>
      <c r="Q23" s="247">
        <v>10007534</v>
      </c>
      <c r="R23" s="248">
        <v>42276</v>
      </c>
      <c r="S23" s="248">
        <v>42278</v>
      </c>
      <c r="T23" s="248">
        <v>42318</v>
      </c>
      <c r="U23" s="246" t="s">
        <v>488</v>
      </c>
      <c r="V23" s="246">
        <v>1</v>
      </c>
      <c r="W23" s="246" t="s">
        <v>219</v>
      </c>
      <c r="X23" s="246">
        <v>1</v>
      </c>
      <c r="Y23" s="246">
        <v>1</v>
      </c>
      <c r="Z23" s="246">
        <v>1</v>
      </c>
      <c r="AA23" s="246">
        <v>1</v>
      </c>
      <c r="AB23" s="246" t="s">
        <v>486</v>
      </c>
      <c r="AC23" s="246" t="s">
        <v>486</v>
      </c>
      <c r="AD23" s="246" t="s">
        <v>486</v>
      </c>
      <c r="AE23" s="246" t="s">
        <v>486</v>
      </c>
      <c r="AF23" s="246" t="s">
        <v>486</v>
      </c>
      <c r="AG23" s="246" t="s">
        <v>486</v>
      </c>
      <c r="AH23" s="246" t="s">
        <v>486</v>
      </c>
      <c r="AI23" s="246" t="s">
        <v>486</v>
      </c>
      <c r="AJ23" s="246" t="s">
        <v>486</v>
      </c>
      <c r="AK23" s="246" t="s">
        <v>486</v>
      </c>
      <c r="AL23" s="246" t="s">
        <v>491</v>
      </c>
      <c r="AM23" s="246" t="s">
        <v>486</v>
      </c>
      <c r="AN23" s="246" t="s">
        <v>486</v>
      </c>
      <c r="AO23" s="248" t="s">
        <v>486</v>
      </c>
      <c r="AP23" s="247" t="s">
        <v>486</v>
      </c>
      <c r="AQ23" s="249" t="s">
        <v>486</v>
      </c>
      <c r="AR23" s="246" t="s">
        <v>486</v>
      </c>
    </row>
    <row r="24" spans="1:44" ht="15" x14ac:dyDescent="0.25">
      <c r="A24" s="250" t="str">
        <f>HYPERLINK("http://www.ofsted.gov.uk/inspection-reports/find-inspection-report/provider/ELS/101090 ","Ofsted School Webpage")</f>
        <v>Ofsted School Webpage</v>
      </c>
      <c r="B24" s="251">
        <v>101090</v>
      </c>
      <c r="C24" s="251">
        <v>2126396</v>
      </c>
      <c r="D24" s="251" t="s">
        <v>1550</v>
      </c>
      <c r="E24" s="251" t="s">
        <v>247</v>
      </c>
      <c r="F24" s="251" t="s">
        <v>93</v>
      </c>
      <c r="G24" s="251" t="s">
        <v>84</v>
      </c>
      <c r="H24" s="251" t="s">
        <v>84</v>
      </c>
      <c r="I24" s="251" t="s">
        <v>84</v>
      </c>
      <c r="J24" s="251" t="s">
        <v>1490</v>
      </c>
      <c r="K24" s="251" t="s">
        <v>486</v>
      </c>
      <c r="L24" s="251" t="s">
        <v>487</v>
      </c>
      <c r="M24" s="251" t="s">
        <v>506</v>
      </c>
      <c r="N24" s="251" t="s">
        <v>506</v>
      </c>
      <c r="O24" s="251" t="s">
        <v>837</v>
      </c>
      <c r="P24" s="251" t="s">
        <v>1551</v>
      </c>
      <c r="Q24" s="252">
        <v>10006123</v>
      </c>
      <c r="R24" s="253">
        <v>42353</v>
      </c>
      <c r="S24" s="253">
        <v>42355</v>
      </c>
      <c r="T24" s="253">
        <v>42384</v>
      </c>
      <c r="U24" s="251" t="s">
        <v>488</v>
      </c>
      <c r="V24" s="251">
        <v>2</v>
      </c>
      <c r="W24" s="251" t="s">
        <v>219</v>
      </c>
      <c r="X24" s="251">
        <v>2</v>
      </c>
      <c r="Y24" s="251">
        <v>2</v>
      </c>
      <c r="Z24" s="251">
        <v>2</v>
      </c>
      <c r="AA24" s="251">
        <v>2</v>
      </c>
      <c r="AB24" s="251">
        <v>2</v>
      </c>
      <c r="AC24" s="251" t="s">
        <v>486</v>
      </c>
      <c r="AD24" s="251" t="s">
        <v>486</v>
      </c>
      <c r="AE24" s="251" t="s">
        <v>486</v>
      </c>
      <c r="AF24" s="251" t="s">
        <v>486</v>
      </c>
      <c r="AG24" s="251" t="s">
        <v>486</v>
      </c>
      <c r="AH24" s="251" t="s">
        <v>486</v>
      </c>
      <c r="AI24" s="251" t="s">
        <v>486</v>
      </c>
      <c r="AJ24" s="251" t="s">
        <v>486</v>
      </c>
      <c r="AK24" s="251" t="s">
        <v>486</v>
      </c>
      <c r="AL24" s="251" t="s">
        <v>491</v>
      </c>
      <c r="AM24" s="251" t="s">
        <v>486</v>
      </c>
      <c r="AN24" s="251" t="s">
        <v>486</v>
      </c>
      <c r="AO24" s="253" t="s">
        <v>486</v>
      </c>
      <c r="AP24" s="252" t="s">
        <v>486</v>
      </c>
      <c r="AQ24" s="254" t="s">
        <v>486</v>
      </c>
      <c r="AR24" s="251" t="s">
        <v>486</v>
      </c>
    </row>
    <row r="25" spans="1:44" ht="15" x14ac:dyDescent="0.25">
      <c r="A25" s="245" t="str">
        <f>HYPERLINK("http://www.ofsted.gov.uk/inspection-reports/find-inspection-report/provider/ELS/109343 ","Ofsted School Webpage")</f>
        <v>Ofsted School Webpage</v>
      </c>
      <c r="B25" s="246">
        <v>109343</v>
      </c>
      <c r="C25" s="246">
        <v>8016009</v>
      </c>
      <c r="D25" s="246" t="s">
        <v>1552</v>
      </c>
      <c r="E25" s="246" t="s">
        <v>247</v>
      </c>
      <c r="F25" s="246" t="s">
        <v>93</v>
      </c>
      <c r="G25" s="246" t="s">
        <v>93</v>
      </c>
      <c r="H25" s="246" t="s">
        <v>93</v>
      </c>
      <c r="I25" s="246" t="s">
        <v>90</v>
      </c>
      <c r="J25" s="246" t="s">
        <v>1490</v>
      </c>
      <c r="K25" s="246" t="s">
        <v>486</v>
      </c>
      <c r="L25" s="246" t="s">
        <v>487</v>
      </c>
      <c r="M25" s="246" t="s">
        <v>483</v>
      </c>
      <c r="N25" s="246" t="s">
        <v>483</v>
      </c>
      <c r="O25" s="246" t="s">
        <v>564</v>
      </c>
      <c r="P25" s="246" t="s">
        <v>1553</v>
      </c>
      <c r="Q25" s="247">
        <v>10006064</v>
      </c>
      <c r="R25" s="248">
        <v>42381</v>
      </c>
      <c r="S25" s="248">
        <v>42383</v>
      </c>
      <c r="T25" s="248">
        <v>42423</v>
      </c>
      <c r="U25" s="246" t="s">
        <v>488</v>
      </c>
      <c r="V25" s="246">
        <v>2</v>
      </c>
      <c r="W25" s="246" t="s">
        <v>219</v>
      </c>
      <c r="X25" s="246">
        <v>2</v>
      </c>
      <c r="Y25" s="246">
        <v>2</v>
      </c>
      <c r="Z25" s="246">
        <v>2</v>
      </c>
      <c r="AA25" s="246">
        <v>2</v>
      </c>
      <c r="AB25" s="246">
        <v>2</v>
      </c>
      <c r="AC25" s="246" t="s">
        <v>486</v>
      </c>
      <c r="AD25" s="246" t="s">
        <v>486</v>
      </c>
      <c r="AE25" s="246" t="s">
        <v>486</v>
      </c>
      <c r="AF25" s="246" t="s">
        <v>486</v>
      </c>
      <c r="AG25" s="246" t="s">
        <v>486</v>
      </c>
      <c r="AH25" s="246" t="s">
        <v>486</v>
      </c>
      <c r="AI25" s="246" t="s">
        <v>486</v>
      </c>
      <c r="AJ25" s="246" t="s">
        <v>486</v>
      </c>
      <c r="AK25" s="246" t="s">
        <v>486</v>
      </c>
      <c r="AL25" s="246" t="s">
        <v>491</v>
      </c>
      <c r="AM25" s="246" t="s">
        <v>486</v>
      </c>
      <c r="AN25" s="246" t="s">
        <v>486</v>
      </c>
      <c r="AO25" s="248" t="s">
        <v>486</v>
      </c>
      <c r="AP25" s="247" t="s">
        <v>486</v>
      </c>
      <c r="AQ25" s="249" t="s">
        <v>486</v>
      </c>
      <c r="AR25" s="246" t="s">
        <v>486</v>
      </c>
    </row>
    <row r="26" spans="1:44" ht="15" x14ac:dyDescent="0.25">
      <c r="A26" s="250" t="str">
        <f>HYPERLINK("http://www.ofsted.gov.uk/inspection-reports/find-inspection-report/provider/ELS/136510 ","Ofsted School Webpage")</f>
        <v>Ofsted School Webpage</v>
      </c>
      <c r="B26" s="251">
        <v>136510</v>
      </c>
      <c r="C26" s="251">
        <v>9376108</v>
      </c>
      <c r="D26" s="251" t="s">
        <v>1554</v>
      </c>
      <c r="E26" s="251" t="s">
        <v>247</v>
      </c>
      <c r="F26" s="251" t="s">
        <v>93</v>
      </c>
      <c r="G26" s="251" t="s">
        <v>93</v>
      </c>
      <c r="H26" s="251" t="s">
        <v>93</v>
      </c>
      <c r="I26" s="251" t="s">
        <v>90</v>
      </c>
      <c r="J26" s="251" t="s">
        <v>1490</v>
      </c>
      <c r="K26" s="251" t="s">
        <v>486</v>
      </c>
      <c r="L26" s="251" t="s">
        <v>487</v>
      </c>
      <c r="M26" s="251" t="s">
        <v>502</v>
      </c>
      <c r="N26" s="251" t="s">
        <v>502</v>
      </c>
      <c r="O26" s="251" t="s">
        <v>503</v>
      </c>
      <c r="P26" s="251" t="s">
        <v>1555</v>
      </c>
      <c r="Q26" s="252">
        <v>10006024</v>
      </c>
      <c r="R26" s="253">
        <v>42381</v>
      </c>
      <c r="S26" s="253">
        <v>42383</v>
      </c>
      <c r="T26" s="253">
        <v>42425</v>
      </c>
      <c r="U26" s="251" t="s">
        <v>488</v>
      </c>
      <c r="V26" s="251">
        <v>2</v>
      </c>
      <c r="W26" s="251" t="s">
        <v>219</v>
      </c>
      <c r="X26" s="251">
        <v>2</v>
      </c>
      <c r="Y26" s="251">
        <v>2</v>
      </c>
      <c r="Z26" s="251">
        <v>2</v>
      </c>
      <c r="AA26" s="251">
        <v>2</v>
      </c>
      <c r="AB26" s="251" t="s">
        <v>486</v>
      </c>
      <c r="AC26" s="251">
        <v>2</v>
      </c>
      <c r="AD26" s="251" t="s">
        <v>486</v>
      </c>
      <c r="AE26" s="251" t="s">
        <v>486</v>
      </c>
      <c r="AF26" s="251" t="s">
        <v>486</v>
      </c>
      <c r="AG26" s="251" t="s">
        <v>486</v>
      </c>
      <c r="AH26" s="251" t="s">
        <v>486</v>
      </c>
      <c r="AI26" s="251" t="s">
        <v>486</v>
      </c>
      <c r="AJ26" s="251" t="s">
        <v>486</v>
      </c>
      <c r="AK26" s="251" t="s">
        <v>486</v>
      </c>
      <c r="AL26" s="251" t="s">
        <v>491</v>
      </c>
      <c r="AM26" s="251" t="s">
        <v>486</v>
      </c>
      <c r="AN26" s="251" t="s">
        <v>486</v>
      </c>
      <c r="AO26" s="253" t="s">
        <v>486</v>
      </c>
      <c r="AP26" s="252" t="s">
        <v>486</v>
      </c>
      <c r="AQ26" s="254" t="s">
        <v>486</v>
      </c>
      <c r="AR26" s="251" t="s">
        <v>486</v>
      </c>
    </row>
    <row r="27" spans="1:44" ht="15" x14ac:dyDescent="0.25">
      <c r="A27" s="245" t="str">
        <f>HYPERLINK("http://www.ofsted.gov.uk/inspection-reports/find-inspection-report/provider/ELS/125439 ","Ofsted School Webpage")</f>
        <v>Ofsted School Webpage</v>
      </c>
      <c r="B27" s="246">
        <v>125439</v>
      </c>
      <c r="C27" s="246">
        <v>9366559</v>
      </c>
      <c r="D27" s="246" t="s">
        <v>1556</v>
      </c>
      <c r="E27" s="246" t="s">
        <v>247</v>
      </c>
      <c r="F27" s="246" t="s">
        <v>93</v>
      </c>
      <c r="G27" s="246" t="s">
        <v>93</v>
      </c>
      <c r="H27" s="246" t="s">
        <v>93</v>
      </c>
      <c r="I27" s="246" t="s">
        <v>90</v>
      </c>
      <c r="J27" s="246" t="s">
        <v>1490</v>
      </c>
      <c r="K27" s="246" t="s">
        <v>486</v>
      </c>
      <c r="L27" s="246" t="s">
        <v>487</v>
      </c>
      <c r="M27" s="246" t="s">
        <v>581</v>
      </c>
      <c r="N27" s="246" t="s">
        <v>581</v>
      </c>
      <c r="O27" s="246" t="s">
        <v>788</v>
      </c>
      <c r="P27" s="246" t="s">
        <v>1557</v>
      </c>
      <c r="Q27" s="247">
        <v>10010757</v>
      </c>
      <c r="R27" s="248">
        <v>42395</v>
      </c>
      <c r="S27" s="248">
        <v>42397</v>
      </c>
      <c r="T27" s="248">
        <v>42485</v>
      </c>
      <c r="U27" s="246" t="s">
        <v>488</v>
      </c>
      <c r="V27" s="246">
        <v>2</v>
      </c>
      <c r="W27" s="246" t="s">
        <v>219</v>
      </c>
      <c r="X27" s="246">
        <v>2</v>
      </c>
      <c r="Y27" s="246">
        <v>1</v>
      </c>
      <c r="Z27" s="246">
        <v>2</v>
      </c>
      <c r="AA27" s="246">
        <v>2</v>
      </c>
      <c r="AB27" s="246">
        <v>1</v>
      </c>
      <c r="AC27" s="246">
        <v>2</v>
      </c>
      <c r="AD27" s="246" t="s">
        <v>486</v>
      </c>
      <c r="AE27" s="246" t="s">
        <v>486</v>
      </c>
      <c r="AF27" s="246" t="s">
        <v>486</v>
      </c>
      <c r="AG27" s="246" t="s">
        <v>486</v>
      </c>
      <c r="AH27" s="246" t="s">
        <v>486</v>
      </c>
      <c r="AI27" s="246" t="s">
        <v>486</v>
      </c>
      <c r="AJ27" s="246" t="s">
        <v>486</v>
      </c>
      <c r="AK27" s="246" t="s">
        <v>486</v>
      </c>
      <c r="AL27" s="246" t="s">
        <v>491</v>
      </c>
      <c r="AM27" s="246" t="s">
        <v>486</v>
      </c>
      <c r="AN27" s="246" t="s">
        <v>486</v>
      </c>
      <c r="AO27" s="248" t="s">
        <v>486</v>
      </c>
      <c r="AP27" s="247" t="s">
        <v>486</v>
      </c>
      <c r="AQ27" s="249" t="s">
        <v>486</v>
      </c>
      <c r="AR27" s="246" t="s">
        <v>486</v>
      </c>
    </row>
    <row r="28" spans="1:44" ht="15" x14ac:dyDescent="0.25">
      <c r="A28" s="250" t="str">
        <f>HYPERLINK("http://www.ofsted.gov.uk/inspection-reports/find-inspection-report/provider/ELS/137561 ","Ofsted School Webpage")</f>
        <v>Ofsted School Webpage</v>
      </c>
      <c r="B28" s="251">
        <v>137561</v>
      </c>
      <c r="C28" s="251">
        <v>8566011</v>
      </c>
      <c r="D28" s="251" t="s">
        <v>1558</v>
      </c>
      <c r="E28" s="251" t="s">
        <v>247</v>
      </c>
      <c r="F28" s="251" t="s">
        <v>93</v>
      </c>
      <c r="G28" s="251" t="s">
        <v>84</v>
      </c>
      <c r="H28" s="251" t="s">
        <v>84</v>
      </c>
      <c r="I28" s="251" t="s">
        <v>84</v>
      </c>
      <c r="J28" s="251" t="s">
        <v>1490</v>
      </c>
      <c r="K28" s="251" t="s">
        <v>486</v>
      </c>
      <c r="L28" s="251" t="s">
        <v>487</v>
      </c>
      <c r="M28" s="251" t="s">
        <v>572</v>
      </c>
      <c r="N28" s="251" t="s">
        <v>572</v>
      </c>
      <c r="O28" s="251" t="s">
        <v>589</v>
      </c>
      <c r="P28" s="251" t="s">
        <v>1559</v>
      </c>
      <c r="Q28" s="252">
        <v>10006106</v>
      </c>
      <c r="R28" s="253">
        <v>42395</v>
      </c>
      <c r="S28" s="253">
        <v>42397</v>
      </c>
      <c r="T28" s="253">
        <v>42439</v>
      </c>
      <c r="U28" s="251" t="s">
        <v>488</v>
      </c>
      <c r="V28" s="251">
        <v>2</v>
      </c>
      <c r="W28" s="251" t="s">
        <v>219</v>
      </c>
      <c r="X28" s="251">
        <v>2</v>
      </c>
      <c r="Y28" s="251">
        <v>1</v>
      </c>
      <c r="Z28" s="251">
        <v>2</v>
      </c>
      <c r="AA28" s="251">
        <v>2</v>
      </c>
      <c r="AB28" s="251" t="s">
        <v>486</v>
      </c>
      <c r="AC28" s="251" t="s">
        <v>486</v>
      </c>
      <c r="AD28" s="251" t="s">
        <v>486</v>
      </c>
      <c r="AE28" s="251" t="s">
        <v>486</v>
      </c>
      <c r="AF28" s="251" t="s">
        <v>486</v>
      </c>
      <c r="AG28" s="251" t="s">
        <v>486</v>
      </c>
      <c r="AH28" s="251" t="s">
        <v>486</v>
      </c>
      <c r="AI28" s="251" t="s">
        <v>486</v>
      </c>
      <c r="AJ28" s="251" t="s">
        <v>486</v>
      </c>
      <c r="AK28" s="251" t="s">
        <v>486</v>
      </c>
      <c r="AL28" s="251" t="s">
        <v>491</v>
      </c>
      <c r="AM28" s="251" t="s">
        <v>486</v>
      </c>
      <c r="AN28" s="251" t="s">
        <v>486</v>
      </c>
      <c r="AO28" s="253" t="s">
        <v>486</v>
      </c>
      <c r="AP28" s="252" t="s">
        <v>486</v>
      </c>
      <c r="AQ28" s="254" t="s">
        <v>486</v>
      </c>
      <c r="AR28" s="251" t="s">
        <v>486</v>
      </c>
    </row>
    <row r="29" spans="1:44" ht="15" x14ac:dyDescent="0.25">
      <c r="A29" s="245" t="str">
        <f>HYPERLINK("http://www.ofsted.gov.uk/inspection-reports/find-inspection-report/provider/ELS/135390 ","Ofsted School Webpage")</f>
        <v>Ofsted School Webpage</v>
      </c>
      <c r="B29" s="246">
        <v>135390</v>
      </c>
      <c r="C29" s="246">
        <v>8566020</v>
      </c>
      <c r="D29" s="246" t="s">
        <v>1560</v>
      </c>
      <c r="E29" s="246" t="s">
        <v>247</v>
      </c>
      <c r="F29" s="246" t="s">
        <v>93</v>
      </c>
      <c r="G29" s="246" t="s">
        <v>84</v>
      </c>
      <c r="H29" s="246" t="s">
        <v>84</v>
      </c>
      <c r="I29" s="246" t="s">
        <v>84</v>
      </c>
      <c r="J29" s="246" t="s">
        <v>1490</v>
      </c>
      <c r="K29" s="246" t="s">
        <v>486</v>
      </c>
      <c r="L29" s="246" t="s">
        <v>487</v>
      </c>
      <c r="M29" s="246" t="s">
        <v>572</v>
      </c>
      <c r="N29" s="246" t="s">
        <v>572</v>
      </c>
      <c r="O29" s="246" t="s">
        <v>589</v>
      </c>
      <c r="P29" s="246" t="s">
        <v>1561</v>
      </c>
      <c r="Q29" s="247">
        <v>10007686</v>
      </c>
      <c r="R29" s="248">
        <v>42402</v>
      </c>
      <c r="S29" s="248">
        <v>42404</v>
      </c>
      <c r="T29" s="248">
        <v>42431</v>
      </c>
      <c r="U29" s="246" t="s">
        <v>488</v>
      </c>
      <c r="V29" s="246">
        <v>2</v>
      </c>
      <c r="W29" s="246" t="s">
        <v>219</v>
      </c>
      <c r="X29" s="246">
        <v>2</v>
      </c>
      <c r="Y29" s="246">
        <v>1</v>
      </c>
      <c r="Z29" s="246">
        <v>2</v>
      </c>
      <c r="AA29" s="246">
        <v>2</v>
      </c>
      <c r="AB29" s="246" t="s">
        <v>486</v>
      </c>
      <c r="AC29" s="246" t="s">
        <v>486</v>
      </c>
      <c r="AD29" s="246" t="s">
        <v>486</v>
      </c>
      <c r="AE29" s="246" t="s">
        <v>486</v>
      </c>
      <c r="AF29" s="246" t="s">
        <v>486</v>
      </c>
      <c r="AG29" s="246" t="s">
        <v>486</v>
      </c>
      <c r="AH29" s="246" t="s">
        <v>486</v>
      </c>
      <c r="AI29" s="246" t="s">
        <v>486</v>
      </c>
      <c r="AJ29" s="246" t="s">
        <v>486</v>
      </c>
      <c r="AK29" s="246" t="s">
        <v>486</v>
      </c>
      <c r="AL29" s="246" t="s">
        <v>491</v>
      </c>
      <c r="AM29" s="246" t="s">
        <v>486</v>
      </c>
      <c r="AN29" s="246" t="s">
        <v>486</v>
      </c>
      <c r="AO29" s="248" t="s">
        <v>486</v>
      </c>
      <c r="AP29" s="247" t="s">
        <v>486</v>
      </c>
      <c r="AQ29" s="249" t="s">
        <v>486</v>
      </c>
      <c r="AR29" s="246" t="s">
        <v>486</v>
      </c>
    </row>
    <row r="30" spans="1:44" ht="15" x14ac:dyDescent="0.25">
      <c r="A30" s="250" t="str">
        <f>HYPERLINK("http://www.ofsted.gov.uk/inspection-reports/find-inspection-report/provider/ELS/135518 ","Ofsted School Webpage")</f>
        <v>Ofsted School Webpage</v>
      </c>
      <c r="B30" s="251">
        <v>135518</v>
      </c>
      <c r="C30" s="251">
        <v>3336004</v>
      </c>
      <c r="D30" s="251" t="s">
        <v>1562</v>
      </c>
      <c r="E30" s="251" t="s">
        <v>248</v>
      </c>
      <c r="F30" s="251" t="s">
        <v>93</v>
      </c>
      <c r="G30" s="251" t="s">
        <v>93</v>
      </c>
      <c r="H30" s="251" t="s">
        <v>93</v>
      </c>
      <c r="I30" s="251" t="s">
        <v>90</v>
      </c>
      <c r="J30" s="251" t="s">
        <v>1490</v>
      </c>
      <c r="K30" s="251" t="s">
        <v>486</v>
      </c>
      <c r="L30" s="251" t="s">
        <v>487</v>
      </c>
      <c r="M30" s="251" t="s">
        <v>502</v>
      </c>
      <c r="N30" s="251" t="s">
        <v>502</v>
      </c>
      <c r="O30" s="251" t="s">
        <v>720</v>
      </c>
      <c r="P30" s="251" t="s">
        <v>1563</v>
      </c>
      <c r="Q30" s="252">
        <v>10008602</v>
      </c>
      <c r="R30" s="253">
        <v>42402</v>
      </c>
      <c r="S30" s="253">
        <v>42404</v>
      </c>
      <c r="T30" s="253">
        <v>42436</v>
      </c>
      <c r="U30" s="251" t="s">
        <v>488</v>
      </c>
      <c r="V30" s="251">
        <v>2</v>
      </c>
      <c r="W30" s="251" t="s">
        <v>219</v>
      </c>
      <c r="X30" s="251">
        <v>2</v>
      </c>
      <c r="Y30" s="251">
        <v>1</v>
      </c>
      <c r="Z30" s="251">
        <v>2</v>
      </c>
      <c r="AA30" s="251">
        <v>2</v>
      </c>
      <c r="AB30" s="251" t="s">
        <v>486</v>
      </c>
      <c r="AC30" s="251" t="s">
        <v>486</v>
      </c>
      <c r="AD30" s="251" t="s">
        <v>486</v>
      </c>
      <c r="AE30" s="251" t="s">
        <v>486</v>
      </c>
      <c r="AF30" s="251" t="s">
        <v>486</v>
      </c>
      <c r="AG30" s="251" t="s">
        <v>486</v>
      </c>
      <c r="AH30" s="251" t="s">
        <v>486</v>
      </c>
      <c r="AI30" s="251" t="s">
        <v>486</v>
      </c>
      <c r="AJ30" s="251" t="s">
        <v>486</v>
      </c>
      <c r="AK30" s="251" t="s">
        <v>486</v>
      </c>
      <c r="AL30" s="251" t="s">
        <v>491</v>
      </c>
      <c r="AM30" s="251" t="s">
        <v>486</v>
      </c>
      <c r="AN30" s="251" t="s">
        <v>486</v>
      </c>
      <c r="AO30" s="253" t="s">
        <v>486</v>
      </c>
      <c r="AP30" s="252" t="s">
        <v>486</v>
      </c>
      <c r="AQ30" s="254" t="s">
        <v>486</v>
      </c>
      <c r="AR30" s="251" t="s">
        <v>486</v>
      </c>
    </row>
    <row r="31" spans="1:44" ht="15" x14ac:dyDescent="0.25">
      <c r="A31" s="245" t="str">
        <f>HYPERLINK("http://www.ofsted.gov.uk/inspection-reports/find-inspection-report/provider/ELS/131018 ","Ofsted School Webpage")</f>
        <v>Ofsted School Webpage</v>
      </c>
      <c r="B31" s="246">
        <v>131018</v>
      </c>
      <c r="C31" s="246">
        <v>8576004</v>
      </c>
      <c r="D31" s="246" t="s">
        <v>1120</v>
      </c>
      <c r="E31" s="246" t="s">
        <v>248</v>
      </c>
      <c r="F31" s="246" t="s">
        <v>93</v>
      </c>
      <c r="G31" s="246" t="s">
        <v>93</v>
      </c>
      <c r="H31" s="246" t="s">
        <v>93</v>
      </c>
      <c r="I31" s="246" t="s">
        <v>90</v>
      </c>
      <c r="J31" s="246" t="s">
        <v>1490</v>
      </c>
      <c r="K31" s="246" t="s">
        <v>486</v>
      </c>
      <c r="L31" s="246" t="s">
        <v>487</v>
      </c>
      <c r="M31" s="246" t="s">
        <v>572</v>
      </c>
      <c r="N31" s="246" t="s">
        <v>572</v>
      </c>
      <c r="O31" s="246" t="s">
        <v>1112</v>
      </c>
      <c r="P31" s="246" t="s">
        <v>1121</v>
      </c>
      <c r="Q31" s="247">
        <v>10008935</v>
      </c>
      <c r="R31" s="248">
        <v>42423</v>
      </c>
      <c r="S31" s="248">
        <v>42425</v>
      </c>
      <c r="T31" s="248">
        <v>42474</v>
      </c>
      <c r="U31" s="246" t="s">
        <v>488</v>
      </c>
      <c r="V31" s="246">
        <v>1</v>
      </c>
      <c r="W31" s="246" t="s">
        <v>219</v>
      </c>
      <c r="X31" s="246">
        <v>1</v>
      </c>
      <c r="Y31" s="246">
        <v>1</v>
      </c>
      <c r="Z31" s="246">
        <v>1</v>
      </c>
      <c r="AA31" s="246">
        <v>1</v>
      </c>
      <c r="AB31" s="246" t="s">
        <v>486</v>
      </c>
      <c r="AC31" s="246">
        <v>1</v>
      </c>
      <c r="AD31" s="246" t="s">
        <v>486</v>
      </c>
      <c r="AE31" s="246" t="s">
        <v>486</v>
      </c>
      <c r="AF31" s="246" t="s">
        <v>486</v>
      </c>
      <c r="AG31" s="246" t="s">
        <v>486</v>
      </c>
      <c r="AH31" s="246" t="s">
        <v>486</v>
      </c>
      <c r="AI31" s="246" t="s">
        <v>486</v>
      </c>
      <c r="AJ31" s="246" t="s">
        <v>486</v>
      </c>
      <c r="AK31" s="246" t="s">
        <v>486</v>
      </c>
      <c r="AL31" s="246" t="s">
        <v>491</v>
      </c>
      <c r="AM31" s="246" t="s">
        <v>486</v>
      </c>
      <c r="AN31" s="246" t="s">
        <v>486</v>
      </c>
      <c r="AO31" s="248" t="s">
        <v>486</v>
      </c>
      <c r="AP31" s="247" t="s">
        <v>486</v>
      </c>
      <c r="AQ31" s="249" t="s">
        <v>486</v>
      </c>
      <c r="AR31" s="246" t="s">
        <v>486</v>
      </c>
    </row>
    <row r="32" spans="1:44" ht="15" x14ac:dyDescent="0.25">
      <c r="A32" s="250" t="str">
        <f>HYPERLINK("http://www.ofsted.gov.uk/inspection-reports/find-inspection-report/provider/ELS/141608 ","Ofsted School Webpage")</f>
        <v>Ofsted School Webpage</v>
      </c>
      <c r="B32" s="251">
        <v>141608</v>
      </c>
      <c r="C32" s="251">
        <v>3816015</v>
      </c>
      <c r="D32" s="251" t="s">
        <v>1564</v>
      </c>
      <c r="E32" s="251" t="s">
        <v>248</v>
      </c>
      <c r="F32" s="251" t="s">
        <v>93</v>
      </c>
      <c r="G32" s="251" t="s">
        <v>93</v>
      </c>
      <c r="H32" s="251" t="s">
        <v>93</v>
      </c>
      <c r="I32" s="251" t="s">
        <v>90</v>
      </c>
      <c r="J32" s="251" t="s">
        <v>1490</v>
      </c>
      <c r="K32" s="251" t="s">
        <v>486</v>
      </c>
      <c r="L32" s="251" t="s">
        <v>487</v>
      </c>
      <c r="M32" s="251" t="s">
        <v>523</v>
      </c>
      <c r="N32" s="251" t="s">
        <v>524</v>
      </c>
      <c r="O32" s="251" t="s">
        <v>1539</v>
      </c>
      <c r="P32" s="251" t="s">
        <v>1565</v>
      </c>
      <c r="Q32" s="252">
        <v>10006311</v>
      </c>
      <c r="R32" s="253">
        <v>42430</v>
      </c>
      <c r="S32" s="253">
        <v>42431</v>
      </c>
      <c r="T32" s="253">
        <v>42473</v>
      </c>
      <c r="U32" s="251" t="s">
        <v>499</v>
      </c>
      <c r="V32" s="251">
        <v>2</v>
      </c>
      <c r="W32" s="251" t="s">
        <v>219</v>
      </c>
      <c r="X32" s="251">
        <v>2</v>
      </c>
      <c r="Y32" s="251">
        <v>2</v>
      </c>
      <c r="Z32" s="251">
        <v>2</v>
      </c>
      <c r="AA32" s="251">
        <v>2</v>
      </c>
      <c r="AB32" s="251" t="s">
        <v>486</v>
      </c>
      <c r="AC32" s="251" t="s">
        <v>486</v>
      </c>
      <c r="AD32" s="251" t="s">
        <v>486</v>
      </c>
      <c r="AE32" s="251" t="s">
        <v>486</v>
      </c>
      <c r="AF32" s="251" t="s">
        <v>486</v>
      </c>
      <c r="AG32" s="251" t="s">
        <v>486</v>
      </c>
      <c r="AH32" s="251" t="s">
        <v>486</v>
      </c>
      <c r="AI32" s="251" t="s">
        <v>486</v>
      </c>
      <c r="AJ32" s="251" t="s">
        <v>486</v>
      </c>
      <c r="AK32" s="251" t="s">
        <v>486</v>
      </c>
      <c r="AL32" s="251" t="s">
        <v>491</v>
      </c>
      <c r="AM32" s="251" t="s">
        <v>486</v>
      </c>
      <c r="AN32" s="251" t="s">
        <v>486</v>
      </c>
      <c r="AO32" s="253" t="s">
        <v>486</v>
      </c>
      <c r="AP32" s="252" t="s">
        <v>486</v>
      </c>
      <c r="AQ32" s="254" t="s">
        <v>486</v>
      </c>
      <c r="AR32" s="251" t="s">
        <v>486</v>
      </c>
    </row>
    <row r="33" spans="1:44" ht="15" x14ac:dyDescent="0.25">
      <c r="A33" s="245" t="str">
        <f>HYPERLINK("http://www.ofsted.gov.uk/inspection-reports/find-inspection-report/provider/ELS/108416 ","Ofsted School Webpage")</f>
        <v>Ofsted School Webpage</v>
      </c>
      <c r="B33" s="246">
        <v>108416</v>
      </c>
      <c r="C33" s="246">
        <v>3906004</v>
      </c>
      <c r="D33" s="246" t="s">
        <v>1321</v>
      </c>
      <c r="E33" s="246" t="s">
        <v>247</v>
      </c>
      <c r="F33" s="246" t="s">
        <v>93</v>
      </c>
      <c r="G33" s="246" t="s">
        <v>93</v>
      </c>
      <c r="H33" s="246" t="s">
        <v>93</v>
      </c>
      <c r="I33" s="246" t="s">
        <v>90</v>
      </c>
      <c r="J33" s="246" t="s">
        <v>1490</v>
      </c>
      <c r="K33" s="246" t="s">
        <v>486</v>
      </c>
      <c r="L33" s="246" t="s">
        <v>487</v>
      </c>
      <c r="M33" s="246" t="s">
        <v>523</v>
      </c>
      <c r="N33" s="246" t="s">
        <v>539</v>
      </c>
      <c r="O33" s="246" t="s">
        <v>883</v>
      </c>
      <c r="P33" s="246" t="s">
        <v>1322</v>
      </c>
      <c r="Q33" s="247">
        <v>10010417</v>
      </c>
      <c r="R33" s="248">
        <v>42430</v>
      </c>
      <c r="S33" s="248">
        <v>42432</v>
      </c>
      <c r="T33" s="248">
        <v>42466</v>
      </c>
      <c r="U33" s="246" t="s">
        <v>624</v>
      </c>
      <c r="V33" s="246">
        <v>2</v>
      </c>
      <c r="W33" s="246" t="s">
        <v>219</v>
      </c>
      <c r="X33" s="246">
        <v>2</v>
      </c>
      <c r="Y33" s="246">
        <v>2</v>
      </c>
      <c r="Z33" s="246">
        <v>2</v>
      </c>
      <c r="AA33" s="246">
        <v>2</v>
      </c>
      <c r="AB33" s="246" t="s">
        <v>486</v>
      </c>
      <c r="AC33" s="246" t="s">
        <v>486</v>
      </c>
      <c r="AD33" s="246" t="s">
        <v>486</v>
      </c>
      <c r="AE33" s="246" t="s">
        <v>486</v>
      </c>
      <c r="AF33" s="246" t="s">
        <v>486</v>
      </c>
      <c r="AG33" s="246" t="s">
        <v>486</v>
      </c>
      <c r="AH33" s="246" t="s">
        <v>486</v>
      </c>
      <c r="AI33" s="246" t="s">
        <v>486</v>
      </c>
      <c r="AJ33" s="246" t="s">
        <v>486</v>
      </c>
      <c r="AK33" s="246" t="s">
        <v>486</v>
      </c>
      <c r="AL33" s="246" t="s">
        <v>491</v>
      </c>
      <c r="AM33" s="246" t="s">
        <v>486</v>
      </c>
      <c r="AN33" s="246" t="s">
        <v>486</v>
      </c>
      <c r="AO33" s="248" t="s">
        <v>486</v>
      </c>
      <c r="AP33" s="247" t="s">
        <v>486</v>
      </c>
      <c r="AQ33" s="249" t="s">
        <v>486</v>
      </c>
      <c r="AR33" s="246" t="s">
        <v>486</v>
      </c>
    </row>
    <row r="34" spans="1:44" ht="15" x14ac:dyDescent="0.25">
      <c r="A34" s="250" t="str">
        <f>HYPERLINK("http://www.ofsted.gov.uk/inspection-reports/find-inspection-report/provider/ELS/132732 ","Ofsted School Webpage")</f>
        <v>Ofsted School Webpage</v>
      </c>
      <c r="B34" s="251">
        <v>132732</v>
      </c>
      <c r="C34" s="251">
        <v>3826026</v>
      </c>
      <c r="D34" s="251" t="s">
        <v>1566</v>
      </c>
      <c r="E34" s="251" t="s">
        <v>247</v>
      </c>
      <c r="F34" s="251" t="s">
        <v>93</v>
      </c>
      <c r="G34" s="251" t="s">
        <v>93</v>
      </c>
      <c r="H34" s="251" t="s">
        <v>93</v>
      </c>
      <c r="I34" s="251" t="s">
        <v>90</v>
      </c>
      <c r="J34" s="251" t="s">
        <v>1490</v>
      </c>
      <c r="K34" s="251" t="s">
        <v>486</v>
      </c>
      <c r="L34" s="251" t="s">
        <v>487</v>
      </c>
      <c r="M34" s="251" t="s">
        <v>523</v>
      </c>
      <c r="N34" s="251" t="s">
        <v>524</v>
      </c>
      <c r="O34" s="251" t="s">
        <v>767</v>
      </c>
      <c r="P34" s="251" t="s">
        <v>1567</v>
      </c>
      <c r="Q34" s="252">
        <v>10008574</v>
      </c>
      <c r="R34" s="253">
        <v>42430</v>
      </c>
      <c r="S34" s="253">
        <v>42432</v>
      </c>
      <c r="T34" s="253">
        <v>42459</v>
      </c>
      <c r="U34" s="251" t="s">
        <v>488</v>
      </c>
      <c r="V34" s="251">
        <v>2</v>
      </c>
      <c r="W34" s="251" t="s">
        <v>219</v>
      </c>
      <c r="X34" s="251">
        <v>2</v>
      </c>
      <c r="Y34" s="251">
        <v>2</v>
      </c>
      <c r="Z34" s="251">
        <v>2</v>
      </c>
      <c r="AA34" s="251">
        <v>2</v>
      </c>
      <c r="AB34" s="251" t="s">
        <v>486</v>
      </c>
      <c r="AC34" s="251" t="s">
        <v>486</v>
      </c>
      <c r="AD34" s="251" t="s">
        <v>486</v>
      </c>
      <c r="AE34" s="251" t="s">
        <v>486</v>
      </c>
      <c r="AF34" s="251" t="s">
        <v>486</v>
      </c>
      <c r="AG34" s="251" t="s">
        <v>486</v>
      </c>
      <c r="AH34" s="251" t="s">
        <v>486</v>
      </c>
      <c r="AI34" s="251" t="s">
        <v>486</v>
      </c>
      <c r="AJ34" s="251" t="s">
        <v>486</v>
      </c>
      <c r="AK34" s="251" t="s">
        <v>486</v>
      </c>
      <c r="AL34" s="251" t="s">
        <v>491</v>
      </c>
      <c r="AM34" s="251" t="s">
        <v>486</v>
      </c>
      <c r="AN34" s="251" t="s">
        <v>486</v>
      </c>
      <c r="AO34" s="253" t="s">
        <v>486</v>
      </c>
      <c r="AP34" s="252" t="s">
        <v>486</v>
      </c>
      <c r="AQ34" s="254" t="s">
        <v>486</v>
      </c>
      <c r="AR34" s="251" t="s">
        <v>486</v>
      </c>
    </row>
    <row r="35" spans="1:44" ht="15" x14ac:dyDescent="0.25">
      <c r="A35" s="245" t="str">
        <f>HYPERLINK("http://www.ofsted.gov.uk/inspection-reports/find-inspection-report/provider/ELS/137275 ","Ofsted School Webpage")</f>
        <v>Ofsted School Webpage</v>
      </c>
      <c r="B35" s="246">
        <v>137275</v>
      </c>
      <c r="C35" s="246">
        <v>3556059</v>
      </c>
      <c r="D35" s="246" t="s">
        <v>1568</v>
      </c>
      <c r="E35" s="246" t="s">
        <v>247</v>
      </c>
      <c r="F35" s="246" t="s">
        <v>93</v>
      </c>
      <c r="G35" s="246" t="s">
        <v>93</v>
      </c>
      <c r="H35" s="246" t="s">
        <v>93</v>
      </c>
      <c r="I35" s="246" t="s">
        <v>90</v>
      </c>
      <c r="J35" s="246" t="s">
        <v>1490</v>
      </c>
      <c r="K35" s="246" t="s">
        <v>486</v>
      </c>
      <c r="L35" s="246" t="s">
        <v>487</v>
      </c>
      <c r="M35" s="246" t="s">
        <v>495</v>
      </c>
      <c r="N35" s="246" t="s">
        <v>495</v>
      </c>
      <c r="O35" s="246" t="s">
        <v>601</v>
      </c>
      <c r="P35" s="246" t="s">
        <v>1569</v>
      </c>
      <c r="Q35" s="247">
        <v>10006128</v>
      </c>
      <c r="R35" s="248">
        <v>42437</v>
      </c>
      <c r="S35" s="248">
        <v>42438</v>
      </c>
      <c r="T35" s="248">
        <v>42461</v>
      </c>
      <c r="U35" s="246" t="s">
        <v>488</v>
      </c>
      <c r="V35" s="246">
        <v>2</v>
      </c>
      <c r="W35" s="246" t="s">
        <v>219</v>
      </c>
      <c r="X35" s="246">
        <v>2</v>
      </c>
      <c r="Y35" s="246">
        <v>2</v>
      </c>
      <c r="Z35" s="246">
        <v>2</v>
      </c>
      <c r="AA35" s="246">
        <v>2</v>
      </c>
      <c r="AB35" s="246" t="s">
        <v>486</v>
      </c>
      <c r="AC35" s="246" t="s">
        <v>486</v>
      </c>
      <c r="AD35" s="246" t="s">
        <v>486</v>
      </c>
      <c r="AE35" s="246" t="s">
        <v>486</v>
      </c>
      <c r="AF35" s="246" t="s">
        <v>486</v>
      </c>
      <c r="AG35" s="246" t="s">
        <v>486</v>
      </c>
      <c r="AH35" s="246" t="s">
        <v>486</v>
      </c>
      <c r="AI35" s="246" t="s">
        <v>486</v>
      </c>
      <c r="AJ35" s="246" t="s">
        <v>486</v>
      </c>
      <c r="AK35" s="246" t="s">
        <v>486</v>
      </c>
      <c r="AL35" s="246" t="s">
        <v>491</v>
      </c>
      <c r="AM35" s="246" t="s">
        <v>486</v>
      </c>
      <c r="AN35" s="246" t="s">
        <v>486</v>
      </c>
      <c r="AO35" s="248" t="s">
        <v>486</v>
      </c>
      <c r="AP35" s="247" t="s">
        <v>486</v>
      </c>
      <c r="AQ35" s="249" t="s">
        <v>486</v>
      </c>
      <c r="AR35" s="246" t="s">
        <v>486</v>
      </c>
    </row>
    <row r="36" spans="1:44" ht="15" x14ac:dyDescent="0.25">
      <c r="A36" s="250" t="str">
        <f>HYPERLINK("http://www.ofsted.gov.uk/inspection-reports/find-inspection-report/provider/ELS/130857 ","Ofsted School Webpage")</f>
        <v>Ofsted School Webpage</v>
      </c>
      <c r="B36" s="251">
        <v>130857</v>
      </c>
      <c r="C36" s="251">
        <v>3806066</v>
      </c>
      <c r="D36" s="251" t="s">
        <v>1570</v>
      </c>
      <c r="E36" s="251" t="s">
        <v>247</v>
      </c>
      <c r="F36" s="251" t="s">
        <v>84</v>
      </c>
      <c r="G36" s="251" t="s">
        <v>84</v>
      </c>
      <c r="H36" s="251" t="s">
        <v>84</v>
      </c>
      <c r="I36" s="251" t="s">
        <v>84</v>
      </c>
      <c r="J36" s="251" t="s">
        <v>1490</v>
      </c>
      <c r="K36" s="251" t="s">
        <v>486</v>
      </c>
      <c r="L36" s="251" t="s">
        <v>487</v>
      </c>
      <c r="M36" s="251" t="s">
        <v>523</v>
      </c>
      <c r="N36" s="251" t="s">
        <v>524</v>
      </c>
      <c r="O36" s="251" t="s">
        <v>674</v>
      </c>
      <c r="P36" s="251" t="s">
        <v>1477</v>
      </c>
      <c r="Q36" s="252">
        <v>10007706</v>
      </c>
      <c r="R36" s="253">
        <v>42437</v>
      </c>
      <c r="S36" s="253">
        <v>42439</v>
      </c>
      <c r="T36" s="253">
        <v>42466</v>
      </c>
      <c r="U36" s="251" t="s">
        <v>488</v>
      </c>
      <c r="V36" s="251">
        <v>2</v>
      </c>
      <c r="W36" s="251" t="s">
        <v>219</v>
      </c>
      <c r="X36" s="251">
        <v>2</v>
      </c>
      <c r="Y36" s="251">
        <v>2</v>
      </c>
      <c r="Z36" s="251">
        <v>2</v>
      </c>
      <c r="AA36" s="251">
        <v>2</v>
      </c>
      <c r="AB36" s="251">
        <v>2</v>
      </c>
      <c r="AC36" s="251" t="s">
        <v>486</v>
      </c>
      <c r="AD36" s="251" t="s">
        <v>486</v>
      </c>
      <c r="AE36" s="251" t="s">
        <v>486</v>
      </c>
      <c r="AF36" s="251" t="s">
        <v>486</v>
      </c>
      <c r="AG36" s="251" t="s">
        <v>486</v>
      </c>
      <c r="AH36" s="251" t="s">
        <v>486</v>
      </c>
      <c r="AI36" s="251" t="s">
        <v>486</v>
      </c>
      <c r="AJ36" s="251" t="s">
        <v>486</v>
      </c>
      <c r="AK36" s="251" t="s">
        <v>486</v>
      </c>
      <c r="AL36" s="251" t="s">
        <v>491</v>
      </c>
      <c r="AM36" s="251" t="s">
        <v>486</v>
      </c>
      <c r="AN36" s="251" t="s">
        <v>486</v>
      </c>
      <c r="AO36" s="253" t="s">
        <v>486</v>
      </c>
      <c r="AP36" s="252" t="s">
        <v>486</v>
      </c>
      <c r="AQ36" s="254" t="s">
        <v>486</v>
      </c>
      <c r="AR36" s="251" t="s">
        <v>486</v>
      </c>
    </row>
    <row r="37" spans="1:44" ht="15" x14ac:dyDescent="0.25">
      <c r="A37" s="245" t="str">
        <f>HYPERLINK("http://www.ofsted.gov.uk/inspection-reports/find-inspection-report/provider/ELS/137785 ","Ofsted School Webpage")</f>
        <v>Ofsted School Webpage</v>
      </c>
      <c r="B37" s="246">
        <v>137785</v>
      </c>
      <c r="C37" s="246">
        <v>3806001</v>
      </c>
      <c r="D37" s="246" t="s">
        <v>1571</v>
      </c>
      <c r="E37" s="246" t="s">
        <v>248</v>
      </c>
      <c r="F37" s="246" t="s">
        <v>93</v>
      </c>
      <c r="G37" s="246" t="s">
        <v>93</v>
      </c>
      <c r="H37" s="246" t="s">
        <v>93</v>
      </c>
      <c r="I37" s="246" t="s">
        <v>90</v>
      </c>
      <c r="J37" s="246" t="s">
        <v>1490</v>
      </c>
      <c r="K37" s="246" t="s">
        <v>486</v>
      </c>
      <c r="L37" s="246" t="s">
        <v>487</v>
      </c>
      <c r="M37" s="246" t="s">
        <v>523</v>
      </c>
      <c r="N37" s="246" t="s">
        <v>524</v>
      </c>
      <c r="O37" s="246" t="s">
        <v>674</v>
      </c>
      <c r="P37" s="246" t="s">
        <v>1572</v>
      </c>
      <c r="Q37" s="247">
        <v>10006098</v>
      </c>
      <c r="R37" s="248">
        <v>42444</v>
      </c>
      <c r="S37" s="248">
        <v>42446</v>
      </c>
      <c r="T37" s="248">
        <v>42473</v>
      </c>
      <c r="U37" s="246" t="s">
        <v>488</v>
      </c>
      <c r="V37" s="246">
        <v>2</v>
      </c>
      <c r="W37" s="246" t="s">
        <v>219</v>
      </c>
      <c r="X37" s="246">
        <v>2</v>
      </c>
      <c r="Y37" s="246">
        <v>2</v>
      </c>
      <c r="Z37" s="246">
        <v>2</v>
      </c>
      <c r="AA37" s="246">
        <v>2</v>
      </c>
      <c r="AB37" s="246" t="s">
        <v>486</v>
      </c>
      <c r="AC37" s="246" t="s">
        <v>486</v>
      </c>
      <c r="AD37" s="246" t="s">
        <v>486</v>
      </c>
      <c r="AE37" s="246" t="s">
        <v>486</v>
      </c>
      <c r="AF37" s="246" t="s">
        <v>486</v>
      </c>
      <c r="AG37" s="246" t="s">
        <v>486</v>
      </c>
      <c r="AH37" s="246" t="s">
        <v>486</v>
      </c>
      <c r="AI37" s="246" t="s">
        <v>486</v>
      </c>
      <c r="AJ37" s="246" t="s">
        <v>486</v>
      </c>
      <c r="AK37" s="246" t="s">
        <v>486</v>
      </c>
      <c r="AL37" s="246" t="s">
        <v>491</v>
      </c>
      <c r="AM37" s="246" t="s">
        <v>486</v>
      </c>
      <c r="AN37" s="246" t="s">
        <v>486</v>
      </c>
      <c r="AO37" s="248" t="s">
        <v>486</v>
      </c>
      <c r="AP37" s="247" t="s">
        <v>486</v>
      </c>
      <c r="AQ37" s="249" t="s">
        <v>486</v>
      </c>
      <c r="AR37" s="246" t="s">
        <v>486</v>
      </c>
    </row>
    <row r="38" spans="1:44" ht="15" x14ac:dyDescent="0.25">
      <c r="A38" s="250" t="str">
        <f>HYPERLINK("http://www.ofsted.gov.uk/inspection-reports/find-inspection-report/provider/ELS/142011 ","Ofsted School Webpage")</f>
        <v>Ofsted School Webpage</v>
      </c>
      <c r="B38" s="251">
        <v>142011</v>
      </c>
      <c r="C38" s="251">
        <v>8856043</v>
      </c>
      <c r="D38" s="251" t="s">
        <v>1573</v>
      </c>
      <c r="E38" s="251" t="s">
        <v>248</v>
      </c>
      <c r="F38" s="251" t="s">
        <v>93</v>
      </c>
      <c r="G38" s="251" t="s">
        <v>93</v>
      </c>
      <c r="H38" s="251" t="s">
        <v>93</v>
      </c>
      <c r="I38" s="251" t="s">
        <v>90</v>
      </c>
      <c r="J38" s="251" t="s">
        <v>1490</v>
      </c>
      <c r="K38" s="251" t="s">
        <v>486</v>
      </c>
      <c r="L38" s="251" t="s">
        <v>487</v>
      </c>
      <c r="M38" s="251" t="s">
        <v>502</v>
      </c>
      <c r="N38" s="251" t="s">
        <v>502</v>
      </c>
      <c r="O38" s="251" t="s">
        <v>550</v>
      </c>
      <c r="P38" s="251" t="s">
        <v>1574</v>
      </c>
      <c r="Q38" s="252">
        <v>10008631</v>
      </c>
      <c r="R38" s="253">
        <v>42472</v>
      </c>
      <c r="S38" s="253">
        <v>42474</v>
      </c>
      <c r="T38" s="253">
        <v>42508</v>
      </c>
      <c r="U38" s="251" t="s">
        <v>499</v>
      </c>
      <c r="V38" s="251">
        <v>2</v>
      </c>
      <c r="W38" s="251" t="s">
        <v>219</v>
      </c>
      <c r="X38" s="251">
        <v>2</v>
      </c>
      <c r="Y38" s="251">
        <v>1</v>
      </c>
      <c r="Z38" s="251">
        <v>2</v>
      </c>
      <c r="AA38" s="251">
        <v>2</v>
      </c>
      <c r="AB38" s="251" t="s">
        <v>486</v>
      </c>
      <c r="AC38" s="251">
        <v>2</v>
      </c>
      <c r="AD38" s="251" t="s">
        <v>486</v>
      </c>
      <c r="AE38" s="251" t="s">
        <v>486</v>
      </c>
      <c r="AF38" s="251" t="s">
        <v>486</v>
      </c>
      <c r="AG38" s="251" t="s">
        <v>486</v>
      </c>
      <c r="AH38" s="251" t="s">
        <v>486</v>
      </c>
      <c r="AI38" s="251" t="s">
        <v>486</v>
      </c>
      <c r="AJ38" s="251" t="s">
        <v>486</v>
      </c>
      <c r="AK38" s="251" t="s">
        <v>486</v>
      </c>
      <c r="AL38" s="251" t="s">
        <v>491</v>
      </c>
      <c r="AM38" s="251" t="s">
        <v>486</v>
      </c>
      <c r="AN38" s="251" t="s">
        <v>486</v>
      </c>
      <c r="AO38" s="253" t="s">
        <v>486</v>
      </c>
      <c r="AP38" s="252" t="s">
        <v>486</v>
      </c>
      <c r="AQ38" s="254" t="s">
        <v>486</v>
      </c>
      <c r="AR38" s="251" t="s">
        <v>486</v>
      </c>
    </row>
    <row r="39" spans="1:44" ht="15" x14ac:dyDescent="0.25">
      <c r="A39" s="245" t="str">
        <f>HYPERLINK("http://www.ofsted.gov.uk/inspection-reports/find-inspection-report/provider/ELS/115803 ","Ofsted School Webpage")</f>
        <v>Ofsted School Webpage</v>
      </c>
      <c r="B39" s="246">
        <v>115803</v>
      </c>
      <c r="C39" s="246">
        <v>9166047</v>
      </c>
      <c r="D39" s="246" t="s">
        <v>1575</v>
      </c>
      <c r="E39" s="246" t="s">
        <v>247</v>
      </c>
      <c r="F39" s="246" t="s">
        <v>93</v>
      </c>
      <c r="G39" s="246" t="s">
        <v>74</v>
      </c>
      <c r="H39" s="246" t="s">
        <v>74</v>
      </c>
      <c r="I39" s="246" t="s">
        <v>71</v>
      </c>
      <c r="J39" s="246" t="s">
        <v>1490</v>
      </c>
      <c r="K39" s="246" t="s">
        <v>486</v>
      </c>
      <c r="L39" s="246" t="s">
        <v>487</v>
      </c>
      <c r="M39" s="246" t="s">
        <v>483</v>
      </c>
      <c r="N39" s="246" t="s">
        <v>483</v>
      </c>
      <c r="O39" s="246" t="s">
        <v>948</v>
      </c>
      <c r="P39" s="246" t="s">
        <v>1576</v>
      </c>
      <c r="Q39" s="247">
        <v>10008569</v>
      </c>
      <c r="R39" s="248">
        <v>42479</v>
      </c>
      <c r="S39" s="248">
        <v>42481</v>
      </c>
      <c r="T39" s="248">
        <v>42527</v>
      </c>
      <c r="U39" s="246" t="s">
        <v>488</v>
      </c>
      <c r="V39" s="246">
        <v>2</v>
      </c>
      <c r="W39" s="246" t="s">
        <v>219</v>
      </c>
      <c r="X39" s="246">
        <v>2</v>
      </c>
      <c r="Y39" s="246">
        <v>1</v>
      </c>
      <c r="Z39" s="246">
        <v>2</v>
      </c>
      <c r="AA39" s="246">
        <v>2</v>
      </c>
      <c r="AB39" s="246">
        <v>2</v>
      </c>
      <c r="AC39" s="246" t="s">
        <v>486</v>
      </c>
      <c r="AD39" s="246" t="s">
        <v>486</v>
      </c>
      <c r="AE39" s="246" t="s">
        <v>486</v>
      </c>
      <c r="AF39" s="246" t="s">
        <v>486</v>
      </c>
      <c r="AG39" s="246" t="s">
        <v>486</v>
      </c>
      <c r="AH39" s="246" t="s">
        <v>486</v>
      </c>
      <c r="AI39" s="246" t="s">
        <v>486</v>
      </c>
      <c r="AJ39" s="246" t="s">
        <v>486</v>
      </c>
      <c r="AK39" s="246" t="s">
        <v>486</v>
      </c>
      <c r="AL39" s="246" t="s">
        <v>491</v>
      </c>
      <c r="AM39" s="246" t="s">
        <v>486</v>
      </c>
      <c r="AN39" s="246" t="s">
        <v>486</v>
      </c>
      <c r="AO39" s="248" t="s">
        <v>486</v>
      </c>
      <c r="AP39" s="247" t="s">
        <v>486</v>
      </c>
      <c r="AQ39" s="249" t="s">
        <v>486</v>
      </c>
      <c r="AR39" s="246" t="s">
        <v>486</v>
      </c>
    </row>
    <row r="40" spans="1:44" ht="15" x14ac:dyDescent="0.25">
      <c r="A40" s="250" t="str">
        <f>HYPERLINK("http://www.ofsted.gov.uk/inspection-reports/find-inspection-report/provider/ELS/136257 ","Ofsted School Webpage")</f>
        <v>Ofsted School Webpage</v>
      </c>
      <c r="B40" s="251">
        <v>136257</v>
      </c>
      <c r="C40" s="251">
        <v>3546202</v>
      </c>
      <c r="D40" s="251" t="s">
        <v>1577</v>
      </c>
      <c r="E40" s="251" t="s">
        <v>248</v>
      </c>
      <c r="F40" s="251" t="s">
        <v>93</v>
      </c>
      <c r="G40" s="251" t="s">
        <v>93</v>
      </c>
      <c r="H40" s="251" t="s">
        <v>93</v>
      </c>
      <c r="I40" s="251" t="s">
        <v>90</v>
      </c>
      <c r="J40" s="251" t="s">
        <v>1490</v>
      </c>
      <c r="K40" s="251" t="s">
        <v>486</v>
      </c>
      <c r="L40" s="251" t="s">
        <v>487</v>
      </c>
      <c r="M40" s="251" t="s">
        <v>495</v>
      </c>
      <c r="N40" s="251" t="s">
        <v>495</v>
      </c>
      <c r="O40" s="251" t="s">
        <v>604</v>
      </c>
      <c r="P40" s="251" t="s">
        <v>1578</v>
      </c>
      <c r="Q40" s="252">
        <v>10012779</v>
      </c>
      <c r="R40" s="253">
        <v>42479</v>
      </c>
      <c r="S40" s="253">
        <v>42481</v>
      </c>
      <c r="T40" s="253">
        <v>42523</v>
      </c>
      <c r="U40" s="251" t="s">
        <v>1579</v>
      </c>
      <c r="V40" s="251">
        <v>2</v>
      </c>
      <c r="W40" s="251" t="s">
        <v>219</v>
      </c>
      <c r="X40" s="251">
        <v>2</v>
      </c>
      <c r="Y40" s="251">
        <v>2</v>
      </c>
      <c r="Z40" s="251">
        <v>2</v>
      </c>
      <c r="AA40" s="251">
        <v>2</v>
      </c>
      <c r="AB40" s="251" t="s">
        <v>486</v>
      </c>
      <c r="AC40" s="251" t="s">
        <v>486</v>
      </c>
      <c r="AD40" s="251" t="s">
        <v>486</v>
      </c>
      <c r="AE40" s="251" t="s">
        <v>486</v>
      </c>
      <c r="AF40" s="251" t="s">
        <v>486</v>
      </c>
      <c r="AG40" s="251" t="s">
        <v>486</v>
      </c>
      <c r="AH40" s="251" t="s">
        <v>486</v>
      </c>
      <c r="AI40" s="251" t="s">
        <v>486</v>
      </c>
      <c r="AJ40" s="251" t="s">
        <v>486</v>
      </c>
      <c r="AK40" s="251" t="s">
        <v>486</v>
      </c>
      <c r="AL40" s="251" t="s">
        <v>491</v>
      </c>
      <c r="AM40" s="251" t="s">
        <v>486</v>
      </c>
      <c r="AN40" s="251" t="s">
        <v>486</v>
      </c>
      <c r="AO40" s="253" t="s">
        <v>486</v>
      </c>
      <c r="AP40" s="252" t="s">
        <v>486</v>
      </c>
      <c r="AQ40" s="254" t="s">
        <v>486</v>
      </c>
      <c r="AR40" s="251" t="s">
        <v>486</v>
      </c>
    </row>
    <row r="41" spans="1:44" ht="15" x14ac:dyDescent="0.25">
      <c r="A41" s="245" t="str">
        <f>HYPERLINK("http://www.ofsted.gov.uk/inspection-reports/find-inspection-report/provider/ELS/110141 ","Ofsted School Webpage")</f>
        <v>Ofsted School Webpage</v>
      </c>
      <c r="B41" s="246">
        <v>110141</v>
      </c>
      <c r="C41" s="246">
        <v>8676004</v>
      </c>
      <c r="D41" s="246" t="s">
        <v>1580</v>
      </c>
      <c r="E41" s="246" t="s">
        <v>247</v>
      </c>
      <c r="F41" s="246" t="s">
        <v>93</v>
      </c>
      <c r="G41" s="246" t="s">
        <v>78</v>
      </c>
      <c r="H41" s="246" t="s">
        <v>78</v>
      </c>
      <c r="I41" s="246" t="s">
        <v>71</v>
      </c>
      <c r="J41" s="246" t="s">
        <v>1490</v>
      </c>
      <c r="K41" s="246" t="s">
        <v>486</v>
      </c>
      <c r="L41" s="246" t="s">
        <v>487</v>
      </c>
      <c r="M41" s="246" t="s">
        <v>581</v>
      </c>
      <c r="N41" s="246" t="s">
        <v>581</v>
      </c>
      <c r="O41" s="246" t="s">
        <v>1581</v>
      </c>
      <c r="P41" s="246" t="s">
        <v>1582</v>
      </c>
      <c r="Q41" s="247">
        <v>10012939</v>
      </c>
      <c r="R41" s="248">
        <v>42486</v>
      </c>
      <c r="S41" s="248">
        <v>42488</v>
      </c>
      <c r="T41" s="248">
        <v>42508</v>
      </c>
      <c r="U41" s="246" t="s">
        <v>488</v>
      </c>
      <c r="V41" s="246">
        <v>2</v>
      </c>
      <c r="W41" s="246" t="s">
        <v>219</v>
      </c>
      <c r="X41" s="246">
        <v>2</v>
      </c>
      <c r="Y41" s="246">
        <v>2</v>
      </c>
      <c r="Z41" s="246">
        <v>2</v>
      </c>
      <c r="AA41" s="246">
        <v>2</v>
      </c>
      <c r="AB41" s="246">
        <v>2</v>
      </c>
      <c r="AC41" s="246" t="s">
        <v>486</v>
      </c>
      <c r="AD41" s="246" t="s">
        <v>486</v>
      </c>
      <c r="AE41" s="246" t="s">
        <v>486</v>
      </c>
      <c r="AF41" s="246" t="s">
        <v>486</v>
      </c>
      <c r="AG41" s="246" t="s">
        <v>486</v>
      </c>
      <c r="AH41" s="246" t="s">
        <v>486</v>
      </c>
      <c r="AI41" s="246" t="s">
        <v>486</v>
      </c>
      <c r="AJ41" s="246" t="s">
        <v>486</v>
      </c>
      <c r="AK41" s="246" t="s">
        <v>486</v>
      </c>
      <c r="AL41" s="246" t="s">
        <v>491</v>
      </c>
      <c r="AM41" s="246" t="s">
        <v>486</v>
      </c>
      <c r="AN41" s="246" t="s">
        <v>486</v>
      </c>
      <c r="AO41" s="248" t="s">
        <v>486</v>
      </c>
      <c r="AP41" s="247" t="s">
        <v>486</v>
      </c>
      <c r="AQ41" s="249" t="s">
        <v>486</v>
      </c>
      <c r="AR41" s="246" t="s">
        <v>486</v>
      </c>
    </row>
    <row r="42" spans="1:44" ht="15" x14ac:dyDescent="0.25">
      <c r="A42" s="250" t="str">
        <f>HYPERLINK("http://www.ofsted.gov.uk/inspection-reports/find-inspection-report/provider/ELS/112456 ","Ofsted School Webpage")</f>
        <v>Ofsted School Webpage</v>
      </c>
      <c r="B42" s="251">
        <v>112456</v>
      </c>
      <c r="C42" s="251">
        <v>8156041</v>
      </c>
      <c r="D42" s="251" t="s">
        <v>1583</v>
      </c>
      <c r="E42" s="251" t="s">
        <v>248</v>
      </c>
      <c r="F42" s="251" t="s">
        <v>93</v>
      </c>
      <c r="G42" s="251" t="s">
        <v>93</v>
      </c>
      <c r="H42" s="251" t="s">
        <v>93</v>
      </c>
      <c r="I42" s="251" t="s">
        <v>90</v>
      </c>
      <c r="J42" s="251" t="s">
        <v>1490</v>
      </c>
      <c r="K42" s="251" t="s">
        <v>486</v>
      </c>
      <c r="L42" s="251" t="s">
        <v>487</v>
      </c>
      <c r="M42" s="251" t="s">
        <v>523</v>
      </c>
      <c r="N42" s="251" t="s">
        <v>524</v>
      </c>
      <c r="O42" s="251" t="s">
        <v>846</v>
      </c>
      <c r="P42" s="251" t="s">
        <v>1584</v>
      </c>
      <c r="Q42" s="252">
        <v>10018438</v>
      </c>
      <c r="R42" s="253">
        <v>42486</v>
      </c>
      <c r="S42" s="253">
        <v>42488</v>
      </c>
      <c r="T42" s="253">
        <v>42507</v>
      </c>
      <c r="U42" s="251" t="s">
        <v>624</v>
      </c>
      <c r="V42" s="251">
        <v>2</v>
      </c>
      <c r="W42" s="251" t="s">
        <v>219</v>
      </c>
      <c r="X42" s="251">
        <v>2</v>
      </c>
      <c r="Y42" s="251">
        <v>2</v>
      </c>
      <c r="Z42" s="251">
        <v>2</v>
      </c>
      <c r="AA42" s="251">
        <v>2</v>
      </c>
      <c r="AB42" s="251" t="s">
        <v>486</v>
      </c>
      <c r="AC42" s="251">
        <v>2</v>
      </c>
      <c r="AD42" s="251" t="s">
        <v>486</v>
      </c>
      <c r="AE42" s="251" t="s">
        <v>486</v>
      </c>
      <c r="AF42" s="251" t="s">
        <v>486</v>
      </c>
      <c r="AG42" s="251" t="s">
        <v>486</v>
      </c>
      <c r="AH42" s="251" t="s">
        <v>486</v>
      </c>
      <c r="AI42" s="251" t="s">
        <v>486</v>
      </c>
      <c r="AJ42" s="251" t="s">
        <v>486</v>
      </c>
      <c r="AK42" s="251" t="s">
        <v>486</v>
      </c>
      <c r="AL42" s="251" t="s">
        <v>491</v>
      </c>
      <c r="AM42" s="251" t="s">
        <v>486</v>
      </c>
      <c r="AN42" s="251" t="s">
        <v>486</v>
      </c>
      <c r="AO42" s="253" t="s">
        <v>486</v>
      </c>
      <c r="AP42" s="252" t="s">
        <v>486</v>
      </c>
      <c r="AQ42" s="254" t="s">
        <v>486</v>
      </c>
      <c r="AR42" s="251" t="s">
        <v>486</v>
      </c>
    </row>
    <row r="43" spans="1:44" ht="15" x14ac:dyDescent="0.25">
      <c r="A43" s="245" t="str">
        <f>HYPERLINK("http://www.ofsted.gov.uk/inspection-reports/find-inspection-report/provider/ELS/114640 ","Ofsted School Webpage")</f>
        <v>Ofsted School Webpage</v>
      </c>
      <c r="B43" s="246">
        <v>114640</v>
      </c>
      <c r="C43" s="246">
        <v>8456010</v>
      </c>
      <c r="D43" s="246" t="s">
        <v>1585</v>
      </c>
      <c r="E43" s="246" t="s">
        <v>247</v>
      </c>
      <c r="F43" s="246" t="s">
        <v>93</v>
      </c>
      <c r="G43" s="246" t="s">
        <v>93</v>
      </c>
      <c r="H43" s="246" t="s">
        <v>93</v>
      </c>
      <c r="I43" s="246" t="s">
        <v>90</v>
      </c>
      <c r="J43" s="246" t="s">
        <v>1490</v>
      </c>
      <c r="K43" s="246" t="s">
        <v>486</v>
      </c>
      <c r="L43" s="246" t="s">
        <v>487</v>
      </c>
      <c r="M43" s="246" t="s">
        <v>581</v>
      </c>
      <c r="N43" s="246" t="s">
        <v>581</v>
      </c>
      <c r="O43" s="246" t="s">
        <v>761</v>
      </c>
      <c r="P43" s="246" t="s">
        <v>1586</v>
      </c>
      <c r="Q43" s="247">
        <v>10017315</v>
      </c>
      <c r="R43" s="248">
        <v>42486</v>
      </c>
      <c r="S43" s="248">
        <v>42488</v>
      </c>
      <c r="T43" s="248">
        <v>42517</v>
      </c>
      <c r="U43" s="246" t="s">
        <v>488</v>
      </c>
      <c r="V43" s="246">
        <v>1</v>
      </c>
      <c r="W43" s="246" t="s">
        <v>219</v>
      </c>
      <c r="X43" s="246">
        <v>1</v>
      </c>
      <c r="Y43" s="246">
        <v>1</v>
      </c>
      <c r="Z43" s="246">
        <v>1</v>
      </c>
      <c r="AA43" s="246">
        <v>1</v>
      </c>
      <c r="AB43" s="246">
        <v>1</v>
      </c>
      <c r="AC43" s="246">
        <v>1</v>
      </c>
      <c r="AD43" s="246" t="s">
        <v>486</v>
      </c>
      <c r="AE43" s="246" t="s">
        <v>486</v>
      </c>
      <c r="AF43" s="246" t="s">
        <v>486</v>
      </c>
      <c r="AG43" s="246" t="s">
        <v>486</v>
      </c>
      <c r="AH43" s="246" t="s">
        <v>486</v>
      </c>
      <c r="AI43" s="246" t="s">
        <v>486</v>
      </c>
      <c r="AJ43" s="246" t="s">
        <v>486</v>
      </c>
      <c r="AK43" s="246" t="s">
        <v>486</v>
      </c>
      <c r="AL43" s="246" t="s">
        <v>491</v>
      </c>
      <c r="AM43" s="246" t="s">
        <v>486</v>
      </c>
      <c r="AN43" s="246" t="s">
        <v>486</v>
      </c>
      <c r="AO43" s="248" t="s">
        <v>486</v>
      </c>
      <c r="AP43" s="247" t="s">
        <v>486</v>
      </c>
      <c r="AQ43" s="249" t="s">
        <v>486</v>
      </c>
      <c r="AR43" s="246" t="s">
        <v>486</v>
      </c>
    </row>
    <row r="44" spans="1:44" ht="15" x14ac:dyDescent="0.25">
      <c r="A44" s="250" t="str">
        <f>HYPERLINK("http://www.ofsted.gov.uk/inspection-reports/find-inspection-report/provider/ELS/135511 ","Ofsted School Webpage")</f>
        <v>Ofsted School Webpage</v>
      </c>
      <c r="B44" s="251">
        <v>135511</v>
      </c>
      <c r="C44" s="251">
        <v>8936107</v>
      </c>
      <c r="D44" s="251" t="s">
        <v>1587</v>
      </c>
      <c r="E44" s="251" t="s">
        <v>248</v>
      </c>
      <c r="F44" s="251" t="s">
        <v>93</v>
      </c>
      <c r="G44" s="251" t="s">
        <v>93</v>
      </c>
      <c r="H44" s="251" t="s">
        <v>93</v>
      </c>
      <c r="I44" s="251" t="s">
        <v>90</v>
      </c>
      <c r="J44" s="251" t="s">
        <v>1490</v>
      </c>
      <c r="K44" s="251" t="s">
        <v>486</v>
      </c>
      <c r="L44" s="251" t="s">
        <v>487</v>
      </c>
      <c r="M44" s="251" t="s">
        <v>502</v>
      </c>
      <c r="N44" s="251" t="s">
        <v>502</v>
      </c>
      <c r="O44" s="251" t="s">
        <v>666</v>
      </c>
      <c r="P44" s="251" t="s">
        <v>1588</v>
      </c>
      <c r="Q44" s="252">
        <v>10006045</v>
      </c>
      <c r="R44" s="253">
        <v>42486</v>
      </c>
      <c r="S44" s="253">
        <v>42488</v>
      </c>
      <c r="T44" s="253">
        <v>42542</v>
      </c>
      <c r="U44" s="251" t="s">
        <v>488</v>
      </c>
      <c r="V44" s="251">
        <v>1</v>
      </c>
      <c r="W44" s="251" t="s">
        <v>219</v>
      </c>
      <c r="X44" s="251">
        <v>1</v>
      </c>
      <c r="Y44" s="251">
        <v>1</v>
      </c>
      <c r="Z44" s="251">
        <v>1</v>
      </c>
      <c r="AA44" s="251">
        <v>1</v>
      </c>
      <c r="AB44" s="251" t="s">
        <v>486</v>
      </c>
      <c r="AC44" s="251">
        <v>0</v>
      </c>
      <c r="AD44" s="251" t="s">
        <v>486</v>
      </c>
      <c r="AE44" s="251" t="s">
        <v>486</v>
      </c>
      <c r="AF44" s="251" t="s">
        <v>486</v>
      </c>
      <c r="AG44" s="251" t="s">
        <v>486</v>
      </c>
      <c r="AH44" s="251" t="s">
        <v>486</v>
      </c>
      <c r="AI44" s="251" t="s">
        <v>486</v>
      </c>
      <c r="AJ44" s="251" t="s">
        <v>486</v>
      </c>
      <c r="AK44" s="251" t="s">
        <v>486</v>
      </c>
      <c r="AL44" s="251" t="s">
        <v>491</v>
      </c>
      <c r="AM44" s="251" t="s">
        <v>486</v>
      </c>
      <c r="AN44" s="251" t="s">
        <v>486</v>
      </c>
      <c r="AO44" s="253" t="s">
        <v>486</v>
      </c>
      <c r="AP44" s="252" t="s">
        <v>486</v>
      </c>
      <c r="AQ44" s="254" t="s">
        <v>486</v>
      </c>
      <c r="AR44" s="251" t="s">
        <v>486</v>
      </c>
    </row>
    <row r="45" spans="1:44" ht="15" x14ac:dyDescent="0.25">
      <c r="A45" s="245" t="str">
        <f>HYPERLINK("http://www.ofsted.gov.uk/inspection-reports/find-inspection-report/provider/ELS/135539 ","Ofsted School Webpage")</f>
        <v>Ofsted School Webpage</v>
      </c>
      <c r="B45" s="246">
        <v>135539</v>
      </c>
      <c r="C45" s="246">
        <v>8216011</v>
      </c>
      <c r="D45" s="246" t="s">
        <v>1589</v>
      </c>
      <c r="E45" s="246" t="s">
        <v>247</v>
      </c>
      <c r="F45" s="246" t="s">
        <v>83</v>
      </c>
      <c r="G45" s="246" t="s">
        <v>84</v>
      </c>
      <c r="H45" s="246" t="s">
        <v>83</v>
      </c>
      <c r="I45" s="246" t="s">
        <v>84</v>
      </c>
      <c r="J45" s="246" t="s">
        <v>1490</v>
      </c>
      <c r="K45" s="246" t="s">
        <v>486</v>
      </c>
      <c r="L45" s="246" t="s">
        <v>487</v>
      </c>
      <c r="M45" s="246" t="s">
        <v>516</v>
      </c>
      <c r="N45" s="246" t="s">
        <v>516</v>
      </c>
      <c r="O45" s="246" t="s">
        <v>517</v>
      </c>
      <c r="P45" s="246" t="s">
        <v>1590</v>
      </c>
      <c r="Q45" s="247">
        <v>10006065</v>
      </c>
      <c r="R45" s="248">
        <v>42486</v>
      </c>
      <c r="S45" s="248">
        <v>42488</v>
      </c>
      <c r="T45" s="248">
        <v>42510</v>
      </c>
      <c r="U45" s="246" t="s">
        <v>488</v>
      </c>
      <c r="V45" s="246">
        <v>2</v>
      </c>
      <c r="W45" s="246" t="s">
        <v>219</v>
      </c>
      <c r="X45" s="246">
        <v>2</v>
      </c>
      <c r="Y45" s="246">
        <v>1</v>
      </c>
      <c r="Z45" s="246">
        <v>2</v>
      </c>
      <c r="AA45" s="246">
        <v>2</v>
      </c>
      <c r="AB45" s="246">
        <v>2</v>
      </c>
      <c r="AC45" s="246" t="s">
        <v>486</v>
      </c>
      <c r="AD45" s="246" t="s">
        <v>486</v>
      </c>
      <c r="AE45" s="246" t="s">
        <v>486</v>
      </c>
      <c r="AF45" s="246" t="s">
        <v>486</v>
      </c>
      <c r="AG45" s="246" t="s">
        <v>486</v>
      </c>
      <c r="AH45" s="246" t="s">
        <v>486</v>
      </c>
      <c r="AI45" s="246" t="s">
        <v>486</v>
      </c>
      <c r="AJ45" s="246" t="s">
        <v>486</v>
      </c>
      <c r="AK45" s="246" t="s">
        <v>486</v>
      </c>
      <c r="AL45" s="246" t="s">
        <v>491</v>
      </c>
      <c r="AM45" s="246" t="s">
        <v>486</v>
      </c>
      <c r="AN45" s="246" t="s">
        <v>486</v>
      </c>
      <c r="AO45" s="248" t="s">
        <v>486</v>
      </c>
      <c r="AP45" s="247" t="s">
        <v>486</v>
      </c>
      <c r="AQ45" s="249" t="s">
        <v>486</v>
      </c>
      <c r="AR45" s="246" t="s">
        <v>486</v>
      </c>
    </row>
    <row r="46" spans="1:44" ht="15" x14ac:dyDescent="0.25">
      <c r="A46" s="250" t="str">
        <f>HYPERLINK("http://www.ofsted.gov.uk/inspection-reports/find-inspection-report/provider/ELS/139329 ","Ofsted School Webpage")</f>
        <v>Ofsted School Webpage</v>
      </c>
      <c r="B46" s="251">
        <v>139329</v>
      </c>
      <c r="C46" s="251">
        <v>8406013</v>
      </c>
      <c r="D46" s="251" t="s">
        <v>1591</v>
      </c>
      <c r="E46" s="251" t="s">
        <v>248</v>
      </c>
      <c r="F46" s="251" t="s">
        <v>93</v>
      </c>
      <c r="G46" s="251" t="s">
        <v>93</v>
      </c>
      <c r="H46" s="251" t="s">
        <v>93</v>
      </c>
      <c r="I46" s="251" t="s">
        <v>90</v>
      </c>
      <c r="J46" s="251" t="s">
        <v>1490</v>
      </c>
      <c r="K46" s="251" t="s">
        <v>486</v>
      </c>
      <c r="L46" s="251" t="s">
        <v>487</v>
      </c>
      <c r="M46" s="251" t="s">
        <v>523</v>
      </c>
      <c r="N46" s="251" t="s">
        <v>539</v>
      </c>
      <c r="O46" s="251" t="s">
        <v>649</v>
      </c>
      <c r="P46" s="251" t="s">
        <v>1592</v>
      </c>
      <c r="Q46" s="252">
        <v>10017429</v>
      </c>
      <c r="R46" s="253">
        <v>42486</v>
      </c>
      <c r="S46" s="253">
        <v>42488</v>
      </c>
      <c r="T46" s="253">
        <v>42510</v>
      </c>
      <c r="U46" s="251" t="s">
        <v>488</v>
      </c>
      <c r="V46" s="251">
        <v>2</v>
      </c>
      <c r="W46" s="251" t="s">
        <v>219</v>
      </c>
      <c r="X46" s="251">
        <v>2</v>
      </c>
      <c r="Y46" s="251">
        <v>2</v>
      </c>
      <c r="Z46" s="251">
        <v>2</v>
      </c>
      <c r="AA46" s="251">
        <v>2</v>
      </c>
      <c r="AB46" s="251" t="s">
        <v>486</v>
      </c>
      <c r="AC46" s="251">
        <v>2</v>
      </c>
      <c r="AD46" s="251" t="s">
        <v>486</v>
      </c>
      <c r="AE46" s="251" t="s">
        <v>486</v>
      </c>
      <c r="AF46" s="251" t="s">
        <v>486</v>
      </c>
      <c r="AG46" s="251" t="s">
        <v>486</v>
      </c>
      <c r="AH46" s="251" t="s">
        <v>486</v>
      </c>
      <c r="AI46" s="251" t="s">
        <v>486</v>
      </c>
      <c r="AJ46" s="251" t="s">
        <v>486</v>
      </c>
      <c r="AK46" s="251" t="s">
        <v>486</v>
      </c>
      <c r="AL46" s="251" t="s">
        <v>491</v>
      </c>
      <c r="AM46" s="251" t="s">
        <v>486</v>
      </c>
      <c r="AN46" s="251" t="s">
        <v>486</v>
      </c>
      <c r="AO46" s="253" t="s">
        <v>486</v>
      </c>
      <c r="AP46" s="252" t="s">
        <v>486</v>
      </c>
      <c r="AQ46" s="254" t="s">
        <v>486</v>
      </c>
      <c r="AR46" s="251" t="s">
        <v>486</v>
      </c>
    </row>
    <row r="47" spans="1:44" ht="15" x14ac:dyDescent="0.25">
      <c r="A47" s="245" t="str">
        <f>HYPERLINK("http://www.ofsted.gov.uk/inspection-reports/find-inspection-report/provider/ELS/141697 ","Ofsted School Webpage")</f>
        <v>Ofsted School Webpage</v>
      </c>
      <c r="B47" s="246">
        <v>141697</v>
      </c>
      <c r="C47" s="246">
        <v>3056013</v>
      </c>
      <c r="D47" s="246" t="s">
        <v>1593</v>
      </c>
      <c r="E47" s="246" t="s">
        <v>248</v>
      </c>
      <c r="F47" s="246" t="s">
        <v>93</v>
      </c>
      <c r="G47" s="246" t="s">
        <v>93</v>
      </c>
      <c r="H47" s="246" t="s">
        <v>93</v>
      </c>
      <c r="I47" s="246" t="s">
        <v>90</v>
      </c>
      <c r="J47" s="246" t="s">
        <v>1490</v>
      </c>
      <c r="K47" s="246" t="s">
        <v>486</v>
      </c>
      <c r="L47" s="246" t="s">
        <v>487</v>
      </c>
      <c r="M47" s="246" t="s">
        <v>506</v>
      </c>
      <c r="N47" s="246" t="s">
        <v>506</v>
      </c>
      <c r="O47" s="246" t="s">
        <v>679</v>
      </c>
      <c r="P47" s="246" t="s">
        <v>1594</v>
      </c>
      <c r="Q47" s="247">
        <v>10006303</v>
      </c>
      <c r="R47" s="248">
        <v>42486</v>
      </c>
      <c r="S47" s="248">
        <v>42488</v>
      </c>
      <c r="T47" s="248">
        <v>42557</v>
      </c>
      <c r="U47" s="246" t="s">
        <v>499</v>
      </c>
      <c r="V47" s="246">
        <v>2</v>
      </c>
      <c r="W47" s="246" t="s">
        <v>219</v>
      </c>
      <c r="X47" s="246">
        <v>2</v>
      </c>
      <c r="Y47" s="246">
        <v>2</v>
      </c>
      <c r="Z47" s="246">
        <v>2</v>
      </c>
      <c r="AA47" s="246">
        <v>2</v>
      </c>
      <c r="AB47" s="246" t="s">
        <v>486</v>
      </c>
      <c r="AC47" s="246">
        <v>2</v>
      </c>
      <c r="AD47" s="246" t="s">
        <v>486</v>
      </c>
      <c r="AE47" s="246" t="s">
        <v>486</v>
      </c>
      <c r="AF47" s="246" t="s">
        <v>486</v>
      </c>
      <c r="AG47" s="246" t="s">
        <v>486</v>
      </c>
      <c r="AH47" s="246" t="s">
        <v>486</v>
      </c>
      <c r="AI47" s="246" t="s">
        <v>486</v>
      </c>
      <c r="AJ47" s="246" t="s">
        <v>486</v>
      </c>
      <c r="AK47" s="246" t="s">
        <v>486</v>
      </c>
      <c r="AL47" s="246" t="s">
        <v>491</v>
      </c>
      <c r="AM47" s="246" t="s">
        <v>486</v>
      </c>
      <c r="AN47" s="246" t="s">
        <v>486</v>
      </c>
      <c r="AO47" s="248" t="s">
        <v>486</v>
      </c>
      <c r="AP47" s="247" t="s">
        <v>486</v>
      </c>
      <c r="AQ47" s="249" t="s">
        <v>486</v>
      </c>
      <c r="AR47" s="246" t="s">
        <v>486</v>
      </c>
    </row>
    <row r="48" spans="1:44" ht="15" x14ac:dyDescent="0.25">
      <c r="A48" s="250" t="str">
        <f>HYPERLINK("http://www.ofsted.gov.uk/inspection-reports/find-inspection-report/provider/ELS/138971 ","Ofsted School Webpage")</f>
        <v>Ofsted School Webpage</v>
      </c>
      <c r="B48" s="251">
        <v>138971</v>
      </c>
      <c r="C48" s="251">
        <v>3306013</v>
      </c>
      <c r="D48" s="251" t="s">
        <v>1595</v>
      </c>
      <c r="E48" s="251" t="s">
        <v>248</v>
      </c>
      <c r="F48" s="251" t="s">
        <v>93</v>
      </c>
      <c r="G48" s="251" t="s">
        <v>93</v>
      </c>
      <c r="H48" s="251" t="s">
        <v>93</v>
      </c>
      <c r="I48" s="251" t="s">
        <v>90</v>
      </c>
      <c r="J48" s="251" t="s">
        <v>1490</v>
      </c>
      <c r="K48" s="251" t="s">
        <v>486</v>
      </c>
      <c r="L48" s="251" t="s">
        <v>487</v>
      </c>
      <c r="M48" s="251" t="s">
        <v>502</v>
      </c>
      <c r="N48" s="251" t="s">
        <v>502</v>
      </c>
      <c r="O48" s="251" t="s">
        <v>909</v>
      </c>
      <c r="P48" s="251" t="s">
        <v>1596</v>
      </c>
      <c r="Q48" s="252">
        <v>10012895</v>
      </c>
      <c r="R48" s="253">
        <v>42487</v>
      </c>
      <c r="S48" s="253">
        <v>42489</v>
      </c>
      <c r="T48" s="253">
        <v>42516</v>
      </c>
      <c r="U48" s="251" t="s">
        <v>488</v>
      </c>
      <c r="V48" s="251">
        <v>2</v>
      </c>
      <c r="W48" s="251" t="s">
        <v>219</v>
      </c>
      <c r="X48" s="251">
        <v>2</v>
      </c>
      <c r="Y48" s="251">
        <v>2</v>
      </c>
      <c r="Z48" s="251">
        <v>2</v>
      </c>
      <c r="AA48" s="251">
        <v>2</v>
      </c>
      <c r="AB48" s="251" t="s">
        <v>486</v>
      </c>
      <c r="AC48" s="251" t="s">
        <v>486</v>
      </c>
      <c r="AD48" s="251" t="s">
        <v>486</v>
      </c>
      <c r="AE48" s="251" t="s">
        <v>486</v>
      </c>
      <c r="AF48" s="251" t="s">
        <v>486</v>
      </c>
      <c r="AG48" s="251" t="s">
        <v>486</v>
      </c>
      <c r="AH48" s="251" t="s">
        <v>486</v>
      </c>
      <c r="AI48" s="251" t="s">
        <v>486</v>
      </c>
      <c r="AJ48" s="251" t="s">
        <v>486</v>
      </c>
      <c r="AK48" s="251" t="s">
        <v>486</v>
      </c>
      <c r="AL48" s="251" t="s">
        <v>491</v>
      </c>
      <c r="AM48" s="251" t="s">
        <v>486</v>
      </c>
      <c r="AN48" s="251" t="s">
        <v>486</v>
      </c>
      <c r="AO48" s="253" t="s">
        <v>486</v>
      </c>
      <c r="AP48" s="252" t="s">
        <v>486</v>
      </c>
      <c r="AQ48" s="254" t="s">
        <v>486</v>
      </c>
      <c r="AR48" s="251" t="s">
        <v>486</v>
      </c>
    </row>
    <row r="49" spans="1:44" ht="15" x14ac:dyDescent="0.25">
      <c r="A49" s="245" t="str">
        <f>HYPERLINK("http://www.ofsted.gov.uk/inspection-reports/find-inspection-report/provider/ELS/132743 ","Ofsted School Webpage")</f>
        <v>Ofsted School Webpage</v>
      </c>
      <c r="B49" s="246">
        <v>132743</v>
      </c>
      <c r="C49" s="246">
        <v>3306101</v>
      </c>
      <c r="D49" s="246" t="s">
        <v>1597</v>
      </c>
      <c r="E49" s="246" t="s">
        <v>248</v>
      </c>
      <c r="F49" s="246" t="s">
        <v>93</v>
      </c>
      <c r="G49" s="246" t="s">
        <v>93</v>
      </c>
      <c r="H49" s="246" t="s">
        <v>93</v>
      </c>
      <c r="I49" s="246" t="s">
        <v>90</v>
      </c>
      <c r="J49" s="246" t="s">
        <v>1490</v>
      </c>
      <c r="K49" s="246" t="s">
        <v>486</v>
      </c>
      <c r="L49" s="246" t="s">
        <v>487</v>
      </c>
      <c r="M49" s="246" t="s">
        <v>502</v>
      </c>
      <c r="N49" s="246" t="s">
        <v>502</v>
      </c>
      <c r="O49" s="246" t="s">
        <v>909</v>
      </c>
      <c r="P49" s="246" t="s">
        <v>1598</v>
      </c>
      <c r="Q49" s="247">
        <v>10008601</v>
      </c>
      <c r="R49" s="248">
        <v>42494</v>
      </c>
      <c r="S49" s="248">
        <v>42496</v>
      </c>
      <c r="T49" s="248">
        <v>42542</v>
      </c>
      <c r="U49" s="246" t="s">
        <v>488</v>
      </c>
      <c r="V49" s="246">
        <v>2</v>
      </c>
      <c r="W49" s="246" t="s">
        <v>219</v>
      </c>
      <c r="X49" s="246">
        <v>2</v>
      </c>
      <c r="Y49" s="246">
        <v>2</v>
      </c>
      <c r="Z49" s="246">
        <v>2</v>
      </c>
      <c r="AA49" s="246">
        <v>2</v>
      </c>
      <c r="AB49" s="246" t="s">
        <v>486</v>
      </c>
      <c r="AC49" s="246" t="s">
        <v>486</v>
      </c>
      <c r="AD49" s="246" t="s">
        <v>486</v>
      </c>
      <c r="AE49" s="246" t="s">
        <v>486</v>
      </c>
      <c r="AF49" s="246" t="s">
        <v>486</v>
      </c>
      <c r="AG49" s="246" t="s">
        <v>486</v>
      </c>
      <c r="AH49" s="246" t="s">
        <v>486</v>
      </c>
      <c r="AI49" s="246" t="s">
        <v>486</v>
      </c>
      <c r="AJ49" s="246" t="s">
        <v>486</v>
      </c>
      <c r="AK49" s="246" t="s">
        <v>486</v>
      </c>
      <c r="AL49" s="246" t="s">
        <v>491</v>
      </c>
      <c r="AM49" s="246" t="s">
        <v>486</v>
      </c>
      <c r="AN49" s="246" t="s">
        <v>486</v>
      </c>
      <c r="AO49" s="248" t="s">
        <v>486</v>
      </c>
      <c r="AP49" s="247" t="s">
        <v>486</v>
      </c>
      <c r="AQ49" s="249" t="s">
        <v>486</v>
      </c>
      <c r="AR49" s="246" t="s">
        <v>486</v>
      </c>
    </row>
    <row r="50" spans="1:44" ht="15" x14ac:dyDescent="0.25">
      <c r="A50" s="250" t="str">
        <f>HYPERLINK("http://www.ofsted.gov.uk/inspection-reports/find-inspection-report/provider/ELS/113617 ","Ofsted School Webpage")</f>
        <v>Ofsted School Webpage</v>
      </c>
      <c r="B50" s="251">
        <v>113617</v>
      </c>
      <c r="C50" s="251">
        <v>8786040</v>
      </c>
      <c r="D50" s="251" t="s">
        <v>1599</v>
      </c>
      <c r="E50" s="251" t="s">
        <v>247</v>
      </c>
      <c r="F50" s="251" t="s">
        <v>93</v>
      </c>
      <c r="G50" s="251" t="s">
        <v>93</v>
      </c>
      <c r="H50" s="251" t="s">
        <v>93</v>
      </c>
      <c r="I50" s="251" t="s">
        <v>90</v>
      </c>
      <c r="J50" s="251" t="s">
        <v>1490</v>
      </c>
      <c r="K50" s="251" t="s">
        <v>486</v>
      </c>
      <c r="L50" s="251" t="s">
        <v>487</v>
      </c>
      <c r="M50" s="251" t="s">
        <v>483</v>
      </c>
      <c r="N50" s="251" t="s">
        <v>483</v>
      </c>
      <c r="O50" s="251" t="s">
        <v>747</v>
      </c>
      <c r="P50" s="251" t="s">
        <v>1600</v>
      </c>
      <c r="Q50" s="252">
        <v>10008562</v>
      </c>
      <c r="R50" s="253">
        <v>42500</v>
      </c>
      <c r="S50" s="253">
        <v>42502</v>
      </c>
      <c r="T50" s="253">
        <v>42542</v>
      </c>
      <c r="U50" s="251" t="s">
        <v>488</v>
      </c>
      <c r="V50" s="251">
        <v>2</v>
      </c>
      <c r="W50" s="251" t="s">
        <v>219</v>
      </c>
      <c r="X50" s="251">
        <v>2</v>
      </c>
      <c r="Y50" s="251">
        <v>2</v>
      </c>
      <c r="Z50" s="251">
        <v>2</v>
      </c>
      <c r="AA50" s="251">
        <v>2</v>
      </c>
      <c r="AB50" s="251">
        <v>2</v>
      </c>
      <c r="AC50" s="251" t="s">
        <v>486</v>
      </c>
      <c r="AD50" s="251" t="s">
        <v>486</v>
      </c>
      <c r="AE50" s="251" t="s">
        <v>486</v>
      </c>
      <c r="AF50" s="251" t="s">
        <v>486</v>
      </c>
      <c r="AG50" s="251" t="s">
        <v>486</v>
      </c>
      <c r="AH50" s="251" t="s">
        <v>486</v>
      </c>
      <c r="AI50" s="251" t="s">
        <v>486</v>
      </c>
      <c r="AJ50" s="251" t="s">
        <v>486</v>
      </c>
      <c r="AK50" s="251" t="s">
        <v>486</v>
      </c>
      <c r="AL50" s="251" t="s">
        <v>491</v>
      </c>
      <c r="AM50" s="251" t="s">
        <v>486</v>
      </c>
      <c r="AN50" s="251" t="s">
        <v>486</v>
      </c>
      <c r="AO50" s="253" t="s">
        <v>486</v>
      </c>
      <c r="AP50" s="252" t="s">
        <v>486</v>
      </c>
      <c r="AQ50" s="254" t="s">
        <v>486</v>
      </c>
      <c r="AR50" s="251" t="s">
        <v>486</v>
      </c>
    </row>
    <row r="51" spans="1:44" ht="15" x14ac:dyDescent="0.25">
      <c r="A51" s="245" t="str">
        <f>HYPERLINK("http://www.ofsted.gov.uk/inspection-reports/find-inspection-report/provider/ELS/135217 ","Ofsted School Webpage")</f>
        <v>Ofsted School Webpage</v>
      </c>
      <c r="B51" s="246">
        <v>135217</v>
      </c>
      <c r="C51" s="246">
        <v>8556026</v>
      </c>
      <c r="D51" s="246" t="s">
        <v>1601</v>
      </c>
      <c r="E51" s="246" t="s">
        <v>248</v>
      </c>
      <c r="F51" s="246" t="s">
        <v>93</v>
      </c>
      <c r="G51" s="246" t="s">
        <v>93</v>
      </c>
      <c r="H51" s="246" t="s">
        <v>93</v>
      </c>
      <c r="I51" s="246" t="s">
        <v>90</v>
      </c>
      <c r="J51" s="246" t="s">
        <v>1490</v>
      </c>
      <c r="K51" s="246" t="s">
        <v>486</v>
      </c>
      <c r="L51" s="246" t="s">
        <v>487</v>
      </c>
      <c r="M51" s="246" t="s">
        <v>572</v>
      </c>
      <c r="N51" s="246" t="s">
        <v>572</v>
      </c>
      <c r="O51" s="246" t="s">
        <v>966</v>
      </c>
      <c r="P51" s="246" t="s">
        <v>1602</v>
      </c>
      <c r="Q51" s="247">
        <v>10012936</v>
      </c>
      <c r="R51" s="248">
        <v>42500</v>
      </c>
      <c r="S51" s="248">
        <v>42502</v>
      </c>
      <c r="T51" s="248">
        <v>42563</v>
      </c>
      <c r="U51" s="246" t="s">
        <v>488</v>
      </c>
      <c r="V51" s="246">
        <v>1</v>
      </c>
      <c r="W51" s="246" t="s">
        <v>219</v>
      </c>
      <c r="X51" s="246">
        <v>1</v>
      </c>
      <c r="Y51" s="246">
        <v>1</v>
      </c>
      <c r="Z51" s="246">
        <v>1</v>
      </c>
      <c r="AA51" s="246">
        <v>1</v>
      </c>
      <c r="AB51" s="246" t="s">
        <v>486</v>
      </c>
      <c r="AC51" s="246">
        <v>1</v>
      </c>
      <c r="AD51" s="246" t="s">
        <v>486</v>
      </c>
      <c r="AE51" s="246" t="s">
        <v>486</v>
      </c>
      <c r="AF51" s="246" t="s">
        <v>486</v>
      </c>
      <c r="AG51" s="246" t="s">
        <v>486</v>
      </c>
      <c r="AH51" s="246" t="s">
        <v>486</v>
      </c>
      <c r="AI51" s="246" t="s">
        <v>486</v>
      </c>
      <c r="AJ51" s="246" t="s">
        <v>486</v>
      </c>
      <c r="AK51" s="246" t="s">
        <v>486</v>
      </c>
      <c r="AL51" s="246" t="s">
        <v>491</v>
      </c>
      <c r="AM51" s="246" t="s">
        <v>486</v>
      </c>
      <c r="AN51" s="246" t="s">
        <v>486</v>
      </c>
      <c r="AO51" s="248" t="s">
        <v>486</v>
      </c>
      <c r="AP51" s="247" t="s">
        <v>486</v>
      </c>
      <c r="AQ51" s="249" t="s">
        <v>486</v>
      </c>
      <c r="AR51" s="246" t="s">
        <v>486</v>
      </c>
    </row>
    <row r="52" spans="1:44" ht="15" x14ac:dyDescent="0.25">
      <c r="A52" s="250" t="str">
        <f>HYPERLINK("http://www.ofsted.gov.uk/inspection-reports/find-inspection-report/provider/ELS/135419 ","Ofsted School Webpage")</f>
        <v>Ofsted School Webpage</v>
      </c>
      <c r="B52" s="251">
        <v>135419</v>
      </c>
      <c r="C52" s="251">
        <v>9366592</v>
      </c>
      <c r="D52" s="251" t="s">
        <v>1603</v>
      </c>
      <c r="E52" s="251" t="s">
        <v>248</v>
      </c>
      <c r="F52" s="251" t="s">
        <v>93</v>
      </c>
      <c r="G52" s="251" t="s">
        <v>93</v>
      </c>
      <c r="H52" s="251" t="s">
        <v>93</v>
      </c>
      <c r="I52" s="251" t="s">
        <v>90</v>
      </c>
      <c r="J52" s="251" t="s">
        <v>1490</v>
      </c>
      <c r="K52" s="251" t="s">
        <v>486</v>
      </c>
      <c r="L52" s="251" t="s">
        <v>487</v>
      </c>
      <c r="M52" s="251" t="s">
        <v>581</v>
      </c>
      <c r="N52" s="251" t="s">
        <v>581</v>
      </c>
      <c r="O52" s="251" t="s">
        <v>788</v>
      </c>
      <c r="P52" s="251" t="s">
        <v>1604</v>
      </c>
      <c r="Q52" s="252">
        <v>10017962</v>
      </c>
      <c r="R52" s="253">
        <v>42500</v>
      </c>
      <c r="S52" s="253">
        <v>42502</v>
      </c>
      <c r="T52" s="253">
        <v>42534</v>
      </c>
      <c r="U52" s="251" t="s">
        <v>624</v>
      </c>
      <c r="V52" s="251">
        <v>2</v>
      </c>
      <c r="W52" s="251" t="s">
        <v>219</v>
      </c>
      <c r="X52" s="251">
        <v>1</v>
      </c>
      <c r="Y52" s="251">
        <v>2</v>
      </c>
      <c r="Z52" s="251">
        <v>2</v>
      </c>
      <c r="AA52" s="251">
        <v>2</v>
      </c>
      <c r="AB52" s="251" t="s">
        <v>486</v>
      </c>
      <c r="AC52" s="251">
        <v>2</v>
      </c>
      <c r="AD52" s="251" t="s">
        <v>486</v>
      </c>
      <c r="AE52" s="251" t="s">
        <v>486</v>
      </c>
      <c r="AF52" s="251" t="s">
        <v>486</v>
      </c>
      <c r="AG52" s="251" t="s">
        <v>486</v>
      </c>
      <c r="AH52" s="251" t="s">
        <v>486</v>
      </c>
      <c r="AI52" s="251" t="s">
        <v>486</v>
      </c>
      <c r="AJ52" s="251" t="s">
        <v>486</v>
      </c>
      <c r="AK52" s="251" t="s">
        <v>486</v>
      </c>
      <c r="AL52" s="251" t="s">
        <v>491</v>
      </c>
      <c r="AM52" s="251" t="s">
        <v>486</v>
      </c>
      <c r="AN52" s="251" t="s">
        <v>486</v>
      </c>
      <c r="AO52" s="253" t="s">
        <v>486</v>
      </c>
      <c r="AP52" s="252" t="s">
        <v>486</v>
      </c>
      <c r="AQ52" s="254" t="s">
        <v>486</v>
      </c>
      <c r="AR52" s="251" t="s">
        <v>486</v>
      </c>
    </row>
    <row r="53" spans="1:44" ht="15" x14ac:dyDescent="0.25">
      <c r="A53" s="245" t="str">
        <f>HYPERLINK("http://www.ofsted.gov.uk/inspection-reports/find-inspection-report/provider/ELS/138568 ","Ofsted School Webpage")</f>
        <v>Ofsted School Webpage</v>
      </c>
      <c r="B53" s="246">
        <v>138568</v>
      </c>
      <c r="C53" s="246">
        <v>3536001</v>
      </c>
      <c r="D53" s="246" t="s">
        <v>1605</v>
      </c>
      <c r="E53" s="246" t="s">
        <v>247</v>
      </c>
      <c r="F53" s="246" t="s">
        <v>93</v>
      </c>
      <c r="G53" s="246" t="s">
        <v>84</v>
      </c>
      <c r="H53" s="246" t="s">
        <v>84</v>
      </c>
      <c r="I53" s="246" t="s">
        <v>84</v>
      </c>
      <c r="J53" s="246" t="s">
        <v>1490</v>
      </c>
      <c r="K53" s="246" t="s">
        <v>486</v>
      </c>
      <c r="L53" s="246" t="s">
        <v>487</v>
      </c>
      <c r="M53" s="246" t="s">
        <v>495</v>
      </c>
      <c r="N53" s="246" t="s">
        <v>495</v>
      </c>
      <c r="O53" s="246" t="s">
        <v>880</v>
      </c>
      <c r="P53" s="246" t="s">
        <v>1606</v>
      </c>
      <c r="Q53" s="247">
        <v>10012868</v>
      </c>
      <c r="R53" s="248">
        <v>42500</v>
      </c>
      <c r="S53" s="248">
        <v>42502</v>
      </c>
      <c r="T53" s="248">
        <v>42536</v>
      </c>
      <c r="U53" s="246" t="s">
        <v>488</v>
      </c>
      <c r="V53" s="246">
        <v>2</v>
      </c>
      <c r="W53" s="246" t="s">
        <v>219</v>
      </c>
      <c r="X53" s="246">
        <v>2</v>
      </c>
      <c r="Y53" s="246">
        <v>2</v>
      </c>
      <c r="Z53" s="246">
        <v>2</v>
      </c>
      <c r="AA53" s="246">
        <v>2</v>
      </c>
      <c r="AB53" s="246" t="s">
        <v>486</v>
      </c>
      <c r="AC53" s="246" t="s">
        <v>486</v>
      </c>
      <c r="AD53" s="246" t="s">
        <v>486</v>
      </c>
      <c r="AE53" s="246" t="s">
        <v>486</v>
      </c>
      <c r="AF53" s="246" t="s">
        <v>486</v>
      </c>
      <c r="AG53" s="246" t="s">
        <v>486</v>
      </c>
      <c r="AH53" s="246" t="s">
        <v>486</v>
      </c>
      <c r="AI53" s="246" t="s">
        <v>486</v>
      </c>
      <c r="AJ53" s="246" t="s">
        <v>486</v>
      </c>
      <c r="AK53" s="246" t="s">
        <v>486</v>
      </c>
      <c r="AL53" s="246" t="s">
        <v>491</v>
      </c>
      <c r="AM53" s="246" t="s">
        <v>486</v>
      </c>
      <c r="AN53" s="246" t="s">
        <v>486</v>
      </c>
      <c r="AO53" s="248" t="s">
        <v>486</v>
      </c>
      <c r="AP53" s="247" t="s">
        <v>486</v>
      </c>
      <c r="AQ53" s="249" t="s">
        <v>486</v>
      </c>
      <c r="AR53" s="246" t="s">
        <v>486</v>
      </c>
    </row>
    <row r="54" spans="1:44" ht="15" x14ac:dyDescent="0.25">
      <c r="A54" s="250" t="str">
        <f>HYPERLINK("http://www.ofsted.gov.uk/inspection-reports/find-inspection-report/provider/ELS/138602 ","Ofsted School Webpage")</f>
        <v>Ofsted School Webpage</v>
      </c>
      <c r="B54" s="251">
        <v>138602</v>
      </c>
      <c r="C54" s="251">
        <v>9316010</v>
      </c>
      <c r="D54" s="251" t="s">
        <v>1607</v>
      </c>
      <c r="E54" s="251" t="s">
        <v>247</v>
      </c>
      <c r="F54" s="251" t="s">
        <v>93</v>
      </c>
      <c r="G54" s="251" t="s">
        <v>93</v>
      </c>
      <c r="H54" s="251" t="s">
        <v>93</v>
      </c>
      <c r="I54" s="251" t="s">
        <v>90</v>
      </c>
      <c r="J54" s="251" t="s">
        <v>1490</v>
      </c>
      <c r="K54" s="251" t="s">
        <v>486</v>
      </c>
      <c r="L54" s="251" t="s">
        <v>487</v>
      </c>
      <c r="M54" s="251" t="s">
        <v>581</v>
      </c>
      <c r="N54" s="251" t="s">
        <v>581</v>
      </c>
      <c r="O54" s="251" t="s">
        <v>1150</v>
      </c>
      <c r="P54" s="251" t="s">
        <v>1608</v>
      </c>
      <c r="Q54" s="252">
        <v>10012969</v>
      </c>
      <c r="R54" s="253">
        <v>42500</v>
      </c>
      <c r="S54" s="253">
        <v>42502</v>
      </c>
      <c r="T54" s="253">
        <v>42534</v>
      </c>
      <c r="U54" s="251" t="s">
        <v>488</v>
      </c>
      <c r="V54" s="251">
        <v>2</v>
      </c>
      <c r="W54" s="251" t="s">
        <v>219</v>
      </c>
      <c r="X54" s="251">
        <v>2</v>
      </c>
      <c r="Y54" s="251">
        <v>2</v>
      </c>
      <c r="Z54" s="251">
        <v>2</v>
      </c>
      <c r="AA54" s="251">
        <v>2</v>
      </c>
      <c r="AB54" s="251" t="s">
        <v>486</v>
      </c>
      <c r="AC54" s="251">
        <v>2</v>
      </c>
      <c r="AD54" s="251" t="s">
        <v>486</v>
      </c>
      <c r="AE54" s="251" t="s">
        <v>486</v>
      </c>
      <c r="AF54" s="251" t="s">
        <v>486</v>
      </c>
      <c r="AG54" s="251" t="s">
        <v>486</v>
      </c>
      <c r="AH54" s="251" t="s">
        <v>486</v>
      </c>
      <c r="AI54" s="251" t="s">
        <v>486</v>
      </c>
      <c r="AJ54" s="251" t="s">
        <v>486</v>
      </c>
      <c r="AK54" s="251" t="s">
        <v>486</v>
      </c>
      <c r="AL54" s="251" t="s">
        <v>491</v>
      </c>
      <c r="AM54" s="251" t="s">
        <v>486</v>
      </c>
      <c r="AN54" s="251" t="s">
        <v>486</v>
      </c>
      <c r="AO54" s="253" t="s">
        <v>486</v>
      </c>
      <c r="AP54" s="252" t="s">
        <v>486</v>
      </c>
      <c r="AQ54" s="254" t="s">
        <v>486</v>
      </c>
      <c r="AR54" s="251" t="s">
        <v>486</v>
      </c>
    </row>
    <row r="55" spans="1:44" ht="15" x14ac:dyDescent="0.25">
      <c r="A55" s="245" t="str">
        <f>HYPERLINK("http://www.ofsted.gov.uk/inspection-reports/find-inspection-report/provider/ELS/131327 ","Ofsted School Webpage")</f>
        <v>Ofsted School Webpage</v>
      </c>
      <c r="B55" s="246">
        <v>131327</v>
      </c>
      <c r="C55" s="246">
        <v>8306033</v>
      </c>
      <c r="D55" s="246" t="s">
        <v>1609</v>
      </c>
      <c r="E55" s="246" t="s">
        <v>248</v>
      </c>
      <c r="F55" s="246" t="s">
        <v>93</v>
      </c>
      <c r="G55" s="246" t="s">
        <v>93</v>
      </c>
      <c r="H55" s="246" t="s">
        <v>93</v>
      </c>
      <c r="I55" s="246" t="s">
        <v>90</v>
      </c>
      <c r="J55" s="246" t="s">
        <v>1490</v>
      </c>
      <c r="K55" s="246" t="s">
        <v>486</v>
      </c>
      <c r="L55" s="246" t="s">
        <v>487</v>
      </c>
      <c r="M55" s="246" t="s">
        <v>572</v>
      </c>
      <c r="N55" s="246" t="s">
        <v>572</v>
      </c>
      <c r="O55" s="246" t="s">
        <v>573</v>
      </c>
      <c r="P55" s="246" t="s">
        <v>1610</v>
      </c>
      <c r="Q55" s="247">
        <v>10008603</v>
      </c>
      <c r="R55" s="248">
        <v>42507</v>
      </c>
      <c r="S55" s="248">
        <v>42509</v>
      </c>
      <c r="T55" s="248">
        <v>42559</v>
      </c>
      <c r="U55" s="246" t="s">
        <v>488</v>
      </c>
      <c r="V55" s="246">
        <v>1</v>
      </c>
      <c r="W55" s="246" t="s">
        <v>219</v>
      </c>
      <c r="X55" s="246">
        <v>1</v>
      </c>
      <c r="Y55" s="246">
        <v>1</v>
      </c>
      <c r="Z55" s="246">
        <v>1</v>
      </c>
      <c r="AA55" s="246">
        <v>1</v>
      </c>
      <c r="AB55" s="246" t="s">
        <v>486</v>
      </c>
      <c r="AC55" s="246" t="s">
        <v>486</v>
      </c>
      <c r="AD55" s="246" t="s">
        <v>486</v>
      </c>
      <c r="AE55" s="246" t="s">
        <v>486</v>
      </c>
      <c r="AF55" s="246" t="s">
        <v>486</v>
      </c>
      <c r="AG55" s="246" t="s">
        <v>486</v>
      </c>
      <c r="AH55" s="246" t="s">
        <v>486</v>
      </c>
      <c r="AI55" s="246" t="s">
        <v>486</v>
      </c>
      <c r="AJ55" s="246" t="s">
        <v>486</v>
      </c>
      <c r="AK55" s="246" t="s">
        <v>486</v>
      </c>
      <c r="AL55" s="246" t="s">
        <v>491</v>
      </c>
      <c r="AM55" s="246" t="s">
        <v>486</v>
      </c>
      <c r="AN55" s="246" t="s">
        <v>486</v>
      </c>
      <c r="AO55" s="248" t="s">
        <v>486</v>
      </c>
      <c r="AP55" s="247" t="s">
        <v>486</v>
      </c>
      <c r="AQ55" s="249" t="s">
        <v>486</v>
      </c>
      <c r="AR55" s="246" t="s">
        <v>486</v>
      </c>
    </row>
    <row r="56" spans="1:44" ht="15" x14ac:dyDescent="0.25">
      <c r="A56" s="250" t="str">
        <f>HYPERLINK("http://www.ofsted.gov.uk/inspection-reports/find-inspection-report/provider/ELS/103588 ","Ofsted School Webpage")</f>
        <v>Ofsted School Webpage</v>
      </c>
      <c r="B56" s="251">
        <v>103588</v>
      </c>
      <c r="C56" s="251">
        <v>3306080</v>
      </c>
      <c r="D56" s="251" t="s">
        <v>1611</v>
      </c>
      <c r="E56" s="251" t="s">
        <v>248</v>
      </c>
      <c r="F56" s="251" t="s">
        <v>93</v>
      </c>
      <c r="G56" s="251" t="s">
        <v>93</v>
      </c>
      <c r="H56" s="251" t="s">
        <v>93</v>
      </c>
      <c r="I56" s="251" t="s">
        <v>90</v>
      </c>
      <c r="J56" s="251" t="s">
        <v>1490</v>
      </c>
      <c r="K56" s="251" t="s">
        <v>486</v>
      </c>
      <c r="L56" s="251" t="s">
        <v>487</v>
      </c>
      <c r="M56" s="251" t="s">
        <v>502</v>
      </c>
      <c r="N56" s="251" t="s">
        <v>502</v>
      </c>
      <c r="O56" s="251" t="s">
        <v>909</v>
      </c>
      <c r="P56" s="251" t="s">
        <v>1612</v>
      </c>
      <c r="Q56" s="252">
        <v>10012864</v>
      </c>
      <c r="R56" s="253">
        <v>42514</v>
      </c>
      <c r="S56" s="253">
        <v>42516</v>
      </c>
      <c r="T56" s="253">
        <v>42569</v>
      </c>
      <c r="U56" s="251" t="s">
        <v>488</v>
      </c>
      <c r="V56" s="251">
        <v>1</v>
      </c>
      <c r="W56" s="251" t="s">
        <v>219</v>
      </c>
      <c r="X56" s="251">
        <v>1</v>
      </c>
      <c r="Y56" s="251">
        <v>1</v>
      </c>
      <c r="Z56" s="251">
        <v>1</v>
      </c>
      <c r="AA56" s="251">
        <v>1</v>
      </c>
      <c r="AB56" s="251">
        <v>1</v>
      </c>
      <c r="AC56" s="251" t="s">
        <v>486</v>
      </c>
      <c r="AD56" s="251" t="s">
        <v>486</v>
      </c>
      <c r="AE56" s="251" t="s">
        <v>486</v>
      </c>
      <c r="AF56" s="251" t="s">
        <v>486</v>
      </c>
      <c r="AG56" s="251" t="s">
        <v>486</v>
      </c>
      <c r="AH56" s="251" t="s">
        <v>486</v>
      </c>
      <c r="AI56" s="251" t="s">
        <v>486</v>
      </c>
      <c r="AJ56" s="251" t="s">
        <v>486</v>
      </c>
      <c r="AK56" s="251" t="s">
        <v>486</v>
      </c>
      <c r="AL56" s="251" t="s">
        <v>491</v>
      </c>
      <c r="AM56" s="251" t="s">
        <v>486</v>
      </c>
      <c r="AN56" s="251" t="s">
        <v>486</v>
      </c>
      <c r="AO56" s="253" t="s">
        <v>486</v>
      </c>
      <c r="AP56" s="252" t="s">
        <v>486</v>
      </c>
      <c r="AQ56" s="254" t="s">
        <v>486</v>
      </c>
      <c r="AR56" s="251" t="s">
        <v>486</v>
      </c>
    </row>
    <row r="57" spans="1:44" ht="15" x14ac:dyDescent="0.25">
      <c r="A57" s="245" t="str">
        <f>HYPERLINK("http://www.ofsted.gov.uk/inspection-reports/find-inspection-report/provider/ELS/131960 ","Ofsted School Webpage")</f>
        <v>Ofsted School Webpage</v>
      </c>
      <c r="B57" s="246">
        <v>131960</v>
      </c>
      <c r="C57" s="246">
        <v>3816010</v>
      </c>
      <c r="D57" s="246" t="s">
        <v>1613</v>
      </c>
      <c r="E57" s="246" t="s">
        <v>248</v>
      </c>
      <c r="F57" s="246" t="s">
        <v>93</v>
      </c>
      <c r="G57" s="246" t="s">
        <v>93</v>
      </c>
      <c r="H57" s="246" t="s">
        <v>93</v>
      </c>
      <c r="I57" s="246" t="s">
        <v>90</v>
      </c>
      <c r="J57" s="246" t="s">
        <v>1490</v>
      </c>
      <c r="K57" s="246" t="s">
        <v>486</v>
      </c>
      <c r="L57" s="246" t="s">
        <v>487</v>
      </c>
      <c r="M57" s="246" t="s">
        <v>523</v>
      </c>
      <c r="N57" s="246" t="s">
        <v>524</v>
      </c>
      <c r="O57" s="246" t="s">
        <v>1539</v>
      </c>
      <c r="P57" s="246" t="s">
        <v>1614</v>
      </c>
      <c r="Q57" s="247">
        <v>10006061</v>
      </c>
      <c r="R57" s="248">
        <v>42514</v>
      </c>
      <c r="S57" s="248">
        <v>42516</v>
      </c>
      <c r="T57" s="248">
        <v>42543</v>
      </c>
      <c r="U57" s="246" t="s">
        <v>488</v>
      </c>
      <c r="V57" s="246">
        <v>2</v>
      </c>
      <c r="W57" s="246" t="s">
        <v>219</v>
      </c>
      <c r="X57" s="246">
        <v>2</v>
      </c>
      <c r="Y57" s="246">
        <v>2</v>
      </c>
      <c r="Z57" s="246">
        <v>2</v>
      </c>
      <c r="AA57" s="246">
        <v>2</v>
      </c>
      <c r="AB57" s="246" t="s">
        <v>486</v>
      </c>
      <c r="AC57" s="246" t="s">
        <v>486</v>
      </c>
      <c r="AD57" s="246" t="s">
        <v>486</v>
      </c>
      <c r="AE57" s="246" t="s">
        <v>486</v>
      </c>
      <c r="AF57" s="246" t="s">
        <v>486</v>
      </c>
      <c r="AG57" s="246" t="s">
        <v>486</v>
      </c>
      <c r="AH57" s="246" t="s">
        <v>486</v>
      </c>
      <c r="AI57" s="246" t="s">
        <v>486</v>
      </c>
      <c r="AJ57" s="246" t="s">
        <v>486</v>
      </c>
      <c r="AK57" s="246" t="s">
        <v>486</v>
      </c>
      <c r="AL57" s="246" t="s">
        <v>491</v>
      </c>
      <c r="AM57" s="246" t="s">
        <v>486</v>
      </c>
      <c r="AN57" s="246" t="s">
        <v>486</v>
      </c>
      <c r="AO57" s="248" t="s">
        <v>486</v>
      </c>
      <c r="AP57" s="247" t="s">
        <v>486</v>
      </c>
      <c r="AQ57" s="249" t="s">
        <v>486</v>
      </c>
      <c r="AR57" s="246" t="s">
        <v>486</v>
      </c>
    </row>
    <row r="58" spans="1:44" ht="15" x14ac:dyDescent="0.25">
      <c r="A58" s="250" t="str">
        <f>HYPERLINK("http://www.ofsted.gov.uk/inspection-reports/find-inspection-report/provider/ELS/135576 ","Ofsted School Webpage")</f>
        <v>Ofsted School Webpage</v>
      </c>
      <c r="B58" s="251">
        <v>135576</v>
      </c>
      <c r="C58" s="251">
        <v>8876130</v>
      </c>
      <c r="D58" s="251" t="s">
        <v>1615</v>
      </c>
      <c r="E58" s="251" t="s">
        <v>248</v>
      </c>
      <c r="F58" s="251" t="s">
        <v>93</v>
      </c>
      <c r="G58" s="251" t="s">
        <v>93</v>
      </c>
      <c r="H58" s="251" t="s">
        <v>93</v>
      </c>
      <c r="I58" s="251" t="s">
        <v>90</v>
      </c>
      <c r="J58" s="251" t="s">
        <v>1490</v>
      </c>
      <c r="K58" s="251" t="s">
        <v>486</v>
      </c>
      <c r="L58" s="251" t="s">
        <v>487</v>
      </c>
      <c r="M58" s="251" t="s">
        <v>581</v>
      </c>
      <c r="N58" s="251" t="s">
        <v>581</v>
      </c>
      <c r="O58" s="251" t="s">
        <v>794</v>
      </c>
      <c r="P58" s="251" t="s">
        <v>1616</v>
      </c>
      <c r="Q58" s="252">
        <v>10008610</v>
      </c>
      <c r="R58" s="253">
        <v>42528</v>
      </c>
      <c r="S58" s="253">
        <v>42530</v>
      </c>
      <c r="T58" s="253">
        <v>42557</v>
      </c>
      <c r="U58" s="251" t="s">
        <v>488</v>
      </c>
      <c r="V58" s="251">
        <v>2</v>
      </c>
      <c r="W58" s="251" t="s">
        <v>219</v>
      </c>
      <c r="X58" s="251">
        <v>2</v>
      </c>
      <c r="Y58" s="251">
        <v>2</v>
      </c>
      <c r="Z58" s="251">
        <v>2</v>
      </c>
      <c r="AA58" s="251">
        <v>2</v>
      </c>
      <c r="AB58" s="251" t="s">
        <v>486</v>
      </c>
      <c r="AC58" s="251">
        <v>2</v>
      </c>
      <c r="AD58" s="251" t="s">
        <v>486</v>
      </c>
      <c r="AE58" s="251" t="s">
        <v>486</v>
      </c>
      <c r="AF58" s="251" t="s">
        <v>486</v>
      </c>
      <c r="AG58" s="251" t="s">
        <v>486</v>
      </c>
      <c r="AH58" s="251" t="s">
        <v>486</v>
      </c>
      <c r="AI58" s="251" t="s">
        <v>486</v>
      </c>
      <c r="AJ58" s="251" t="s">
        <v>486</v>
      </c>
      <c r="AK58" s="251" t="s">
        <v>486</v>
      </c>
      <c r="AL58" s="251" t="s">
        <v>491</v>
      </c>
      <c r="AM58" s="251" t="s">
        <v>486</v>
      </c>
      <c r="AN58" s="251" t="s">
        <v>486</v>
      </c>
      <c r="AO58" s="253" t="s">
        <v>486</v>
      </c>
      <c r="AP58" s="252" t="s">
        <v>486</v>
      </c>
      <c r="AQ58" s="254" t="s">
        <v>486</v>
      </c>
      <c r="AR58" s="251" t="s">
        <v>486</v>
      </c>
    </row>
    <row r="59" spans="1:44" ht="15" x14ac:dyDescent="0.25">
      <c r="A59" s="245" t="str">
        <f>HYPERLINK("http://www.ofsted.gov.uk/inspection-reports/find-inspection-report/provider/ELS/138243 ","Ofsted School Webpage")</f>
        <v>Ofsted School Webpage</v>
      </c>
      <c r="B59" s="246">
        <v>138243</v>
      </c>
      <c r="C59" s="246">
        <v>8606040</v>
      </c>
      <c r="D59" s="246" t="s">
        <v>1617</v>
      </c>
      <c r="E59" s="246" t="s">
        <v>248</v>
      </c>
      <c r="F59" s="246" t="s">
        <v>93</v>
      </c>
      <c r="G59" s="246" t="s">
        <v>93</v>
      </c>
      <c r="H59" s="246" t="s">
        <v>93</v>
      </c>
      <c r="I59" s="246" t="s">
        <v>90</v>
      </c>
      <c r="J59" s="246" t="s">
        <v>1490</v>
      </c>
      <c r="K59" s="246" t="s">
        <v>486</v>
      </c>
      <c r="L59" s="246" t="s">
        <v>487</v>
      </c>
      <c r="M59" s="246" t="s">
        <v>502</v>
      </c>
      <c r="N59" s="246" t="s">
        <v>502</v>
      </c>
      <c r="O59" s="246" t="s">
        <v>652</v>
      </c>
      <c r="P59" s="246" t="s">
        <v>1618</v>
      </c>
      <c r="Q59" s="247">
        <v>10010818</v>
      </c>
      <c r="R59" s="248">
        <v>42528</v>
      </c>
      <c r="S59" s="248">
        <v>42530</v>
      </c>
      <c r="T59" s="248">
        <v>42571</v>
      </c>
      <c r="U59" s="246" t="s">
        <v>2930</v>
      </c>
      <c r="V59" s="246">
        <v>1</v>
      </c>
      <c r="W59" s="246" t="s">
        <v>219</v>
      </c>
      <c r="X59" s="246">
        <v>1</v>
      </c>
      <c r="Y59" s="246">
        <v>1</v>
      </c>
      <c r="Z59" s="246">
        <v>1</v>
      </c>
      <c r="AA59" s="246">
        <v>1</v>
      </c>
      <c r="AB59" s="246" t="s">
        <v>486</v>
      </c>
      <c r="AC59" s="246" t="s">
        <v>486</v>
      </c>
      <c r="AD59" s="246" t="s">
        <v>486</v>
      </c>
      <c r="AE59" s="246" t="s">
        <v>486</v>
      </c>
      <c r="AF59" s="246" t="s">
        <v>486</v>
      </c>
      <c r="AG59" s="246" t="s">
        <v>486</v>
      </c>
      <c r="AH59" s="246" t="s">
        <v>486</v>
      </c>
      <c r="AI59" s="246" t="s">
        <v>486</v>
      </c>
      <c r="AJ59" s="246" t="s">
        <v>486</v>
      </c>
      <c r="AK59" s="246" t="s">
        <v>486</v>
      </c>
      <c r="AL59" s="246" t="s">
        <v>491</v>
      </c>
      <c r="AM59" s="246" t="s">
        <v>486</v>
      </c>
      <c r="AN59" s="246" t="s">
        <v>486</v>
      </c>
      <c r="AO59" s="248" t="s">
        <v>486</v>
      </c>
      <c r="AP59" s="247" t="s">
        <v>486</v>
      </c>
      <c r="AQ59" s="249" t="s">
        <v>486</v>
      </c>
      <c r="AR59" s="246" t="s">
        <v>486</v>
      </c>
    </row>
    <row r="60" spans="1:44" ht="15" x14ac:dyDescent="0.25">
      <c r="A60" s="250" t="str">
        <f>HYPERLINK("http://www.ofsted.gov.uk/inspection-reports/find-inspection-report/provider/ELS/120743 ","Ofsted School Webpage")</f>
        <v>Ofsted School Webpage</v>
      </c>
      <c r="B60" s="251">
        <v>120743</v>
      </c>
      <c r="C60" s="251">
        <v>9256038</v>
      </c>
      <c r="D60" s="251" t="s">
        <v>1619</v>
      </c>
      <c r="E60" s="251" t="s">
        <v>247</v>
      </c>
      <c r="F60" s="251" t="s">
        <v>93</v>
      </c>
      <c r="G60" s="251" t="s">
        <v>71</v>
      </c>
      <c r="H60" s="251" t="s">
        <v>71</v>
      </c>
      <c r="I60" s="251" t="s">
        <v>71</v>
      </c>
      <c r="J60" s="251" t="s">
        <v>1490</v>
      </c>
      <c r="K60" s="251" t="s">
        <v>486</v>
      </c>
      <c r="L60" s="251" t="s">
        <v>487</v>
      </c>
      <c r="M60" s="251" t="s">
        <v>572</v>
      </c>
      <c r="N60" s="251" t="s">
        <v>572</v>
      </c>
      <c r="O60" s="251" t="s">
        <v>929</v>
      </c>
      <c r="P60" s="251" t="s">
        <v>1620</v>
      </c>
      <c r="Q60" s="252">
        <v>10012974</v>
      </c>
      <c r="R60" s="253">
        <v>42529</v>
      </c>
      <c r="S60" s="253">
        <v>42531</v>
      </c>
      <c r="T60" s="253">
        <v>42566</v>
      </c>
      <c r="U60" s="251" t="s">
        <v>488</v>
      </c>
      <c r="V60" s="251">
        <v>2</v>
      </c>
      <c r="W60" s="251" t="s">
        <v>219</v>
      </c>
      <c r="X60" s="251">
        <v>2</v>
      </c>
      <c r="Y60" s="251">
        <v>1</v>
      </c>
      <c r="Z60" s="251">
        <v>2</v>
      </c>
      <c r="AA60" s="251">
        <v>2</v>
      </c>
      <c r="AB60" s="251">
        <v>2</v>
      </c>
      <c r="AC60" s="251" t="s">
        <v>486</v>
      </c>
      <c r="AD60" s="251" t="s">
        <v>486</v>
      </c>
      <c r="AE60" s="251" t="s">
        <v>486</v>
      </c>
      <c r="AF60" s="251" t="s">
        <v>486</v>
      </c>
      <c r="AG60" s="251" t="s">
        <v>486</v>
      </c>
      <c r="AH60" s="251" t="s">
        <v>486</v>
      </c>
      <c r="AI60" s="251" t="s">
        <v>486</v>
      </c>
      <c r="AJ60" s="251" t="s">
        <v>486</v>
      </c>
      <c r="AK60" s="251" t="s">
        <v>486</v>
      </c>
      <c r="AL60" s="251" t="s">
        <v>491</v>
      </c>
      <c r="AM60" s="251" t="s">
        <v>486</v>
      </c>
      <c r="AN60" s="251" t="s">
        <v>486</v>
      </c>
      <c r="AO60" s="253" t="s">
        <v>486</v>
      </c>
      <c r="AP60" s="252" t="s">
        <v>486</v>
      </c>
      <c r="AQ60" s="254" t="s">
        <v>486</v>
      </c>
      <c r="AR60" s="251" t="s">
        <v>486</v>
      </c>
    </row>
    <row r="61" spans="1:44" ht="15" x14ac:dyDescent="0.25">
      <c r="A61" s="245" t="str">
        <f>HYPERLINK("http://www.ofsted.gov.uk/inspection-reports/find-inspection-report/provider/ELS/114635 ","Ofsted School Webpage")</f>
        <v>Ofsted School Webpage</v>
      </c>
      <c r="B61" s="246">
        <v>114635</v>
      </c>
      <c r="C61" s="246">
        <v>8456002</v>
      </c>
      <c r="D61" s="246" t="s">
        <v>1621</v>
      </c>
      <c r="E61" s="246" t="s">
        <v>248</v>
      </c>
      <c r="F61" s="246" t="s">
        <v>93</v>
      </c>
      <c r="G61" s="246" t="s">
        <v>92</v>
      </c>
      <c r="H61" s="246" t="s">
        <v>92</v>
      </c>
      <c r="I61" s="246" t="s">
        <v>90</v>
      </c>
      <c r="J61" s="246" t="s">
        <v>1490</v>
      </c>
      <c r="K61" s="246" t="s">
        <v>486</v>
      </c>
      <c r="L61" s="246" t="s">
        <v>487</v>
      </c>
      <c r="M61" s="246" t="s">
        <v>581</v>
      </c>
      <c r="N61" s="246" t="s">
        <v>581</v>
      </c>
      <c r="O61" s="246" t="s">
        <v>761</v>
      </c>
      <c r="P61" s="246" t="s">
        <v>1622</v>
      </c>
      <c r="Q61" s="247">
        <v>10018187</v>
      </c>
      <c r="R61" s="248">
        <v>42535</v>
      </c>
      <c r="S61" s="248">
        <v>42537</v>
      </c>
      <c r="T61" s="248">
        <v>42558</v>
      </c>
      <c r="U61" s="246" t="s">
        <v>488</v>
      </c>
      <c r="V61" s="246">
        <v>2</v>
      </c>
      <c r="W61" s="246" t="s">
        <v>219</v>
      </c>
      <c r="X61" s="246">
        <v>2</v>
      </c>
      <c r="Y61" s="246">
        <v>1</v>
      </c>
      <c r="Z61" s="246">
        <v>2</v>
      </c>
      <c r="AA61" s="246">
        <v>2</v>
      </c>
      <c r="AB61" s="246" t="s">
        <v>486</v>
      </c>
      <c r="AC61" s="246">
        <v>2</v>
      </c>
      <c r="AD61" s="246" t="s">
        <v>486</v>
      </c>
      <c r="AE61" s="246" t="s">
        <v>486</v>
      </c>
      <c r="AF61" s="246" t="s">
        <v>486</v>
      </c>
      <c r="AG61" s="246" t="s">
        <v>486</v>
      </c>
      <c r="AH61" s="246" t="s">
        <v>486</v>
      </c>
      <c r="AI61" s="246" t="s">
        <v>486</v>
      </c>
      <c r="AJ61" s="246" t="s">
        <v>486</v>
      </c>
      <c r="AK61" s="246" t="s">
        <v>486</v>
      </c>
      <c r="AL61" s="246" t="s">
        <v>491</v>
      </c>
      <c r="AM61" s="246" t="s">
        <v>486</v>
      </c>
      <c r="AN61" s="246" t="s">
        <v>486</v>
      </c>
      <c r="AO61" s="248" t="s">
        <v>486</v>
      </c>
      <c r="AP61" s="247" t="s">
        <v>486</v>
      </c>
      <c r="AQ61" s="249" t="s">
        <v>486</v>
      </c>
      <c r="AR61" s="246" t="s">
        <v>486</v>
      </c>
    </row>
    <row r="62" spans="1:44" ht="15" x14ac:dyDescent="0.25">
      <c r="A62" s="250" t="str">
        <f>HYPERLINK("http://www.ofsted.gov.uk/inspection-reports/find-inspection-report/provider/ELS/115418 ","Ofsted School Webpage")</f>
        <v>Ofsted School Webpage</v>
      </c>
      <c r="B62" s="251">
        <v>115418</v>
      </c>
      <c r="C62" s="251">
        <v>8816024</v>
      </c>
      <c r="D62" s="251" t="s">
        <v>1623</v>
      </c>
      <c r="E62" s="251" t="s">
        <v>247</v>
      </c>
      <c r="F62" s="251" t="s">
        <v>93</v>
      </c>
      <c r="G62" s="251" t="s">
        <v>93</v>
      </c>
      <c r="H62" s="251" t="s">
        <v>93</v>
      </c>
      <c r="I62" s="251" t="s">
        <v>90</v>
      </c>
      <c r="J62" s="251" t="s">
        <v>1490</v>
      </c>
      <c r="K62" s="251" t="s">
        <v>486</v>
      </c>
      <c r="L62" s="251" t="s">
        <v>487</v>
      </c>
      <c r="M62" s="251" t="s">
        <v>516</v>
      </c>
      <c r="N62" s="251" t="s">
        <v>516</v>
      </c>
      <c r="O62" s="251" t="s">
        <v>764</v>
      </c>
      <c r="P62" s="251" t="s">
        <v>1624</v>
      </c>
      <c r="Q62" s="252">
        <v>10008564</v>
      </c>
      <c r="R62" s="253">
        <v>42535</v>
      </c>
      <c r="S62" s="253">
        <v>42537</v>
      </c>
      <c r="T62" s="253">
        <v>42625</v>
      </c>
      <c r="U62" s="251" t="s">
        <v>488</v>
      </c>
      <c r="V62" s="251">
        <v>2</v>
      </c>
      <c r="W62" s="251" t="s">
        <v>219</v>
      </c>
      <c r="X62" s="251">
        <v>2</v>
      </c>
      <c r="Y62" s="251">
        <v>1</v>
      </c>
      <c r="Z62" s="251">
        <v>2</v>
      </c>
      <c r="AA62" s="251">
        <v>2</v>
      </c>
      <c r="AB62" s="251">
        <v>2</v>
      </c>
      <c r="AC62" s="251" t="s">
        <v>486</v>
      </c>
      <c r="AD62" s="251" t="s">
        <v>486</v>
      </c>
      <c r="AE62" s="251" t="s">
        <v>486</v>
      </c>
      <c r="AF62" s="251" t="s">
        <v>486</v>
      </c>
      <c r="AG62" s="251" t="s">
        <v>486</v>
      </c>
      <c r="AH62" s="251" t="s">
        <v>486</v>
      </c>
      <c r="AI62" s="251" t="s">
        <v>486</v>
      </c>
      <c r="AJ62" s="251" t="s">
        <v>486</v>
      </c>
      <c r="AK62" s="251" t="s">
        <v>486</v>
      </c>
      <c r="AL62" s="251" t="s">
        <v>491</v>
      </c>
      <c r="AM62" s="251" t="s">
        <v>486</v>
      </c>
      <c r="AN62" s="251" t="s">
        <v>486</v>
      </c>
      <c r="AO62" s="253" t="s">
        <v>486</v>
      </c>
      <c r="AP62" s="252" t="s">
        <v>486</v>
      </c>
      <c r="AQ62" s="254" t="s">
        <v>486</v>
      </c>
      <c r="AR62" s="251" t="s">
        <v>486</v>
      </c>
    </row>
    <row r="63" spans="1:44" ht="15" x14ac:dyDescent="0.25">
      <c r="A63" s="245" t="str">
        <f>HYPERLINK("http://www.ofsted.gov.uk/inspection-reports/find-inspection-report/provider/ELS/134833 ","Ofsted School Webpage")</f>
        <v>Ofsted School Webpage</v>
      </c>
      <c r="B63" s="246">
        <v>134833</v>
      </c>
      <c r="C63" s="246">
        <v>9366584</v>
      </c>
      <c r="D63" s="246" t="s">
        <v>1625</v>
      </c>
      <c r="E63" s="246" t="s">
        <v>248</v>
      </c>
      <c r="F63" s="246" t="s">
        <v>93</v>
      </c>
      <c r="G63" s="246" t="s">
        <v>93</v>
      </c>
      <c r="H63" s="246" t="s">
        <v>93</v>
      </c>
      <c r="I63" s="246" t="s">
        <v>90</v>
      </c>
      <c r="J63" s="246" t="s">
        <v>1490</v>
      </c>
      <c r="K63" s="246" t="s">
        <v>486</v>
      </c>
      <c r="L63" s="246" t="s">
        <v>487</v>
      </c>
      <c r="M63" s="246" t="s">
        <v>581</v>
      </c>
      <c r="N63" s="246" t="s">
        <v>581</v>
      </c>
      <c r="O63" s="246" t="s">
        <v>788</v>
      </c>
      <c r="P63" s="246" t="s">
        <v>1626</v>
      </c>
      <c r="Q63" s="247">
        <v>10006326</v>
      </c>
      <c r="R63" s="248">
        <v>42535</v>
      </c>
      <c r="S63" s="248">
        <v>42537</v>
      </c>
      <c r="T63" s="248">
        <v>42557</v>
      </c>
      <c r="U63" s="246" t="s">
        <v>488</v>
      </c>
      <c r="V63" s="246">
        <v>2</v>
      </c>
      <c r="W63" s="246" t="s">
        <v>219</v>
      </c>
      <c r="X63" s="246">
        <v>2</v>
      </c>
      <c r="Y63" s="246">
        <v>1</v>
      </c>
      <c r="Z63" s="246">
        <v>2</v>
      </c>
      <c r="AA63" s="246">
        <v>2</v>
      </c>
      <c r="AB63" s="246" t="s">
        <v>486</v>
      </c>
      <c r="AC63" s="246" t="s">
        <v>486</v>
      </c>
      <c r="AD63" s="246" t="s">
        <v>486</v>
      </c>
      <c r="AE63" s="246" t="s">
        <v>486</v>
      </c>
      <c r="AF63" s="246" t="s">
        <v>486</v>
      </c>
      <c r="AG63" s="246" t="s">
        <v>486</v>
      </c>
      <c r="AH63" s="246" t="s">
        <v>486</v>
      </c>
      <c r="AI63" s="246" t="s">
        <v>486</v>
      </c>
      <c r="AJ63" s="246" t="s">
        <v>486</v>
      </c>
      <c r="AK63" s="246" t="s">
        <v>486</v>
      </c>
      <c r="AL63" s="246" t="s">
        <v>491</v>
      </c>
      <c r="AM63" s="246" t="s">
        <v>486</v>
      </c>
      <c r="AN63" s="246" t="s">
        <v>486</v>
      </c>
      <c r="AO63" s="248" t="s">
        <v>486</v>
      </c>
      <c r="AP63" s="247" t="s">
        <v>486</v>
      </c>
      <c r="AQ63" s="249" t="s">
        <v>486</v>
      </c>
      <c r="AR63" s="246" t="s">
        <v>486</v>
      </c>
    </row>
    <row r="64" spans="1:44" ht="15" x14ac:dyDescent="0.25">
      <c r="A64" s="250" t="str">
        <f>HYPERLINK("http://www.ofsted.gov.uk/inspection-reports/find-inspection-report/provider/ELS/120740 ","Ofsted School Webpage")</f>
        <v>Ofsted School Webpage</v>
      </c>
      <c r="B64" s="251">
        <v>120740</v>
      </c>
      <c r="C64" s="251">
        <v>9256034</v>
      </c>
      <c r="D64" s="251" t="s">
        <v>787</v>
      </c>
      <c r="E64" s="251" t="s">
        <v>248</v>
      </c>
      <c r="F64" s="251" t="s">
        <v>93</v>
      </c>
      <c r="G64" s="251" t="s">
        <v>93</v>
      </c>
      <c r="H64" s="251" t="s">
        <v>93</v>
      </c>
      <c r="I64" s="251" t="s">
        <v>90</v>
      </c>
      <c r="J64" s="251" t="s">
        <v>1490</v>
      </c>
      <c r="K64" s="251" t="s">
        <v>486</v>
      </c>
      <c r="L64" s="251" t="s">
        <v>487</v>
      </c>
      <c r="M64" s="251" t="s">
        <v>572</v>
      </c>
      <c r="N64" s="251" t="s">
        <v>572</v>
      </c>
      <c r="O64" s="251" t="s">
        <v>929</v>
      </c>
      <c r="P64" s="251" t="s">
        <v>1627</v>
      </c>
      <c r="Q64" s="252">
        <v>10006047</v>
      </c>
      <c r="R64" s="253">
        <v>42536</v>
      </c>
      <c r="S64" s="253">
        <v>42538</v>
      </c>
      <c r="T64" s="253">
        <v>42626</v>
      </c>
      <c r="U64" s="251" t="s">
        <v>2930</v>
      </c>
      <c r="V64" s="251">
        <v>1</v>
      </c>
      <c r="W64" s="251" t="s">
        <v>219</v>
      </c>
      <c r="X64" s="251">
        <v>1</v>
      </c>
      <c r="Y64" s="251">
        <v>1</v>
      </c>
      <c r="Z64" s="251">
        <v>1</v>
      </c>
      <c r="AA64" s="251">
        <v>1</v>
      </c>
      <c r="AB64" s="251" t="s">
        <v>486</v>
      </c>
      <c r="AC64" s="251">
        <v>1</v>
      </c>
      <c r="AD64" s="251" t="s">
        <v>486</v>
      </c>
      <c r="AE64" s="251" t="s">
        <v>486</v>
      </c>
      <c r="AF64" s="251" t="s">
        <v>486</v>
      </c>
      <c r="AG64" s="251" t="s">
        <v>486</v>
      </c>
      <c r="AH64" s="251" t="s">
        <v>486</v>
      </c>
      <c r="AI64" s="251" t="s">
        <v>486</v>
      </c>
      <c r="AJ64" s="251" t="s">
        <v>486</v>
      </c>
      <c r="AK64" s="251" t="s">
        <v>486</v>
      </c>
      <c r="AL64" s="251" t="s">
        <v>491</v>
      </c>
      <c r="AM64" s="251" t="s">
        <v>486</v>
      </c>
      <c r="AN64" s="251" t="s">
        <v>486</v>
      </c>
      <c r="AO64" s="253" t="s">
        <v>486</v>
      </c>
      <c r="AP64" s="252" t="s">
        <v>486</v>
      </c>
      <c r="AQ64" s="254" t="s">
        <v>486</v>
      </c>
      <c r="AR64" s="251" t="s">
        <v>486</v>
      </c>
    </row>
    <row r="65" spans="1:44" ht="15" x14ac:dyDescent="0.25">
      <c r="A65" s="245" t="str">
        <f>HYPERLINK("http://www.ofsted.gov.uk/inspection-reports/find-inspection-report/provider/ELS/135185 ","Ofsted School Webpage")</f>
        <v>Ofsted School Webpage</v>
      </c>
      <c r="B65" s="246">
        <v>135185</v>
      </c>
      <c r="C65" s="246">
        <v>8556023</v>
      </c>
      <c r="D65" s="246" t="s">
        <v>1334</v>
      </c>
      <c r="E65" s="246" t="s">
        <v>247</v>
      </c>
      <c r="F65" s="246" t="s">
        <v>93</v>
      </c>
      <c r="G65" s="246" t="s">
        <v>93</v>
      </c>
      <c r="H65" s="246" t="s">
        <v>93</v>
      </c>
      <c r="I65" s="246" t="s">
        <v>90</v>
      </c>
      <c r="J65" s="246" t="s">
        <v>1490</v>
      </c>
      <c r="K65" s="246" t="s">
        <v>486</v>
      </c>
      <c r="L65" s="246" t="s">
        <v>487</v>
      </c>
      <c r="M65" s="246" t="s">
        <v>572</v>
      </c>
      <c r="N65" s="246" t="s">
        <v>572</v>
      </c>
      <c r="O65" s="246" t="s">
        <v>966</v>
      </c>
      <c r="P65" s="246" t="s">
        <v>1335</v>
      </c>
      <c r="Q65" s="247">
        <v>10008561</v>
      </c>
      <c r="R65" s="248">
        <v>42542</v>
      </c>
      <c r="S65" s="248">
        <v>42544</v>
      </c>
      <c r="T65" s="248">
        <v>42639</v>
      </c>
      <c r="U65" s="246" t="s">
        <v>488</v>
      </c>
      <c r="V65" s="246">
        <v>2</v>
      </c>
      <c r="W65" s="246" t="s">
        <v>219</v>
      </c>
      <c r="X65" s="246">
        <v>2</v>
      </c>
      <c r="Y65" s="246">
        <v>1</v>
      </c>
      <c r="Z65" s="246">
        <v>2</v>
      </c>
      <c r="AA65" s="246">
        <v>2</v>
      </c>
      <c r="AB65" s="246">
        <v>2</v>
      </c>
      <c r="AC65" s="246" t="s">
        <v>486</v>
      </c>
      <c r="AD65" s="246" t="s">
        <v>486</v>
      </c>
      <c r="AE65" s="246" t="s">
        <v>486</v>
      </c>
      <c r="AF65" s="246" t="s">
        <v>486</v>
      </c>
      <c r="AG65" s="246" t="s">
        <v>486</v>
      </c>
      <c r="AH65" s="246" t="s">
        <v>486</v>
      </c>
      <c r="AI65" s="246" t="s">
        <v>486</v>
      </c>
      <c r="AJ65" s="246" t="s">
        <v>486</v>
      </c>
      <c r="AK65" s="246" t="s">
        <v>486</v>
      </c>
      <c r="AL65" s="246" t="s">
        <v>491</v>
      </c>
      <c r="AM65" s="246" t="s">
        <v>486</v>
      </c>
      <c r="AN65" s="246" t="s">
        <v>486</v>
      </c>
      <c r="AO65" s="248" t="s">
        <v>486</v>
      </c>
      <c r="AP65" s="247" t="s">
        <v>486</v>
      </c>
      <c r="AQ65" s="249" t="s">
        <v>486</v>
      </c>
      <c r="AR65" s="246" t="s">
        <v>486</v>
      </c>
    </row>
    <row r="66" spans="1:44" ht="15" x14ac:dyDescent="0.25">
      <c r="A66" s="250" t="str">
        <f>HYPERLINK("http://www.ofsted.gov.uk/inspection-reports/find-inspection-report/provider/ELS/115425 ","Ofsted School Webpage")</f>
        <v>Ofsted School Webpage</v>
      </c>
      <c r="B66" s="251">
        <v>115425</v>
      </c>
      <c r="C66" s="251">
        <v>8816031</v>
      </c>
      <c r="D66" s="251" t="s">
        <v>1628</v>
      </c>
      <c r="E66" s="251" t="s">
        <v>248</v>
      </c>
      <c r="F66" s="251" t="s">
        <v>93</v>
      </c>
      <c r="G66" s="251" t="s">
        <v>93</v>
      </c>
      <c r="H66" s="251" t="s">
        <v>93</v>
      </c>
      <c r="I66" s="251" t="s">
        <v>90</v>
      </c>
      <c r="J66" s="251" t="s">
        <v>1490</v>
      </c>
      <c r="K66" s="251" t="s">
        <v>486</v>
      </c>
      <c r="L66" s="251" t="s">
        <v>487</v>
      </c>
      <c r="M66" s="251" t="s">
        <v>516</v>
      </c>
      <c r="N66" s="251" t="s">
        <v>516</v>
      </c>
      <c r="O66" s="251" t="s">
        <v>764</v>
      </c>
      <c r="P66" s="251" t="s">
        <v>1629</v>
      </c>
      <c r="Q66" s="252">
        <v>10006009</v>
      </c>
      <c r="R66" s="253">
        <v>42543</v>
      </c>
      <c r="S66" s="253">
        <v>42545</v>
      </c>
      <c r="T66" s="253">
        <v>42570</v>
      </c>
      <c r="U66" s="251" t="s">
        <v>488</v>
      </c>
      <c r="V66" s="251">
        <v>2</v>
      </c>
      <c r="W66" s="251" t="s">
        <v>219</v>
      </c>
      <c r="X66" s="251">
        <v>2</v>
      </c>
      <c r="Y66" s="251">
        <v>2</v>
      </c>
      <c r="Z66" s="251">
        <v>2</v>
      </c>
      <c r="AA66" s="251">
        <v>2</v>
      </c>
      <c r="AB66" s="251" t="s">
        <v>486</v>
      </c>
      <c r="AC66" s="251" t="s">
        <v>486</v>
      </c>
      <c r="AD66" s="251" t="s">
        <v>486</v>
      </c>
      <c r="AE66" s="251" t="s">
        <v>486</v>
      </c>
      <c r="AF66" s="251" t="s">
        <v>486</v>
      </c>
      <c r="AG66" s="251" t="s">
        <v>486</v>
      </c>
      <c r="AH66" s="251" t="s">
        <v>486</v>
      </c>
      <c r="AI66" s="251" t="s">
        <v>486</v>
      </c>
      <c r="AJ66" s="251" t="s">
        <v>486</v>
      </c>
      <c r="AK66" s="251" t="s">
        <v>486</v>
      </c>
      <c r="AL66" s="251" t="s">
        <v>491</v>
      </c>
      <c r="AM66" s="251" t="s">
        <v>486</v>
      </c>
      <c r="AN66" s="251" t="s">
        <v>486</v>
      </c>
      <c r="AO66" s="253" t="s">
        <v>486</v>
      </c>
      <c r="AP66" s="252" t="s">
        <v>486</v>
      </c>
      <c r="AQ66" s="254" t="s">
        <v>486</v>
      </c>
      <c r="AR66" s="251" t="s">
        <v>486</v>
      </c>
    </row>
    <row r="67" spans="1:44" ht="15" x14ac:dyDescent="0.25">
      <c r="A67" s="245" t="str">
        <f>HYPERLINK("http://www.ofsted.gov.uk/inspection-reports/find-inspection-report/provider/ELS/137505 ","Ofsted School Webpage")</f>
        <v>Ofsted School Webpage</v>
      </c>
      <c r="B67" s="246">
        <v>137505</v>
      </c>
      <c r="C67" s="246">
        <v>2046002</v>
      </c>
      <c r="D67" s="246" t="s">
        <v>1299</v>
      </c>
      <c r="E67" s="246" t="s">
        <v>247</v>
      </c>
      <c r="F67" s="246" t="s">
        <v>82</v>
      </c>
      <c r="G67" s="246" t="s">
        <v>81</v>
      </c>
      <c r="H67" s="246" t="s">
        <v>82</v>
      </c>
      <c r="I67" s="246" t="s">
        <v>81</v>
      </c>
      <c r="J67" s="246" t="s">
        <v>1490</v>
      </c>
      <c r="K67" s="246" t="s">
        <v>486</v>
      </c>
      <c r="L67" s="246" t="s">
        <v>487</v>
      </c>
      <c r="M67" s="246" t="s">
        <v>506</v>
      </c>
      <c r="N67" s="246" t="s">
        <v>506</v>
      </c>
      <c r="O67" s="246" t="s">
        <v>617</v>
      </c>
      <c r="P67" s="246" t="s">
        <v>1300</v>
      </c>
      <c r="Q67" s="247">
        <v>10012789</v>
      </c>
      <c r="R67" s="248">
        <v>42549</v>
      </c>
      <c r="S67" s="248">
        <v>42551</v>
      </c>
      <c r="T67" s="248">
        <v>42681</v>
      </c>
      <c r="U67" s="246" t="s">
        <v>488</v>
      </c>
      <c r="V67" s="246">
        <v>4</v>
      </c>
      <c r="W67" s="246" t="s">
        <v>220</v>
      </c>
      <c r="X67" s="246">
        <v>4</v>
      </c>
      <c r="Y67" s="246">
        <v>3</v>
      </c>
      <c r="Z67" s="246">
        <v>3</v>
      </c>
      <c r="AA67" s="246">
        <v>3</v>
      </c>
      <c r="AB67" s="246">
        <v>4</v>
      </c>
      <c r="AC67" s="246" t="s">
        <v>486</v>
      </c>
      <c r="AD67" s="246" t="s">
        <v>486</v>
      </c>
      <c r="AE67" s="246" t="s">
        <v>486</v>
      </c>
      <c r="AF67" s="246" t="s">
        <v>486</v>
      </c>
      <c r="AG67" s="246" t="s">
        <v>486</v>
      </c>
      <c r="AH67" s="246" t="s">
        <v>486</v>
      </c>
      <c r="AI67" s="246" t="s">
        <v>486</v>
      </c>
      <c r="AJ67" s="246" t="s">
        <v>486</v>
      </c>
      <c r="AK67" s="246" t="s">
        <v>486</v>
      </c>
      <c r="AL67" s="246" t="s">
        <v>545</v>
      </c>
      <c r="AM67" s="246">
        <v>10087092</v>
      </c>
      <c r="AN67" s="246" t="s">
        <v>1109</v>
      </c>
      <c r="AO67" s="248">
        <v>43475</v>
      </c>
      <c r="AP67" s="247" t="s">
        <v>1523</v>
      </c>
      <c r="AQ67" s="249">
        <v>43499</v>
      </c>
      <c r="AR67" s="246" t="s">
        <v>1136</v>
      </c>
    </row>
    <row r="68" spans="1:44" ht="15" x14ac:dyDescent="0.25">
      <c r="A68" s="250" t="str">
        <f>HYPERLINK("http://www.ofsted.gov.uk/inspection-reports/find-inspection-report/provider/ELS/142324 ","Ofsted School Webpage")</f>
        <v>Ofsted School Webpage</v>
      </c>
      <c r="B68" s="251">
        <v>142324</v>
      </c>
      <c r="C68" s="251">
        <v>3816016</v>
      </c>
      <c r="D68" s="251" t="s">
        <v>1630</v>
      </c>
      <c r="E68" s="251" t="s">
        <v>248</v>
      </c>
      <c r="F68" s="251" t="s">
        <v>93</v>
      </c>
      <c r="G68" s="251" t="s">
        <v>93</v>
      </c>
      <c r="H68" s="251" t="s">
        <v>93</v>
      </c>
      <c r="I68" s="251" t="s">
        <v>90</v>
      </c>
      <c r="J68" s="251" t="s">
        <v>1490</v>
      </c>
      <c r="K68" s="251" t="s">
        <v>486</v>
      </c>
      <c r="L68" s="251" t="s">
        <v>487</v>
      </c>
      <c r="M68" s="251" t="s">
        <v>523</v>
      </c>
      <c r="N68" s="251" t="s">
        <v>524</v>
      </c>
      <c r="O68" s="251" t="s">
        <v>1539</v>
      </c>
      <c r="P68" s="251" t="s">
        <v>1631</v>
      </c>
      <c r="Q68" s="252">
        <v>10012870</v>
      </c>
      <c r="R68" s="253">
        <v>42549</v>
      </c>
      <c r="S68" s="253">
        <v>42551</v>
      </c>
      <c r="T68" s="253">
        <v>42634</v>
      </c>
      <c r="U68" s="251" t="s">
        <v>499</v>
      </c>
      <c r="V68" s="251">
        <v>2</v>
      </c>
      <c r="W68" s="251" t="s">
        <v>219</v>
      </c>
      <c r="X68" s="251">
        <v>2</v>
      </c>
      <c r="Y68" s="251">
        <v>2</v>
      </c>
      <c r="Z68" s="251">
        <v>2</v>
      </c>
      <c r="AA68" s="251">
        <v>2</v>
      </c>
      <c r="AB68" s="251" t="s">
        <v>486</v>
      </c>
      <c r="AC68" s="251" t="s">
        <v>486</v>
      </c>
      <c r="AD68" s="251" t="s">
        <v>486</v>
      </c>
      <c r="AE68" s="251" t="s">
        <v>486</v>
      </c>
      <c r="AF68" s="251" t="s">
        <v>486</v>
      </c>
      <c r="AG68" s="251" t="s">
        <v>486</v>
      </c>
      <c r="AH68" s="251" t="s">
        <v>486</v>
      </c>
      <c r="AI68" s="251" t="s">
        <v>486</v>
      </c>
      <c r="AJ68" s="251" t="s">
        <v>486</v>
      </c>
      <c r="AK68" s="251" t="s">
        <v>486</v>
      </c>
      <c r="AL68" s="251" t="s">
        <v>491</v>
      </c>
      <c r="AM68" s="251" t="s">
        <v>486</v>
      </c>
      <c r="AN68" s="251" t="s">
        <v>486</v>
      </c>
      <c r="AO68" s="253" t="s">
        <v>486</v>
      </c>
      <c r="AP68" s="252" t="s">
        <v>486</v>
      </c>
      <c r="AQ68" s="254" t="s">
        <v>486</v>
      </c>
      <c r="AR68" s="251" t="s">
        <v>486</v>
      </c>
    </row>
    <row r="69" spans="1:44" ht="15" x14ac:dyDescent="0.25">
      <c r="A69" s="245" t="str">
        <f>HYPERLINK("http://www.ofsted.gov.uk/inspection-reports/find-inspection-report/provider/ELS/141861 ","Ofsted School Webpage")</f>
        <v>Ofsted School Webpage</v>
      </c>
      <c r="B69" s="246">
        <v>141861</v>
      </c>
      <c r="C69" s="246">
        <v>9266010</v>
      </c>
      <c r="D69" s="246" t="s">
        <v>1632</v>
      </c>
      <c r="E69" s="246" t="s">
        <v>248</v>
      </c>
      <c r="F69" s="246" t="s">
        <v>93</v>
      </c>
      <c r="G69" s="246" t="s">
        <v>93</v>
      </c>
      <c r="H69" s="246" t="s">
        <v>93</v>
      </c>
      <c r="I69" s="246" t="s">
        <v>90</v>
      </c>
      <c r="J69" s="246" t="s">
        <v>1490</v>
      </c>
      <c r="K69" s="246" t="s">
        <v>486</v>
      </c>
      <c r="L69" s="246" t="s">
        <v>487</v>
      </c>
      <c r="M69" s="246" t="s">
        <v>516</v>
      </c>
      <c r="N69" s="246" t="s">
        <v>516</v>
      </c>
      <c r="O69" s="246" t="s">
        <v>528</v>
      </c>
      <c r="P69" s="246" t="s">
        <v>1633</v>
      </c>
      <c r="Q69" s="247">
        <v>10008624</v>
      </c>
      <c r="R69" s="248">
        <v>42550</v>
      </c>
      <c r="S69" s="248">
        <v>42552</v>
      </c>
      <c r="T69" s="248">
        <v>42621</v>
      </c>
      <c r="U69" s="246" t="s">
        <v>499</v>
      </c>
      <c r="V69" s="246">
        <v>2</v>
      </c>
      <c r="W69" s="246" t="s">
        <v>219</v>
      </c>
      <c r="X69" s="246">
        <v>2</v>
      </c>
      <c r="Y69" s="246">
        <v>2</v>
      </c>
      <c r="Z69" s="246">
        <v>2</v>
      </c>
      <c r="AA69" s="246">
        <v>2</v>
      </c>
      <c r="AB69" s="246" t="s">
        <v>486</v>
      </c>
      <c r="AC69" s="246">
        <v>2</v>
      </c>
      <c r="AD69" s="246" t="s">
        <v>486</v>
      </c>
      <c r="AE69" s="246" t="s">
        <v>486</v>
      </c>
      <c r="AF69" s="246" t="s">
        <v>486</v>
      </c>
      <c r="AG69" s="246" t="s">
        <v>486</v>
      </c>
      <c r="AH69" s="246" t="s">
        <v>486</v>
      </c>
      <c r="AI69" s="246" t="s">
        <v>486</v>
      </c>
      <c r="AJ69" s="246" t="s">
        <v>486</v>
      </c>
      <c r="AK69" s="246" t="s">
        <v>486</v>
      </c>
      <c r="AL69" s="246" t="s">
        <v>491</v>
      </c>
      <c r="AM69" s="246" t="s">
        <v>486</v>
      </c>
      <c r="AN69" s="246" t="s">
        <v>486</v>
      </c>
      <c r="AO69" s="248" t="s">
        <v>486</v>
      </c>
      <c r="AP69" s="247" t="s">
        <v>486</v>
      </c>
      <c r="AQ69" s="249" t="s">
        <v>486</v>
      </c>
      <c r="AR69" s="246" t="s">
        <v>486</v>
      </c>
    </row>
    <row r="70" spans="1:44" ht="15" x14ac:dyDescent="0.25">
      <c r="A70" s="250" t="str">
        <f>HYPERLINK("http://www.ofsted.gov.uk/inspection-reports/find-inspection-report/provider/ELS/133540 ","Ofsted School Webpage")</f>
        <v>Ofsted School Webpage</v>
      </c>
      <c r="B70" s="251">
        <v>133540</v>
      </c>
      <c r="C70" s="251">
        <v>8886050</v>
      </c>
      <c r="D70" s="251" t="s">
        <v>1118</v>
      </c>
      <c r="E70" s="251" t="s">
        <v>248</v>
      </c>
      <c r="F70" s="251" t="s">
        <v>93</v>
      </c>
      <c r="G70" s="251" t="s">
        <v>93</v>
      </c>
      <c r="H70" s="251" t="s">
        <v>93</v>
      </c>
      <c r="I70" s="251" t="s">
        <v>90</v>
      </c>
      <c r="J70" s="251" t="s">
        <v>1490</v>
      </c>
      <c r="K70" s="251" t="s">
        <v>486</v>
      </c>
      <c r="L70" s="251" t="s">
        <v>487</v>
      </c>
      <c r="M70" s="251" t="s">
        <v>495</v>
      </c>
      <c r="N70" s="251" t="s">
        <v>495</v>
      </c>
      <c r="O70" s="251" t="s">
        <v>534</v>
      </c>
      <c r="P70" s="251" t="s">
        <v>1119</v>
      </c>
      <c r="Q70" s="252">
        <v>10008865</v>
      </c>
      <c r="R70" s="253">
        <v>42556</v>
      </c>
      <c r="S70" s="253">
        <v>42558</v>
      </c>
      <c r="T70" s="253">
        <v>42625</v>
      </c>
      <c r="U70" s="251" t="s">
        <v>488</v>
      </c>
      <c r="V70" s="251">
        <v>1</v>
      </c>
      <c r="W70" s="251" t="s">
        <v>219</v>
      </c>
      <c r="X70" s="251">
        <v>1</v>
      </c>
      <c r="Y70" s="251">
        <v>1</v>
      </c>
      <c r="Z70" s="251">
        <v>1</v>
      </c>
      <c r="AA70" s="251">
        <v>1</v>
      </c>
      <c r="AB70" s="251" t="s">
        <v>486</v>
      </c>
      <c r="AC70" s="251">
        <v>1</v>
      </c>
      <c r="AD70" s="251" t="s">
        <v>486</v>
      </c>
      <c r="AE70" s="251" t="s">
        <v>486</v>
      </c>
      <c r="AF70" s="251" t="s">
        <v>486</v>
      </c>
      <c r="AG70" s="251" t="s">
        <v>486</v>
      </c>
      <c r="AH70" s="251" t="s">
        <v>486</v>
      </c>
      <c r="AI70" s="251" t="s">
        <v>486</v>
      </c>
      <c r="AJ70" s="251" t="s">
        <v>486</v>
      </c>
      <c r="AK70" s="251" t="s">
        <v>486</v>
      </c>
      <c r="AL70" s="251" t="s">
        <v>491</v>
      </c>
      <c r="AM70" s="251" t="s">
        <v>486</v>
      </c>
      <c r="AN70" s="251" t="s">
        <v>486</v>
      </c>
      <c r="AO70" s="253" t="s">
        <v>486</v>
      </c>
      <c r="AP70" s="252" t="s">
        <v>486</v>
      </c>
      <c r="AQ70" s="254" t="s">
        <v>486</v>
      </c>
      <c r="AR70" s="251" t="s">
        <v>486</v>
      </c>
    </row>
    <row r="71" spans="1:44" ht="15" x14ac:dyDescent="0.25">
      <c r="A71" s="245" t="str">
        <f>HYPERLINK("http://www.ofsted.gov.uk/inspection-reports/find-inspection-report/provider/ELS/134315 ","Ofsted School Webpage")</f>
        <v>Ofsted School Webpage</v>
      </c>
      <c r="B71" s="246">
        <v>134315</v>
      </c>
      <c r="C71" s="246">
        <v>8136004</v>
      </c>
      <c r="D71" s="246" t="s">
        <v>1634</v>
      </c>
      <c r="E71" s="246" t="s">
        <v>248</v>
      </c>
      <c r="F71" s="246" t="s">
        <v>93</v>
      </c>
      <c r="G71" s="246" t="s">
        <v>93</v>
      </c>
      <c r="H71" s="246" t="s">
        <v>93</v>
      </c>
      <c r="I71" s="246" t="s">
        <v>90</v>
      </c>
      <c r="J71" s="246" t="s">
        <v>1490</v>
      </c>
      <c r="K71" s="246" t="s">
        <v>486</v>
      </c>
      <c r="L71" s="246" t="s">
        <v>487</v>
      </c>
      <c r="M71" s="246" t="s">
        <v>523</v>
      </c>
      <c r="N71" s="246" t="s">
        <v>524</v>
      </c>
      <c r="O71" s="246" t="s">
        <v>1391</v>
      </c>
      <c r="P71" s="246" t="s">
        <v>1635</v>
      </c>
      <c r="Q71" s="247">
        <v>10012920</v>
      </c>
      <c r="R71" s="248">
        <v>42556</v>
      </c>
      <c r="S71" s="248">
        <v>42558</v>
      </c>
      <c r="T71" s="248">
        <v>42625</v>
      </c>
      <c r="U71" s="246" t="s">
        <v>2930</v>
      </c>
      <c r="V71" s="246">
        <v>2</v>
      </c>
      <c r="W71" s="246" t="s">
        <v>219</v>
      </c>
      <c r="X71" s="246">
        <v>2</v>
      </c>
      <c r="Y71" s="246">
        <v>2</v>
      </c>
      <c r="Z71" s="246">
        <v>2</v>
      </c>
      <c r="AA71" s="246">
        <v>2</v>
      </c>
      <c r="AB71" s="246" t="s">
        <v>486</v>
      </c>
      <c r="AC71" s="246">
        <v>2</v>
      </c>
      <c r="AD71" s="246" t="s">
        <v>486</v>
      </c>
      <c r="AE71" s="246" t="s">
        <v>486</v>
      </c>
      <c r="AF71" s="246" t="s">
        <v>486</v>
      </c>
      <c r="AG71" s="246" t="s">
        <v>486</v>
      </c>
      <c r="AH71" s="246" t="s">
        <v>486</v>
      </c>
      <c r="AI71" s="246" t="s">
        <v>486</v>
      </c>
      <c r="AJ71" s="246" t="s">
        <v>486</v>
      </c>
      <c r="AK71" s="246" t="s">
        <v>486</v>
      </c>
      <c r="AL71" s="246" t="s">
        <v>491</v>
      </c>
      <c r="AM71" s="246" t="s">
        <v>486</v>
      </c>
      <c r="AN71" s="246" t="s">
        <v>486</v>
      </c>
      <c r="AO71" s="248" t="s">
        <v>486</v>
      </c>
      <c r="AP71" s="247" t="s">
        <v>486</v>
      </c>
      <c r="AQ71" s="249" t="s">
        <v>486</v>
      </c>
      <c r="AR71" s="246" t="s">
        <v>486</v>
      </c>
    </row>
    <row r="72" spans="1:44" ht="15" x14ac:dyDescent="0.25">
      <c r="A72" s="250" t="str">
        <f>HYPERLINK("http://www.ofsted.gov.uk/inspection-reports/find-inspection-report/provider/ELS/141968 ","Ofsted School Webpage")</f>
        <v>Ofsted School Webpage</v>
      </c>
      <c r="B72" s="251">
        <v>141968</v>
      </c>
      <c r="C72" s="251">
        <v>3556002</v>
      </c>
      <c r="D72" s="251" t="s">
        <v>1636</v>
      </c>
      <c r="E72" s="251" t="s">
        <v>247</v>
      </c>
      <c r="F72" s="251" t="s">
        <v>93</v>
      </c>
      <c r="G72" s="251" t="s">
        <v>81</v>
      </c>
      <c r="H72" s="251" t="s">
        <v>81</v>
      </c>
      <c r="I72" s="251" t="s">
        <v>81</v>
      </c>
      <c r="J72" s="251" t="s">
        <v>1490</v>
      </c>
      <c r="K72" s="251" t="s">
        <v>486</v>
      </c>
      <c r="L72" s="251" t="s">
        <v>487</v>
      </c>
      <c r="M72" s="251" t="s">
        <v>495</v>
      </c>
      <c r="N72" s="251" t="s">
        <v>495</v>
      </c>
      <c r="O72" s="251" t="s">
        <v>601</v>
      </c>
      <c r="P72" s="251" t="s">
        <v>1637</v>
      </c>
      <c r="Q72" s="252">
        <v>10008628</v>
      </c>
      <c r="R72" s="253">
        <v>42556</v>
      </c>
      <c r="S72" s="253">
        <v>42558</v>
      </c>
      <c r="T72" s="253">
        <v>42627</v>
      </c>
      <c r="U72" s="251" t="s">
        <v>499</v>
      </c>
      <c r="V72" s="251">
        <v>2</v>
      </c>
      <c r="W72" s="251" t="s">
        <v>219</v>
      </c>
      <c r="X72" s="251">
        <v>2</v>
      </c>
      <c r="Y72" s="251">
        <v>1</v>
      </c>
      <c r="Z72" s="251">
        <v>2</v>
      </c>
      <c r="AA72" s="251">
        <v>2</v>
      </c>
      <c r="AB72" s="251" t="s">
        <v>486</v>
      </c>
      <c r="AC72" s="251" t="s">
        <v>486</v>
      </c>
      <c r="AD72" s="251" t="s">
        <v>486</v>
      </c>
      <c r="AE72" s="251" t="s">
        <v>486</v>
      </c>
      <c r="AF72" s="251" t="s">
        <v>486</v>
      </c>
      <c r="AG72" s="251" t="s">
        <v>486</v>
      </c>
      <c r="AH72" s="251" t="s">
        <v>486</v>
      </c>
      <c r="AI72" s="251" t="s">
        <v>486</v>
      </c>
      <c r="AJ72" s="251" t="s">
        <v>486</v>
      </c>
      <c r="AK72" s="251" t="s">
        <v>486</v>
      </c>
      <c r="AL72" s="251" t="s">
        <v>491</v>
      </c>
      <c r="AM72" s="251" t="s">
        <v>486</v>
      </c>
      <c r="AN72" s="251" t="s">
        <v>486</v>
      </c>
      <c r="AO72" s="253" t="s">
        <v>486</v>
      </c>
      <c r="AP72" s="252" t="s">
        <v>486</v>
      </c>
      <c r="AQ72" s="254" t="s">
        <v>486</v>
      </c>
      <c r="AR72" s="251" t="s">
        <v>486</v>
      </c>
    </row>
    <row r="73" spans="1:44" ht="15" x14ac:dyDescent="0.25">
      <c r="A73" s="245" t="str">
        <f>HYPERLINK("http://www.ofsted.gov.uk/inspection-reports/find-inspection-report/provider/ELS/142325 ","Ofsted School Webpage")</f>
        <v>Ofsted School Webpage</v>
      </c>
      <c r="B73" s="246">
        <v>142325</v>
      </c>
      <c r="C73" s="246">
        <v>8686023</v>
      </c>
      <c r="D73" s="246" t="s">
        <v>1638</v>
      </c>
      <c r="E73" s="246" t="s">
        <v>248</v>
      </c>
      <c r="F73" s="246" t="s">
        <v>93</v>
      </c>
      <c r="G73" s="246" t="s">
        <v>93</v>
      </c>
      <c r="H73" s="246" t="s">
        <v>93</v>
      </c>
      <c r="I73" s="246" t="s">
        <v>90</v>
      </c>
      <c r="J73" s="246" t="s">
        <v>1490</v>
      </c>
      <c r="K73" s="246" t="s">
        <v>486</v>
      </c>
      <c r="L73" s="246" t="s">
        <v>487</v>
      </c>
      <c r="M73" s="246" t="s">
        <v>581</v>
      </c>
      <c r="N73" s="246" t="s">
        <v>581</v>
      </c>
      <c r="O73" s="246" t="s">
        <v>620</v>
      </c>
      <c r="P73" s="246" t="s">
        <v>1639</v>
      </c>
      <c r="Q73" s="247">
        <v>10012889</v>
      </c>
      <c r="R73" s="248">
        <v>42556</v>
      </c>
      <c r="S73" s="248">
        <v>42558</v>
      </c>
      <c r="T73" s="248">
        <v>42618</v>
      </c>
      <c r="U73" s="246" t="s">
        <v>499</v>
      </c>
      <c r="V73" s="246">
        <v>2</v>
      </c>
      <c r="W73" s="246" t="s">
        <v>219</v>
      </c>
      <c r="X73" s="246">
        <v>2</v>
      </c>
      <c r="Y73" s="246">
        <v>2</v>
      </c>
      <c r="Z73" s="246">
        <v>2</v>
      </c>
      <c r="AA73" s="246">
        <v>2</v>
      </c>
      <c r="AB73" s="246" t="s">
        <v>486</v>
      </c>
      <c r="AC73" s="246">
        <v>3</v>
      </c>
      <c r="AD73" s="246" t="s">
        <v>486</v>
      </c>
      <c r="AE73" s="246" t="s">
        <v>486</v>
      </c>
      <c r="AF73" s="246" t="s">
        <v>486</v>
      </c>
      <c r="AG73" s="246" t="s">
        <v>486</v>
      </c>
      <c r="AH73" s="246" t="s">
        <v>486</v>
      </c>
      <c r="AI73" s="246" t="s">
        <v>486</v>
      </c>
      <c r="AJ73" s="246" t="s">
        <v>486</v>
      </c>
      <c r="AK73" s="246" t="s">
        <v>486</v>
      </c>
      <c r="AL73" s="246" t="s">
        <v>491</v>
      </c>
      <c r="AM73" s="246" t="s">
        <v>486</v>
      </c>
      <c r="AN73" s="246" t="s">
        <v>486</v>
      </c>
      <c r="AO73" s="248" t="s">
        <v>486</v>
      </c>
      <c r="AP73" s="247" t="s">
        <v>486</v>
      </c>
      <c r="AQ73" s="249" t="s">
        <v>486</v>
      </c>
      <c r="AR73" s="246" t="s">
        <v>486</v>
      </c>
    </row>
    <row r="74" spans="1:44" ht="15" x14ac:dyDescent="0.25">
      <c r="A74" s="250" t="str">
        <f>HYPERLINK("http://www.ofsted.gov.uk/inspection-reports/find-inspection-report/provider/ELS/142225 ","Ofsted School Webpage")</f>
        <v>Ofsted School Webpage</v>
      </c>
      <c r="B74" s="251">
        <v>142225</v>
      </c>
      <c r="C74" s="251">
        <v>3566000</v>
      </c>
      <c r="D74" s="251" t="s">
        <v>1640</v>
      </c>
      <c r="E74" s="251" t="s">
        <v>248</v>
      </c>
      <c r="F74" s="251" t="s">
        <v>93</v>
      </c>
      <c r="G74" s="251" t="s">
        <v>93</v>
      </c>
      <c r="H74" s="251" t="s">
        <v>93</v>
      </c>
      <c r="I74" s="251" t="s">
        <v>90</v>
      </c>
      <c r="J74" s="251" t="s">
        <v>1490</v>
      </c>
      <c r="K74" s="251" t="s">
        <v>486</v>
      </c>
      <c r="L74" s="251" t="s">
        <v>487</v>
      </c>
      <c r="M74" s="251" t="s">
        <v>495</v>
      </c>
      <c r="N74" s="251" t="s">
        <v>495</v>
      </c>
      <c r="O74" s="251" t="s">
        <v>934</v>
      </c>
      <c r="P74" s="251" t="s">
        <v>1641</v>
      </c>
      <c r="Q74" s="252">
        <v>10012844</v>
      </c>
      <c r="R74" s="253">
        <v>42563</v>
      </c>
      <c r="S74" s="253">
        <v>42565</v>
      </c>
      <c r="T74" s="253">
        <v>42627</v>
      </c>
      <c r="U74" s="251" t="s">
        <v>499</v>
      </c>
      <c r="V74" s="251">
        <v>2</v>
      </c>
      <c r="W74" s="251" t="s">
        <v>219</v>
      </c>
      <c r="X74" s="251">
        <v>2</v>
      </c>
      <c r="Y74" s="251">
        <v>2</v>
      </c>
      <c r="Z74" s="251">
        <v>2</v>
      </c>
      <c r="AA74" s="251">
        <v>2</v>
      </c>
      <c r="AB74" s="251" t="s">
        <v>486</v>
      </c>
      <c r="AC74" s="251" t="s">
        <v>486</v>
      </c>
      <c r="AD74" s="251" t="s">
        <v>486</v>
      </c>
      <c r="AE74" s="251" t="s">
        <v>486</v>
      </c>
      <c r="AF74" s="251" t="s">
        <v>486</v>
      </c>
      <c r="AG74" s="251" t="s">
        <v>486</v>
      </c>
      <c r="AH74" s="251" t="s">
        <v>486</v>
      </c>
      <c r="AI74" s="251" t="s">
        <v>486</v>
      </c>
      <c r="AJ74" s="251" t="s">
        <v>486</v>
      </c>
      <c r="AK74" s="251" t="s">
        <v>486</v>
      </c>
      <c r="AL74" s="251" t="s">
        <v>491</v>
      </c>
      <c r="AM74" s="251" t="s">
        <v>486</v>
      </c>
      <c r="AN74" s="251" t="s">
        <v>486</v>
      </c>
      <c r="AO74" s="253" t="s">
        <v>486</v>
      </c>
      <c r="AP74" s="252" t="s">
        <v>486</v>
      </c>
      <c r="AQ74" s="254" t="s">
        <v>486</v>
      </c>
      <c r="AR74" s="251" t="s">
        <v>486</v>
      </c>
    </row>
    <row r="75" spans="1:44" ht="15" x14ac:dyDescent="0.25">
      <c r="A75" s="245" t="str">
        <f>HYPERLINK("http://www.ofsted.gov.uk/inspection-reports/find-inspection-report/provider/ELS/108110 ","Ofsted School Webpage")</f>
        <v>Ofsted School Webpage</v>
      </c>
      <c r="B75" s="246">
        <v>108110</v>
      </c>
      <c r="C75" s="246">
        <v>3836099</v>
      </c>
      <c r="D75" s="246" t="s">
        <v>1642</v>
      </c>
      <c r="E75" s="246" t="s">
        <v>247</v>
      </c>
      <c r="F75" s="246" t="s">
        <v>93</v>
      </c>
      <c r="G75" s="246" t="s">
        <v>81</v>
      </c>
      <c r="H75" s="246" t="s">
        <v>81</v>
      </c>
      <c r="I75" s="246" t="s">
        <v>81</v>
      </c>
      <c r="J75" s="246" t="s">
        <v>1490</v>
      </c>
      <c r="K75" s="246" t="s">
        <v>486</v>
      </c>
      <c r="L75" s="246" t="s">
        <v>487</v>
      </c>
      <c r="M75" s="246" t="s">
        <v>523</v>
      </c>
      <c r="N75" s="246" t="s">
        <v>524</v>
      </c>
      <c r="O75" s="246" t="s">
        <v>702</v>
      </c>
      <c r="P75" s="246" t="s">
        <v>1643</v>
      </c>
      <c r="Q75" s="247">
        <v>10012883</v>
      </c>
      <c r="R75" s="248">
        <v>42570</v>
      </c>
      <c r="S75" s="248">
        <v>42572</v>
      </c>
      <c r="T75" s="248">
        <v>42634</v>
      </c>
      <c r="U75" s="246" t="s">
        <v>488</v>
      </c>
      <c r="V75" s="246">
        <v>2</v>
      </c>
      <c r="W75" s="246" t="s">
        <v>219</v>
      </c>
      <c r="X75" s="246">
        <v>2</v>
      </c>
      <c r="Y75" s="246">
        <v>1</v>
      </c>
      <c r="Z75" s="246">
        <v>2</v>
      </c>
      <c r="AA75" s="246">
        <v>2</v>
      </c>
      <c r="AB75" s="246">
        <v>2</v>
      </c>
      <c r="AC75" s="246" t="s">
        <v>486</v>
      </c>
      <c r="AD75" s="246" t="s">
        <v>486</v>
      </c>
      <c r="AE75" s="246" t="s">
        <v>486</v>
      </c>
      <c r="AF75" s="246" t="s">
        <v>486</v>
      </c>
      <c r="AG75" s="246" t="s">
        <v>486</v>
      </c>
      <c r="AH75" s="246" t="s">
        <v>486</v>
      </c>
      <c r="AI75" s="246" t="s">
        <v>486</v>
      </c>
      <c r="AJ75" s="246" t="s">
        <v>486</v>
      </c>
      <c r="AK75" s="246" t="s">
        <v>486</v>
      </c>
      <c r="AL75" s="246" t="s">
        <v>491</v>
      </c>
      <c r="AM75" s="246" t="s">
        <v>486</v>
      </c>
      <c r="AN75" s="246" t="s">
        <v>486</v>
      </c>
      <c r="AO75" s="248" t="s">
        <v>486</v>
      </c>
      <c r="AP75" s="247" t="s">
        <v>486</v>
      </c>
      <c r="AQ75" s="249" t="s">
        <v>486</v>
      </c>
      <c r="AR75" s="246" t="s">
        <v>486</v>
      </c>
    </row>
    <row r="76" spans="1:44" ht="15" x14ac:dyDescent="0.25">
      <c r="A76" s="250" t="str">
        <f>HYPERLINK("http://www.ofsted.gov.uk/inspection-reports/find-inspection-report/provider/ELS/131976 ","Ofsted School Webpage")</f>
        <v>Ofsted School Webpage</v>
      </c>
      <c r="B76" s="251">
        <v>131976</v>
      </c>
      <c r="C76" s="251">
        <v>9366579</v>
      </c>
      <c r="D76" s="251" t="s">
        <v>1644</v>
      </c>
      <c r="E76" s="251" t="s">
        <v>248</v>
      </c>
      <c r="F76" s="251" t="s">
        <v>93</v>
      </c>
      <c r="G76" s="251" t="s">
        <v>92</v>
      </c>
      <c r="H76" s="251" t="s">
        <v>92</v>
      </c>
      <c r="I76" s="251" t="s">
        <v>90</v>
      </c>
      <c r="J76" s="251" t="s">
        <v>1490</v>
      </c>
      <c r="K76" s="251" t="s">
        <v>486</v>
      </c>
      <c r="L76" s="251" t="s">
        <v>487</v>
      </c>
      <c r="M76" s="251" t="s">
        <v>581</v>
      </c>
      <c r="N76" s="251" t="s">
        <v>581</v>
      </c>
      <c r="O76" s="251" t="s">
        <v>788</v>
      </c>
      <c r="P76" s="251" t="s">
        <v>1645</v>
      </c>
      <c r="Q76" s="252">
        <v>10020834</v>
      </c>
      <c r="R76" s="253">
        <v>42626</v>
      </c>
      <c r="S76" s="253">
        <v>42628</v>
      </c>
      <c r="T76" s="253">
        <v>42654</v>
      </c>
      <c r="U76" s="251" t="s">
        <v>488</v>
      </c>
      <c r="V76" s="251">
        <v>1</v>
      </c>
      <c r="W76" s="251" t="s">
        <v>219</v>
      </c>
      <c r="X76" s="251">
        <v>1</v>
      </c>
      <c r="Y76" s="251">
        <v>1</v>
      </c>
      <c r="Z76" s="251">
        <v>1</v>
      </c>
      <c r="AA76" s="251">
        <v>1</v>
      </c>
      <c r="AB76" s="251" t="s">
        <v>486</v>
      </c>
      <c r="AC76" s="251">
        <v>1</v>
      </c>
      <c r="AD76" s="251" t="s">
        <v>486</v>
      </c>
      <c r="AE76" s="251" t="s">
        <v>486</v>
      </c>
      <c r="AF76" s="251" t="s">
        <v>486</v>
      </c>
      <c r="AG76" s="251" t="s">
        <v>486</v>
      </c>
      <c r="AH76" s="251" t="s">
        <v>486</v>
      </c>
      <c r="AI76" s="251" t="s">
        <v>486</v>
      </c>
      <c r="AJ76" s="251" t="s">
        <v>486</v>
      </c>
      <c r="AK76" s="251" t="s">
        <v>486</v>
      </c>
      <c r="AL76" s="251" t="s">
        <v>491</v>
      </c>
      <c r="AM76" s="251" t="s">
        <v>486</v>
      </c>
      <c r="AN76" s="251" t="s">
        <v>486</v>
      </c>
      <c r="AO76" s="253" t="s">
        <v>486</v>
      </c>
      <c r="AP76" s="252" t="s">
        <v>486</v>
      </c>
      <c r="AQ76" s="254" t="s">
        <v>486</v>
      </c>
      <c r="AR76" s="251" t="s">
        <v>486</v>
      </c>
    </row>
    <row r="77" spans="1:44" ht="15" x14ac:dyDescent="0.25">
      <c r="A77" s="245" t="str">
        <f>HYPERLINK("http://www.ofsted.gov.uk/inspection-reports/find-inspection-report/provider/ELS/132772 ","Ofsted School Webpage")</f>
        <v>Ofsted School Webpage</v>
      </c>
      <c r="B77" s="246">
        <v>132772</v>
      </c>
      <c r="C77" s="246">
        <v>8936096</v>
      </c>
      <c r="D77" s="246" t="s">
        <v>1646</v>
      </c>
      <c r="E77" s="246" t="s">
        <v>248</v>
      </c>
      <c r="F77" s="246" t="s">
        <v>93</v>
      </c>
      <c r="G77" s="246" t="s">
        <v>93</v>
      </c>
      <c r="H77" s="246" t="s">
        <v>93</v>
      </c>
      <c r="I77" s="246" t="s">
        <v>90</v>
      </c>
      <c r="J77" s="246" t="s">
        <v>1490</v>
      </c>
      <c r="K77" s="246" t="s">
        <v>486</v>
      </c>
      <c r="L77" s="246" t="s">
        <v>487</v>
      </c>
      <c r="M77" s="246" t="s">
        <v>502</v>
      </c>
      <c r="N77" s="246" t="s">
        <v>502</v>
      </c>
      <c r="O77" s="246" t="s">
        <v>666</v>
      </c>
      <c r="P77" s="246" t="s">
        <v>1647</v>
      </c>
      <c r="Q77" s="247">
        <v>10006013</v>
      </c>
      <c r="R77" s="248">
        <v>42626</v>
      </c>
      <c r="S77" s="248">
        <v>42628</v>
      </c>
      <c r="T77" s="248">
        <v>42655</v>
      </c>
      <c r="U77" s="246" t="s">
        <v>488</v>
      </c>
      <c r="V77" s="246">
        <v>2</v>
      </c>
      <c r="W77" s="246" t="s">
        <v>219</v>
      </c>
      <c r="X77" s="246">
        <v>2</v>
      </c>
      <c r="Y77" s="246">
        <v>2</v>
      </c>
      <c r="Z77" s="246">
        <v>2</v>
      </c>
      <c r="AA77" s="246">
        <v>2</v>
      </c>
      <c r="AB77" s="246" t="s">
        <v>486</v>
      </c>
      <c r="AC77" s="246" t="s">
        <v>486</v>
      </c>
      <c r="AD77" s="246" t="s">
        <v>486</v>
      </c>
      <c r="AE77" s="246" t="s">
        <v>486</v>
      </c>
      <c r="AF77" s="246" t="s">
        <v>486</v>
      </c>
      <c r="AG77" s="246" t="s">
        <v>486</v>
      </c>
      <c r="AH77" s="246" t="s">
        <v>486</v>
      </c>
      <c r="AI77" s="246" t="s">
        <v>486</v>
      </c>
      <c r="AJ77" s="246" t="s">
        <v>486</v>
      </c>
      <c r="AK77" s="246" t="s">
        <v>486</v>
      </c>
      <c r="AL77" s="246" t="s">
        <v>491</v>
      </c>
      <c r="AM77" s="246" t="s">
        <v>486</v>
      </c>
      <c r="AN77" s="246" t="s">
        <v>486</v>
      </c>
      <c r="AO77" s="248" t="s">
        <v>486</v>
      </c>
      <c r="AP77" s="247" t="s">
        <v>486</v>
      </c>
      <c r="AQ77" s="249" t="s">
        <v>486</v>
      </c>
      <c r="AR77" s="246" t="s">
        <v>486</v>
      </c>
    </row>
    <row r="78" spans="1:44" ht="15" x14ac:dyDescent="0.25">
      <c r="A78" s="250" t="str">
        <f>HYPERLINK("http://www.ofsted.gov.uk/inspection-reports/find-inspection-report/provider/ELS/135438 ","Ofsted School Webpage")</f>
        <v>Ofsted School Webpage</v>
      </c>
      <c r="B78" s="251">
        <v>135438</v>
      </c>
      <c r="C78" s="251">
        <v>8866123</v>
      </c>
      <c r="D78" s="251" t="s">
        <v>1648</v>
      </c>
      <c r="E78" s="251" t="s">
        <v>248</v>
      </c>
      <c r="F78" s="251" t="s">
        <v>93</v>
      </c>
      <c r="G78" s="251" t="s">
        <v>93</v>
      </c>
      <c r="H78" s="251" t="s">
        <v>93</v>
      </c>
      <c r="I78" s="251" t="s">
        <v>90</v>
      </c>
      <c r="J78" s="251" t="s">
        <v>1490</v>
      </c>
      <c r="K78" s="251" t="s">
        <v>486</v>
      </c>
      <c r="L78" s="251" t="s">
        <v>487</v>
      </c>
      <c r="M78" s="251" t="s">
        <v>581</v>
      </c>
      <c r="N78" s="251" t="s">
        <v>581</v>
      </c>
      <c r="O78" s="251" t="s">
        <v>694</v>
      </c>
      <c r="P78" s="251" t="s">
        <v>1649</v>
      </c>
      <c r="Q78" s="252">
        <v>10021176</v>
      </c>
      <c r="R78" s="253">
        <v>42626</v>
      </c>
      <c r="S78" s="253">
        <v>42628</v>
      </c>
      <c r="T78" s="253">
        <v>42654</v>
      </c>
      <c r="U78" s="251" t="s">
        <v>488</v>
      </c>
      <c r="V78" s="251">
        <v>2</v>
      </c>
      <c r="W78" s="251" t="s">
        <v>219</v>
      </c>
      <c r="X78" s="251">
        <v>2</v>
      </c>
      <c r="Y78" s="251">
        <v>2</v>
      </c>
      <c r="Z78" s="251">
        <v>2</v>
      </c>
      <c r="AA78" s="251">
        <v>2</v>
      </c>
      <c r="AB78" s="251" t="s">
        <v>486</v>
      </c>
      <c r="AC78" s="251">
        <v>2</v>
      </c>
      <c r="AD78" s="251" t="s">
        <v>486</v>
      </c>
      <c r="AE78" s="251" t="s">
        <v>486</v>
      </c>
      <c r="AF78" s="251" t="s">
        <v>486</v>
      </c>
      <c r="AG78" s="251" t="s">
        <v>486</v>
      </c>
      <c r="AH78" s="251" t="s">
        <v>486</v>
      </c>
      <c r="AI78" s="251" t="s">
        <v>486</v>
      </c>
      <c r="AJ78" s="251" t="s">
        <v>486</v>
      </c>
      <c r="AK78" s="251" t="s">
        <v>486</v>
      </c>
      <c r="AL78" s="251" t="s">
        <v>491</v>
      </c>
      <c r="AM78" s="251" t="s">
        <v>486</v>
      </c>
      <c r="AN78" s="251" t="s">
        <v>486</v>
      </c>
      <c r="AO78" s="253" t="s">
        <v>486</v>
      </c>
      <c r="AP78" s="252" t="s">
        <v>486</v>
      </c>
      <c r="AQ78" s="254" t="s">
        <v>486</v>
      </c>
      <c r="AR78" s="251" t="s">
        <v>486</v>
      </c>
    </row>
    <row r="79" spans="1:44" ht="15" x14ac:dyDescent="0.25">
      <c r="A79" s="245" t="str">
        <f>HYPERLINK("http://www.ofsted.gov.uk/inspection-reports/find-inspection-report/provider/ELS/135510 ","Ofsted School Webpage")</f>
        <v>Ofsted School Webpage</v>
      </c>
      <c r="B79" s="246">
        <v>135510</v>
      </c>
      <c r="C79" s="246">
        <v>8866126</v>
      </c>
      <c r="D79" s="246" t="s">
        <v>1650</v>
      </c>
      <c r="E79" s="246" t="s">
        <v>248</v>
      </c>
      <c r="F79" s="246" t="s">
        <v>93</v>
      </c>
      <c r="G79" s="246" t="s">
        <v>93</v>
      </c>
      <c r="H79" s="246" t="s">
        <v>93</v>
      </c>
      <c r="I79" s="246" t="s">
        <v>90</v>
      </c>
      <c r="J79" s="246" t="s">
        <v>1490</v>
      </c>
      <c r="K79" s="246" t="s">
        <v>486</v>
      </c>
      <c r="L79" s="246" t="s">
        <v>487</v>
      </c>
      <c r="M79" s="246" t="s">
        <v>581</v>
      </c>
      <c r="N79" s="246" t="s">
        <v>581</v>
      </c>
      <c r="O79" s="246" t="s">
        <v>694</v>
      </c>
      <c r="P79" s="246" t="s">
        <v>1651</v>
      </c>
      <c r="Q79" s="247">
        <v>10008937</v>
      </c>
      <c r="R79" s="248">
        <v>42626</v>
      </c>
      <c r="S79" s="248">
        <v>42628</v>
      </c>
      <c r="T79" s="248">
        <v>42649</v>
      </c>
      <c r="U79" s="246" t="s">
        <v>488</v>
      </c>
      <c r="V79" s="246">
        <v>2</v>
      </c>
      <c r="W79" s="246" t="s">
        <v>219</v>
      </c>
      <c r="X79" s="246">
        <v>2</v>
      </c>
      <c r="Y79" s="246">
        <v>2</v>
      </c>
      <c r="Z79" s="246">
        <v>2</v>
      </c>
      <c r="AA79" s="246">
        <v>2</v>
      </c>
      <c r="AB79" s="246" t="s">
        <v>486</v>
      </c>
      <c r="AC79" s="246" t="s">
        <v>486</v>
      </c>
      <c r="AD79" s="246" t="s">
        <v>486</v>
      </c>
      <c r="AE79" s="246" t="s">
        <v>486</v>
      </c>
      <c r="AF79" s="246" t="s">
        <v>486</v>
      </c>
      <c r="AG79" s="246" t="s">
        <v>486</v>
      </c>
      <c r="AH79" s="246" t="s">
        <v>486</v>
      </c>
      <c r="AI79" s="246" t="s">
        <v>486</v>
      </c>
      <c r="AJ79" s="246" t="s">
        <v>486</v>
      </c>
      <c r="AK79" s="246" t="s">
        <v>486</v>
      </c>
      <c r="AL79" s="246" t="s">
        <v>491</v>
      </c>
      <c r="AM79" s="246" t="s">
        <v>486</v>
      </c>
      <c r="AN79" s="246" t="s">
        <v>486</v>
      </c>
      <c r="AO79" s="248" t="s">
        <v>486</v>
      </c>
      <c r="AP79" s="247" t="s">
        <v>486</v>
      </c>
      <c r="AQ79" s="249" t="s">
        <v>486</v>
      </c>
      <c r="AR79" s="246" t="s">
        <v>486</v>
      </c>
    </row>
    <row r="80" spans="1:44" ht="15" x14ac:dyDescent="0.25">
      <c r="A80" s="250" t="str">
        <f>HYPERLINK("http://www.ofsted.gov.uk/inspection-reports/find-inspection-report/provider/ELS/135689 ","Ofsted School Webpage")</f>
        <v>Ofsted School Webpage</v>
      </c>
      <c r="B80" s="251">
        <v>135689</v>
      </c>
      <c r="C80" s="251">
        <v>9356226</v>
      </c>
      <c r="D80" s="251" t="s">
        <v>1652</v>
      </c>
      <c r="E80" s="251" t="s">
        <v>247</v>
      </c>
      <c r="F80" s="251" t="s">
        <v>93</v>
      </c>
      <c r="G80" s="251" t="s">
        <v>93</v>
      </c>
      <c r="H80" s="251" t="s">
        <v>93</v>
      </c>
      <c r="I80" s="251" t="s">
        <v>90</v>
      </c>
      <c r="J80" s="251" t="s">
        <v>1490</v>
      </c>
      <c r="K80" s="251" t="s">
        <v>486</v>
      </c>
      <c r="L80" s="251" t="s">
        <v>487</v>
      </c>
      <c r="M80" s="251" t="s">
        <v>516</v>
      </c>
      <c r="N80" s="251" t="s">
        <v>516</v>
      </c>
      <c r="O80" s="251" t="s">
        <v>937</v>
      </c>
      <c r="P80" s="251" t="s">
        <v>1653</v>
      </c>
      <c r="Q80" s="252">
        <v>10008596</v>
      </c>
      <c r="R80" s="253">
        <v>42626</v>
      </c>
      <c r="S80" s="253">
        <v>42628</v>
      </c>
      <c r="T80" s="253">
        <v>42675</v>
      </c>
      <c r="U80" s="251" t="s">
        <v>488</v>
      </c>
      <c r="V80" s="251">
        <v>2</v>
      </c>
      <c r="W80" s="251" t="s">
        <v>219</v>
      </c>
      <c r="X80" s="251">
        <v>2</v>
      </c>
      <c r="Y80" s="251">
        <v>1</v>
      </c>
      <c r="Z80" s="251">
        <v>2</v>
      </c>
      <c r="AA80" s="251">
        <v>2</v>
      </c>
      <c r="AB80" s="251">
        <v>2</v>
      </c>
      <c r="AC80" s="251" t="s">
        <v>486</v>
      </c>
      <c r="AD80" s="251" t="s">
        <v>486</v>
      </c>
      <c r="AE80" s="251" t="s">
        <v>486</v>
      </c>
      <c r="AF80" s="251" t="s">
        <v>486</v>
      </c>
      <c r="AG80" s="251" t="s">
        <v>486</v>
      </c>
      <c r="AH80" s="251" t="s">
        <v>486</v>
      </c>
      <c r="AI80" s="251" t="s">
        <v>486</v>
      </c>
      <c r="AJ80" s="251" t="s">
        <v>486</v>
      </c>
      <c r="AK80" s="251" t="s">
        <v>486</v>
      </c>
      <c r="AL80" s="251" t="s">
        <v>491</v>
      </c>
      <c r="AM80" s="251" t="s">
        <v>486</v>
      </c>
      <c r="AN80" s="251" t="s">
        <v>486</v>
      </c>
      <c r="AO80" s="253" t="s">
        <v>486</v>
      </c>
      <c r="AP80" s="252" t="s">
        <v>486</v>
      </c>
      <c r="AQ80" s="254" t="s">
        <v>486</v>
      </c>
      <c r="AR80" s="251" t="s">
        <v>486</v>
      </c>
    </row>
    <row r="81" spans="1:44" ht="15" x14ac:dyDescent="0.25">
      <c r="A81" s="245" t="str">
        <f>HYPERLINK("http://www.ofsted.gov.uk/inspection-reports/find-inspection-report/provider/ELS/142333 ","Ofsted School Webpage")</f>
        <v>Ofsted School Webpage</v>
      </c>
      <c r="B81" s="246">
        <v>142333</v>
      </c>
      <c r="C81" s="246">
        <v>8886062</v>
      </c>
      <c r="D81" s="246" t="s">
        <v>1654</v>
      </c>
      <c r="E81" s="246" t="s">
        <v>247</v>
      </c>
      <c r="F81" s="246" t="s">
        <v>93</v>
      </c>
      <c r="G81" s="246" t="s">
        <v>93</v>
      </c>
      <c r="H81" s="246" t="s">
        <v>93</v>
      </c>
      <c r="I81" s="246" t="s">
        <v>90</v>
      </c>
      <c r="J81" s="246" t="s">
        <v>1490</v>
      </c>
      <c r="K81" s="246" t="s">
        <v>486</v>
      </c>
      <c r="L81" s="246" t="s">
        <v>487</v>
      </c>
      <c r="M81" s="246" t="s">
        <v>495</v>
      </c>
      <c r="N81" s="246" t="s">
        <v>495</v>
      </c>
      <c r="O81" s="246" t="s">
        <v>534</v>
      </c>
      <c r="P81" s="246" t="s">
        <v>1062</v>
      </c>
      <c r="Q81" s="247">
        <v>10012972</v>
      </c>
      <c r="R81" s="248">
        <v>42633</v>
      </c>
      <c r="S81" s="248">
        <v>42634</v>
      </c>
      <c r="T81" s="248">
        <v>42657</v>
      </c>
      <c r="U81" s="246" t="s">
        <v>499</v>
      </c>
      <c r="V81" s="246">
        <v>2</v>
      </c>
      <c r="W81" s="246" t="s">
        <v>219</v>
      </c>
      <c r="X81" s="246">
        <v>2</v>
      </c>
      <c r="Y81" s="246">
        <v>2</v>
      </c>
      <c r="Z81" s="246">
        <v>2</v>
      </c>
      <c r="AA81" s="246">
        <v>2</v>
      </c>
      <c r="AB81" s="246" t="s">
        <v>486</v>
      </c>
      <c r="AC81" s="246">
        <v>2</v>
      </c>
      <c r="AD81" s="246" t="s">
        <v>486</v>
      </c>
      <c r="AE81" s="246" t="s">
        <v>486</v>
      </c>
      <c r="AF81" s="246" t="s">
        <v>486</v>
      </c>
      <c r="AG81" s="246" t="s">
        <v>486</v>
      </c>
      <c r="AH81" s="246" t="s">
        <v>486</v>
      </c>
      <c r="AI81" s="246" t="s">
        <v>486</v>
      </c>
      <c r="AJ81" s="246" t="s">
        <v>486</v>
      </c>
      <c r="AK81" s="246" t="s">
        <v>486</v>
      </c>
      <c r="AL81" s="246" t="s">
        <v>491</v>
      </c>
      <c r="AM81" s="246" t="s">
        <v>486</v>
      </c>
      <c r="AN81" s="246" t="s">
        <v>486</v>
      </c>
      <c r="AO81" s="248" t="s">
        <v>486</v>
      </c>
      <c r="AP81" s="247" t="s">
        <v>486</v>
      </c>
      <c r="AQ81" s="249" t="s">
        <v>486</v>
      </c>
      <c r="AR81" s="246" t="s">
        <v>486</v>
      </c>
    </row>
    <row r="82" spans="1:44" ht="15" x14ac:dyDescent="0.25">
      <c r="A82" s="250" t="str">
        <f>HYPERLINK("http://www.ofsted.gov.uk/inspection-reports/find-inspection-report/provider/ELS/125814 ","Ofsted School Webpage")</f>
        <v>Ofsted School Webpage</v>
      </c>
      <c r="B82" s="251">
        <v>125814</v>
      </c>
      <c r="C82" s="251">
        <v>8956000</v>
      </c>
      <c r="D82" s="251" t="s">
        <v>1655</v>
      </c>
      <c r="E82" s="251" t="s">
        <v>248</v>
      </c>
      <c r="F82" s="251" t="s">
        <v>93</v>
      </c>
      <c r="G82" s="251" t="s">
        <v>93</v>
      </c>
      <c r="H82" s="251" t="s">
        <v>93</v>
      </c>
      <c r="I82" s="251" t="s">
        <v>90</v>
      </c>
      <c r="J82" s="251" t="s">
        <v>1490</v>
      </c>
      <c r="K82" s="251" t="s">
        <v>486</v>
      </c>
      <c r="L82" s="251" t="s">
        <v>487</v>
      </c>
      <c r="M82" s="251" t="s">
        <v>495</v>
      </c>
      <c r="N82" s="251" t="s">
        <v>495</v>
      </c>
      <c r="O82" s="251" t="s">
        <v>985</v>
      </c>
      <c r="P82" s="251" t="s">
        <v>1656</v>
      </c>
      <c r="Q82" s="252">
        <v>10006079</v>
      </c>
      <c r="R82" s="253">
        <v>42633</v>
      </c>
      <c r="S82" s="253">
        <v>42635</v>
      </c>
      <c r="T82" s="253">
        <v>42663</v>
      </c>
      <c r="U82" s="251" t="s">
        <v>488</v>
      </c>
      <c r="V82" s="251">
        <v>1</v>
      </c>
      <c r="W82" s="251" t="s">
        <v>219</v>
      </c>
      <c r="X82" s="251">
        <v>1</v>
      </c>
      <c r="Y82" s="251">
        <v>1</v>
      </c>
      <c r="Z82" s="251">
        <v>1</v>
      </c>
      <c r="AA82" s="251">
        <v>1</v>
      </c>
      <c r="AB82" s="251" t="s">
        <v>486</v>
      </c>
      <c r="AC82" s="251">
        <v>2</v>
      </c>
      <c r="AD82" s="251" t="s">
        <v>486</v>
      </c>
      <c r="AE82" s="251" t="s">
        <v>486</v>
      </c>
      <c r="AF82" s="251" t="s">
        <v>486</v>
      </c>
      <c r="AG82" s="251" t="s">
        <v>486</v>
      </c>
      <c r="AH82" s="251" t="s">
        <v>486</v>
      </c>
      <c r="AI82" s="251" t="s">
        <v>486</v>
      </c>
      <c r="AJ82" s="251" t="s">
        <v>486</v>
      </c>
      <c r="AK82" s="251" t="s">
        <v>486</v>
      </c>
      <c r="AL82" s="251" t="s">
        <v>491</v>
      </c>
      <c r="AM82" s="251" t="s">
        <v>486</v>
      </c>
      <c r="AN82" s="251" t="s">
        <v>486</v>
      </c>
      <c r="AO82" s="253" t="s">
        <v>486</v>
      </c>
      <c r="AP82" s="252" t="s">
        <v>486</v>
      </c>
      <c r="AQ82" s="254" t="s">
        <v>486</v>
      </c>
      <c r="AR82" s="251" t="s">
        <v>486</v>
      </c>
    </row>
    <row r="83" spans="1:44" ht="15" x14ac:dyDescent="0.25">
      <c r="A83" s="245" t="str">
        <f>HYPERLINK("http://www.ofsted.gov.uk/inspection-reports/find-inspection-report/provider/ELS/131575 ","Ofsted School Webpage")</f>
        <v>Ofsted School Webpage</v>
      </c>
      <c r="B83" s="246">
        <v>131575</v>
      </c>
      <c r="C83" s="246">
        <v>8886094</v>
      </c>
      <c r="D83" s="246" t="s">
        <v>1657</v>
      </c>
      <c r="E83" s="246" t="s">
        <v>248</v>
      </c>
      <c r="F83" s="246" t="s">
        <v>93</v>
      </c>
      <c r="G83" s="246" t="s">
        <v>93</v>
      </c>
      <c r="H83" s="246" t="s">
        <v>93</v>
      </c>
      <c r="I83" s="246" t="s">
        <v>90</v>
      </c>
      <c r="J83" s="246" t="s">
        <v>1490</v>
      </c>
      <c r="K83" s="246" t="s">
        <v>486</v>
      </c>
      <c r="L83" s="246" t="s">
        <v>487</v>
      </c>
      <c r="M83" s="246" t="s">
        <v>495</v>
      </c>
      <c r="N83" s="246" t="s">
        <v>495</v>
      </c>
      <c r="O83" s="246" t="s">
        <v>534</v>
      </c>
      <c r="P83" s="246" t="s">
        <v>1658</v>
      </c>
      <c r="Q83" s="247">
        <v>10012971</v>
      </c>
      <c r="R83" s="248">
        <v>42633</v>
      </c>
      <c r="S83" s="248">
        <v>42635</v>
      </c>
      <c r="T83" s="248">
        <v>42660</v>
      </c>
      <c r="U83" s="246" t="s">
        <v>488</v>
      </c>
      <c r="V83" s="246">
        <v>1</v>
      </c>
      <c r="W83" s="246" t="s">
        <v>219</v>
      </c>
      <c r="X83" s="246">
        <v>1</v>
      </c>
      <c r="Y83" s="246">
        <v>1</v>
      </c>
      <c r="Z83" s="246">
        <v>1</v>
      </c>
      <c r="AA83" s="246">
        <v>1</v>
      </c>
      <c r="AB83" s="246" t="s">
        <v>486</v>
      </c>
      <c r="AC83" s="246">
        <v>1</v>
      </c>
      <c r="AD83" s="246" t="s">
        <v>486</v>
      </c>
      <c r="AE83" s="246" t="s">
        <v>486</v>
      </c>
      <c r="AF83" s="246" t="s">
        <v>486</v>
      </c>
      <c r="AG83" s="246" t="s">
        <v>486</v>
      </c>
      <c r="AH83" s="246" t="s">
        <v>486</v>
      </c>
      <c r="AI83" s="246" t="s">
        <v>486</v>
      </c>
      <c r="AJ83" s="246" t="s">
        <v>486</v>
      </c>
      <c r="AK83" s="246" t="s">
        <v>486</v>
      </c>
      <c r="AL83" s="246" t="s">
        <v>491</v>
      </c>
      <c r="AM83" s="246" t="s">
        <v>486</v>
      </c>
      <c r="AN83" s="246" t="s">
        <v>486</v>
      </c>
      <c r="AO83" s="248" t="s">
        <v>486</v>
      </c>
      <c r="AP83" s="247" t="s">
        <v>486</v>
      </c>
      <c r="AQ83" s="249" t="s">
        <v>486</v>
      </c>
      <c r="AR83" s="246" t="s">
        <v>486</v>
      </c>
    </row>
    <row r="84" spans="1:44" ht="15" x14ac:dyDescent="0.25">
      <c r="A84" s="250" t="str">
        <f>HYPERLINK("http://www.ofsted.gov.uk/inspection-reports/find-inspection-report/provider/ELS/138868 ","Ofsted School Webpage")</f>
        <v>Ofsted School Webpage</v>
      </c>
      <c r="B84" s="251">
        <v>138868</v>
      </c>
      <c r="C84" s="251">
        <v>8886045</v>
      </c>
      <c r="D84" s="251" t="s">
        <v>1659</v>
      </c>
      <c r="E84" s="251" t="s">
        <v>248</v>
      </c>
      <c r="F84" s="251" t="s">
        <v>93</v>
      </c>
      <c r="G84" s="251" t="s">
        <v>93</v>
      </c>
      <c r="H84" s="251" t="s">
        <v>93</v>
      </c>
      <c r="I84" s="251" t="s">
        <v>90</v>
      </c>
      <c r="J84" s="251" t="s">
        <v>1490</v>
      </c>
      <c r="K84" s="251" t="s">
        <v>486</v>
      </c>
      <c r="L84" s="251" t="s">
        <v>487</v>
      </c>
      <c r="M84" s="251" t="s">
        <v>495</v>
      </c>
      <c r="N84" s="251" t="s">
        <v>495</v>
      </c>
      <c r="O84" s="251" t="s">
        <v>534</v>
      </c>
      <c r="P84" s="251" t="s">
        <v>1660</v>
      </c>
      <c r="Q84" s="252">
        <v>10020811</v>
      </c>
      <c r="R84" s="253">
        <v>42633</v>
      </c>
      <c r="S84" s="253">
        <v>42635</v>
      </c>
      <c r="T84" s="253">
        <v>42663</v>
      </c>
      <c r="U84" s="251" t="s">
        <v>488</v>
      </c>
      <c r="V84" s="251">
        <v>2</v>
      </c>
      <c r="W84" s="251" t="s">
        <v>219</v>
      </c>
      <c r="X84" s="251">
        <v>2</v>
      </c>
      <c r="Y84" s="251">
        <v>2</v>
      </c>
      <c r="Z84" s="251">
        <v>2</v>
      </c>
      <c r="AA84" s="251">
        <v>2</v>
      </c>
      <c r="AB84" s="251" t="s">
        <v>486</v>
      </c>
      <c r="AC84" s="251" t="s">
        <v>486</v>
      </c>
      <c r="AD84" s="251" t="s">
        <v>486</v>
      </c>
      <c r="AE84" s="251" t="s">
        <v>486</v>
      </c>
      <c r="AF84" s="251" t="s">
        <v>486</v>
      </c>
      <c r="AG84" s="251" t="s">
        <v>486</v>
      </c>
      <c r="AH84" s="251" t="s">
        <v>486</v>
      </c>
      <c r="AI84" s="251" t="s">
        <v>486</v>
      </c>
      <c r="AJ84" s="251" t="s">
        <v>486</v>
      </c>
      <c r="AK84" s="251" t="s">
        <v>486</v>
      </c>
      <c r="AL84" s="251" t="s">
        <v>491</v>
      </c>
      <c r="AM84" s="251" t="s">
        <v>486</v>
      </c>
      <c r="AN84" s="251" t="s">
        <v>486</v>
      </c>
      <c r="AO84" s="253" t="s">
        <v>486</v>
      </c>
      <c r="AP84" s="252" t="s">
        <v>486</v>
      </c>
      <c r="AQ84" s="254" t="s">
        <v>486</v>
      </c>
      <c r="AR84" s="251" t="s">
        <v>486</v>
      </c>
    </row>
    <row r="85" spans="1:44" ht="15" x14ac:dyDescent="0.25">
      <c r="A85" s="245" t="str">
        <f>HYPERLINK("http://www.ofsted.gov.uk/inspection-reports/find-inspection-report/provider/ELS/139017 ","Ofsted School Webpage")</f>
        <v>Ofsted School Webpage</v>
      </c>
      <c r="B85" s="246">
        <v>139017</v>
      </c>
      <c r="C85" s="246">
        <v>3506002</v>
      </c>
      <c r="D85" s="246" t="s">
        <v>1661</v>
      </c>
      <c r="E85" s="246" t="s">
        <v>247</v>
      </c>
      <c r="F85" s="246" t="s">
        <v>93</v>
      </c>
      <c r="G85" s="246" t="s">
        <v>84</v>
      </c>
      <c r="H85" s="246" t="s">
        <v>84</v>
      </c>
      <c r="I85" s="246" t="s">
        <v>84</v>
      </c>
      <c r="J85" s="246" t="s">
        <v>1490</v>
      </c>
      <c r="K85" s="246" t="s">
        <v>486</v>
      </c>
      <c r="L85" s="246" t="s">
        <v>487</v>
      </c>
      <c r="M85" s="246" t="s">
        <v>495</v>
      </c>
      <c r="N85" s="246" t="s">
        <v>495</v>
      </c>
      <c r="O85" s="246" t="s">
        <v>1169</v>
      </c>
      <c r="P85" s="246" t="s">
        <v>1662</v>
      </c>
      <c r="Q85" s="247">
        <v>10020751</v>
      </c>
      <c r="R85" s="248">
        <v>42633</v>
      </c>
      <c r="S85" s="248">
        <v>42635</v>
      </c>
      <c r="T85" s="248">
        <v>42656</v>
      </c>
      <c r="U85" s="246" t="s">
        <v>488</v>
      </c>
      <c r="V85" s="246">
        <v>2</v>
      </c>
      <c r="W85" s="246" t="s">
        <v>219</v>
      </c>
      <c r="X85" s="246">
        <v>2</v>
      </c>
      <c r="Y85" s="246">
        <v>1</v>
      </c>
      <c r="Z85" s="246">
        <v>2</v>
      </c>
      <c r="AA85" s="246">
        <v>2</v>
      </c>
      <c r="AB85" s="246">
        <v>2</v>
      </c>
      <c r="AC85" s="246" t="s">
        <v>486</v>
      </c>
      <c r="AD85" s="246" t="s">
        <v>486</v>
      </c>
      <c r="AE85" s="246" t="s">
        <v>486</v>
      </c>
      <c r="AF85" s="246" t="s">
        <v>486</v>
      </c>
      <c r="AG85" s="246" t="s">
        <v>486</v>
      </c>
      <c r="AH85" s="246" t="s">
        <v>486</v>
      </c>
      <c r="AI85" s="246" t="s">
        <v>486</v>
      </c>
      <c r="AJ85" s="246" t="s">
        <v>486</v>
      </c>
      <c r="AK85" s="246" t="s">
        <v>486</v>
      </c>
      <c r="AL85" s="246" t="s">
        <v>491</v>
      </c>
      <c r="AM85" s="246" t="s">
        <v>486</v>
      </c>
      <c r="AN85" s="246" t="s">
        <v>486</v>
      </c>
      <c r="AO85" s="248" t="s">
        <v>486</v>
      </c>
      <c r="AP85" s="247" t="s">
        <v>486</v>
      </c>
      <c r="AQ85" s="249" t="s">
        <v>486</v>
      </c>
      <c r="AR85" s="246" t="s">
        <v>486</v>
      </c>
    </row>
    <row r="86" spans="1:44" ht="15" x14ac:dyDescent="0.25">
      <c r="A86" s="250" t="str">
        <f>HYPERLINK("http://www.ofsted.gov.uk/inspection-reports/find-inspection-report/provider/ELS/139018 ","Ofsted School Webpage")</f>
        <v>Ofsted School Webpage</v>
      </c>
      <c r="B86" s="251">
        <v>139018</v>
      </c>
      <c r="C86" s="251">
        <v>8746004</v>
      </c>
      <c r="D86" s="251" t="s">
        <v>1663</v>
      </c>
      <c r="E86" s="251" t="s">
        <v>248</v>
      </c>
      <c r="F86" s="251" t="s">
        <v>93</v>
      </c>
      <c r="G86" s="251" t="s">
        <v>93</v>
      </c>
      <c r="H86" s="251" t="s">
        <v>93</v>
      </c>
      <c r="I86" s="251" t="s">
        <v>90</v>
      </c>
      <c r="J86" s="251" t="s">
        <v>1490</v>
      </c>
      <c r="K86" s="251" t="s">
        <v>486</v>
      </c>
      <c r="L86" s="251" t="s">
        <v>487</v>
      </c>
      <c r="M86" s="251" t="s">
        <v>516</v>
      </c>
      <c r="N86" s="251" t="s">
        <v>516</v>
      </c>
      <c r="O86" s="251" t="s">
        <v>1664</v>
      </c>
      <c r="P86" s="251" t="s">
        <v>1665</v>
      </c>
      <c r="Q86" s="252">
        <v>10020912</v>
      </c>
      <c r="R86" s="253">
        <v>42633</v>
      </c>
      <c r="S86" s="253">
        <v>42635</v>
      </c>
      <c r="T86" s="253">
        <v>42678</v>
      </c>
      <c r="U86" s="251" t="s">
        <v>2930</v>
      </c>
      <c r="V86" s="251">
        <v>2</v>
      </c>
      <c r="W86" s="251" t="s">
        <v>219</v>
      </c>
      <c r="X86" s="251">
        <v>2</v>
      </c>
      <c r="Y86" s="251">
        <v>2</v>
      </c>
      <c r="Z86" s="251">
        <v>2</v>
      </c>
      <c r="AA86" s="251">
        <v>2</v>
      </c>
      <c r="AB86" s="251" t="s">
        <v>486</v>
      </c>
      <c r="AC86" s="251">
        <v>2</v>
      </c>
      <c r="AD86" s="251" t="s">
        <v>486</v>
      </c>
      <c r="AE86" s="251" t="s">
        <v>486</v>
      </c>
      <c r="AF86" s="251" t="s">
        <v>486</v>
      </c>
      <c r="AG86" s="251" t="s">
        <v>486</v>
      </c>
      <c r="AH86" s="251" t="s">
        <v>486</v>
      </c>
      <c r="AI86" s="251" t="s">
        <v>486</v>
      </c>
      <c r="AJ86" s="251" t="s">
        <v>486</v>
      </c>
      <c r="AK86" s="251" t="s">
        <v>486</v>
      </c>
      <c r="AL86" s="251" t="s">
        <v>491</v>
      </c>
      <c r="AM86" s="251" t="s">
        <v>486</v>
      </c>
      <c r="AN86" s="251" t="s">
        <v>486</v>
      </c>
      <c r="AO86" s="253" t="s">
        <v>486</v>
      </c>
      <c r="AP86" s="252" t="s">
        <v>486</v>
      </c>
      <c r="AQ86" s="254" t="s">
        <v>486</v>
      </c>
      <c r="AR86" s="251" t="s">
        <v>486</v>
      </c>
    </row>
    <row r="87" spans="1:44" ht="15" x14ac:dyDescent="0.25">
      <c r="A87" s="245" t="str">
        <f>HYPERLINK("http://www.ofsted.gov.uk/inspection-reports/find-inspection-report/provider/ELS/117615 ","Ofsted School Webpage")</f>
        <v>Ofsted School Webpage</v>
      </c>
      <c r="B87" s="246">
        <v>117615</v>
      </c>
      <c r="C87" s="246">
        <v>9196034</v>
      </c>
      <c r="D87" s="246" t="s">
        <v>1666</v>
      </c>
      <c r="E87" s="246" t="s">
        <v>247</v>
      </c>
      <c r="F87" s="246" t="s">
        <v>93</v>
      </c>
      <c r="G87" s="246" t="s">
        <v>93</v>
      </c>
      <c r="H87" s="246" t="s">
        <v>93</v>
      </c>
      <c r="I87" s="246" t="s">
        <v>90</v>
      </c>
      <c r="J87" s="246" t="s">
        <v>1490</v>
      </c>
      <c r="K87" s="246" t="s">
        <v>486</v>
      </c>
      <c r="L87" s="246" t="s">
        <v>487</v>
      </c>
      <c r="M87" s="246" t="s">
        <v>516</v>
      </c>
      <c r="N87" s="246" t="s">
        <v>516</v>
      </c>
      <c r="O87" s="246" t="s">
        <v>556</v>
      </c>
      <c r="P87" s="246" t="s">
        <v>1667</v>
      </c>
      <c r="Q87" s="247">
        <v>10012935</v>
      </c>
      <c r="R87" s="248">
        <v>42640</v>
      </c>
      <c r="S87" s="248">
        <v>42642</v>
      </c>
      <c r="T87" s="248">
        <v>42681</v>
      </c>
      <c r="U87" s="246" t="s">
        <v>488</v>
      </c>
      <c r="V87" s="246">
        <v>2</v>
      </c>
      <c r="W87" s="246" t="s">
        <v>219</v>
      </c>
      <c r="X87" s="246">
        <v>2</v>
      </c>
      <c r="Y87" s="246">
        <v>1</v>
      </c>
      <c r="Z87" s="246">
        <v>2</v>
      </c>
      <c r="AA87" s="246">
        <v>2</v>
      </c>
      <c r="AB87" s="246">
        <v>2</v>
      </c>
      <c r="AC87" s="246" t="s">
        <v>486</v>
      </c>
      <c r="AD87" s="246" t="s">
        <v>486</v>
      </c>
      <c r="AE87" s="246" t="s">
        <v>486</v>
      </c>
      <c r="AF87" s="246" t="s">
        <v>486</v>
      </c>
      <c r="AG87" s="246" t="s">
        <v>486</v>
      </c>
      <c r="AH87" s="246" t="s">
        <v>486</v>
      </c>
      <c r="AI87" s="246" t="s">
        <v>486</v>
      </c>
      <c r="AJ87" s="246" t="s">
        <v>486</v>
      </c>
      <c r="AK87" s="246" t="s">
        <v>486</v>
      </c>
      <c r="AL87" s="246" t="s">
        <v>491</v>
      </c>
      <c r="AM87" s="246" t="s">
        <v>486</v>
      </c>
      <c r="AN87" s="246" t="s">
        <v>486</v>
      </c>
      <c r="AO87" s="248" t="s">
        <v>486</v>
      </c>
      <c r="AP87" s="247" t="s">
        <v>486</v>
      </c>
      <c r="AQ87" s="249" t="s">
        <v>486</v>
      </c>
      <c r="AR87" s="246" t="s">
        <v>486</v>
      </c>
    </row>
    <row r="88" spans="1:44" ht="15" x14ac:dyDescent="0.25">
      <c r="A88" s="250" t="str">
        <f>HYPERLINK("http://www.ofsted.gov.uk/inspection-reports/find-inspection-report/provider/ELS/131181 ","Ofsted School Webpage")</f>
        <v>Ofsted School Webpage</v>
      </c>
      <c r="B88" s="251">
        <v>131181</v>
      </c>
      <c r="C88" s="251">
        <v>8866073</v>
      </c>
      <c r="D88" s="251" t="s">
        <v>1668</v>
      </c>
      <c r="E88" s="251" t="s">
        <v>247</v>
      </c>
      <c r="F88" s="251" t="s">
        <v>93</v>
      </c>
      <c r="G88" s="251" t="s">
        <v>71</v>
      </c>
      <c r="H88" s="251" t="s">
        <v>71</v>
      </c>
      <c r="I88" s="251" t="s">
        <v>71</v>
      </c>
      <c r="J88" s="251" t="s">
        <v>1490</v>
      </c>
      <c r="K88" s="251" t="s">
        <v>486</v>
      </c>
      <c r="L88" s="251" t="s">
        <v>487</v>
      </c>
      <c r="M88" s="251" t="s">
        <v>581</v>
      </c>
      <c r="N88" s="251" t="s">
        <v>581</v>
      </c>
      <c r="O88" s="251" t="s">
        <v>694</v>
      </c>
      <c r="P88" s="251" t="s">
        <v>1669</v>
      </c>
      <c r="Q88" s="252">
        <v>10018926</v>
      </c>
      <c r="R88" s="253">
        <v>42640</v>
      </c>
      <c r="S88" s="253">
        <v>42642</v>
      </c>
      <c r="T88" s="253">
        <v>42660</v>
      </c>
      <c r="U88" s="251" t="s">
        <v>488</v>
      </c>
      <c r="V88" s="251">
        <v>2</v>
      </c>
      <c r="W88" s="251" t="s">
        <v>219</v>
      </c>
      <c r="X88" s="251">
        <v>2</v>
      </c>
      <c r="Y88" s="251">
        <v>1</v>
      </c>
      <c r="Z88" s="251">
        <v>2</v>
      </c>
      <c r="AA88" s="251">
        <v>2</v>
      </c>
      <c r="AB88" s="251">
        <v>2</v>
      </c>
      <c r="AC88" s="251">
        <v>2</v>
      </c>
      <c r="AD88" s="251" t="s">
        <v>486</v>
      </c>
      <c r="AE88" s="251" t="s">
        <v>486</v>
      </c>
      <c r="AF88" s="251" t="s">
        <v>486</v>
      </c>
      <c r="AG88" s="251" t="s">
        <v>486</v>
      </c>
      <c r="AH88" s="251" t="s">
        <v>486</v>
      </c>
      <c r="AI88" s="251" t="s">
        <v>486</v>
      </c>
      <c r="AJ88" s="251" t="s">
        <v>486</v>
      </c>
      <c r="AK88" s="251" t="s">
        <v>486</v>
      </c>
      <c r="AL88" s="251" t="s">
        <v>491</v>
      </c>
      <c r="AM88" s="251" t="s">
        <v>486</v>
      </c>
      <c r="AN88" s="251" t="s">
        <v>486</v>
      </c>
      <c r="AO88" s="253" t="s">
        <v>486</v>
      </c>
      <c r="AP88" s="252" t="s">
        <v>486</v>
      </c>
      <c r="AQ88" s="254" t="s">
        <v>486</v>
      </c>
      <c r="AR88" s="251" t="s">
        <v>486</v>
      </c>
    </row>
    <row r="89" spans="1:44" ht="15" x14ac:dyDescent="0.25">
      <c r="A89" s="245" t="str">
        <f>HYPERLINK("http://www.ofsted.gov.uk/inspection-reports/find-inspection-report/provider/ELS/137334 ","Ofsted School Webpage")</f>
        <v>Ofsted School Webpage</v>
      </c>
      <c r="B89" s="246">
        <v>137334</v>
      </c>
      <c r="C89" s="246">
        <v>9316000</v>
      </c>
      <c r="D89" s="246" t="s">
        <v>1670</v>
      </c>
      <c r="E89" s="246" t="s">
        <v>248</v>
      </c>
      <c r="F89" s="246" t="s">
        <v>93</v>
      </c>
      <c r="G89" s="246" t="s">
        <v>93</v>
      </c>
      <c r="H89" s="246" t="s">
        <v>93</v>
      </c>
      <c r="I89" s="246" t="s">
        <v>90</v>
      </c>
      <c r="J89" s="246" t="s">
        <v>1490</v>
      </c>
      <c r="K89" s="246" t="s">
        <v>486</v>
      </c>
      <c r="L89" s="246" t="s">
        <v>487</v>
      </c>
      <c r="M89" s="246" t="s">
        <v>581</v>
      </c>
      <c r="N89" s="246" t="s">
        <v>581</v>
      </c>
      <c r="O89" s="246" t="s">
        <v>1150</v>
      </c>
      <c r="P89" s="246" t="s">
        <v>1671</v>
      </c>
      <c r="Q89" s="247">
        <v>10008614</v>
      </c>
      <c r="R89" s="248">
        <v>42640</v>
      </c>
      <c r="S89" s="248">
        <v>42642</v>
      </c>
      <c r="T89" s="248">
        <v>42675</v>
      </c>
      <c r="U89" s="246" t="s">
        <v>488</v>
      </c>
      <c r="V89" s="246">
        <v>2</v>
      </c>
      <c r="W89" s="246" t="s">
        <v>219</v>
      </c>
      <c r="X89" s="246">
        <v>2</v>
      </c>
      <c r="Y89" s="246">
        <v>2</v>
      </c>
      <c r="Z89" s="246">
        <v>2</v>
      </c>
      <c r="AA89" s="246">
        <v>2</v>
      </c>
      <c r="AB89" s="246" t="s">
        <v>486</v>
      </c>
      <c r="AC89" s="246">
        <v>2</v>
      </c>
      <c r="AD89" s="246" t="s">
        <v>486</v>
      </c>
      <c r="AE89" s="246" t="s">
        <v>486</v>
      </c>
      <c r="AF89" s="246" t="s">
        <v>486</v>
      </c>
      <c r="AG89" s="246" t="s">
        <v>486</v>
      </c>
      <c r="AH89" s="246" t="s">
        <v>486</v>
      </c>
      <c r="AI89" s="246" t="s">
        <v>486</v>
      </c>
      <c r="AJ89" s="246" t="s">
        <v>486</v>
      </c>
      <c r="AK89" s="246" t="s">
        <v>486</v>
      </c>
      <c r="AL89" s="246" t="s">
        <v>491</v>
      </c>
      <c r="AM89" s="246" t="s">
        <v>486</v>
      </c>
      <c r="AN89" s="246" t="s">
        <v>486</v>
      </c>
      <c r="AO89" s="248" t="s">
        <v>486</v>
      </c>
      <c r="AP89" s="247" t="s">
        <v>486</v>
      </c>
      <c r="AQ89" s="249" t="s">
        <v>486</v>
      </c>
      <c r="AR89" s="246" t="s">
        <v>486</v>
      </c>
    </row>
    <row r="90" spans="1:44" ht="15" x14ac:dyDescent="0.25">
      <c r="A90" s="250" t="str">
        <f>HYPERLINK("http://www.ofsted.gov.uk/inspection-reports/find-inspection-report/provider/ELS/135773 ","Ofsted School Webpage")</f>
        <v>Ofsted School Webpage</v>
      </c>
      <c r="B90" s="251">
        <v>135773</v>
      </c>
      <c r="C90" s="251">
        <v>8786061</v>
      </c>
      <c r="D90" s="251" t="s">
        <v>1336</v>
      </c>
      <c r="E90" s="251" t="s">
        <v>248</v>
      </c>
      <c r="F90" s="251" t="s">
        <v>93</v>
      </c>
      <c r="G90" s="251" t="s">
        <v>93</v>
      </c>
      <c r="H90" s="251" t="s">
        <v>93</v>
      </c>
      <c r="I90" s="251" t="s">
        <v>90</v>
      </c>
      <c r="J90" s="251" t="s">
        <v>1490</v>
      </c>
      <c r="K90" s="251" t="s">
        <v>486</v>
      </c>
      <c r="L90" s="251" t="s">
        <v>487</v>
      </c>
      <c r="M90" s="251" t="s">
        <v>483</v>
      </c>
      <c r="N90" s="251" t="s">
        <v>483</v>
      </c>
      <c r="O90" s="251" t="s">
        <v>747</v>
      </c>
      <c r="P90" s="251" t="s">
        <v>1337</v>
      </c>
      <c r="Q90" s="252">
        <v>10008888</v>
      </c>
      <c r="R90" s="253">
        <v>42647</v>
      </c>
      <c r="S90" s="253">
        <v>42649</v>
      </c>
      <c r="T90" s="253">
        <v>42692</v>
      </c>
      <c r="U90" s="251" t="s">
        <v>488</v>
      </c>
      <c r="V90" s="251">
        <v>2</v>
      </c>
      <c r="W90" s="251" t="s">
        <v>219</v>
      </c>
      <c r="X90" s="251">
        <v>2</v>
      </c>
      <c r="Y90" s="251">
        <v>2</v>
      </c>
      <c r="Z90" s="251">
        <v>2</v>
      </c>
      <c r="AA90" s="251">
        <v>2</v>
      </c>
      <c r="AB90" s="251" t="s">
        <v>486</v>
      </c>
      <c r="AC90" s="251" t="s">
        <v>486</v>
      </c>
      <c r="AD90" s="251" t="s">
        <v>486</v>
      </c>
      <c r="AE90" s="251" t="s">
        <v>486</v>
      </c>
      <c r="AF90" s="251" t="s">
        <v>486</v>
      </c>
      <c r="AG90" s="251" t="s">
        <v>486</v>
      </c>
      <c r="AH90" s="251" t="s">
        <v>486</v>
      </c>
      <c r="AI90" s="251" t="s">
        <v>486</v>
      </c>
      <c r="AJ90" s="251" t="s">
        <v>486</v>
      </c>
      <c r="AK90" s="251" t="s">
        <v>486</v>
      </c>
      <c r="AL90" s="251" t="s">
        <v>491</v>
      </c>
      <c r="AM90" s="251" t="s">
        <v>486</v>
      </c>
      <c r="AN90" s="251" t="s">
        <v>486</v>
      </c>
      <c r="AO90" s="253" t="s">
        <v>486</v>
      </c>
      <c r="AP90" s="252" t="s">
        <v>486</v>
      </c>
      <c r="AQ90" s="254" t="s">
        <v>486</v>
      </c>
      <c r="AR90" s="251" t="s">
        <v>486</v>
      </c>
    </row>
    <row r="91" spans="1:44" ht="15" x14ac:dyDescent="0.25">
      <c r="A91" s="245" t="str">
        <f>HYPERLINK("http://www.ofsted.gov.uk/inspection-reports/find-inspection-report/provider/ELS/135834 ","Ofsted School Webpage")</f>
        <v>Ofsted School Webpage</v>
      </c>
      <c r="B91" s="246">
        <v>135834</v>
      </c>
      <c r="C91" s="246">
        <v>8406010</v>
      </c>
      <c r="D91" s="246" t="s">
        <v>1672</v>
      </c>
      <c r="E91" s="246" t="s">
        <v>248</v>
      </c>
      <c r="F91" s="246" t="s">
        <v>93</v>
      </c>
      <c r="G91" s="246" t="s">
        <v>93</v>
      </c>
      <c r="H91" s="246" t="s">
        <v>93</v>
      </c>
      <c r="I91" s="246" t="s">
        <v>90</v>
      </c>
      <c r="J91" s="246" t="s">
        <v>1490</v>
      </c>
      <c r="K91" s="246" t="s">
        <v>486</v>
      </c>
      <c r="L91" s="246" t="s">
        <v>487</v>
      </c>
      <c r="M91" s="246" t="s">
        <v>523</v>
      </c>
      <c r="N91" s="246" t="s">
        <v>539</v>
      </c>
      <c r="O91" s="246" t="s">
        <v>649</v>
      </c>
      <c r="P91" s="246" t="s">
        <v>1673</v>
      </c>
      <c r="Q91" s="247">
        <v>10020940</v>
      </c>
      <c r="R91" s="248">
        <v>42647</v>
      </c>
      <c r="S91" s="248">
        <v>42649</v>
      </c>
      <c r="T91" s="248">
        <v>42705</v>
      </c>
      <c r="U91" s="246" t="s">
        <v>2930</v>
      </c>
      <c r="V91" s="246">
        <v>1</v>
      </c>
      <c r="W91" s="246" t="s">
        <v>219</v>
      </c>
      <c r="X91" s="246">
        <v>1</v>
      </c>
      <c r="Y91" s="246">
        <v>1</v>
      </c>
      <c r="Z91" s="246">
        <v>1</v>
      </c>
      <c r="AA91" s="246">
        <v>1</v>
      </c>
      <c r="AB91" s="246" t="s">
        <v>486</v>
      </c>
      <c r="AC91" s="246" t="s">
        <v>486</v>
      </c>
      <c r="AD91" s="246" t="s">
        <v>486</v>
      </c>
      <c r="AE91" s="246" t="s">
        <v>486</v>
      </c>
      <c r="AF91" s="246" t="s">
        <v>486</v>
      </c>
      <c r="AG91" s="246" t="s">
        <v>486</v>
      </c>
      <c r="AH91" s="246" t="s">
        <v>486</v>
      </c>
      <c r="AI91" s="246" t="s">
        <v>486</v>
      </c>
      <c r="AJ91" s="246" t="s">
        <v>486</v>
      </c>
      <c r="AK91" s="246" t="s">
        <v>486</v>
      </c>
      <c r="AL91" s="246" t="s">
        <v>491</v>
      </c>
      <c r="AM91" s="246" t="s">
        <v>486</v>
      </c>
      <c r="AN91" s="246" t="s">
        <v>486</v>
      </c>
      <c r="AO91" s="248" t="s">
        <v>486</v>
      </c>
      <c r="AP91" s="247" t="s">
        <v>486</v>
      </c>
      <c r="AQ91" s="249" t="s">
        <v>486</v>
      </c>
      <c r="AR91" s="246" t="s">
        <v>486</v>
      </c>
    </row>
    <row r="92" spans="1:44" ht="15" x14ac:dyDescent="0.25">
      <c r="A92" s="250" t="str">
        <f>HYPERLINK("http://www.ofsted.gov.uk/inspection-reports/find-inspection-report/provider/ELS/131064 ","Ofsted School Webpage")</f>
        <v>Ofsted School Webpage</v>
      </c>
      <c r="B92" s="251">
        <v>131064</v>
      </c>
      <c r="C92" s="251">
        <v>9316125</v>
      </c>
      <c r="D92" s="251" t="s">
        <v>1674</v>
      </c>
      <c r="E92" s="251" t="s">
        <v>248</v>
      </c>
      <c r="F92" s="251" t="s">
        <v>93</v>
      </c>
      <c r="G92" s="251" t="s">
        <v>93</v>
      </c>
      <c r="H92" s="251" t="s">
        <v>93</v>
      </c>
      <c r="I92" s="251" t="s">
        <v>90</v>
      </c>
      <c r="J92" s="251" t="s">
        <v>1490</v>
      </c>
      <c r="K92" s="251" t="s">
        <v>486</v>
      </c>
      <c r="L92" s="251" t="s">
        <v>487</v>
      </c>
      <c r="M92" s="251" t="s">
        <v>581</v>
      </c>
      <c r="N92" s="251" t="s">
        <v>581</v>
      </c>
      <c r="O92" s="251" t="s">
        <v>1150</v>
      </c>
      <c r="P92" s="251" t="s">
        <v>1671</v>
      </c>
      <c r="Q92" s="252">
        <v>10008615</v>
      </c>
      <c r="R92" s="253">
        <v>42648</v>
      </c>
      <c r="S92" s="253">
        <v>42650</v>
      </c>
      <c r="T92" s="253">
        <v>42682</v>
      </c>
      <c r="U92" s="251" t="s">
        <v>488</v>
      </c>
      <c r="V92" s="251">
        <v>2</v>
      </c>
      <c r="W92" s="251" t="s">
        <v>219</v>
      </c>
      <c r="X92" s="251">
        <v>2</v>
      </c>
      <c r="Y92" s="251">
        <v>2</v>
      </c>
      <c r="Z92" s="251">
        <v>2</v>
      </c>
      <c r="AA92" s="251">
        <v>2</v>
      </c>
      <c r="AB92" s="251" t="s">
        <v>486</v>
      </c>
      <c r="AC92" s="251" t="s">
        <v>486</v>
      </c>
      <c r="AD92" s="251" t="s">
        <v>486</v>
      </c>
      <c r="AE92" s="251" t="s">
        <v>486</v>
      </c>
      <c r="AF92" s="251" t="s">
        <v>486</v>
      </c>
      <c r="AG92" s="251" t="s">
        <v>486</v>
      </c>
      <c r="AH92" s="251" t="s">
        <v>486</v>
      </c>
      <c r="AI92" s="251" t="s">
        <v>486</v>
      </c>
      <c r="AJ92" s="251" t="s">
        <v>486</v>
      </c>
      <c r="AK92" s="251" t="s">
        <v>486</v>
      </c>
      <c r="AL92" s="251" t="s">
        <v>491</v>
      </c>
      <c r="AM92" s="251" t="s">
        <v>486</v>
      </c>
      <c r="AN92" s="251" t="s">
        <v>486</v>
      </c>
      <c r="AO92" s="253" t="s">
        <v>486</v>
      </c>
      <c r="AP92" s="252" t="s">
        <v>486</v>
      </c>
      <c r="AQ92" s="254" t="s">
        <v>486</v>
      </c>
      <c r="AR92" s="251" t="s">
        <v>486</v>
      </c>
    </row>
    <row r="93" spans="1:44" ht="15" x14ac:dyDescent="0.25">
      <c r="A93" s="245" t="str">
        <f>HYPERLINK("http://www.ofsted.gov.uk/inspection-reports/find-inspection-report/provider/ELS/141888 ","Ofsted School Webpage")</f>
        <v>Ofsted School Webpage</v>
      </c>
      <c r="B93" s="246">
        <v>141888</v>
      </c>
      <c r="C93" s="246">
        <v>3406003</v>
      </c>
      <c r="D93" s="246" t="s">
        <v>1675</v>
      </c>
      <c r="E93" s="246" t="s">
        <v>248</v>
      </c>
      <c r="F93" s="246" t="s">
        <v>93</v>
      </c>
      <c r="G93" s="246" t="s">
        <v>93</v>
      </c>
      <c r="H93" s="246" t="s">
        <v>93</v>
      </c>
      <c r="I93" s="246" t="s">
        <v>90</v>
      </c>
      <c r="J93" s="246" t="s">
        <v>1490</v>
      </c>
      <c r="K93" s="246" t="s">
        <v>486</v>
      </c>
      <c r="L93" s="246" t="s">
        <v>487</v>
      </c>
      <c r="M93" s="246" t="s">
        <v>495</v>
      </c>
      <c r="N93" s="246" t="s">
        <v>495</v>
      </c>
      <c r="O93" s="246" t="s">
        <v>559</v>
      </c>
      <c r="P93" s="246" t="s">
        <v>1676</v>
      </c>
      <c r="Q93" s="247">
        <v>10008626</v>
      </c>
      <c r="R93" s="248">
        <v>42648</v>
      </c>
      <c r="S93" s="248">
        <v>42650</v>
      </c>
      <c r="T93" s="248">
        <v>42695</v>
      </c>
      <c r="U93" s="246" t="s">
        <v>499</v>
      </c>
      <c r="V93" s="246">
        <v>2</v>
      </c>
      <c r="W93" s="246" t="s">
        <v>219</v>
      </c>
      <c r="X93" s="246">
        <v>2</v>
      </c>
      <c r="Y93" s="246">
        <v>2</v>
      </c>
      <c r="Z93" s="246">
        <v>2</v>
      </c>
      <c r="AA93" s="246">
        <v>2</v>
      </c>
      <c r="AB93" s="246" t="s">
        <v>486</v>
      </c>
      <c r="AC93" s="246" t="s">
        <v>486</v>
      </c>
      <c r="AD93" s="246" t="s">
        <v>486</v>
      </c>
      <c r="AE93" s="246" t="s">
        <v>486</v>
      </c>
      <c r="AF93" s="246" t="s">
        <v>486</v>
      </c>
      <c r="AG93" s="246" t="s">
        <v>486</v>
      </c>
      <c r="AH93" s="246" t="s">
        <v>486</v>
      </c>
      <c r="AI93" s="246" t="s">
        <v>486</v>
      </c>
      <c r="AJ93" s="246" t="s">
        <v>486</v>
      </c>
      <c r="AK93" s="246" t="s">
        <v>486</v>
      </c>
      <c r="AL93" s="246" t="s">
        <v>491</v>
      </c>
      <c r="AM93" s="246" t="s">
        <v>486</v>
      </c>
      <c r="AN93" s="246" t="s">
        <v>486</v>
      </c>
      <c r="AO93" s="248" t="s">
        <v>486</v>
      </c>
      <c r="AP93" s="247" t="s">
        <v>486</v>
      </c>
      <c r="AQ93" s="249" t="s">
        <v>486</v>
      </c>
      <c r="AR93" s="246" t="s">
        <v>486</v>
      </c>
    </row>
    <row r="94" spans="1:44" ht="15" x14ac:dyDescent="0.25">
      <c r="A94" s="250" t="str">
        <f>HYPERLINK("http://www.ofsted.gov.uk/inspection-reports/find-inspection-report/provider/ELS/130979 ","Ofsted School Webpage")</f>
        <v>Ofsted School Webpage</v>
      </c>
      <c r="B94" s="251">
        <v>130979</v>
      </c>
      <c r="C94" s="251">
        <v>8866110</v>
      </c>
      <c r="D94" s="251" t="s">
        <v>1677</v>
      </c>
      <c r="E94" s="251" t="s">
        <v>248</v>
      </c>
      <c r="F94" s="251" t="s">
        <v>93</v>
      </c>
      <c r="G94" s="251" t="s">
        <v>93</v>
      </c>
      <c r="H94" s="251" t="s">
        <v>93</v>
      </c>
      <c r="I94" s="251" t="s">
        <v>90</v>
      </c>
      <c r="J94" s="251" t="s">
        <v>1490</v>
      </c>
      <c r="K94" s="251" t="s">
        <v>486</v>
      </c>
      <c r="L94" s="251" t="s">
        <v>487</v>
      </c>
      <c r="M94" s="251" t="s">
        <v>581</v>
      </c>
      <c r="N94" s="251" t="s">
        <v>581</v>
      </c>
      <c r="O94" s="251" t="s">
        <v>694</v>
      </c>
      <c r="P94" s="251" t="s">
        <v>1678</v>
      </c>
      <c r="Q94" s="252">
        <v>10006114</v>
      </c>
      <c r="R94" s="253">
        <v>42654</v>
      </c>
      <c r="S94" s="253">
        <v>42656</v>
      </c>
      <c r="T94" s="253">
        <v>42689</v>
      </c>
      <c r="U94" s="251" t="s">
        <v>488</v>
      </c>
      <c r="V94" s="251">
        <v>2</v>
      </c>
      <c r="W94" s="251" t="s">
        <v>219</v>
      </c>
      <c r="X94" s="251">
        <v>2</v>
      </c>
      <c r="Y94" s="251">
        <v>2</v>
      </c>
      <c r="Z94" s="251">
        <v>2</v>
      </c>
      <c r="AA94" s="251">
        <v>2</v>
      </c>
      <c r="AB94" s="251" t="s">
        <v>486</v>
      </c>
      <c r="AC94" s="251" t="s">
        <v>486</v>
      </c>
      <c r="AD94" s="251" t="s">
        <v>486</v>
      </c>
      <c r="AE94" s="251" t="s">
        <v>486</v>
      </c>
      <c r="AF94" s="251" t="s">
        <v>486</v>
      </c>
      <c r="AG94" s="251" t="s">
        <v>486</v>
      </c>
      <c r="AH94" s="251" t="s">
        <v>486</v>
      </c>
      <c r="AI94" s="251" t="s">
        <v>486</v>
      </c>
      <c r="AJ94" s="251" t="s">
        <v>486</v>
      </c>
      <c r="AK94" s="251" t="s">
        <v>486</v>
      </c>
      <c r="AL94" s="251" t="s">
        <v>491</v>
      </c>
      <c r="AM94" s="251" t="s">
        <v>486</v>
      </c>
      <c r="AN94" s="251" t="s">
        <v>486</v>
      </c>
      <c r="AO94" s="253" t="s">
        <v>486</v>
      </c>
      <c r="AP94" s="252" t="s">
        <v>486</v>
      </c>
      <c r="AQ94" s="254" t="s">
        <v>486</v>
      </c>
      <c r="AR94" s="251" t="s">
        <v>486</v>
      </c>
    </row>
    <row r="95" spans="1:44" ht="15" x14ac:dyDescent="0.25">
      <c r="A95" s="245" t="str">
        <f>HYPERLINK("http://www.ofsted.gov.uk/inspection-reports/find-inspection-report/provider/ELS/135691 ","Ofsted School Webpage")</f>
        <v>Ofsted School Webpage</v>
      </c>
      <c r="B95" s="246">
        <v>135691</v>
      </c>
      <c r="C95" s="246">
        <v>9386228</v>
      </c>
      <c r="D95" s="246" t="s">
        <v>1679</v>
      </c>
      <c r="E95" s="246" t="s">
        <v>248</v>
      </c>
      <c r="F95" s="246" t="s">
        <v>93</v>
      </c>
      <c r="G95" s="246" t="s">
        <v>93</v>
      </c>
      <c r="H95" s="246" t="s">
        <v>93</v>
      </c>
      <c r="I95" s="246" t="s">
        <v>90</v>
      </c>
      <c r="J95" s="246" t="s">
        <v>1490</v>
      </c>
      <c r="K95" s="246" t="s">
        <v>486</v>
      </c>
      <c r="L95" s="246" t="s">
        <v>487</v>
      </c>
      <c r="M95" s="246" t="s">
        <v>581</v>
      </c>
      <c r="N95" s="246" t="s">
        <v>581</v>
      </c>
      <c r="O95" s="246" t="s">
        <v>829</v>
      </c>
      <c r="P95" s="246" t="s">
        <v>1680</v>
      </c>
      <c r="Q95" s="247">
        <v>10006052</v>
      </c>
      <c r="R95" s="248">
        <v>42654</v>
      </c>
      <c r="S95" s="248">
        <v>42656</v>
      </c>
      <c r="T95" s="248">
        <v>42690</v>
      </c>
      <c r="U95" s="246" t="s">
        <v>488</v>
      </c>
      <c r="V95" s="246">
        <v>2</v>
      </c>
      <c r="W95" s="246" t="s">
        <v>219</v>
      </c>
      <c r="X95" s="246">
        <v>2</v>
      </c>
      <c r="Y95" s="246">
        <v>2</v>
      </c>
      <c r="Z95" s="246">
        <v>2</v>
      </c>
      <c r="AA95" s="246">
        <v>2</v>
      </c>
      <c r="AB95" s="246" t="s">
        <v>486</v>
      </c>
      <c r="AC95" s="246" t="s">
        <v>486</v>
      </c>
      <c r="AD95" s="246" t="s">
        <v>486</v>
      </c>
      <c r="AE95" s="246" t="s">
        <v>486</v>
      </c>
      <c r="AF95" s="246" t="s">
        <v>486</v>
      </c>
      <c r="AG95" s="246" t="s">
        <v>486</v>
      </c>
      <c r="AH95" s="246" t="s">
        <v>486</v>
      </c>
      <c r="AI95" s="246" t="s">
        <v>486</v>
      </c>
      <c r="AJ95" s="246" t="s">
        <v>486</v>
      </c>
      <c r="AK95" s="246" t="s">
        <v>486</v>
      </c>
      <c r="AL95" s="246" t="s">
        <v>491</v>
      </c>
      <c r="AM95" s="246" t="s">
        <v>486</v>
      </c>
      <c r="AN95" s="246" t="s">
        <v>486</v>
      </c>
      <c r="AO95" s="248" t="s">
        <v>486</v>
      </c>
      <c r="AP95" s="247" t="s">
        <v>486</v>
      </c>
      <c r="AQ95" s="249" t="s">
        <v>486</v>
      </c>
      <c r="AR95" s="246" t="s">
        <v>486</v>
      </c>
    </row>
    <row r="96" spans="1:44" ht="15" x14ac:dyDescent="0.25">
      <c r="A96" s="250" t="str">
        <f>HYPERLINK("http://www.ofsted.gov.uk/inspection-reports/find-inspection-report/provider/ELS/142524 ","Ofsted School Webpage")</f>
        <v>Ofsted School Webpage</v>
      </c>
      <c r="B96" s="251">
        <v>142524</v>
      </c>
      <c r="C96" s="251">
        <v>3566006</v>
      </c>
      <c r="D96" s="251" t="s">
        <v>1681</v>
      </c>
      <c r="E96" s="251" t="s">
        <v>247</v>
      </c>
      <c r="F96" s="251" t="s">
        <v>93</v>
      </c>
      <c r="G96" s="251" t="s">
        <v>93</v>
      </c>
      <c r="H96" s="251" t="s">
        <v>93</v>
      </c>
      <c r="I96" s="251" t="s">
        <v>90</v>
      </c>
      <c r="J96" s="251" t="s">
        <v>1490</v>
      </c>
      <c r="K96" s="251" t="s">
        <v>486</v>
      </c>
      <c r="L96" s="251" t="s">
        <v>487</v>
      </c>
      <c r="M96" s="251" t="s">
        <v>495</v>
      </c>
      <c r="N96" s="251" t="s">
        <v>495</v>
      </c>
      <c r="O96" s="251" t="s">
        <v>934</v>
      </c>
      <c r="P96" s="251" t="s">
        <v>1682</v>
      </c>
      <c r="Q96" s="252">
        <v>10020877</v>
      </c>
      <c r="R96" s="253">
        <v>42654</v>
      </c>
      <c r="S96" s="253">
        <v>42656</v>
      </c>
      <c r="T96" s="253">
        <v>42696</v>
      </c>
      <c r="U96" s="251" t="s">
        <v>499</v>
      </c>
      <c r="V96" s="251">
        <v>2</v>
      </c>
      <c r="W96" s="251" t="s">
        <v>219</v>
      </c>
      <c r="X96" s="251">
        <v>2</v>
      </c>
      <c r="Y96" s="251">
        <v>2</v>
      </c>
      <c r="Z96" s="251">
        <v>2</v>
      </c>
      <c r="AA96" s="251">
        <v>2</v>
      </c>
      <c r="AB96" s="251" t="s">
        <v>486</v>
      </c>
      <c r="AC96" s="251" t="s">
        <v>486</v>
      </c>
      <c r="AD96" s="251" t="s">
        <v>486</v>
      </c>
      <c r="AE96" s="251" t="s">
        <v>486</v>
      </c>
      <c r="AF96" s="251" t="s">
        <v>486</v>
      </c>
      <c r="AG96" s="251" t="s">
        <v>486</v>
      </c>
      <c r="AH96" s="251" t="s">
        <v>486</v>
      </c>
      <c r="AI96" s="251" t="s">
        <v>486</v>
      </c>
      <c r="AJ96" s="251" t="s">
        <v>486</v>
      </c>
      <c r="AK96" s="251" t="s">
        <v>486</v>
      </c>
      <c r="AL96" s="251" t="s">
        <v>491</v>
      </c>
      <c r="AM96" s="251" t="s">
        <v>486</v>
      </c>
      <c r="AN96" s="251" t="s">
        <v>486</v>
      </c>
      <c r="AO96" s="253" t="s">
        <v>486</v>
      </c>
      <c r="AP96" s="252" t="s">
        <v>486</v>
      </c>
      <c r="AQ96" s="254" t="s">
        <v>486</v>
      </c>
      <c r="AR96" s="251" t="s">
        <v>486</v>
      </c>
    </row>
    <row r="97" spans="1:44" ht="15" x14ac:dyDescent="0.25">
      <c r="A97" s="245" t="str">
        <f>HYPERLINK("http://www.ofsted.gov.uk/inspection-reports/find-inspection-report/provider/ELS/119021 ","Ofsted School Webpage")</f>
        <v>Ofsted School Webpage</v>
      </c>
      <c r="B97" s="246">
        <v>119021</v>
      </c>
      <c r="C97" s="246">
        <v>8866070</v>
      </c>
      <c r="D97" s="246" t="s">
        <v>1683</v>
      </c>
      <c r="E97" s="246" t="s">
        <v>248</v>
      </c>
      <c r="F97" s="246" t="s">
        <v>93</v>
      </c>
      <c r="G97" s="246" t="s">
        <v>93</v>
      </c>
      <c r="H97" s="246" t="s">
        <v>93</v>
      </c>
      <c r="I97" s="246" t="s">
        <v>90</v>
      </c>
      <c r="J97" s="246" t="s">
        <v>1490</v>
      </c>
      <c r="K97" s="246" t="s">
        <v>486</v>
      </c>
      <c r="L97" s="246" t="s">
        <v>487</v>
      </c>
      <c r="M97" s="246" t="s">
        <v>581</v>
      </c>
      <c r="N97" s="246" t="s">
        <v>581</v>
      </c>
      <c r="O97" s="246" t="s">
        <v>694</v>
      </c>
      <c r="P97" s="246" t="s">
        <v>1684</v>
      </c>
      <c r="Q97" s="247">
        <v>10008524</v>
      </c>
      <c r="R97" s="248">
        <v>42661</v>
      </c>
      <c r="S97" s="248">
        <v>42663</v>
      </c>
      <c r="T97" s="248">
        <v>42688</v>
      </c>
      <c r="U97" s="246" t="s">
        <v>488</v>
      </c>
      <c r="V97" s="246">
        <v>2</v>
      </c>
      <c r="W97" s="246" t="s">
        <v>219</v>
      </c>
      <c r="X97" s="246">
        <v>2</v>
      </c>
      <c r="Y97" s="246">
        <v>2</v>
      </c>
      <c r="Z97" s="246">
        <v>2</v>
      </c>
      <c r="AA97" s="246">
        <v>2</v>
      </c>
      <c r="AB97" s="246" t="s">
        <v>486</v>
      </c>
      <c r="AC97" s="246">
        <v>2</v>
      </c>
      <c r="AD97" s="246" t="s">
        <v>486</v>
      </c>
      <c r="AE97" s="246" t="s">
        <v>486</v>
      </c>
      <c r="AF97" s="246" t="s">
        <v>486</v>
      </c>
      <c r="AG97" s="246" t="s">
        <v>486</v>
      </c>
      <c r="AH97" s="246" t="s">
        <v>486</v>
      </c>
      <c r="AI97" s="246" t="s">
        <v>486</v>
      </c>
      <c r="AJ97" s="246" t="s">
        <v>486</v>
      </c>
      <c r="AK97" s="246" t="s">
        <v>486</v>
      </c>
      <c r="AL97" s="246" t="s">
        <v>491</v>
      </c>
      <c r="AM97" s="246" t="s">
        <v>486</v>
      </c>
      <c r="AN97" s="246" t="s">
        <v>486</v>
      </c>
      <c r="AO97" s="248" t="s">
        <v>486</v>
      </c>
      <c r="AP97" s="247" t="s">
        <v>486</v>
      </c>
      <c r="AQ97" s="249" t="s">
        <v>486</v>
      </c>
      <c r="AR97" s="246" t="s">
        <v>486</v>
      </c>
    </row>
    <row r="98" spans="1:44" ht="15" x14ac:dyDescent="0.25">
      <c r="A98" s="250" t="str">
        <f>HYPERLINK("http://www.ofsted.gov.uk/inspection-reports/find-inspection-report/provider/ELS/130902 ","Ofsted School Webpage")</f>
        <v>Ofsted School Webpage</v>
      </c>
      <c r="B98" s="251">
        <v>130902</v>
      </c>
      <c r="C98" s="251">
        <v>8886096</v>
      </c>
      <c r="D98" s="251" t="s">
        <v>1685</v>
      </c>
      <c r="E98" s="251" t="s">
        <v>248</v>
      </c>
      <c r="F98" s="251" t="s">
        <v>93</v>
      </c>
      <c r="G98" s="251" t="s">
        <v>93</v>
      </c>
      <c r="H98" s="251" t="s">
        <v>93</v>
      </c>
      <c r="I98" s="251" t="s">
        <v>90</v>
      </c>
      <c r="J98" s="251" t="s">
        <v>1490</v>
      </c>
      <c r="K98" s="251" t="s">
        <v>486</v>
      </c>
      <c r="L98" s="251" t="s">
        <v>487</v>
      </c>
      <c r="M98" s="251" t="s">
        <v>495</v>
      </c>
      <c r="N98" s="251" t="s">
        <v>495</v>
      </c>
      <c r="O98" s="251" t="s">
        <v>534</v>
      </c>
      <c r="P98" s="251" t="s">
        <v>932</v>
      </c>
      <c r="Q98" s="252">
        <v>10006077</v>
      </c>
      <c r="R98" s="253">
        <v>42661</v>
      </c>
      <c r="S98" s="253">
        <v>42663</v>
      </c>
      <c r="T98" s="253">
        <v>42696</v>
      </c>
      <c r="U98" s="251" t="s">
        <v>488</v>
      </c>
      <c r="V98" s="251">
        <v>2</v>
      </c>
      <c r="W98" s="251" t="s">
        <v>219</v>
      </c>
      <c r="X98" s="251">
        <v>2</v>
      </c>
      <c r="Y98" s="251">
        <v>2</v>
      </c>
      <c r="Z98" s="251">
        <v>2</v>
      </c>
      <c r="AA98" s="251">
        <v>2</v>
      </c>
      <c r="AB98" s="251" t="s">
        <v>486</v>
      </c>
      <c r="AC98" s="251" t="s">
        <v>486</v>
      </c>
      <c r="AD98" s="251" t="s">
        <v>486</v>
      </c>
      <c r="AE98" s="251" t="s">
        <v>486</v>
      </c>
      <c r="AF98" s="251" t="s">
        <v>486</v>
      </c>
      <c r="AG98" s="251" t="s">
        <v>486</v>
      </c>
      <c r="AH98" s="251" t="s">
        <v>486</v>
      </c>
      <c r="AI98" s="251" t="s">
        <v>486</v>
      </c>
      <c r="AJ98" s="251" t="s">
        <v>486</v>
      </c>
      <c r="AK98" s="251" t="s">
        <v>486</v>
      </c>
      <c r="AL98" s="251" t="s">
        <v>491</v>
      </c>
      <c r="AM98" s="251" t="s">
        <v>486</v>
      </c>
      <c r="AN98" s="251" t="s">
        <v>486</v>
      </c>
      <c r="AO98" s="253" t="s">
        <v>486</v>
      </c>
      <c r="AP98" s="252" t="s">
        <v>486</v>
      </c>
      <c r="AQ98" s="254" t="s">
        <v>486</v>
      </c>
      <c r="AR98" s="251" t="s">
        <v>486</v>
      </c>
    </row>
    <row r="99" spans="1:44" ht="15" x14ac:dyDescent="0.25">
      <c r="A99" s="245" t="str">
        <f>HYPERLINK("http://www.ofsted.gov.uk/inspection-reports/find-inspection-report/provider/ELS/131751 ","Ofsted School Webpage")</f>
        <v>Ofsted School Webpage</v>
      </c>
      <c r="B99" s="246">
        <v>131751</v>
      </c>
      <c r="C99" s="246">
        <v>3536019</v>
      </c>
      <c r="D99" s="246" t="s">
        <v>1686</v>
      </c>
      <c r="E99" s="246" t="s">
        <v>248</v>
      </c>
      <c r="F99" s="246" t="s">
        <v>93</v>
      </c>
      <c r="G99" s="246" t="s">
        <v>93</v>
      </c>
      <c r="H99" s="246" t="s">
        <v>93</v>
      </c>
      <c r="I99" s="246" t="s">
        <v>90</v>
      </c>
      <c r="J99" s="246" t="s">
        <v>1490</v>
      </c>
      <c r="K99" s="246" t="s">
        <v>486</v>
      </c>
      <c r="L99" s="246" t="s">
        <v>487</v>
      </c>
      <c r="M99" s="246" t="s">
        <v>495</v>
      </c>
      <c r="N99" s="246" t="s">
        <v>495</v>
      </c>
      <c r="O99" s="246" t="s">
        <v>880</v>
      </c>
      <c r="P99" s="246" t="s">
        <v>1687</v>
      </c>
      <c r="Q99" s="247">
        <v>10012866</v>
      </c>
      <c r="R99" s="248">
        <v>42661</v>
      </c>
      <c r="S99" s="248">
        <v>42663</v>
      </c>
      <c r="T99" s="248">
        <v>42695</v>
      </c>
      <c r="U99" s="246" t="s">
        <v>488</v>
      </c>
      <c r="V99" s="246">
        <v>2</v>
      </c>
      <c r="W99" s="246" t="s">
        <v>219</v>
      </c>
      <c r="X99" s="246">
        <v>2</v>
      </c>
      <c r="Y99" s="246">
        <v>2</v>
      </c>
      <c r="Z99" s="246">
        <v>2</v>
      </c>
      <c r="AA99" s="246">
        <v>2</v>
      </c>
      <c r="AB99" s="246" t="s">
        <v>486</v>
      </c>
      <c r="AC99" s="246" t="s">
        <v>486</v>
      </c>
      <c r="AD99" s="246" t="s">
        <v>486</v>
      </c>
      <c r="AE99" s="246" t="s">
        <v>486</v>
      </c>
      <c r="AF99" s="246" t="s">
        <v>486</v>
      </c>
      <c r="AG99" s="246" t="s">
        <v>486</v>
      </c>
      <c r="AH99" s="246" t="s">
        <v>486</v>
      </c>
      <c r="AI99" s="246" t="s">
        <v>486</v>
      </c>
      <c r="AJ99" s="246" t="s">
        <v>486</v>
      </c>
      <c r="AK99" s="246" t="s">
        <v>486</v>
      </c>
      <c r="AL99" s="246" t="s">
        <v>491</v>
      </c>
      <c r="AM99" s="246" t="s">
        <v>486</v>
      </c>
      <c r="AN99" s="246" t="s">
        <v>486</v>
      </c>
      <c r="AO99" s="248" t="s">
        <v>486</v>
      </c>
      <c r="AP99" s="247" t="s">
        <v>486</v>
      </c>
      <c r="AQ99" s="249" t="s">
        <v>486</v>
      </c>
      <c r="AR99" s="246" t="s">
        <v>486</v>
      </c>
    </row>
    <row r="100" spans="1:44" ht="15" x14ac:dyDescent="0.25">
      <c r="A100" s="250" t="str">
        <f>HYPERLINK("http://www.ofsted.gov.uk/inspection-reports/find-inspection-report/provider/ELS/131791 ","Ofsted School Webpage")</f>
        <v>Ofsted School Webpage</v>
      </c>
      <c r="B100" s="251">
        <v>131791</v>
      </c>
      <c r="C100" s="251">
        <v>8966027</v>
      </c>
      <c r="D100" s="251" t="s">
        <v>1688</v>
      </c>
      <c r="E100" s="251" t="s">
        <v>247</v>
      </c>
      <c r="F100" s="251" t="s">
        <v>71</v>
      </c>
      <c r="G100" s="251" t="s">
        <v>71</v>
      </c>
      <c r="H100" s="251" t="s">
        <v>71</v>
      </c>
      <c r="I100" s="251" t="s">
        <v>71</v>
      </c>
      <c r="J100" s="251" t="s">
        <v>1490</v>
      </c>
      <c r="K100" s="251" t="s">
        <v>486</v>
      </c>
      <c r="L100" s="251" t="s">
        <v>487</v>
      </c>
      <c r="M100" s="251" t="s">
        <v>495</v>
      </c>
      <c r="N100" s="251" t="s">
        <v>495</v>
      </c>
      <c r="O100" s="251" t="s">
        <v>1061</v>
      </c>
      <c r="P100" s="251" t="s">
        <v>1689</v>
      </c>
      <c r="Q100" s="252">
        <v>10020947</v>
      </c>
      <c r="R100" s="253">
        <v>42661</v>
      </c>
      <c r="S100" s="253">
        <v>42663</v>
      </c>
      <c r="T100" s="253">
        <v>42774</v>
      </c>
      <c r="U100" s="251" t="s">
        <v>488</v>
      </c>
      <c r="V100" s="251">
        <v>4</v>
      </c>
      <c r="W100" s="251" t="s">
        <v>220</v>
      </c>
      <c r="X100" s="251">
        <v>4</v>
      </c>
      <c r="Y100" s="251">
        <v>4</v>
      </c>
      <c r="Z100" s="251">
        <v>2</v>
      </c>
      <c r="AA100" s="251">
        <v>2</v>
      </c>
      <c r="AB100" s="251" t="s">
        <v>486</v>
      </c>
      <c r="AC100" s="251" t="s">
        <v>486</v>
      </c>
      <c r="AD100" s="251" t="s">
        <v>486</v>
      </c>
      <c r="AE100" s="251" t="s">
        <v>486</v>
      </c>
      <c r="AF100" s="251" t="s">
        <v>486</v>
      </c>
      <c r="AG100" s="251" t="s">
        <v>486</v>
      </c>
      <c r="AH100" s="251" t="s">
        <v>486</v>
      </c>
      <c r="AI100" s="251" t="s">
        <v>486</v>
      </c>
      <c r="AJ100" s="251" t="s">
        <v>486</v>
      </c>
      <c r="AK100" s="251" t="s">
        <v>486</v>
      </c>
      <c r="AL100" s="251" t="s">
        <v>545</v>
      </c>
      <c r="AM100" s="251">
        <v>10045464</v>
      </c>
      <c r="AN100" s="251" t="s">
        <v>1109</v>
      </c>
      <c r="AO100" s="253">
        <v>43131</v>
      </c>
      <c r="AP100" s="252" t="s">
        <v>1690</v>
      </c>
      <c r="AQ100" s="254">
        <v>43178</v>
      </c>
      <c r="AR100" s="251" t="s">
        <v>1110</v>
      </c>
    </row>
    <row r="101" spans="1:44" ht="15" x14ac:dyDescent="0.25">
      <c r="A101" s="245" t="str">
        <f>HYPERLINK("http://www.ofsted.gov.uk/inspection-reports/find-inspection-report/provider/ELS/135187 ","Ofsted School Webpage")</f>
        <v>Ofsted School Webpage</v>
      </c>
      <c r="B101" s="246">
        <v>135187</v>
      </c>
      <c r="C101" s="246">
        <v>8306034</v>
      </c>
      <c r="D101" s="246" t="s">
        <v>1691</v>
      </c>
      <c r="E101" s="246" t="s">
        <v>248</v>
      </c>
      <c r="F101" s="246" t="s">
        <v>93</v>
      </c>
      <c r="G101" s="246" t="s">
        <v>93</v>
      </c>
      <c r="H101" s="246" t="s">
        <v>93</v>
      </c>
      <c r="I101" s="246" t="s">
        <v>90</v>
      </c>
      <c r="J101" s="246" t="s">
        <v>1490</v>
      </c>
      <c r="K101" s="246" t="s">
        <v>486</v>
      </c>
      <c r="L101" s="246" t="s">
        <v>487</v>
      </c>
      <c r="M101" s="246" t="s">
        <v>572</v>
      </c>
      <c r="N101" s="246" t="s">
        <v>572</v>
      </c>
      <c r="O101" s="246" t="s">
        <v>573</v>
      </c>
      <c r="P101" s="246" t="s">
        <v>1692</v>
      </c>
      <c r="Q101" s="247">
        <v>10020753</v>
      </c>
      <c r="R101" s="248">
        <v>42661</v>
      </c>
      <c r="S101" s="248">
        <v>42663</v>
      </c>
      <c r="T101" s="248">
        <v>42697</v>
      </c>
      <c r="U101" s="246" t="s">
        <v>2930</v>
      </c>
      <c r="V101" s="246">
        <v>2</v>
      </c>
      <c r="W101" s="246" t="s">
        <v>219</v>
      </c>
      <c r="X101" s="246">
        <v>2</v>
      </c>
      <c r="Y101" s="246">
        <v>2</v>
      </c>
      <c r="Z101" s="246">
        <v>2</v>
      </c>
      <c r="AA101" s="246">
        <v>2</v>
      </c>
      <c r="AB101" s="246" t="s">
        <v>486</v>
      </c>
      <c r="AC101" s="246" t="s">
        <v>486</v>
      </c>
      <c r="AD101" s="246" t="s">
        <v>486</v>
      </c>
      <c r="AE101" s="246" t="s">
        <v>486</v>
      </c>
      <c r="AF101" s="246" t="s">
        <v>486</v>
      </c>
      <c r="AG101" s="246" t="s">
        <v>486</v>
      </c>
      <c r="AH101" s="246" t="s">
        <v>486</v>
      </c>
      <c r="AI101" s="246" t="s">
        <v>486</v>
      </c>
      <c r="AJ101" s="246" t="s">
        <v>486</v>
      </c>
      <c r="AK101" s="246" t="s">
        <v>486</v>
      </c>
      <c r="AL101" s="246" t="s">
        <v>491</v>
      </c>
      <c r="AM101" s="246" t="s">
        <v>486</v>
      </c>
      <c r="AN101" s="246" t="s">
        <v>486</v>
      </c>
      <c r="AO101" s="248" t="s">
        <v>486</v>
      </c>
      <c r="AP101" s="247" t="s">
        <v>486</v>
      </c>
      <c r="AQ101" s="249" t="s">
        <v>486</v>
      </c>
      <c r="AR101" s="246" t="s">
        <v>486</v>
      </c>
    </row>
    <row r="102" spans="1:44" ht="15" x14ac:dyDescent="0.25">
      <c r="A102" s="250" t="str">
        <f>HYPERLINK("http://www.ofsted.gov.uk/inspection-reports/find-inspection-report/provider/ELS/132119 ","Ofsted School Webpage")</f>
        <v>Ofsted School Webpage</v>
      </c>
      <c r="B102" s="251">
        <v>132119</v>
      </c>
      <c r="C102" s="251">
        <v>3416046</v>
      </c>
      <c r="D102" s="251" t="s">
        <v>1693</v>
      </c>
      <c r="E102" s="251" t="s">
        <v>247</v>
      </c>
      <c r="F102" s="251" t="s">
        <v>93</v>
      </c>
      <c r="G102" s="251" t="s">
        <v>91</v>
      </c>
      <c r="H102" s="251" t="s">
        <v>91</v>
      </c>
      <c r="I102" s="251" t="s">
        <v>90</v>
      </c>
      <c r="J102" s="251" t="s">
        <v>1490</v>
      </c>
      <c r="K102" s="251" t="s">
        <v>486</v>
      </c>
      <c r="L102" s="251" t="s">
        <v>487</v>
      </c>
      <c r="M102" s="251" t="s">
        <v>495</v>
      </c>
      <c r="N102" s="251" t="s">
        <v>495</v>
      </c>
      <c r="O102" s="251" t="s">
        <v>736</v>
      </c>
      <c r="P102" s="251" t="s">
        <v>1694</v>
      </c>
      <c r="Q102" s="252">
        <v>10020911</v>
      </c>
      <c r="R102" s="253">
        <v>42675</v>
      </c>
      <c r="S102" s="253">
        <v>42677</v>
      </c>
      <c r="T102" s="253">
        <v>42741</v>
      </c>
      <c r="U102" s="251" t="s">
        <v>488</v>
      </c>
      <c r="V102" s="251">
        <v>2</v>
      </c>
      <c r="W102" s="251" t="s">
        <v>219</v>
      </c>
      <c r="X102" s="251">
        <v>1</v>
      </c>
      <c r="Y102" s="251">
        <v>1</v>
      </c>
      <c r="Z102" s="251">
        <v>2</v>
      </c>
      <c r="AA102" s="251">
        <v>2</v>
      </c>
      <c r="AB102" s="251">
        <v>2</v>
      </c>
      <c r="AC102" s="251" t="s">
        <v>486</v>
      </c>
      <c r="AD102" s="251" t="s">
        <v>486</v>
      </c>
      <c r="AE102" s="251" t="s">
        <v>486</v>
      </c>
      <c r="AF102" s="251" t="s">
        <v>486</v>
      </c>
      <c r="AG102" s="251" t="s">
        <v>486</v>
      </c>
      <c r="AH102" s="251" t="s">
        <v>486</v>
      </c>
      <c r="AI102" s="251" t="s">
        <v>486</v>
      </c>
      <c r="AJ102" s="251" t="s">
        <v>486</v>
      </c>
      <c r="AK102" s="251" t="s">
        <v>486</v>
      </c>
      <c r="AL102" s="251" t="s">
        <v>491</v>
      </c>
      <c r="AM102" s="251" t="s">
        <v>486</v>
      </c>
      <c r="AN102" s="251" t="s">
        <v>486</v>
      </c>
      <c r="AO102" s="253" t="s">
        <v>486</v>
      </c>
      <c r="AP102" s="252" t="s">
        <v>486</v>
      </c>
      <c r="AQ102" s="254" t="s">
        <v>486</v>
      </c>
      <c r="AR102" s="251" t="s">
        <v>486</v>
      </c>
    </row>
    <row r="103" spans="1:44" ht="15" x14ac:dyDescent="0.25">
      <c r="A103" s="245" t="str">
        <f>HYPERLINK("http://www.ofsted.gov.uk/inspection-reports/find-inspection-report/provider/ELS/132855 ","Ofsted School Webpage")</f>
        <v>Ofsted School Webpage</v>
      </c>
      <c r="B103" s="246">
        <v>132855</v>
      </c>
      <c r="C103" s="246">
        <v>9296046</v>
      </c>
      <c r="D103" s="246" t="s">
        <v>1695</v>
      </c>
      <c r="E103" s="246" t="s">
        <v>248</v>
      </c>
      <c r="F103" s="246" t="s">
        <v>93</v>
      </c>
      <c r="G103" s="246" t="s">
        <v>93</v>
      </c>
      <c r="H103" s="246" t="s">
        <v>93</v>
      </c>
      <c r="I103" s="246" t="s">
        <v>90</v>
      </c>
      <c r="J103" s="246" t="s">
        <v>1490</v>
      </c>
      <c r="K103" s="246" t="s">
        <v>486</v>
      </c>
      <c r="L103" s="246" t="s">
        <v>487</v>
      </c>
      <c r="M103" s="246" t="s">
        <v>523</v>
      </c>
      <c r="N103" s="246" t="s">
        <v>539</v>
      </c>
      <c r="O103" s="246" t="s">
        <v>576</v>
      </c>
      <c r="P103" s="246" t="s">
        <v>1696</v>
      </c>
      <c r="Q103" s="247">
        <v>10012944</v>
      </c>
      <c r="R103" s="248">
        <v>42675</v>
      </c>
      <c r="S103" s="248">
        <v>42677</v>
      </c>
      <c r="T103" s="248">
        <v>42717</v>
      </c>
      <c r="U103" s="246" t="s">
        <v>2930</v>
      </c>
      <c r="V103" s="246">
        <v>2</v>
      </c>
      <c r="W103" s="246" t="s">
        <v>219</v>
      </c>
      <c r="X103" s="246">
        <v>2</v>
      </c>
      <c r="Y103" s="246">
        <v>2</v>
      </c>
      <c r="Z103" s="246">
        <v>2</v>
      </c>
      <c r="AA103" s="246">
        <v>2</v>
      </c>
      <c r="AB103" s="246" t="s">
        <v>486</v>
      </c>
      <c r="AC103" s="246" t="s">
        <v>486</v>
      </c>
      <c r="AD103" s="246" t="s">
        <v>486</v>
      </c>
      <c r="AE103" s="246" t="s">
        <v>486</v>
      </c>
      <c r="AF103" s="246" t="s">
        <v>486</v>
      </c>
      <c r="AG103" s="246" t="s">
        <v>486</v>
      </c>
      <c r="AH103" s="246" t="s">
        <v>486</v>
      </c>
      <c r="AI103" s="246" t="s">
        <v>486</v>
      </c>
      <c r="AJ103" s="246" t="s">
        <v>486</v>
      </c>
      <c r="AK103" s="246" t="s">
        <v>486</v>
      </c>
      <c r="AL103" s="246" t="s">
        <v>491</v>
      </c>
      <c r="AM103" s="246" t="s">
        <v>486</v>
      </c>
      <c r="AN103" s="246" t="s">
        <v>486</v>
      </c>
      <c r="AO103" s="248" t="s">
        <v>486</v>
      </c>
      <c r="AP103" s="247" t="s">
        <v>486</v>
      </c>
      <c r="AQ103" s="249" t="s">
        <v>486</v>
      </c>
      <c r="AR103" s="246" t="s">
        <v>486</v>
      </c>
    </row>
    <row r="104" spans="1:44" ht="15" x14ac:dyDescent="0.25">
      <c r="A104" s="250" t="str">
        <f>HYPERLINK("http://www.ofsted.gov.uk/inspection-reports/find-inspection-report/provider/ELS/136046 ","Ofsted School Webpage")</f>
        <v>Ofsted School Webpage</v>
      </c>
      <c r="B104" s="251">
        <v>136046</v>
      </c>
      <c r="C104" s="251">
        <v>3126082</v>
      </c>
      <c r="D104" s="251" t="s">
        <v>1697</v>
      </c>
      <c r="E104" s="251" t="s">
        <v>247</v>
      </c>
      <c r="F104" s="251" t="s">
        <v>83</v>
      </c>
      <c r="G104" s="251" t="s">
        <v>84</v>
      </c>
      <c r="H104" s="251" t="s">
        <v>83</v>
      </c>
      <c r="I104" s="251" t="s">
        <v>84</v>
      </c>
      <c r="J104" s="251" t="s">
        <v>1490</v>
      </c>
      <c r="K104" s="251" t="s">
        <v>486</v>
      </c>
      <c r="L104" s="251" t="s">
        <v>487</v>
      </c>
      <c r="M104" s="251" t="s">
        <v>506</v>
      </c>
      <c r="N104" s="251" t="s">
        <v>506</v>
      </c>
      <c r="O104" s="251" t="s">
        <v>1174</v>
      </c>
      <c r="P104" s="251" t="s">
        <v>1698</v>
      </c>
      <c r="Q104" s="252">
        <v>10017799</v>
      </c>
      <c r="R104" s="253">
        <v>42675</v>
      </c>
      <c r="S104" s="253">
        <v>42677</v>
      </c>
      <c r="T104" s="253">
        <v>42706</v>
      </c>
      <c r="U104" s="251" t="s">
        <v>488</v>
      </c>
      <c r="V104" s="251">
        <v>2</v>
      </c>
      <c r="W104" s="251" t="s">
        <v>219</v>
      </c>
      <c r="X104" s="251">
        <v>2</v>
      </c>
      <c r="Y104" s="251">
        <v>2</v>
      </c>
      <c r="Z104" s="251">
        <v>2</v>
      </c>
      <c r="AA104" s="251">
        <v>2</v>
      </c>
      <c r="AB104" s="251" t="s">
        <v>486</v>
      </c>
      <c r="AC104" s="251" t="s">
        <v>486</v>
      </c>
      <c r="AD104" s="251" t="s">
        <v>486</v>
      </c>
      <c r="AE104" s="251" t="s">
        <v>486</v>
      </c>
      <c r="AF104" s="251" t="s">
        <v>486</v>
      </c>
      <c r="AG104" s="251" t="s">
        <v>486</v>
      </c>
      <c r="AH104" s="251" t="s">
        <v>486</v>
      </c>
      <c r="AI104" s="251" t="s">
        <v>486</v>
      </c>
      <c r="AJ104" s="251" t="s">
        <v>486</v>
      </c>
      <c r="AK104" s="251" t="s">
        <v>486</v>
      </c>
      <c r="AL104" s="251" t="s">
        <v>491</v>
      </c>
      <c r="AM104" s="251" t="s">
        <v>486</v>
      </c>
      <c r="AN104" s="251" t="s">
        <v>486</v>
      </c>
      <c r="AO104" s="253" t="s">
        <v>486</v>
      </c>
      <c r="AP104" s="252" t="s">
        <v>486</v>
      </c>
      <c r="AQ104" s="254" t="s">
        <v>486</v>
      </c>
      <c r="AR104" s="251" t="s">
        <v>486</v>
      </c>
    </row>
    <row r="105" spans="1:44" ht="15" x14ac:dyDescent="0.25">
      <c r="A105" s="245" t="str">
        <f>HYPERLINK("http://www.ofsted.gov.uk/inspection-reports/find-inspection-report/provider/ELS/142538 ","Ofsted School Webpage")</f>
        <v>Ofsted School Webpage</v>
      </c>
      <c r="B105" s="246">
        <v>142538</v>
      </c>
      <c r="C105" s="246">
        <v>8916037</v>
      </c>
      <c r="D105" s="246" t="s">
        <v>1699</v>
      </c>
      <c r="E105" s="246" t="s">
        <v>248</v>
      </c>
      <c r="F105" s="246" t="s">
        <v>93</v>
      </c>
      <c r="G105" s="246" t="s">
        <v>93</v>
      </c>
      <c r="H105" s="246" t="s">
        <v>93</v>
      </c>
      <c r="I105" s="246" t="s">
        <v>90</v>
      </c>
      <c r="J105" s="246" t="s">
        <v>1490</v>
      </c>
      <c r="K105" s="246" t="s">
        <v>486</v>
      </c>
      <c r="L105" s="246" t="s">
        <v>487</v>
      </c>
      <c r="M105" s="246" t="s">
        <v>572</v>
      </c>
      <c r="N105" s="246" t="s">
        <v>572</v>
      </c>
      <c r="O105" s="246" t="s">
        <v>852</v>
      </c>
      <c r="P105" s="246" t="s">
        <v>1700</v>
      </c>
      <c r="Q105" s="247">
        <v>10020879</v>
      </c>
      <c r="R105" s="248">
        <v>42675</v>
      </c>
      <c r="S105" s="248">
        <v>42677</v>
      </c>
      <c r="T105" s="248">
        <v>42717</v>
      </c>
      <c r="U105" s="246" t="s">
        <v>499</v>
      </c>
      <c r="V105" s="246">
        <v>2</v>
      </c>
      <c r="W105" s="246" t="s">
        <v>219</v>
      </c>
      <c r="X105" s="246">
        <v>2</v>
      </c>
      <c r="Y105" s="246">
        <v>2</v>
      </c>
      <c r="Z105" s="246">
        <v>2</v>
      </c>
      <c r="AA105" s="246">
        <v>2</v>
      </c>
      <c r="AB105" s="246" t="s">
        <v>486</v>
      </c>
      <c r="AC105" s="246">
        <v>2</v>
      </c>
      <c r="AD105" s="246" t="s">
        <v>486</v>
      </c>
      <c r="AE105" s="246" t="s">
        <v>486</v>
      </c>
      <c r="AF105" s="246" t="s">
        <v>486</v>
      </c>
      <c r="AG105" s="246" t="s">
        <v>486</v>
      </c>
      <c r="AH105" s="246" t="s">
        <v>486</v>
      </c>
      <c r="AI105" s="246" t="s">
        <v>486</v>
      </c>
      <c r="AJ105" s="246" t="s">
        <v>486</v>
      </c>
      <c r="AK105" s="246" t="s">
        <v>486</v>
      </c>
      <c r="AL105" s="246" t="s">
        <v>491</v>
      </c>
      <c r="AM105" s="246" t="s">
        <v>486</v>
      </c>
      <c r="AN105" s="246" t="s">
        <v>486</v>
      </c>
      <c r="AO105" s="248" t="s">
        <v>486</v>
      </c>
      <c r="AP105" s="247" t="s">
        <v>486</v>
      </c>
      <c r="AQ105" s="249" t="s">
        <v>486</v>
      </c>
      <c r="AR105" s="246" t="s">
        <v>486</v>
      </c>
    </row>
    <row r="106" spans="1:44" ht="15" x14ac:dyDescent="0.25">
      <c r="A106" s="250" t="str">
        <f>HYPERLINK("http://www.ofsted.gov.uk/inspection-reports/find-inspection-report/provider/ELS/110930 ","Ofsted School Webpage")</f>
        <v>Ofsted School Webpage</v>
      </c>
      <c r="B106" s="251">
        <v>110930</v>
      </c>
      <c r="C106" s="251">
        <v>8736017</v>
      </c>
      <c r="D106" s="251" t="s">
        <v>1701</v>
      </c>
      <c r="E106" s="251" t="s">
        <v>247</v>
      </c>
      <c r="F106" s="251" t="s">
        <v>93</v>
      </c>
      <c r="G106" s="251" t="s">
        <v>92</v>
      </c>
      <c r="H106" s="251" t="s">
        <v>92</v>
      </c>
      <c r="I106" s="251" t="s">
        <v>90</v>
      </c>
      <c r="J106" s="251" t="s">
        <v>1490</v>
      </c>
      <c r="K106" s="251" t="s">
        <v>486</v>
      </c>
      <c r="L106" s="251" t="s">
        <v>487</v>
      </c>
      <c r="M106" s="251" t="s">
        <v>516</v>
      </c>
      <c r="N106" s="251" t="s">
        <v>516</v>
      </c>
      <c r="O106" s="251" t="s">
        <v>867</v>
      </c>
      <c r="P106" s="251" t="s">
        <v>1702</v>
      </c>
      <c r="Q106" s="252">
        <v>10008885</v>
      </c>
      <c r="R106" s="253">
        <v>42682</v>
      </c>
      <c r="S106" s="253">
        <v>42684</v>
      </c>
      <c r="T106" s="253">
        <v>42726</v>
      </c>
      <c r="U106" s="251" t="s">
        <v>488</v>
      </c>
      <c r="V106" s="251">
        <v>1</v>
      </c>
      <c r="W106" s="251" t="s">
        <v>219</v>
      </c>
      <c r="X106" s="251">
        <v>1</v>
      </c>
      <c r="Y106" s="251">
        <v>1</v>
      </c>
      <c r="Z106" s="251">
        <v>1</v>
      </c>
      <c r="AA106" s="251">
        <v>1</v>
      </c>
      <c r="AB106" s="251" t="s">
        <v>486</v>
      </c>
      <c r="AC106" s="251">
        <v>1</v>
      </c>
      <c r="AD106" s="251" t="s">
        <v>486</v>
      </c>
      <c r="AE106" s="251" t="s">
        <v>486</v>
      </c>
      <c r="AF106" s="251" t="s">
        <v>486</v>
      </c>
      <c r="AG106" s="251" t="s">
        <v>486</v>
      </c>
      <c r="AH106" s="251" t="s">
        <v>486</v>
      </c>
      <c r="AI106" s="251" t="s">
        <v>486</v>
      </c>
      <c r="AJ106" s="251" t="s">
        <v>486</v>
      </c>
      <c r="AK106" s="251" t="s">
        <v>486</v>
      </c>
      <c r="AL106" s="251" t="s">
        <v>491</v>
      </c>
      <c r="AM106" s="251" t="s">
        <v>486</v>
      </c>
      <c r="AN106" s="251" t="s">
        <v>486</v>
      </c>
      <c r="AO106" s="253" t="s">
        <v>486</v>
      </c>
      <c r="AP106" s="252" t="s">
        <v>486</v>
      </c>
      <c r="AQ106" s="254" t="s">
        <v>486</v>
      </c>
      <c r="AR106" s="251" t="s">
        <v>486</v>
      </c>
    </row>
    <row r="107" spans="1:44" ht="15" x14ac:dyDescent="0.25">
      <c r="A107" s="245" t="str">
        <f>HYPERLINK("http://www.ofsted.gov.uk/inspection-reports/find-inspection-report/provider/ELS/136039 ","Ofsted School Webpage")</f>
        <v>Ofsted School Webpage</v>
      </c>
      <c r="B107" s="246">
        <v>136039</v>
      </c>
      <c r="C107" s="246">
        <v>8916036</v>
      </c>
      <c r="D107" s="246" t="s">
        <v>1703</v>
      </c>
      <c r="E107" s="246" t="s">
        <v>248</v>
      </c>
      <c r="F107" s="246" t="s">
        <v>93</v>
      </c>
      <c r="G107" s="246" t="s">
        <v>93</v>
      </c>
      <c r="H107" s="246" t="s">
        <v>93</v>
      </c>
      <c r="I107" s="246" t="s">
        <v>90</v>
      </c>
      <c r="J107" s="246" t="s">
        <v>1490</v>
      </c>
      <c r="K107" s="246" t="s">
        <v>486</v>
      </c>
      <c r="L107" s="246" t="s">
        <v>487</v>
      </c>
      <c r="M107" s="246" t="s">
        <v>572</v>
      </c>
      <c r="N107" s="246" t="s">
        <v>572</v>
      </c>
      <c r="O107" s="246" t="s">
        <v>852</v>
      </c>
      <c r="P107" s="246" t="s">
        <v>986</v>
      </c>
      <c r="Q107" s="247">
        <v>10012940</v>
      </c>
      <c r="R107" s="248">
        <v>42689</v>
      </c>
      <c r="S107" s="248">
        <v>42691</v>
      </c>
      <c r="T107" s="248">
        <v>42748</v>
      </c>
      <c r="U107" s="246" t="s">
        <v>2930</v>
      </c>
      <c r="V107" s="246">
        <v>2</v>
      </c>
      <c r="W107" s="246" t="s">
        <v>219</v>
      </c>
      <c r="X107" s="246">
        <v>2</v>
      </c>
      <c r="Y107" s="246">
        <v>2</v>
      </c>
      <c r="Z107" s="246">
        <v>2</v>
      </c>
      <c r="AA107" s="246">
        <v>2</v>
      </c>
      <c r="AB107" s="246" t="s">
        <v>486</v>
      </c>
      <c r="AC107" s="246" t="s">
        <v>486</v>
      </c>
      <c r="AD107" s="246" t="s">
        <v>486</v>
      </c>
      <c r="AE107" s="246" t="s">
        <v>486</v>
      </c>
      <c r="AF107" s="246" t="s">
        <v>486</v>
      </c>
      <c r="AG107" s="246" t="s">
        <v>486</v>
      </c>
      <c r="AH107" s="246" t="s">
        <v>486</v>
      </c>
      <c r="AI107" s="246" t="s">
        <v>486</v>
      </c>
      <c r="AJ107" s="246" t="s">
        <v>486</v>
      </c>
      <c r="AK107" s="246" t="s">
        <v>486</v>
      </c>
      <c r="AL107" s="246" t="s">
        <v>491</v>
      </c>
      <c r="AM107" s="246" t="s">
        <v>486</v>
      </c>
      <c r="AN107" s="246" t="s">
        <v>486</v>
      </c>
      <c r="AO107" s="248" t="s">
        <v>486</v>
      </c>
      <c r="AP107" s="247" t="s">
        <v>486</v>
      </c>
      <c r="AQ107" s="249" t="s">
        <v>486</v>
      </c>
      <c r="AR107" s="246" t="s">
        <v>486</v>
      </c>
    </row>
    <row r="108" spans="1:44" ht="15" x14ac:dyDescent="0.25">
      <c r="A108" s="250" t="str">
        <f>HYPERLINK("http://www.ofsted.gov.uk/inspection-reports/find-inspection-report/provider/ELS/138441 ","Ofsted School Webpage")</f>
        <v>Ofsted School Webpage</v>
      </c>
      <c r="B108" s="251">
        <v>138441</v>
      </c>
      <c r="C108" s="251">
        <v>3816004</v>
      </c>
      <c r="D108" s="251" t="s">
        <v>1704</v>
      </c>
      <c r="E108" s="251" t="s">
        <v>248</v>
      </c>
      <c r="F108" s="251" t="s">
        <v>93</v>
      </c>
      <c r="G108" s="251" t="s">
        <v>93</v>
      </c>
      <c r="H108" s="251" t="s">
        <v>93</v>
      </c>
      <c r="I108" s="251" t="s">
        <v>90</v>
      </c>
      <c r="J108" s="251" t="s">
        <v>1490</v>
      </c>
      <c r="K108" s="251" t="s">
        <v>486</v>
      </c>
      <c r="L108" s="251" t="s">
        <v>487</v>
      </c>
      <c r="M108" s="251" t="s">
        <v>523</v>
      </c>
      <c r="N108" s="251" t="s">
        <v>524</v>
      </c>
      <c r="O108" s="251" t="s">
        <v>1539</v>
      </c>
      <c r="P108" s="251" t="s">
        <v>1705</v>
      </c>
      <c r="Q108" s="252">
        <v>10012878</v>
      </c>
      <c r="R108" s="253">
        <v>42689</v>
      </c>
      <c r="S108" s="253">
        <v>42691</v>
      </c>
      <c r="T108" s="253">
        <v>42751</v>
      </c>
      <c r="U108" s="251" t="s">
        <v>488</v>
      </c>
      <c r="V108" s="251">
        <v>2</v>
      </c>
      <c r="W108" s="251" t="s">
        <v>219</v>
      </c>
      <c r="X108" s="251">
        <v>2</v>
      </c>
      <c r="Y108" s="251">
        <v>2</v>
      </c>
      <c r="Z108" s="251">
        <v>2</v>
      </c>
      <c r="AA108" s="251">
        <v>2</v>
      </c>
      <c r="AB108" s="251" t="s">
        <v>486</v>
      </c>
      <c r="AC108" s="251" t="s">
        <v>486</v>
      </c>
      <c r="AD108" s="251" t="s">
        <v>486</v>
      </c>
      <c r="AE108" s="251" t="s">
        <v>486</v>
      </c>
      <c r="AF108" s="251" t="s">
        <v>486</v>
      </c>
      <c r="AG108" s="251" t="s">
        <v>486</v>
      </c>
      <c r="AH108" s="251" t="s">
        <v>486</v>
      </c>
      <c r="AI108" s="251" t="s">
        <v>486</v>
      </c>
      <c r="AJ108" s="251" t="s">
        <v>486</v>
      </c>
      <c r="AK108" s="251" t="s">
        <v>486</v>
      </c>
      <c r="AL108" s="251" t="s">
        <v>491</v>
      </c>
      <c r="AM108" s="251" t="s">
        <v>486</v>
      </c>
      <c r="AN108" s="251" t="s">
        <v>486</v>
      </c>
      <c r="AO108" s="253" t="s">
        <v>486</v>
      </c>
      <c r="AP108" s="252" t="s">
        <v>486</v>
      </c>
      <c r="AQ108" s="254" t="s">
        <v>486</v>
      </c>
      <c r="AR108" s="251" t="s">
        <v>486</v>
      </c>
    </row>
    <row r="109" spans="1:44" ht="15" x14ac:dyDescent="0.25">
      <c r="A109" s="245" t="str">
        <f>HYPERLINK("http://www.ofsted.gov.uk/inspection-reports/find-inspection-report/provider/ELS/136110 ","Ofsted School Webpage")</f>
        <v>Ofsted School Webpage</v>
      </c>
      <c r="B109" s="246">
        <v>136110</v>
      </c>
      <c r="C109" s="246">
        <v>2126041</v>
      </c>
      <c r="D109" s="246" t="s">
        <v>1706</v>
      </c>
      <c r="E109" s="246" t="s">
        <v>248</v>
      </c>
      <c r="F109" s="246" t="s">
        <v>93</v>
      </c>
      <c r="G109" s="246" t="s">
        <v>93</v>
      </c>
      <c r="H109" s="246" t="s">
        <v>93</v>
      </c>
      <c r="I109" s="246" t="s">
        <v>90</v>
      </c>
      <c r="J109" s="246" t="s">
        <v>1490</v>
      </c>
      <c r="K109" s="246" t="s">
        <v>486</v>
      </c>
      <c r="L109" s="246" t="s">
        <v>487</v>
      </c>
      <c r="M109" s="246" t="s">
        <v>506</v>
      </c>
      <c r="N109" s="246" t="s">
        <v>506</v>
      </c>
      <c r="O109" s="246" t="s">
        <v>837</v>
      </c>
      <c r="P109" s="246" t="s">
        <v>1707</v>
      </c>
      <c r="Q109" s="247">
        <v>10026156</v>
      </c>
      <c r="R109" s="248">
        <v>42690</v>
      </c>
      <c r="S109" s="248">
        <v>42692</v>
      </c>
      <c r="T109" s="248">
        <v>42724</v>
      </c>
      <c r="U109" s="246" t="s">
        <v>488</v>
      </c>
      <c r="V109" s="246">
        <v>2</v>
      </c>
      <c r="W109" s="246" t="s">
        <v>219</v>
      </c>
      <c r="X109" s="246">
        <v>2</v>
      </c>
      <c r="Y109" s="246">
        <v>2</v>
      </c>
      <c r="Z109" s="246">
        <v>2</v>
      </c>
      <c r="AA109" s="246">
        <v>2</v>
      </c>
      <c r="AB109" s="246" t="s">
        <v>486</v>
      </c>
      <c r="AC109" s="246">
        <v>2</v>
      </c>
      <c r="AD109" s="246" t="s">
        <v>486</v>
      </c>
      <c r="AE109" s="246" t="s">
        <v>486</v>
      </c>
      <c r="AF109" s="246" t="s">
        <v>486</v>
      </c>
      <c r="AG109" s="246" t="s">
        <v>486</v>
      </c>
      <c r="AH109" s="246" t="s">
        <v>486</v>
      </c>
      <c r="AI109" s="246" t="s">
        <v>486</v>
      </c>
      <c r="AJ109" s="246" t="s">
        <v>486</v>
      </c>
      <c r="AK109" s="246" t="s">
        <v>486</v>
      </c>
      <c r="AL109" s="246" t="s">
        <v>491</v>
      </c>
      <c r="AM109" s="246" t="s">
        <v>486</v>
      </c>
      <c r="AN109" s="246" t="s">
        <v>486</v>
      </c>
      <c r="AO109" s="248" t="s">
        <v>486</v>
      </c>
      <c r="AP109" s="247" t="s">
        <v>486</v>
      </c>
      <c r="AQ109" s="249" t="s">
        <v>486</v>
      </c>
      <c r="AR109" s="246" t="s">
        <v>486</v>
      </c>
    </row>
    <row r="110" spans="1:44" ht="15" x14ac:dyDescent="0.25">
      <c r="A110" s="250" t="str">
        <f>HYPERLINK("http://www.ofsted.gov.uk/inspection-reports/find-inspection-report/provider/ELS/131556 ","Ofsted School Webpage")</f>
        <v>Ofsted School Webpage</v>
      </c>
      <c r="B110" s="251">
        <v>131556</v>
      </c>
      <c r="C110" s="251">
        <v>8526009</v>
      </c>
      <c r="D110" s="251" t="s">
        <v>1708</v>
      </c>
      <c r="E110" s="251" t="s">
        <v>248</v>
      </c>
      <c r="F110" s="251" t="s">
        <v>93</v>
      </c>
      <c r="G110" s="251" t="s">
        <v>93</v>
      </c>
      <c r="H110" s="251" t="s">
        <v>93</v>
      </c>
      <c r="I110" s="251" t="s">
        <v>90</v>
      </c>
      <c r="J110" s="251" t="s">
        <v>1490</v>
      </c>
      <c r="K110" s="251" t="s">
        <v>486</v>
      </c>
      <c r="L110" s="251" t="s">
        <v>487</v>
      </c>
      <c r="M110" s="251" t="s">
        <v>581</v>
      </c>
      <c r="N110" s="251" t="s">
        <v>581</v>
      </c>
      <c r="O110" s="251" t="s">
        <v>1132</v>
      </c>
      <c r="P110" s="251" t="s">
        <v>1709</v>
      </c>
      <c r="Q110" s="252">
        <v>10008862</v>
      </c>
      <c r="R110" s="253">
        <v>42696</v>
      </c>
      <c r="S110" s="253">
        <v>42698</v>
      </c>
      <c r="T110" s="253">
        <v>42745</v>
      </c>
      <c r="U110" s="251" t="s">
        <v>488</v>
      </c>
      <c r="V110" s="251">
        <v>1</v>
      </c>
      <c r="W110" s="251" t="s">
        <v>219</v>
      </c>
      <c r="X110" s="251">
        <v>1</v>
      </c>
      <c r="Y110" s="251">
        <v>1</v>
      </c>
      <c r="Z110" s="251">
        <v>1</v>
      </c>
      <c r="AA110" s="251">
        <v>1</v>
      </c>
      <c r="AB110" s="251" t="s">
        <v>486</v>
      </c>
      <c r="AC110" s="251" t="s">
        <v>486</v>
      </c>
      <c r="AD110" s="251" t="s">
        <v>486</v>
      </c>
      <c r="AE110" s="251" t="s">
        <v>486</v>
      </c>
      <c r="AF110" s="251" t="s">
        <v>486</v>
      </c>
      <c r="AG110" s="251" t="s">
        <v>486</v>
      </c>
      <c r="AH110" s="251" t="s">
        <v>486</v>
      </c>
      <c r="AI110" s="251" t="s">
        <v>486</v>
      </c>
      <c r="AJ110" s="251" t="s">
        <v>486</v>
      </c>
      <c r="AK110" s="251" t="s">
        <v>486</v>
      </c>
      <c r="AL110" s="251" t="s">
        <v>491</v>
      </c>
      <c r="AM110" s="251" t="s">
        <v>486</v>
      </c>
      <c r="AN110" s="251" t="s">
        <v>486</v>
      </c>
      <c r="AO110" s="253" t="s">
        <v>486</v>
      </c>
      <c r="AP110" s="252" t="s">
        <v>486</v>
      </c>
      <c r="AQ110" s="254" t="s">
        <v>486</v>
      </c>
      <c r="AR110" s="251" t="s">
        <v>486</v>
      </c>
    </row>
    <row r="111" spans="1:44" ht="15" x14ac:dyDescent="0.25">
      <c r="A111" s="245" t="str">
        <f>HYPERLINK("http://www.ofsted.gov.uk/inspection-reports/find-inspection-report/provider/ELS/131792 ","Ofsted School Webpage")</f>
        <v>Ofsted School Webpage</v>
      </c>
      <c r="B111" s="246">
        <v>131792</v>
      </c>
      <c r="C111" s="246">
        <v>8966028</v>
      </c>
      <c r="D111" s="246" t="s">
        <v>1710</v>
      </c>
      <c r="E111" s="246" t="s">
        <v>248</v>
      </c>
      <c r="F111" s="246" t="s">
        <v>93</v>
      </c>
      <c r="G111" s="246" t="s">
        <v>93</v>
      </c>
      <c r="H111" s="246" t="s">
        <v>93</v>
      </c>
      <c r="I111" s="246" t="s">
        <v>90</v>
      </c>
      <c r="J111" s="246" t="s">
        <v>1490</v>
      </c>
      <c r="K111" s="246" t="s">
        <v>486</v>
      </c>
      <c r="L111" s="246" t="s">
        <v>487</v>
      </c>
      <c r="M111" s="246" t="s">
        <v>495</v>
      </c>
      <c r="N111" s="246" t="s">
        <v>495</v>
      </c>
      <c r="O111" s="246" t="s">
        <v>1061</v>
      </c>
      <c r="P111" s="246" t="s">
        <v>1711</v>
      </c>
      <c r="Q111" s="247">
        <v>10006084</v>
      </c>
      <c r="R111" s="248">
        <v>42696</v>
      </c>
      <c r="S111" s="248">
        <v>42698</v>
      </c>
      <c r="T111" s="248">
        <v>42751</v>
      </c>
      <c r="U111" s="246" t="s">
        <v>488</v>
      </c>
      <c r="V111" s="246">
        <v>2</v>
      </c>
      <c r="W111" s="246" t="s">
        <v>219</v>
      </c>
      <c r="X111" s="246">
        <v>2</v>
      </c>
      <c r="Y111" s="246">
        <v>2</v>
      </c>
      <c r="Z111" s="246">
        <v>2</v>
      </c>
      <c r="AA111" s="246">
        <v>2</v>
      </c>
      <c r="AB111" s="246" t="s">
        <v>486</v>
      </c>
      <c r="AC111" s="246">
        <v>2</v>
      </c>
      <c r="AD111" s="246" t="s">
        <v>486</v>
      </c>
      <c r="AE111" s="246" t="s">
        <v>486</v>
      </c>
      <c r="AF111" s="246" t="s">
        <v>486</v>
      </c>
      <c r="AG111" s="246" t="s">
        <v>486</v>
      </c>
      <c r="AH111" s="246" t="s">
        <v>486</v>
      </c>
      <c r="AI111" s="246" t="s">
        <v>486</v>
      </c>
      <c r="AJ111" s="246" t="s">
        <v>486</v>
      </c>
      <c r="AK111" s="246" t="s">
        <v>486</v>
      </c>
      <c r="AL111" s="246" t="s">
        <v>491</v>
      </c>
      <c r="AM111" s="246" t="s">
        <v>486</v>
      </c>
      <c r="AN111" s="246" t="s">
        <v>486</v>
      </c>
      <c r="AO111" s="248" t="s">
        <v>486</v>
      </c>
      <c r="AP111" s="247" t="s">
        <v>486</v>
      </c>
      <c r="AQ111" s="249" t="s">
        <v>486</v>
      </c>
      <c r="AR111" s="246" t="s">
        <v>486</v>
      </c>
    </row>
    <row r="112" spans="1:44" ht="15" x14ac:dyDescent="0.25">
      <c r="A112" s="250" t="str">
        <f>HYPERLINK("http://www.ofsted.gov.uk/inspection-reports/find-inspection-report/provider/ELS/135785 ","Ofsted School Webpage")</f>
        <v>Ofsted School Webpage</v>
      </c>
      <c r="B112" s="251">
        <v>135785</v>
      </c>
      <c r="C112" s="251">
        <v>9286071</v>
      </c>
      <c r="D112" s="251" t="s">
        <v>1712</v>
      </c>
      <c r="E112" s="251" t="s">
        <v>247</v>
      </c>
      <c r="F112" s="251" t="s">
        <v>93</v>
      </c>
      <c r="G112" s="251" t="s">
        <v>93</v>
      </c>
      <c r="H112" s="251" t="s">
        <v>93</v>
      </c>
      <c r="I112" s="251" t="s">
        <v>90</v>
      </c>
      <c r="J112" s="251" t="s">
        <v>1490</v>
      </c>
      <c r="K112" s="251" t="s">
        <v>486</v>
      </c>
      <c r="L112" s="251" t="s">
        <v>487</v>
      </c>
      <c r="M112" s="251" t="s">
        <v>572</v>
      </c>
      <c r="N112" s="251" t="s">
        <v>572</v>
      </c>
      <c r="O112" s="251" t="s">
        <v>1297</v>
      </c>
      <c r="P112" s="251" t="s">
        <v>1713</v>
      </c>
      <c r="Q112" s="252">
        <v>10020808</v>
      </c>
      <c r="R112" s="253">
        <v>42696</v>
      </c>
      <c r="S112" s="253">
        <v>42698</v>
      </c>
      <c r="T112" s="253">
        <v>42748</v>
      </c>
      <c r="U112" s="251" t="s">
        <v>488</v>
      </c>
      <c r="V112" s="251">
        <v>1</v>
      </c>
      <c r="W112" s="251" t="s">
        <v>219</v>
      </c>
      <c r="X112" s="251">
        <v>1</v>
      </c>
      <c r="Y112" s="251">
        <v>1</v>
      </c>
      <c r="Z112" s="251">
        <v>1</v>
      </c>
      <c r="AA112" s="251">
        <v>1</v>
      </c>
      <c r="AB112" s="251" t="s">
        <v>486</v>
      </c>
      <c r="AC112" s="251">
        <v>1</v>
      </c>
      <c r="AD112" s="251" t="s">
        <v>486</v>
      </c>
      <c r="AE112" s="251" t="s">
        <v>486</v>
      </c>
      <c r="AF112" s="251" t="s">
        <v>486</v>
      </c>
      <c r="AG112" s="251" t="s">
        <v>486</v>
      </c>
      <c r="AH112" s="251" t="s">
        <v>486</v>
      </c>
      <c r="AI112" s="251" t="s">
        <v>486</v>
      </c>
      <c r="AJ112" s="251" t="s">
        <v>486</v>
      </c>
      <c r="AK112" s="251" t="s">
        <v>486</v>
      </c>
      <c r="AL112" s="251" t="s">
        <v>491</v>
      </c>
      <c r="AM112" s="251" t="s">
        <v>486</v>
      </c>
      <c r="AN112" s="251" t="s">
        <v>486</v>
      </c>
      <c r="AO112" s="253" t="s">
        <v>486</v>
      </c>
      <c r="AP112" s="252" t="s">
        <v>486</v>
      </c>
      <c r="AQ112" s="254" t="s">
        <v>486</v>
      </c>
      <c r="AR112" s="251" t="s">
        <v>486</v>
      </c>
    </row>
    <row r="113" spans="1:44" ht="15" x14ac:dyDescent="0.25">
      <c r="A113" s="245" t="str">
        <f>HYPERLINK("http://www.ofsted.gov.uk/inspection-reports/find-inspection-report/provider/ELS/142069 ","Ofsted School Webpage")</f>
        <v>Ofsted School Webpage</v>
      </c>
      <c r="B113" s="246">
        <v>142069</v>
      </c>
      <c r="C113" s="246">
        <v>8256044</v>
      </c>
      <c r="D113" s="246" t="s">
        <v>1714</v>
      </c>
      <c r="E113" s="246" t="s">
        <v>247</v>
      </c>
      <c r="F113" s="246" t="s">
        <v>93</v>
      </c>
      <c r="G113" s="246" t="s">
        <v>93</v>
      </c>
      <c r="H113" s="246" t="s">
        <v>93</v>
      </c>
      <c r="I113" s="246" t="s">
        <v>90</v>
      </c>
      <c r="J113" s="246" t="s">
        <v>1490</v>
      </c>
      <c r="K113" s="246" t="s">
        <v>486</v>
      </c>
      <c r="L113" s="246" t="s">
        <v>487</v>
      </c>
      <c r="M113" s="246" t="s">
        <v>581</v>
      </c>
      <c r="N113" s="246" t="s">
        <v>581</v>
      </c>
      <c r="O113" s="246" t="s">
        <v>714</v>
      </c>
      <c r="P113" s="246" t="s">
        <v>1715</v>
      </c>
      <c r="Q113" s="247">
        <v>10010521</v>
      </c>
      <c r="R113" s="248">
        <v>42696</v>
      </c>
      <c r="S113" s="248">
        <v>42698</v>
      </c>
      <c r="T113" s="248">
        <v>42751</v>
      </c>
      <c r="U113" s="246" t="s">
        <v>499</v>
      </c>
      <c r="V113" s="246">
        <v>2</v>
      </c>
      <c r="W113" s="246" t="s">
        <v>219</v>
      </c>
      <c r="X113" s="246">
        <v>2</v>
      </c>
      <c r="Y113" s="246">
        <v>2</v>
      </c>
      <c r="Z113" s="246">
        <v>2</v>
      </c>
      <c r="AA113" s="246">
        <v>2</v>
      </c>
      <c r="AB113" s="246" t="s">
        <v>486</v>
      </c>
      <c r="AC113" s="246" t="s">
        <v>486</v>
      </c>
      <c r="AD113" s="246" t="s">
        <v>486</v>
      </c>
      <c r="AE113" s="246" t="s">
        <v>486</v>
      </c>
      <c r="AF113" s="246" t="s">
        <v>486</v>
      </c>
      <c r="AG113" s="246" t="s">
        <v>486</v>
      </c>
      <c r="AH113" s="246" t="s">
        <v>486</v>
      </c>
      <c r="AI113" s="246" t="s">
        <v>486</v>
      </c>
      <c r="AJ113" s="246" t="s">
        <v>486</v>
      </c>
      <c r="AK113" s="246" t="s">
        <v>486</v>
      </c>
      <c r="AL113" s="246" t="s">
        <v>491</v>
      </c>
      <c r="AM113" s="246" t="s">
        <v>486</v>
      </c>
      <c r="AN113" s="246" t="s">
        <v>486</v>
      </c>
      <c r="AO113" s="248" t="s">
        <v>486</v>
      </c>
      <c r="AP113" s="247" t="s">
        <v>486</v>
      </c>
      <c r="AQ113" s="249" t="s">
        <v>486</v>
      </c>
      <c r="AR113" s="246" t="s">
        <v>486</v>
      </c>
    </row>
    <row r="114" spans="1:44" ht="15" x14ac:dyDescent="0.25">
      <c r="A114" s="250" t="str">
        <f>HYPERLINK("http://www.ofsted.gov.uk/inspection-reports/find-inspection-report/provider/ELS/142536 ","Ofsted School Webpage")</f>
        <v>Ofsted School Webpage</v>
      </c>
      <c r="B114" s="251">
        <v>142536</v>
      </c>
      <c r="C114" s="251">
        <v>3566012</v>
      </c>
      <c r="D114" s="251" t="s">
        <v>1253</v>
      </c>
      <c r="E114" s="251" t="s">
        <v>248</v>
      </c>
      <c r="F114" s="251" t="s">
        <v>93</v>
      </c>
      <c r="G114" s="251" t="s">
        <v>93</v>
      </c>
      <c r="H114" s="251" t="s">
        <v>93</v>
      </c>
      <c r="I114" s="251" t="s">
        <v>90</v>
      </c>
      <c r="J114" s="251" t="s">
        <v>1490</v>
      </c>
      <c r="K114" s="251" t="s">
        <v>486</v>
      </c>
      <c r="L114" s="251" t="s">
        <v>487</v>
      </c>
      <c r="M114" s="251" t="s">
        <v>495</v>
      </c>
      <c r="N114" s="251" t="s">
        <v>495</v>
      </c>
      <c r="O114" s="251" t="s">
        <v>934</v>
      </c>
      <c r="P114" s="251" t="s">
        <v>1254</v>
      </c>
      <c r="Q114" s="252">
        <v>10020876</v>
      </c>
      <c r="R114" s="253">
        <v>42696</v>
      </c>
      <c r="S114" s="253">
        <v>42698</v>
      </c>
      <c r="T114" s="253">
        <v>42752</v>
      </c>
      <c r="U114" s="251" t="s">
        <v>499</v>
      </c>
      <c r="V114" s="251">
        <v>1</v>
      </c>
      <c r="W114" s="251" t="s">
        <v>219</v>
      </c>
      <c r="X114" s="251">
        <v>1</v>
      </c>
      <c r="Y114" s="251">
        <v>1</v>
      </c>
      <c r="Z114" s="251">
        <v>1</v>
      </c>
      <c r="AA114" s="251">
        <v>1</v>
      </c>
      <c r="AB114" s="251" t="s">
        <v>486</v>
      </c>
      <c r="AC114" s="251" t="s">
        <v>486</v>
      </c>
      <c r="AD114" s="251" t="s">
        <v>486</v>
      </c>
      <c r="AE114" s="251" t="s">
        <v>486</v>
      </c>
      <c r="AF114" s="251" t="s">
        <v>486</v>
      </c>
      <c r="AG114" s="251" t="s">
        <v>486</v>
      </c>
      <c r="AH114" s="251" t="s">
        <v>486</v>
      </c>
      <c r="AI114" s="251" t="s">
        <v>486</v>
      </c>
      <c r="AJ114" s="251" t="s">
        <v>486</v>
      </c>
      <c r="AK114" s="251" t="s">
        <v>486</v>
      </c>
      <c r="AL114" s="251" t="s">
        <v>491</v>
      </c>
      <c r="AM114" s="251" t="s">
        <v>486</v>
      </c>
      <c r="AN114" s="251" t="s">
        <v>486</v>
      </c>
      <c r="AO114" s="253" t="s">
        <v>486</v>
      </c>
      <c r="AP114" s="252" t="s">
        <v>486</v>
      </c>
      <c r="AQ114" s="254" t="s">
        <v>486</v>
      </c>
      <c r="AR114" s="251" t="s">
        <v>486</v>
      </c>
    </row>
    <row r="115" spans="1:44" ht="15" x14ac:dyDescent="0.25">
      <c r="A115" s="245" t="str">
        <f>HYPERLINK("http://www.ofsted.gov.uk/inspection-reports/find-inspection-report/provider/ELS/109355 ","Ofsted School Webpage")</f>
        <v>Ofsted School Webpage</v>
      </c>
      <c r="B115" s="246">
        <v>109355</v>
      </c>
      <c r="C115" s="246">
        <v>8036002</v>
      </c>
      <c r="D115" s="246" t="s">
        <v>1716</v>
      </c>
      <c r="E115" s="246" t="s">
        <v>247</v>
      </c>
      <c r="F115" s="246" t="s">
        <v>93</v>
      </c>
      <c r="G115" s="246" t="s">
        <v>92</v>
      </c>
      <c r="H115" s="246" t="s">
        <v>92</v>
      </c>
      <c r="I115" s="246" t="s">
        <v>90</v>
      </c>
      <c r="J115" s="246" t="s">
        <v>1490</v>
      </c>
      <c r="K115" s="246" t="s">
        <v>486</v>
      </c>
      <c r="L115" s="246" t="s">
        <v>487</v>
      </c>
      <c r="M115" s="246" t="s">
        <v>483</v>
      </c>
      <c r="N115" s="246" t="s">
        <v>483</v>
      </c>
      <c r="O115" s="246" t="s">
        <v>1214</v>
      </c>
      <c r="P115" s="246" t="s">
        <v>1717</v>
      </c>
      <c r="Q115" s="247">
        <v>10020727</v>
      </c>
      <c r="R115" s="248">
        <v>42697</v>
      </c>
      <c r="S115" s="248">
        <v>42699</v>
      </c>
      <c r="T115" s="248">
        <v>42745</v>
      </c>
      <c r="U115" s="246" t="s">
        <v>488</v>
      </c>
      <c r="V115" s="246">
        <v>1</v>
      </c>
      <c r="W115" s="246" t="s">
        <v>219</v>
      </c>
      <c r="X115" s="246">
        <v>1</v>
      </c>
      <c r="Y115" s="246">
        <v>1</v>
      </c>
      <c r="Z115" s="246">
        <v>1</v>
      </c>
      <c r="AA115" s="246">
        <v>1</v>
      </c>
      <c r="AB115" s="246">
        <v>1</v>
      </c>
      <c r="AC115" s="246" t="s">
        <v>486</v>
      </c>
      <c r="AD115" s="246" t="s">
        <v>486</v>
      </c>
      <c r="AE115" s="246" t="s">
        <v>486</v>
      </c>
      <c r="AF115" s="246" t="s">
        <v>486</v>
      </c>
      <c r="AG115" s="246" t="s">
        <v>486</v>
      </c>
      <c r="AH115" s="246" t="s">
        <v>486</v>
      </c>
      <c r="AI115" s="246" t="s">
        <v>486</v>
      </c>
      <c r="AJ115" s="246" t="s">
        <v>486</v>
      </c>
      <c r="AK115" s="246" t="s">
        <v>486</v>
      </c>
      <c r="AL115" s="246" t="s">
        <v>491</v>
      </c>
      <c r="AM115" s="246" t="s">
        <v>486</v>
      </c>
      <c r="AN115" s="246" t="s">
        <v>486</v>
      </c>
      <c r="AO115" s="248" t="s">
        <v>486</v>
      </c>
      <c r="AP115" s="247" t="s">
        <v>486</v>
      </c>
      <c r="AQ115" s="249" t="s">
        <v>486</v>
      </c>
      <c r="AR115" s="246" t="s">
        <v>486</v>
      </c>
    </row>
    <row r="116" spans="1:44" ht="15" x14ac:dyDescent="0.25">
      <c r="A116" s="250" t="str">
        <f>HYPERLINK("http://www.ofsted.gov.uk/inspection-reports/find-inspection-report/provider/ELS/106154 ","Ofsted School Webpage")</f>
        <v>Ofsted School Webpage</v>
      </c>
      <c r="B116" s="251">
        <v>106154</v>
      </c>
      <c r="C116" s="251">
        <v>3566016</v>
      </c>
      <c r="D116" s="251" t="s">
        <v>1718</v>
      </c>
      <c r="E116" s="251" t="s">
        <v>247</v>
      </c>
      <c r="F116" s="251" t="s">
        <v>93</v>
      </c>
      <c r="G116" s="251" t="s">
        <v>79</v>
      </c>
      <c r="H116" s="251" t="s">
        <v>79</v>
      </c>
      <c r="I116" s="251" t="s">
        <v>71</v>
      </c>
      <c r="J116" s="251" t="s">
        <v>1490</v>
      </c>
      <c r="K116" s="251" t="s">
        <v>486</v>
      </c>
      <c r="L116" s="251" t="s">
        <v>487</v>
      </c>
      <c r="M116" s="251" t="s">
        <v>495</v>
      </c>
      <c r="N116" s="251" t="s">
        <v>495</v>
      </c>
      <c r="O116" s="251" t="s">
        <v>934</v>
      </c>
      <c r="P116" s="251" t="s">
        <v>1719</v>
      </c>
      <c r="Q116" s="252">
        <v>10026003</v>
      </c>
      <c r="R116" s="253">
        <v>42703</v>
      </c>
      <c r="S116" s="253">
        <v>42705</v>
      </c>
      <c r="T116" s="253">
        <v>42746</v>
      </c>
      <c r="U116" s="251" t="s">
        <v>488</v>
      </c>
      <c r="V116" s="251">
        <v>2</v>
      </c>
      <c r="W116" s="251" t="s">
        <v>219</v>
      </c>
      <c r="X116" s="251">
        <v>2</v>
      </c>
      <c r="Y116" s="251">
        <v>2</v>
      </c>
      <c r="Z116" s="251">
        <v>2</v>
      </c>
      <c r="AA116" s="251">
        <v>2</v>
      </c>
      <c r="AB116" s="251">
        <v>2</v>
      </c>
      <c r="AC116" s="251" t="s">
        <v>486</v>
      </c>
      <c r="AD116" s="251" t="s">
        <v>486</v>
      </c>
      <c r="AE116" s="251" t="s">
        <v>486</v>
      </c>
      <c r="AF116" s="251" t="s">
        <v>486</v>
      </c>
      <c r="AG116" s="251" t="s">
        <v>486</v>
      </c>
      <c r="AH116" s="251" t="s">
        <v>486</v>
      </c>
      <c r="AI116" s="251" t="s">
        <v>486</v>
      </c>
      <c r="AJ116" s="251" t="s">
        <v>486</v>
      </c>
      <c r="AK116" s="251" t="s">
        <v>486</v>
      </c>
      <c r="AL116" s="251" t="s">
        <v>491</v>
      </c>
      <c r="AM116" s="251" t="s">
        <v>486</v>
      </c>
      <c r="AN116" s="251" t="s">
        <v>486</v>
      </c>
      <c r="AO116" s="253" t="s">
        <v>486</v>
      </c>
      <c r="AP116" s="252" t="s">
        <v>486</v>
      </c>
      <c r="AQ116" s="254" t="s">
        <v>486</v>
      </c>
      <c r="AR116" s="251" t="s">
        <v>486</v>
      </c>
    </row>
    <row r="117" spans="1:44" ht="15" x14ac:dyDescent="0.25">
      <c r="A117" s="245" t="str">
        <f>HYPERLINK("http://www.ofsted.gov.uk/inspection-reports/find-inspection-report/provider/ELS/113632 ","Ofsted School Webpage")</f>
        <v>Ofsted School Webpage</v>
      </c>
      <c r="B117" s="246">
        <v>113632</v>
      </c>
      <c r="C117" s="246">
        <v>8786051</v>
      </c>
      <c r="D117" s="246" t="s">
        <v>1720</v>
      </c>
      <c r="E117" s="246" t="s">
        <v>247</v>
      </c>
      <c r="F117" s="246" t="s">
        <v>93</v>
      </c>
      <c r="G117" s="246" t="s">
        <v>93</v>
      </c>
      <c r="H117" s="246" t="s">
        <v>93</v>
      </c>
      <c r="I117" s="246" t="s">
        <v>90</v>
      </c>
      <c r="J117" s="246" t="s">
        <v>1490</v>
      </c>
      <c r="K117" s="246" t="s">
        <v>486</v>
      </c>
      <c r="L117" s="246" t="s">
        <v>487</v>
      </c>
      <c r="M117" s="246" t="s">
        <v>483</v>
      </c>
      <c r="N117" s="246" t="s">
        <v>483</v>
      </c>
      <c r="O117" s="246" t="s">
        <v>747</v>
      </c>
      <c r="P117" s="246" t="s">
        <v>1721</v>
      </c>
      <c r="Q117" s="247">
        <v>10020949</v>
      </c>
      <c r="R117" s="248">
        <v>42703</v>
      </c>
      <c r="S117" s="248">
        <v>42705</v>
      </c>
      <c r="T117" s="248">
        <v>42761</v>
      </c>
      <c r="U117" s="246" t="s">
        <v>488</v>
      </c>
      <c r="V117" s="246">
        <v>2</v>
      </c>
      <c r="W117" s="246" t="s">
        <v>219</v>
      </c>
      <c r="X117" s="246">
        <v>2</v>
      </c>
      <c r="Y117" s="246">
        <v>2</v>
      </c>
      <c r="Z117" s="246">
        <v>1</v>
      </c>
      <c r="AA117" s="246">
        <v>1</v>
      </c>
      <c r="AB117" s="246" t="s">
        <v>486</v>
      </c>
      <c r="AC117" s="246">
        <v>1</v>
      </c>
      <c r="AD117" s="246" t="s">
        <v>486</v>
      </c>
      <c r="AE117" s="246" t="s">
        <v>486</v>
      </c>
      <c r="AF117" s="246" t="s">
        <v>486</v>
      </c>
      <c r="AG117" s="246" t="s">
        <v>486</v>
      </c>
      <c r="AH117" s="246" t="s">
        <v>486</v>
      </c>
      <c r="AI117" s="246" t="s">
        <v>486</v>
      </c>
      <c r="AJ117" s="246" t="s">
        <v>486</v>
      </c>
      <c r="AK117" s="246" t="s">
        <v>486</v>
      </c>
      <c r="AL117" s="246" t="s">
        <v>491</v>
      </c>
      <c r="AM117" s="246" t="s">
        <v>486</v>
      </c>
      <c r="AN117" s="246" t="s">
        <v>486</v>
      </c>
      <c r="AO117" s="248" t="s">
        <v>486</v>
      </c>
      <c r="AP117" s="247" t="s">
        <v>486</v>
      </c>
      <c r="AQ117" s="249" t="s">
        <v>486</v>
      </c>
      <c r="AR117" s="246" t="s">
        <v>486</v>
      </c>
    </row>
    <row r="118" spans="1:44" ht="15" x14ac:dyDescent="0.25">
      <c r="A118" s="250" t="str">
        <f>HYPERLINK("http://www.ofsted.gov.uk/inspection-reports/find-inspection-report/provider/ELS/131462 ","Ofsted School Webpage")</f>
        <v>Ofsted School Webpage</v>
      </c>
      <c r="B118" s="251">
        <v>131462</v>
      </c>
      <c r="C118" s="251">
        <v>8256031</v>
      </c>
      <c r="D118" s="251" t="s">
        <v>1722</v>
      </c>
      <c r="E118" s="251" t="s">
        <v>248</v>
      </c>
      <c r="F118" s="251" t="s">
        <v>93</v>
      </c>
      <c r="G118" s="251" t="s">
        <v>93</v>
      </c>
      <c r="H118" s="251" t="s">
        <v>93</v>
      </c>
      <c r="I118" s="251" t="s">
        <v>90</v>
      </c>
      <c r="J118" s="251" t="s">
        <v>1490</v>
      </c>
      <c r="K118" s="251" t="s">
        <v>486</v>
      </c>
      <c r="L118" s="251" t="s">
        <v>487</v>
      </c>
      <c r="M118" s="251" t="s">
        <v>581</v>
      </c>
      <c r="N118" s="251" t="s">
        <v>581</v>
      </c>
      <c r="O118" s="251" t="s">
        <v>714</v>
      </c>
      <c r="P118" s="251" t="s">
        <v>1723</v>
      </c>
      <c r="Q118" s="252">
        <v>10006066</v>
      </c>
      <c r="R118" s="253">
        <v>42703</v>
      </c>
      <c r="S118" s="253">
        <v>42705</v>
      </c>
      <c r="T118" s="253">
        <v>42752</v>
      </c>
      <c r="U118" s="251" t="s">
        <v>488</v>
      </c>
      <c r="V118" s="251">
        <v>1</v>
      </c>
      <c r="W118" s="251" t="s">
        <v>219</v>
      </c>
      <c r="X118" s="251">
        <v>1</v>
      </c>
      <c r="Y118" s="251">
        <v>1</v>
      </c>
      <c r="Z118" s="251">
        <v>1</v>
      </c>
      <c r="AA118" s="251">
        <v>1</v>
      </c>
      <c r="AB118" s="251" t="s">
        <v>486</v>
      </c>
      <c r="AC118" s="251" t="s">
        <v>486</v>
      </c>
      <c r="AD118" s="251" t="s">
        <v>486</v>
      </c>
      <c r="AE118" s="251" t="s">
        <v>486</v>
      </c>
      <c r="AF118" s="251" t="s">
        <v>486</v>
      </c>
      <c r="AG118" s="251" t="s">
        <v>486</v>
      </c>
      <c r="AH118" s="251" t="s">
        <v>486</v>
      </c>
      <c r="AI118" s="251" t="s">
        <v>486</v>
      </c>
      <c r="AJ118" s="251" t="s">
        <v>486</v>
      </c>
      <c r="AK118" s="251" t="s">
        <v>486</v>
      </c>
      <c r="AL118" s="251" t="s">
        <v>491</v>
      </c>
      <c r="AM118" s="251" t="s">
        <v>486</v>
      </c>
      <c r="AN118" s="251" t="s">
        <v>486</v>
      </c>
      <c r="AO118" s="253" t="s">
        <v>486</v>
      </c>
      <c r="AP118" s="252" t="s">
        <v>486</v>
      </c>
      <c r="AQ118" s="254" t="s">
        <v>486</v>
      </c>
      <c r="AR118" s="251" t="s">
        <v>486</v>
      </c>
    </row>
    <row r="119" spans="1:44" ht="15" x14ac:dyDescent="0.25">
      <c r="A119" s="245" t="str">
        <f>HYPERLINK("http://www.ofsted.gov.uk/inspection-reports/find-inspection-report/provider/ELS/139264 ","Ofsted School Webpage")</f>
        <v>Ofsted School Webpage</v>
      </c>
      <c r="B119" s="246">
        <v>139264</v>
      </c>
      <c r="C119" s="246">
        <v>9256005</v>
      </c>
      <c r="D119" s="246" t="s">
        <v>1102</v>
      </c>
      <c r="E119" s="246" t="s">
        <v>247</v>
      </c>
      <c r="F119" s="246" t="s">
        <v>93</v>
      </c>
      <c r="G119" s="246" t="s">
        <v>93</v>
      </c>
      <c r="H119" s="246" t="s">
        <v>93</v>
      </c>
      <c r="I119" s="246" t="s">
        <v>90</v>
      </c>
      <c r="J119" s="246" t="s">
        <v>1490</v>
      </c>
      <c r="K119" s="246" t="s">
        <v>486</v>
      </c>
      <c r="L119" s="246" t="s">
        <v>487</v>
      </c>
      <c r="M119" s="246" t="s">
        <v>572</v>
      </c>
      <c r="N119" s="246" t="s">
        <v>572</v>
      </c>
      <c r="O119" s="246" t="s">
        <v>929</v>
      </c>
      <c r="P119" s="246" t="s">
        <v>1103</v>
      </c>
      <c r="Q119" s="247">
        <v>10020833</v>
      </c>
      <c r="R119" s="248">
        <v>42703</v>
      </c>
      <c r="S119" s="248">
        <v>42705</v>
      </c>
      <c r="T119" s="248">
        <v>42754</v>
      </c>
      <c r="U119" s="246" t="s">
        <v>488</v>
      </c>
      <c r="V119" s="246">
        <v>1</v>
      </c>
      <c r="W119" s="246" t="s">
        <v>219</v>
      </c>
      <c r="X119" s="246">
        <v>1</v>
      </c>
      <c r="Y119" s="246">
        <v>1</v>
      </c>
      <c r="Z119" s="246">
        <v>1</v>
      </c>
      <c r="AA119" s="246">
        <v>1</v>
      </c>
      <c r="AB119" s="246" t="s">
        <v>486</v>
      </c>
      <c r="AC119" s="246" t="s">
        <v>486</v>
      </c>
      <c r="AD119" s="246" t="s">
        <v>486</v>
      </c>
      <c r="AE119" s="246" t="s">
        <v>486</v>
      </c>
      <c r="AF119" s="246" t="s">
        <v>486</v>
      </c>
      <c r="AG119" s="246" t="s">
        <v>486</v>
      </c>
      <c r="AH119" s="246" t="s">
        <v>486</v>
      </c>
      <c r="AI119" s="246" t="s">
        <v>486</v>
      </c>
      <c r="AJ119" s="246" t="s">
        <v>486</v>
      </c>
      <c r="AK119" s="246" t="s">
        <v>486</v>
      </c>
      <c r="AL119" s="246" t="s">
        <v>491</v>
      </c>
      <c r="AM119" s="246" t="s">
        <v>486</v>
      </c>
      <c r="AN119" s="246" t="s">
        <v>486</v>
      </c>
      <c r="AO119" s="248" t="s">
        <v>486</v>
      </c>
      <c r="AP119" s="247" t="s">
        <v>486</v>
      </c>
      <c r="AQ119" s="249" t="s">
        <v>486</v>
      </c>
      <c r="AR119" s="246" t="s">
        <v>486</v>
      </c>
    </row>
    <row r="120" spans="1:44" ht="15" x14ac:dyDescent="0.25">
      <c r="A120" s="250" t="str">
        <f>HYPERLINK("http://www.ofsted.gov.uk/inspection-reports/find-inspection-report/provider/ELS/141562 ","Ofsted School Webpage")</f>
        <v>Ofsted School Webpage</v>
      </c>
      <c r="B120" s="251">
        <v>141562</v>
      </c>
      <c r="C120" s="251">
        <v>2106006</v>
      </c>
      <c r="D120" s="251" t="s">
        <v>1724</v>
      </c>
      <c r="E120" s="251" t="s">
        <v>247</v>
      </c>
      <c r="F120" s="251" t="s">
        <v>93</v>
      </c>
      <c r="G120" s="251" t="s">
        <v>71</v>
      </c>
      <c r="H120" s="251" t="s">
        <v>71</v>
      </c>
      <c r="I120" s="251" t="s">
        <v>71</v>
      </c>
      <c r="J120" s="251" t="s">
        <v>1490</v>
      </c>
      <c r="K120" s="251" t="s">
        <v>486</v>
      </c>
      <c r="L120" s="251" t="s">
        <v>487</v>
      </c>
      <c r="M120" s="251" t="s">
        <v>506</v>
      </c>
      <c r="N120" s="251" t="s">
        <v>506</v>
      </c>
      <c r="O120" s="251" t="s">
        <v>1311</v>
      </c>
      <c r="P120" s="251" t="s">
        <v>1725</v>
      </c>
      <c r="Q120" s="252">
        <v>10006137</v>
      </c>
      <c r="R120" s="253">
        <v>42703</v>
      </c>
      <c r="S120" s="253">
        <v>42705</v>
      </c>
      <c r="T120" s="253">
        <v>42752</v>
      </c>
      <c r="U120" s="251" t="s">
        <v>499</v>
      </c>
      <c r="V120" s="251">
        <v>2</v>
      </c>
      <c r="W120" s="251" t="s">
        <v>219</v>
      </c>
      <c r="X120" s="251">
        <v>2</v>
      </c>
      <c r="Y120" s="251">
        <v>2</v>
      </c>
      <c r="Z120" s="251">
        <v>2</v>
      </c>
      <c r="AA120" s="251">
        <v>2</v>
      </c>
      <c r="AB120" s="251" t="s">
        <v>486</v>
      </c>
      <c r="AC120" s="251">
        <v>2</v>
      </c>
      <c r="AD120" s="251" t="s">
        <v>486</v>
      </c>
      <c r="AE120" s="251" t="s">
        <v>486</v>
      </c>
      <c r="AF120" s="251" t="s">
        <v>486</v>
      </c>
      <c r="AG120" s="251" t="s">
        <v>486</v>
      </c>
      <c r="AH120" s="251" t="s">
        <v>486</v>
      </c>
      <c r="AI120" s="251" t="s">
        <v>486</v>
      </c>
      <c r="AJ120" s="251" t="s">
        <v>486</v>
      </c>
      <c r="AK120" s="251" t="s">
        <v>486</v>
      </c>
      <c r="AL120" s="251" t="s">
        <v>491</v>
      </c>
      <c r="AM120" s="251" t="s">
        <v>486</v>
      </c>
      <c r="AN120" s="251" t="s">
        <v>486</v>
      </c>
      <c r="AO120" s="253" t="s">
        <v>486</v>
      </c>
      <c r="AP120" s="252" t="s">
        <v>486</v>
      </c>
      <c r="AQ120" s="254" t="s">
        <v>486</v>
      </c>
      <c r="AR120" s="251" t="s">
        <v>486</v>
      </c>
    </row>
    <row r="121" spans="1:44" ht="15" x14ac:dyDescent="0.25">
      <c r="A121" s="245" t="str">
        <f>HYPERLINK("http://www.ofsted.gov.uk/inspection-reports/find-inspection-report/provider/ELS/143098 ","Ofsted School Webpage")</f>
        <v>Ofsted School Webpage</v>
      </c>
      <c r="B121" s="246">
        <v>143098</v>
      </c>
      <c r="C121" s="246">
        <v>3816018</v>
      </c>
      <c r="D121" s="246" t="s">
        <v>1726</v>
      </c>
      <c r="E121" s="246" t="s">
        <v>247</v>
      </c>
      <c r="F121" s="246" t="s">
        <v>93</v>
      </c>
      <c r="G121" s="246" t="s">
        <v>93</v>
      </c>
      <c r="H121" s="246" t="s">
        <v>93</v>
      </c>
      <c r="I121" s="246" t="s">
        <v>90</v>
      </c>
      <c r="J121" s="246" t="s">
        <v>1490</v>
      </c>
      <c r="K121" s="246" t="s">
        <v>486</v>
      </c>
      <c r="L121" s="246" t="s">
        <v>487</v>
      </c>
      <c r="M121" s="246" t="s">
        <v>523</v>
      </c>
      <c r="N121" s="246" t="s">
        <v>524</v>
      </c>
      <c r="O121" s="246" t="s">
        <v>1539</v>
      </c>
      <c r="P121" s="246" t="s">
        <v>1062</v>
      </c>
      <c r="Q121" s="247">
        <v>10025946</v>
      </c>
      <c r="R121" s="248">
        <v>42703</v>
      </c>
      <c r="S121" s="248">
        <v>42705</v>
      </c>
      <c r="T121" s="248">
        <v>42751</v>
      </c>
      <c r="U121" s="246" t="s">
        <v>499</v>
      </c>
      <c r="V121" s="246">
        <v>3</v>
      </c>
      <c r="W121" s="246" t="s">
        <v>219</v>
      </c>
      <c r="X121" s="246">
        <v>3</v>
      </c>
      <c r="Y121" s="246">
        <v>2</v>
      </c>
      <c r="Z121" s="246">
        <v>3</v>
      </c>
      <c r="AA121" s="246">
        <v>3</v>
      </c>
      <c r="AB121" s="246" t="s">
        <v>486</v>
      </c>
      <c r="AC121" s="246" t="s">
        <v>486</v>
      </c>
      <c r="AD121" s="246" t="s">
        <v>486</v>
      </c>
      <c r="AE121" s="246" t="s">
        <v>486</v>
      </c>
      <c r="AF121" s="246" t="s">
        <v>486</v>
      </c>
      <c r="AG121" s="246" t="s">
        <v>486</v>
      </c>
      <c r="AH121" s="246" t="s">
        <v>486</v>
      </c>
      <c r="AI121" s="246" t="s">
        <v>486</v>
      </c>
      <c r="AJ121" s="246" t="s">
        <v>486</v>
      </c>
      <c r="AK121" s="246" t="s">
        <v>486</v>
      </c>
      <c r="AL121" s="246" t="s">
        <v>545</v>
      </c>
      <c r="AM121" s="246">
        <v>10038730</v>
      </c>
      <c r="AN121" s="246" t="s">
        <v>1109</v>
      </c>
      <c r="AO121" s="248">
        <v>42906</v>
      </c>
      <c r="AP121" s="247" t="s">
        <v>1727</v>
      </c>
      <c r="AQ121" s="249">
        <v>42940</v>
      </c>
      <c r="AR121" s="246" t="s">
        <v>1110</v>
      </c>
    </row>
    <row r="122" spans="1:44" ht="15" x14ac:dyDescent="0.25">
      <c r="A122" s="250" t="str">
        <f>HYPERLINK("http://www.ofsted.gov.uk/inspection-reports/find-inspection-report/provider/ELS/102694 ","Ofsted School Webpage")</f>
        <v>Ofsted School Webpage</v>
      </c>
      <c r="B122" s="251">
        <v>102694</v>
      </c>
      <c r="C122" s="251">
        <v>3156076</v>
      </c>
      <c r="D122" s="251" t="s">
        <v>1728</v>
      </c>
      <c r="E122" s="251" t="s">
        <v>248</v>
      </c>
      <c r="F122" s="251" t="s">
        <v>93</v>
      </c>
      <c r="G122" s="251" t="s">
        <v>93</v>
      </c>
      <c r="H122" s="251" t="s">
        <v>93</v>
      </c>
      <c r="I122" s="251" t="s">
        <v>90</v>
      </c>
      <c r="J122" s="251" t="s">
        <v>1490</v>
      </c>
      <c r="K122" s="251" t="s">
        <v>486</v>
      </c>
      <c r="L122" s="251" t="s">
        <v>487</v>
      </c>
      <c r="M122" s="251" t="s">
        <v>506</v>
      </c>
      <c r="N122" s="251" t="s">
        <v>506</v>
      </c>
      <c r="O122" s="251" t="s">
        <v>1360</v>
      </c>
      <c r="P122" s="251" t="s">
        <v>1729</v>
      </c>
      <c r="Q122" s="252">
        <v>10006008</v>
      </c>
      <c r="R122" s="253">
        <v>42710</v>
      </c>
      <c r="S122" s="253">
        <v>42712</v>
      </c>
      <c r="T122" s="253">
        <v>42790</v>
      </c>
      <c r="U122" s="251" t="s">
        <v>488</v>
      </c>
      <c r="V122" s="251">
        <v>1</v>
      </c>
      <c r="W122" s="251" t="s">
        <v>219</v>
      </c>
      <c r="X122" s="251">
        <v>1</v>
      </c>
      <c r="Y122" s="251">
        <v>1</v>
      </c>
      <c r="Z122" s="251">
        <v>1</v>
      </c>
      <c r="AA122" s="251">
        <v>1</v>
      </c>
      <c r="AB122" s="251">
        <v>1</v>
      </c>
      <c r="AC122" s="251">
        <v>1</v>
      </c>
      <c r="AD122" s="251" t="s">
        <v>486</v>
      </c>
      <c r="AE122" s="251" t="s">
        <v>486</v>
      </c>
      <c r="AF122" s="251" t="s">
        <v>486</v>
      </c>
      <c r="AG122" s="251" t="s">
        <v>486</v>
      </c>
      <c r="AH122" s="251" t="s">
        <v>486</v>
      </c>
      <c r="AI122" s="251" t="s">
        <v>486</v>
      </c>
      <c r="AJ122" s="251" t="s">
        <v>486</v>
      </c>
      <c r="AK122" s="251" t="s">
        <v>486</v>
      </c>
      <c r="AL122" s="251" t="s">
        <v>491</v>
      </c>
      <c r="AM122" s="251" t="s">
        <v>486</v>
      </c>
      <c r="AN122" s="251" t="s">
        <v>486</v>
      </c>
      <c r="AO122" s="253" t="s">
        <v>486</v>
      </c>
      <c r="AP122" s="252" t="s">
        <v>486</v>
      </c>
      <c r="AQ122" s="254" t="s">
        <v>486</v>
      </c>
      <c r="AR122" s="251" t="s">
        <v>486</v>
      </c>
    </row>
    <row r="123" spans="1:44" ht="15" x14ac:dyDescent="0.25">
      <c r="A123" s="245" t="str">
        <f>HYPERLINK("http://www.ofsted.gov.uk/inspection-reports/find-inspection-report/provider/ELS/117650 ","Ofsted School Webpage")</f>
        <v>Ofsted School Webpage</v>
      </c>
      <c r="B123" s="246">
        <v>117650</v>
      </c>
      <c r="C123" s="246">
        <v>9196224</v>
      </c>
      <c r="D123" s="246" t="s">
        <v>1730</v>
      </c>
      <c r="E123" s="246" t="s">
        <v>247</v>
      </c>
      <c r="F123" s="246" t="s">
        <v>71</v>
      </c>
      <c r="G123" s="246" t="s">
        <v>71</v>
      </c>
      <c r="H123" s="246" t="s">
        <v>71</v>
      </c>
      <c r="I123" s="246" t="s">
        <v>71</v>
      </c>
      <c r="J123" s="246" t="s">
        <v>1490</v>
      </c>
      <c r="K123" s="246" t="s">
        <v>486</v>
      </c>
      <c r="L123" s="246" t="s">
        <v>487</v>
      </c>
      <c r="M123" s="246" t="s">
        <v>516</v>
      </c>
      <c r="N123" s="246" t="s">
        <v>516</v>
      </c>
      <c r="O123" s="246" t="s">
        <v>556</v>
      </c>
      <c r="P123" s="246" t="s">
        <v>1731</v>
      </c>
      <c r="Q123" s="247">
        <v>10020942</v>
      </c>
      <c r="R123" s="248">
        <v>42710</v>
      </c>
      <c r="S123" s="248">
        <v>42712</v>
      </c>
      <c r="T123" s="248">
        <v>42760</v>
      </c>
      <c r="U123" s="246" t="s">
        <v>488</v>
      </c>
      <c r="V123" s="246">
        <v>2</v>
      </c>
      <c r="W123" s="246" t="s">
        <v>219</v>
      </c>
      <c r="X123" s="246">
        <v>2</v>
      </c>
      <c r="Y123" s="246">
        <v>1</v>
      </c>
      <c r="Z123" s="246">
        <v>2</v>
      </c>
      <c r="AA123" s="246">
        <v>2</v>
      </c>
      <c r="AB123" s="246">
        <v>2</v>
      </c>
      <c r="AC123" s="246" t="s">
        <v>486</v>
      </c>
      <c r="AD123" s="246" t="s">
        <v>486</v>
      </c>
      <c r="AE123" s="246" t="s">
        <v>486</v>
      </c>
      <c r="AF123" s="246" t="s">
        <v>486</v>
      </c>
      <c r="AG123" s="246" t="s">
        <v>486</v>
      </c>
      <c r="AH123" s="246" t="s">
        <v>486</v>
      </c>
      <c r="AI123" s="246" t="s">
        <v>486</v>
      </c>
      <c r="AJ123" s="246" t="s">
        <v>486</v>
      </c>
      <c r="AK123" s="246" t="s">
        <v>486</v>
      </c>
      <c r="AL123" s="246" t="s">
        <v>491</v>
      </c>
      <c r="AM123" s="246" t="s">
        <v>486</v>
      </c>
      <c r="AN123" s="246" t="s">
        <v>486</v>
      </c>
      <c r="AO123" s="248" t="s">
        <v>486</v>
      </c>
      <c r="AP123" s="247" t="s">
        <v>486</v>
      </c>
      <c r="AQ123" s="249" t="s">
        <v>486</v>
      </c>
      <c r="AR123" s="246" t="s">
        <v>486</v>
      </c>
    </row>
    <row r="124" spans="1:44" ht="15" x14ac:dyDescent="0.25">
      <c r="A124" s="250" t="str">
        <f>HYPERLINK("http://www.ofsted.gov.uk/inspection-reports/find-inspection-report/provider/ELS/117660 ","Ofsted School Webpage")</f>
        <v>Ofsted School Webpage</v>
      </c>
      <c r="B124" s="251">
        <v>117660</v>
      </c>
      <c r="C124" s="251">
        <v>9196234</v>
      </c>
      <c r="D124" s="251" t="s">
        <v>1732</v>
      </c>
      <c r="E124" s="251" t="s">
        <v>247</v>
      </c>
      <c r="F124" s="251" t="s">
        <v>93</v>
      </c>
      <c r="G124" s="251" t="s">
        <v>93</v>
      </c>
      <c r="H124" s="251" t="s">
        <v>93</v>
      </c>
      <c r="I124" s="251" t="s">
        <v>90</v>
      </c>
      <c r="J124" s="251" t="s">
        <v>1490</v>
      </c>
      <c r="K124" s="251" t="s">
        <v>486</v>
      </c>
      <c r="L124" s="251" t="s">
        <v>487</v>
      </c>
      <c r="M124" s="251" t="s">
        <v>516</v>
      </c>
      <c r="N124" s="251" t="s">
        <v>516</v>
      </c>
      <c r="O124" s="251" t="s">
        <v>556</v>
      </c>
      <c r="P124" s="251" t="s">
        <v>1733</v>
      </c>
      <c r="Q124" s="252">
        <v>10012937</v>
      </c>
      <c r="R124" s="253">
        <v>42710</v>
      </c>
      <c r="S124" s="253">
        <v>42712</v>
      </c>
      <c r="T124" s="253">
        <v>42760</v>
      </c>
      <c r="U124" s="251" t="s">
        <v>488</v>
      </c>
      <c r="V124" s="251">
        <v>2</v>
      </c>
      <c r="W124" s="251" t="s">
        <v>219</v>
      </c>
      <c r="X124" s="251">
        <v>2</v>
      </c>
      <c r="Y124" s="251">
        <v>2</v>
      </c>
      <c r="Z124" s="251">
        <v>2</v>
      </c>
      <c r="AA124" s="251">
        <v>2</v>
      </c>
      <c r="AB124" s="251">
        <v>2</v>
      </c>
      <c r="AC124" s="251" t="s">
        <v>486</v>
      </c>
      <c r="AD124" s="251" t="s">
        <v>486</v>
      </c>
      <c r="AE124" s="251" t="s">
        <v>486</v>
      </c>
      <c r="AF124" s="251" t="s">
        <v>486</v>
      </c>
      <c r="AG124" s="251" t="s">
        <v>486</v>
      </c>
      <c r="AH124" s="251" t="s">
        <v>486</v>
      </c>
      <c r="AI124" s="251" t="s">
        <v>486</v>
      </c>
      <c r="AJ124" s="251" t="s">
        <v>486</v>
      </c>
      <c r="AK124" s="251" t="s">
        <v>486</v>
      </c>
      <c r="AL124" s="251" t="s">
        <v>491</v>
      </c>
      <c r="AM124" s="251" t="s">
        <v>486</v>
      </c>
      <c r="AN124" s="251" t="s">
        <v>486</v>
      </c>
      <c r="AO124" s="253" t="s">
        <v>486</v>
      </c>
      <c r="AP124" s="252" t="s">
        <v>486</v>
      </c>
      <c r="AQ124" s="254" t="s">
        <v>486</v>
      </c>
      <c r="AR124" s="251" t="s">
        <v>486</v>
      </c>
    </row>
    <row r="125" spans="1:44" ht="15" x14ac:dyDescent="0.25">
      <c r="A125" s="245" t="str">
        <f>HYPERLINK("http://www.ofsted.gov.uk/inspection-reports/find-inspection-report/provider/ELS/135092 ","Ofsted School Webpage")</f>
        <v>Ofsted School Webpage</v>
      </c>
      <c r="B125" s="246">
        <v>135092</v>
      </c>
      <c r="C125" s="246">
        <v>8886095</v>
      </c>
      <c r="D125" s="246" t="s">
        <v>1734</v>
      </c>
      <c r="E125" s="246" t="s">
        <v>248</v>
      </c>
      <c r="F125" s="246" t="s">
        <v>93</v>
      </c>
      <c r="G125" s="246" t="s">
        <v>93</v>
      </c>
      <c r="H125" s="246" t="s">
        <v>93</v>
      </c>
      <c r="I125" s="246" t="s">
        <v>90</v>
      </c>
      <c r="J125" s="246" t="s">
        <v>1490</v>
      </c>
      <c r="K125" s="246" t="s">
        <v>486</v>
      </c>
      <c r="L125" s="246" t="s">
        <v>487</v>
      </c>
      <c r="M125" s="246" t="s">
        <v>495</v>
      </c>
      <c r="N125" s="246" t="s">
        <v>495</v>
      </c>
      <c r="O125" s="246" t="s">
        <v>534</v>
      </c>
      <c r="P125" s="246" t="s">
        <v>1735</v>
      </c>
      <c r="Q125" s="247">
        <v>10020813</v>
      </c>
      <c r="R125" s="248">
        <v>42710</v>
      </c>
      <c r="S125" s="248">
        <v>42712</v>
      </c>
      <c r="T125" s="248">
        <v>42746</v>
      </c>
      <c r="U125" s="246" t="s">
        <v>488</v>
      </c>
      <c r="V125" s="246">
        <v>2</v>
      </c>
      <c r="W125" s="246" t="s">
        <v>219</v>
      </c>
      <c r="X125" s="246">
        <v>2</v>
      </c>
      <c r="Y125" s="246">
        <v>1</v>
      </c>
      <c r="Z125" s="246">
        <v>2</v>
      </c>
      <c r="AA125" s="246">
        <v>2</v>
      </c>
      <c r="AB125" s="246" t="s">
        <v>486</v>
      </c>
      <c r="AC125" s="246">
        <v>2</v>
      </c>
      <c r="AD125" s="246" t="s">
        <v>486</v>
      </c>
      <c r="AE125" s="246" t="s">
        <v>486</v>
      </c>
      <c r="AF125" s="246" t="s">
        <v>486</v>
      </c>
      <c r="AG125" s="246" t="s">
        <v>486</v>
      </c>
      <c r="AH125" s="246" t="s">
        <v>486</v>
      </c>
      <c r="AI125" s="246" t="s">
        <v>486</v>
      </c>
      <c r="AJ125" s="246" t="s">
        <v>486</v>
      </c>
      <c r="AK125" s="246" t="s">
        <v>486</v>
      </c>
      <c r="AL125" s="246" t="s">
        <v>491</v>
      </c>
      <c r="AM125" s="246" t="s">
        <v>486</v>
      </c>
      <c r="AN125" s="246" t="s">
        <v>486</v>
      </c>
      <c r="AO125" s="248" t="s">
        <v>486</v>
      </c>
      <c r="AP125" s="247" t="s">
        <v>486</v>
      </c>
      <c r="AQ125" s="249" t="s">
        <v>486</v>
      </c>
      <c r="AR125" s="246" t="s">
        <v>486</v>
      </c>
    </row>
    <row r="126" spans="1:44" ht="15" x14ac:dyDescent="0.25">
      <c r="A126" s="250" t="str">
        <f>HYPERLINK("http://www.ofsted.gov.uk/inspection-reports/find-inspection-report/provider/ELS/135247 ","Ofsted School Webpage")</f>
        <v>Ofsted School Webpage</v>
      </c>
      <c r="B126" s="251">
        <v>135247</v>
      </c>
      <c r="C126" s="251">
        <v>8136005</v>
      </c>
      <c r="D126" s="251" t="s">
        <v>1736</v>
      </c>
      <c r="E126" s="251" t="s">
        <v>248</v>
      </c>
      <c r="F126" s="251" t="s">
        <v>93</v>
      </c>
      <c r="G126" s="251" t="s">
        <v>93</v>
      </c>
      <c r="H126" s="251" t="s">
        <v>93</v>
      </c>
      <c r="I126" s="251" t="s">
        <v>90</v>
      </c>
      <c r="J126" s="251" t="s">
        <v>1490</v>
      </c>
      <c r="K126" s="251" t="s">
        <v>486</v>
      </c>
      <c r="L126" s="251" t="s">
        <v>487</v>
      </c>
      <c r="M126" s="251" t="s">
        <v>523</v>
      </c>
      <c r="N126" s="251" t="s">
        <v>524</v>
      </c>
      <c r="O126" s="251" t="s">
        <v>1391</v>
      </c>
      <c r="P126" s="251" t="s">
        <v>1737</v>
      </c>
      <c r="Q126" s="252">
        <v>10020916</v>
      </c>
      <c r="R126" s="253">
        <v>42710</v>
      </c>
      <c r="S126" s="253">
        <v>42712</v>
      </c>
      <c r="T126" s="253">
        <v>42767</v>
      </c>
      <c r="U126" s="251" t="s">
        <v>624</v>
      </c>
      <c r="V126" s="251">
        <v>2</v>
      </c>
      <c r="W126" s="251" t="s">
        <v>219</v>
      </c>
      <c r="X126" s="251">
        <v>2</v>
      </c>
      <c r="Y126" s="251">
        <v>1</v>
      </c>
      <c r="Z126" s="251">
        <v>2</v>
      </c>
      <c r="AA126" s="251">
        <v>2</v>
      </c>
      <c r="AB126" s="251" t="s">
        <v>486</v>
      </c>
      <c r="AC126" s="251">
        <v>2</v>
      </c>
      <c r="AD126" s="251" t="s">
        <v>486</v>
      </c>
      <c r="AE126" s="251" t="s">
        <v>486</v>
      </c>
      <c r="AF126" s="251" t="s">
        <v>486</v>
      </c>
      <c r="AG126" s="251" t="s">
        <v>486</v>
      </c>
      <c r="AH126" s="251" t="s">
        <v>486</v>
      </c>
      <c r="AI126" s="251" t="s">
        <v>486</v>
      </c>
      <c r="AJ126" s="251" t="s">
        <v>486</v>
      </c>
      <c r="AK126" s="251" t="s">
        <v>486</v>
      </c>
      <c r="AL126" s="251" t="s">
        <v>491</v>
      </c>
      <c r="AM126" s="251" t="s">
        <v>486</v>
      </c>
      <c r="AN126" s="251" t="s">
        <v>486</v>
      </c>
      <c r="AO126" s="253" t="s">
        <v>486</v>
      </c>
      <c r="AP126" s="252" t="s">
        <v>486</v>
      </c>
      <c r="AQ126" s="254" t="s">
        <v>486</v>
      </c>
      <c r="AR126" s="251" t="s">
        <v>486</v>
      </c>
    </row>
    <row r="127" spans="1:44" ht="15" x14ac:dyDescent="0.25">
      <c r="A127" s="245" t="str">
        <f>HYPERLINK("http://www.ofsted.gov.uk/inspection-reports/find-inspection-report/provider/ELS/134244 ","Ofsted School Webpage")</f>
        <v>Ofsted School Webpage</v>
      </c>
      <c r="B127" s="246">
        <v>134244</v>
      </c>
      <c r="C127" s="246">
        <v>3176076</v>
      </c>
      <c r="D127" s="246" t="s">
        <v>1255</v>
      </c>
      <c r="E127" s="246" t="s">
        <v>247</v>
      </c>
      <c r="F127" s="246" t="s">
        <v>84</v>
      </c>
      <c r="G127" s="246" t="s">
        <v>84</v>
      </c>
      <c r="H127" s="246" t="s">
        <v>84</v>
      </c>
      <c r="I127" s="246" t="s">
        <v>84</v>
      </c>
      <c r="J127" s="246" t="s">
        <v>1490</v>
      </c>
      <c r="K127" s="246" t="s">
        <v>486</v>
      </c>
      <c r="L127" s="246" t="s">
        <v>487</v>
      </c>
      <c r="M127" s="246" t="s">
        <v>506</v>
      </c>
      <c r="N127" s="246" t="s">
        <v>506</v>
      </c>
      <c r="O127" s="246" t="s">
        <v>731</v>
      </c>
      <c r="P127" s="246" t="s">
        <v>1256</v>
      </c>
      <c r="Q127" s="247">
        <v>10012977</v>
      </c>
      <c r="R127" s="248">
        <v>42711</v>
      </c>
      <c r="S127" s="248">
        <v>42713</v>
      </c>
      <c r="T127" s="248">
        <v>42739</v>
      </c>
      <c r="U127" s="246" t="s">
        <v>488</v>
      </c>
      <c r="V127" s="246">
        <v>2</v>
      </c>
      <c r="W127" s="246" t="s">
        <v>219</v>
      </c>
      <c r="X127" s="246">
        <v>2</v>
      </c>
      <c r="Y127" s="246">
        <v>2</v>
      </c>
      <c r="Z127" s="246">
        <v>2</v>
      </c>
      <c r="AA127" s="246">
        <v>2</v>
      </c>
      <c r="AB127" s="246">
        <v>2</v>
      </c>
      <c r="AC127" s="246" t="s">
        <v>486</v>
      </c>
      <c r="AD127" s="246" t="s">
        <v>486</v>
      </c>
      <c r="AE127" s="246" t="s">
        <v>486</v>
      </c>
      <c r="AF127" s="246" t="s">
        <v>486</v>
      </c>
      <c r="AG127" s="246" t="s">
        <v>486</v>
      </c>
      <c r="AH127" s="246" t="s">
        <v>486</v>
      </c>
      <c r="AI127" s="246" t="s">
        <v>486</v>
      </c>
      <c r="AJ127" s="246" t="s">
        <v>486</v>
      </c>
      <c r="AK127" s="246" t="s">
        <v>486</v>
      </c>
      <c r="AL127" s="246" t="s">
        <v>491</v>
      </c>
      <c r="AM127" s="246" t="s">
        <v>486</v>
      </c>
      <c r="AN127" s="246" t="s">
        <v>486</v>
      </c>
      <c r="AO127" s="248" t="s">
        <v>486</v>
      </c>
      <c r="AP127" s="247" t="s">
        <v>486</v>
      </c>
      <c r="AQ127" s="249" t="s">
        <v>486</v>
      </c>
      <c r="AR127" s="246" t="s">
        <v>486</v>
      </c>
    </row>
    <row r="128" spans="1:44" ht="15" x14ac:dyDescent="0.25">
      <c r="A128" s="250" t="str">
        <f>HYPERLINK("http://www.ofsted.gov.uk/inspection-reports/find-inspection-report/provider/ELS/132112 ","Ofsted School Webpage")</f>
        <v>Ofsted School Webpage</v>
      </c>
      <c r="B128" s="251">
        <v>132112</v>
      </c>
      <c r="C128" s="251">
        <v>9096050</v>
      </c>
      <c r="D128" s="251" t="s">
        <v>1738</v>
      </c>
      <c r="E128" s="251" t="s">
        <v>248</v>
      </c>
      <c r="F128" s="251" t="s">
        <v>93</v>
      </c>
      <c r="G128" s="251" t="s">
        <v>93</v>
      </c>
      <c r="H128" s="251" t="s">
        <v>93</v>
      </c>
      <c r="I128" s="251" t="s">
        <v>90</v>
      </c>
      <c r="J128" s="251" t="s">
        <v>1490</v>
      </c>
      <c r="K128" s="251" t="s">
        <v>486</v>
      </c>
      <c r="L128" s="251" t="s">
        <v>487</v>
      </c>
      <c r="M128" s="251" t="s">
        <v>495</v>
      </c>
      <c r="N128" s="251" t="s">
        <v>495</v>
      </c>
      <c r="O128" s="251" t="s">
        <v>663</v>
      </c>
      <c r="P128" s="251" t="s">
        <v>1739</v>
      </c>
      <c r="Q128" s="252">
        <v>10020789</v>
      </c>
      <c r="R128" s="253">
        <v>42717</v>
      </c>
      <c r="S128" s="253">
        <v>42718</v>
      </c>
      <c r="T128" s="253">
        <v>42753</v>
      </c>
      <c r="U128" s="251" t="s">
        <v>488</v>
      </c>
      <c r="V128" s="251">
        <v>2</v>
      </c>
      <c r="W128" s="251" t="s">
        <v>219</v>
      </c>
      <c r="X128" s="251">
        <v>2</v>
      </c>
      <c r="Y128" s="251">
        <v>2</v>
      </c>
      <c r="Z128" s="251">
        <v>2</v>
      </c>
      <c r="AA128" s="251">
        <v>2</v>
      </c>
      <c r="AB128" s="251" t="s">
        <v>486</v>
      </c>
      <c r="AC128" s="251" t="s">
        <v>486</v>
      </c>
      <c r="AD128" s="251" t="s">
        <v>486</v>
      </c>
      <c r="AE128" s="251" t="s">
        <v>486</v>
      </c>
      <c r="AF128" s="251" t="s">
        <v>486</v>
      </c>
      <c r="AG128" s="251" t="s">
        <v>486</v>
      </c>
      <c r="AH128" s="251" t="s">
        <v>486</v>
      </c>
      <c r="AI128" s="251" t="s">
        <v>486</v>
      </c>
      <c r="AJ128" s="251" t="s">
        <v>486</v>
      </c>
      <c r="AK128" s="251" t="s">
        <v>486</v>
      </c>
      <c r="AL128" s="251" t="s">
        <v>491</v>
      </c>
      <c r="AM128" s="251" t="s">
        <v>486</v>
      </c>
      <c r="AN128" s="251" t="s">
        <v>486</v>
      </c>
      <c r="AO128" s="253" t="s">
        <v>486</v>
      </c>
      <c r="AP128" s="252" t="s">
        <v>486</v>
      </c>
      <c r="AQ128" s="254" t="s">
        <v>486</v>
      </c>
      <c r="AR128" s="251" t="s">
        <v>486</v>
      </c>
    </row>
    <row r="129" spans="1:44" ht="15" x14ac:dyDescent="0.25">
      <c r="A129" s="245" t="str">
        <f>HYPERLINK("http://www.ofsted.gov.uk/inspection-reports/find-inspection-report/provider/ELS/137273 ","Ofsted School Webpage")</f>
        <v>Ofsted School Webpage</v>
      </c>
      <c r="B129" s="246">
        <v>137273</v>
      </c>
      <c r="C129" s="246">
        <v>3136006</v>
      </c>
      <c r="D129" s="246" t="s">
        <v>1139</v>
      </c>
      <c r="E129" s="246" t="s">
        <v>247</v>
      </c>
      <c r="F129" s="246" t="s">
        <v>93</v>
      </c>
      <c r="G129" s="246" t="s">
        <v>84</v>
      </c>
      <c r="H129" s="246" t="s">
        <v>84</v>
      </c>
      <c r="I129" s="246" t="s">
        <v>84</v>
      </c>
      <c r="J129" s="246" t="s">
        <v>1490</v>
      </c>
      <c r="K129" s="246" t="s">
        <v>486</v>
      </c>
      <c r="L129" s="246" t="s">
        <v>487</v>
      </c>
      <c r="M129" s="246" t="s">
        <v>506</v>
      </c>
      <c r="N129" s="246" t="s">
        <v>506</v>
      </c>
      <c r="O129" s="246" t="s">
        <v>813</v>
      </c>
      <c r="P129" s="246" t="s">
        <v>1140</v>
      </c>
      <c r="Q129" s="247">
        <v>10020783</v>
      </c>
      <c r="R129" s="248">
        <v>42717</v>
      </c>
      <c r="S129" s="248">
        <v>42719</v>
      </c>
      <c r="T129" s="248">
        <v>42752</v>
      </c>
      <c r="U129" s="246" t="s">
        <v>488</v>
      </c>
      <c r="V129" s="246">
        <v>3</v>
      </c>
      <c r="W129" s="246" t="s">
        <v>219</v>
      </c>
      <c r="X129" s="246">
        <v>3</v>
      </c>
      <c r="Y129" s="246">
        <v>3</v>
      </c>
      <c r="Z129" s="246">
        <v>3</v>
      </c>
      <c r="AA129" s="246">
        <v>3</v>
      </c>
      <c r="AB129" s="246">
        <v>3</v>
      </c>
      <c r="AC129" s="246" t="s">
        <v>486</v>
      </c>
      <c r="AD129" s="246" t="s">
        <v>486</v>
      </c>
      <c r="AE129" s="246" t="s">
        <v>486</v>
      </c>
      <c r="AF129" s="246" t="s">
        <v>486</v>
      </c>
      <c r="AG129" s="246" t="s">
        <v>486</v>
      </c>
      <c r="AH129" s="246" t="s">
        <v>486</v>
      </c>
      <c r="AI129" s="246" t="s">
        <v>486</v>
      </c>
      <c r="AJ129" s="246" t="s">
        <v>486</v>
      </c>
      <c r="AK129" s="246" t="s">
        <v>486</v>
      </c>
      <c r="AL129" s="246" t="s">
        <v>545</v>
      </c>
      <c r="AM129" s="246">
        <v>10055167</v>
      </c>
      <c r="AN129" s="246" t="s">
        <v>1109</v>
      </c>
      <c r="AO129" s="248">
        <v>43360</v>
      </c>
      <c r="AP129" s="247" t="s">
        <v>1523</v>
      </c>
      <c r="AQ129" s="249">
        <v>43395</v>
      </c>
      <c r="AR129" s="246" t="s">
        <v>1110</v>
      </c>
    </row>
    <row r="130" spans="1:44" ht="15" x14ac:dyDescent="0.25">
      <c r="A130" s="250" t="str">
        <f>HYPERLINK("http://www.ofsted.gov.uk/inspection-reports/find-inspection-report/provider/ELS/139135 ","Ofsted School Webpage")</f>
        <v>Ofsted School Webpage</v>
      </c>
      <c r="B130" s="251">
        <v>139135</v>
      </c>
      <c r="C130" s="251">
        <v>8916020</v>
      </c>
      <c r="D130" s="251" t="s">
        <v>1740</v>
      </c>
      <c r="E130" s="251" t="s">
        <v>248</v>
      </c>
      <c r="F130" s="251" t="s">
        <v>93</v>
      </c>
      <c r="G130" s="251" t="s">
        <v>93</v>
      </c>
      <c r="H130" s="251" t="s">
        <v>93</v>
      </c>
      <c r="I130" s="251" t="s">
        <v>90</v>
      </c>
      <c r="J130" s="251" t="s">
        <v>1490</v>
      </c>
      <c r="K130" s="251" t="s">
        <v>486</v>
      </c>
      <c r="L130" s="251" t="s">
        <v>487</v>
      </c>
      <c r="M130" s="251" t="s">
        <v>572</v>
      </c>
      <c r="N130" s="251" t="s">
        <v>572</v>
      </c>
      <c r="O130" s="251" t="s">
        <v>852</v>
      </c>
      <c r="P130" s="251" t="s">
        <v>1741</v>
      </c>
      <c r="Q130" s="252">
        <v>10020946</v>
      </c>
      <c r="R130" s="253">
        <v>42717</v>
      </c>
      <c r="S130" s="253">
        <v>42719</v>
      </c>
      <c r="T130" s="253">
        <v>42760</v>
      </c>
      <c r="U130" s="251" t="s">
        <v>488</v>
      </c>
      <c r="V130" s="251">
        <v>2</v>
      </c>
      <c r="W130" s="251" t="s">
        <v>219</v>
      </c>
      <c r="X130" s="251">
        <v>2</v>
      </c>
      <c r="Y130" s="251">
        <v>2</v>
      </c>
      <c r="Z130" s="251">
        <v>2</v>
      </c>
      <c r="AA130" s="251">
        <v>2</v>
      </c>
      <c r="AB130" s="251" t="s">
        <v>486</v>
      </c>
      <c r="AC130" s="251">
        <v>2</v>
      </c>
      <c r="AD130" s="251" t="s">
        <v>486</v>
      </c>
      <c r="AE130" s="251" t="s">
        <v>486</v>
      </c>
      <c r="AF130" s="251" t="s">
        <v>486</v>
      </c>
      <c r="AG130" s="251" t="s">
        <v>486</v>
      </c>
      <c r="AH130" s="251" t="s">
        <v>486</v>
      </c>
      <c r="AI130" s="251" t="s">
        <v>486</v>
      </c>
      <c r="AJ130" s="251" t="s">
        <v>486</v>
      </c>
      <c r="AK130" s="251" t="s">
        <v>486</v>
      </c>
      <c r="AL130" s="251" t="s">
        <v>491</v>
      </c>
      <c r="AM130" s="251" t="s">
        <v>486</v>
      </c>
      <c r="AN130" s="251" t="s">
        <v>486</v>
      </c>
      <c r="AO130" s="253" t="s">
        <v>486</v>
      </c>
      <c r="AP130" s="252" t="s">
        <v>486</v>
      </c>
      <c r="AQ130" s="254" t="s">
        <v>486</v>
      </c>
      <c r="AR130" s="251" t="s">
        <v>486</v>
      </c>
    </row>
    <row r="131" spans="1:44" ht="15" x14ac:dyDescent="0.25">
      <c r="A131" s="245" t="str">
        <f>HYPERLINK("http://www.ofsted.gov.uk/inspection-reports/find-inspection-report/provider/ELS/132738 ","Ofsted School Webpage")</f>
        <v>Ofsted School Webpage</v>
      </c>
      <c r="B131" s="246">
        <v>132738</v>
      </c>
      <c r="C131" s="246">
        <v>8886047</v>
      </c>
      <c r="D131" s="246" t="s">
        <v>1742</v>
      </c>
      <c r="E131" s="246" t="s">
        <v>247</v>
      </c>
      <c r="F131" s="246" t="s">
        <v>83</v>
      </c>
      <c r="G131" s="246" t="s">
        <v>84</v>
      </c>
      <c r="H131" s="246" t="s">
        <v>83</v>
      </c>
      <c r="I131" s="246" t="s">
        <v>84</v>
      </c>
      <c r="J131" s="246" t="s">
        <v>1490</v>
      </c>
      <c r="K131" s="246" t="s">
        <v>486</v>
      </c>
      <c r="L131" s="246" t="s">
        <v>487</v>
      </c>
      <c r="M131" s="246" t="s">
        <v>495</v>
      </c>
      <c r="N131" s="246" t="s">
        <v>495</v>
      </c>
      <c r="O131" s="246" t="s">
        <v>534</v>
      </c>
      <c r="P131" s="246" t="s">
        <v>1743</v>
      </c>
      <c r="Q131" s="247">
        <v>10007709</v>
      </c>
      <c r="R131" s="248">
        <v>42745</v>
      </c>
      <c r="S131" s="248">
        <v>42747</v>
      </c>
      <c r="T131" s="248">
        <v>42768</v>
      </c>
      <c r="U131" s="246" t="s">
        <v>488</v>
      </c>
      <c r="V131" s="246">
        <v>2</v>
      </c>
      <c r="W131" s="246" t="s">
        <v>219</v>
      </c>
      <c r="X131" s="246">
        <v>2</v>
      </c>
      <c r="Y131" s="246">
        <v>1</v>
      </c>
      <c r="Z131" s="246">
        <v>2</v>
      </c>
      <c r="AA131" s="246">
        <v>2</v>
      </c>
      <c r="AB131" s="246">
        <v>2</v>
      </c>
      <c r="AC131" s="246" t="s">
        <v>486</v>
      </c>
      <c r="AD131" s="246" t="s">
        <v>486</v>
      </c>
      <c r="AE131" s="246" t="s">
        <v>486</v>
      </c>
      <c r="AF131" s="246" t="s">
        <v>486</v>
      </c>
      <c r="AG131" s="246" t="s">
        <v>486</v>
      </c>
      <c r="AH131" s="246" t="s">
        <v>486</v>
      </c>
      <c r="AI131" s="246" t="s">
        <v>486</v>
      </c>
      <c r="AJ131" s="246" t="s">
        <v>486</v>
      </c>
      <c r="AK131" s="246" t="s">
        <v>486</v>
      </c>
      <c r="AL131" s="246" t="s">
        <v>491</v>
      </c>
      <c r="AM131" s="246" t="s">
        <v>486</v>
      </c>
      <c r="AN131" s="246" t="s">
        <v>486</v>
      </c>
      <c r="AO131" s="248" t="s">
        <v>486</v>
      </c>
      <c r="AP131" s="247" t="s">
        <v>486</v>
      </c>
      <c r="AQ131" s="249" t="s">
        <v>486</v>
      </c>
      <c r="AR131" s="246" t="s">
        <v>486</v>
      </c>
    </row>
    <row r="132" spans="1:44" ht="15" x14ac:dyDescent="0.25">
      <c r="A132" s="250" t="str">
        <f>HYPERLINK("http://www.ofsted.gov.uk/inspection-reports/find-inspection-report/provider/ELS/133262 ","Ofsted School Webpage")</f>
        <v>Ofsted School Webpage</v>
      </c>
      <c r="B132" s="251">
        <v>133262</v>
      </c>
      <c r="C132" s="251">
        <v>3416082</v>
      </c>
      <c r="D132" s="251" t="s">
        <v>1744</v>
      </c>
      <c r="E132" s="251" t="s">
        <v>248</v>
      </c>
      <c r="F132" s="251" t="s">
        <v>93</v>
      </c>
      <c r="G132" s="251" t="s">
        <v>93</v>
      </c>
      <c r="H132" s="251" t="s">
        <v>93</v>
      </c>
      <c r="I132" s="251" t="s">
        <v>90</v>
      </c>
      <c r="J132" s="251" t="s">
        <v>1490</v>
      </c>
      <c r="K132" s="251" t="s">
        <v>486</v>
      </c>
      <c r="L132" s="251" t="s">
        <v>487</v>
      </c>
      <c r="M132" s="251" t="s">
        <v>495</v>
      </c>
      <c r="N132" s="251" t="s">
        <v>495</v>
      </c>
      <c r="O132" s="251" t="s">
        <v>736</v>
      </c>
      <c r="P132" s="251" t="s">
        <v>1745</v>
      </c>
      <c r="Q132" s="252">
        <v>10026007</v>
      </c>
      <c r="R132" s="253">
        <v>42745</v>
      </c>
      <c r="S132" s="253">
        <v>42747</v>
      </c>
      <c r="T132" s="253">
        <v>42793</v>
      </c>
      <c r="U132" s="251" t="s">
        <v>488</v>
      </c>
      <c r="V132" s="251">
        <v>1</v>
      </c>
      <c r="W132" s="251" t="s">
        <v>219</v>
      </c>
      <c r="X132" s="251">
        <v>1</v>
      </c>
      <c r="Y132" s="251">
        <v>1</v>
      </c>
      <c r="Z132" s="251">
        <v>1</v>
      </c>
      <c r="AA132" s="251">
        <v>1</v>
      </c>
      <c r="AB132" s="251" t="s">
        <v>486</v>
      </c>
      <c r="AC132" s="251" t="s">
        <v>486</v>
      </c>
      <c r="AD132" s="251" t="s">
        <v>486</v>
      </c>
      <c r="AE132" s="251" t="s">
        <v>486</v>
      </c>
      <c r="AF132" s="251" t="s">
        <v>486</v>
      </c>
      <c r="AG132" s="251" t="s">
        <v>486</v>
      </c>
      <c r="AH132" s="251" t="s">
        <v>486</v>
      </c>
      <c r="AI132" s="251" t="s">
        <v>486</v>
      </c>
      <c r="AJ132" s="251" t="s">
        <v>486</v>
      </c>
      <c r="AK132" s="251" t="s">
        <v>486</v>
      </c>
      <c r="AL132" s="251" t="s">
        <v>491</v>
      </c>
      <c r="AM132" s="251" t="s">
        <v>486</v>
      </c>
      <c r="AN132" s="251" t="s">
        <v>486</v>
      </c>
      <c r="AO132" s="253" t="s">
        <v>486</v>
      </c>
      <c r="AP132" s="252" t="s">
        <v>486</v>
      </c>
      <c r="AQ132" s="254" t="s">
        <v>486</v>
      </c>
      <c r="AR132" s="251" t="s">
        <v>486</v>
      </c>
    </row>
    <row r="133" spans="1:44" ht="15" x14ac:dyDescent="0.25">
      <c r="A133" s="245" t="str">
        <f>HYPERLINK("http://www.ofsted.gov.uk/inspection-reports/find-inspection-report/provider/ELS/138498 ","Ofsted School Webpage")</f>
        <v>Ofsted School Webpage</v>
      </c>
      <c r="B133" s="246">
        <v>138498</v>
      </c>
      <c r="C133" s="246">
        <v>3506001</v>
      </c>
      <c r="D133" s="246" t="s">
        <v>1746</v>
      </c>
      <c r="E133" s="246" t="s">
        <v>247</v>
      </c>
      <c r="F133" s="246" t="s">
        <v>93</v>
      </c>
      <c r="G133" s="246" t="s">
        <v>83</v>
      </c>
      <c r="H133" s="246" t="s">
        <v>83</v>
      </c>
      <c r="I133" s="246" t="s">
        <v>84</v>
      </c>
      <c r="J133" s="246" t="s">
        <v>1490</v>
      </c>
      <c r="K133" s="246" t="s">
        <v>486</v>
      </c>
      <c r="L133" s="246" t="s">
        <v>487</v>
      </c>
      <c r="M133" s="246" t="s">
        <v>495</v>
      </c>
      <c r="N133" s="246" t="s">
        <v>495</v>
      </c>
      <c r="O133" s="246" t="s">
        <v>1169</v>
      </c>
      <c r="P133" s="246" t="s">
        <v>1747</v>
      </c>
      <c r="Q133" s="247">
        <v>10012843</v>
      </c>
      <c r="R133" s="248">
        <v>42745</v>
      </c>
      <c r="S133" s="248">
        <v>42747</v>
      </c>
      <c r="T133" s="248">
        <v>42774</v>
      </c>
      <c r="U133" s="246" t="s">
        <v>488</v>
      </c>
      <c r="V133" s="246">
        <v>2</v>
      </c>
      <c r="W133" s="246" t="s">
        <v>219</v>
      </c>
      <c r="X133" s="246">
        <v>2</v>
      </c>
      <c r="Y133" s="246">
        <v>2</v>
      </c>
      <c r="Z133" s="246">
        <v>2</v>
      </c>
      <c r="AA133" s="246">
        <v>2</v>
      </c>
      <c r="AB133" s="246" t="s">
        <v>486</v>
      </c>
      <c r="AC133" s="246" t="s">
        <v>486</v>
      </c>
      <c r="AD133" s="246" t="s">
        <v>486</v>
      </c>
      <c r="AE133" s="246" t="s">
        <v>486</v>
      </c>
      <c r="AF133" s="246" t="s">
        <v>486</v>
      </c>
      <c r="AG133" s="246" t="s">
        <v>486</v>
      </c>
      <c r="AH133" s="246" t="s">
        <v>486</v>
      </c>
      <c r="AI133" s="246" t="s">
        <v>486</v>
      </c>
      <c r="AJ133" s="246" t="s">
        <v>486</v>
      </c>
      <c r="AK133" s="246" t="s">
        <v>486</v>
      </c>
      <c r="AL133" s="246" t="s">
        <v>491</v>
      </c>
      <c r="AM133" s="246" t="s">
        <v>486</v>
      </c>
      <c r="AN133" s="246" t="s">
        <v>486</v>
      </c>
      <c r="AO133" s="248" t="s">
        <v>486</v>
      </c>
      <c r="AP133" s="247" t="s">
        <v>486</v>
      </c>
      <c r="AQ133" s="249" t="s">
        <v>486</v>
      </c>
      <c r="AR133" s="246" t="s">
        <v>486</v>
      </c>
    </row>
    <row r="134" spans="1:44" ht="15" x14ac:dyDescent="0.25">
      <c r="A134" s="250" t="str">
        <f>HYPERLINK("http://www.ofsted.gov.uk/inspection-reports/find-inspection-report/provider/ELS/101957 ","Ofsted School Webpage")</f>
        <v>Ofsted School Webpage</v>
      </c>
      <c r="B134" s="251">
        <v>101957</v>
      </c>
      <c r="C134" s="251">
        <v>3076068</v>
      </c>
      <c r="D134" s="251" t="s">
        <v>1198</v>
      </c>
      <c r="E134" s="251" t="s">
        <v>247</v>
      </c>
      <c r="F134" s="251" t="s">
        <v>93</v>
      </c>
      <c r="G134" s="251" t="s">
        <v>84</v>
      </c>
      <c r="H134" s="251" t="s">
        <v>84</v>
      </c>
      <c r="I134" s="251" t="s">
        <v>84</v>
      </c>
      <c r="J134" s="251" t="s">
        <v>1490</v>
      </c>
      <c r="K134" s="251" t="s">
        <v>486</v>
      </c>
      <c r="L134" s="251" t="s">
        <v>487</v>
      </c>
      <c r="M134" s="251" t="s">
        <v>506</v>
      </c>
      <c r="N134" s="251" t="s">
        <v>506</v>
      </c>
      <c r="O134" s="251" t="s">
        <v>507</v>
      </c>
      <c r="P134" s="251" t="s">
        <v>1199</v>
      </c>
      <c r="Q134" s="252">
        <v>10006090</v>
      </c>
      <c r="R134" s="253">
        <v>42752</v>
      </c>
      <c r="S134" s="253">
        <v>42754</v>
      </c>
      <c r="T134" s="253">
        <v>42779</v>
      </c>
      <c r="U134" s="251" t="s">
        <v>488</v>
      </c>
      <c r="V134" s="251">
        <v>3</v>
      </c>
      <c r="W134" s="251" t="s">
        <v>219</v>
      </c>
      <c r="X134" s="251">
        <v>3</v>
      </c>
      <c r="Y134" s="251">
        <v>3</v>
      </c>
      <c r="Z134" s="251">
        <v>3</v>
      </c>
      <c r="AA134" s="251">
        <v>3</v>
      </c>
      <c r="AB134" s="251">
        <v>2</v>
      </c>
      <c r="AC134" s="251">
        <v>2</v>
      </c>
      <c r="AD134" s="251" t="s">
        <v>486</v>
      </c>
      <c r="AE134" s="251" t="s">
        <v>486</v>
      </c>
      <c r="AF134" s="251" t="s">
        <v>486</v>
      </c>
      <c r="AG134" s="251" t="s">
        <v>486</v>
      </c>
      <c r="AH134" s="251" t="s">
        <v>486</v>
      </c>
      <c r="AI134" s="251" t="s">
        <v>486</v>
      </c>
      <c r="AJ134" s="251" t="s">
        <v>486</v>
      </c>
      <c r="AK134" s="251" t="s">
        <v>486</v>
      </c>
      <c r="AL134" s="251" t="s">
        <v>545</v>
      </c>
      <c r="AM134" s="251">
        <v>10039846</v>
      </c>
      <c r="AN134" s="251" t="s">
        <v>1109</v>
      </c>
      <c r="AO134" s="253">
        <v>43384</v>
      </c>
      <c r="AP134" s="252" t="s">
        <v>1523</v>
      </c>
      <c r="AQ134" s="254">
        <v>43447</v>
      </c>
      <c r="AR134" s="251" t="s">
        <v>1136</v>
      </c>
    </row>
    <row r="135" spans="1:44" ht="15" x14ac:dyDescent="0.25">
      <c r="A135" s="245" t="str">
        <f>HYPERLINK("http://www.ofsted.gov.uk/inspection-reports/find-inspection-report/provider/ELS/124879 ","Ofsted School Webpage")</f>
        <v>Ofsted School Webpage</v>
      </c>
      <c r="B135" s="246">
        <v>124879</v>
      </c>
      <c r="C135" s="246">
        <v>9356036</v>
      </c>
      <c r="D135" s="246" t="s">
        <v>1748</v>
      </c>
      <c r="E135" s="246" t="s">
        <v>248</v>
      </c>
      <c r="F135" s="246" t="s">
        <v>93</v>
      </c>
      <c r="G135" s="246" t="s">
        <v>93</v>
      </c>
      <c r="H135" s="246" t="s">
        <v>93</v>
      </c>
      <c r="I135" s="246" t="s">
        <v>90</v>
      </c>
      <c r="J135" s="246" t="s">
        <v>1490</v>
      </c>
      <c r="K135" s="246" t="s">
        <v>486</v>
      </c>
      <c r="L135" s="246" t="s">
        <v>487</v>
      </c>
      <c r="M135" s="246" t="s">
        <v>516</v>
      </c>
      <c r="N135" s="246" t="s">
        <v>516</v>
      </c>
      <c r="O135" s="246" t="s">
        <v>937</v>
      </c>
      <c r="P135" s="246" t="s">
        <v>1749</v>
      </c>
      <c r="Q135" s="247">
        <v>10006050</v>
      </c>
      <c r="R135" s="248">
        <v>42752</v>
      </c>
      <c r="S135" s="248">
        <v>42754</v>
      </c>
      <c r="T135" s="248">
        <v>42782</v>
      </c>
      <c r="U135" s="246" t="s">
        <v>624</v>
      </c>
      <c r="V135" s="246">
        <v>2</v>
      </c>
      <c r="W135" s="246" t="s">
        <v>219</v>
      </c>
      <c r="X135" s="246">
        <v>2</v>
      </c>
      <c r="Y135" s="246">
        <v>1</v>
      </c>
      <c r="Z135" s="246">
        <v>2</v>
      </c>
      <c r="AA135" s="246">
        <v>2</v>
      </c>
      <c r="AB135" s="246" t="s">
        <v>486</v>
      </c>
      <c r="AC135" s="246" t="s">
        <v>486</v>
      </c>
      <c r="AD135" s="246" t="s">
        <v>486</v>
      </c>
      <c r="AE135" s="246" t="s">
        <v>486</v>
      </c>
      <c r="AF135" s="246" t="s">
        <v>486</v>
      </c>
      <c r="AG135" s="246" t="s">
        <v>486</v>
      </c>
      <c r="AH135" s="246" t="s">
        <v>486</v>
      </c>
      <c r="AI135" s="246" t="s">
        <v>486</v>
      </c>
      <c r="AJ135" s="246" t="s">
        <v>486</v>
      </c>
      <c r="AK135" s="246" t="s">
        <v>486</v>
      </c>
      <c r="AL135" s="246" t="s">
        <v>491</v>
      </c>
      <c r="AM135" s="246" t="s">
        <v>486</v>
      </c>
      <c r="AN135" s="246" t="s">
        <v>486</v>
      </c>
      <c r="AO135" s="248" t="s">
        <v>486</v>
      </c>
      <c r="AP135" s="247" t="s">
        <v>486</v>
      </c>
      <c r="AQ135" s="249" t="s">
        <v>486</v>
      </c>
      <c r="AR135" s="246" t="s">
        <v>486</v>
      </c>
    </row>
    <row r="136" spans="1:44" ht="15" x14ac:dyDescent="0.25">
      <c r="A136" s="250" t="str">
        <f>HYPERLINK("http://www.ofsted.gov.uk/inspection-reports/find-inspection-report/provider/ELS/131139 ","Ofsted School Webpage")</f>
        <v>Ofsted School Webpage</v>
      </c>
      <c r="B136" s="251">
        <v>131139</v>
      </c>
      <c r="C136" s="251">
        <v>9386255</v>
      </c>
      <c r="D136" s="251" t="s">
        <v>1750</v>
      </c>
      <c r="E136" s="251" t="s">
        <v>248</v>
      </c>
      <c r="F136" s="251" t="s">
        <v>93</v>
      </c>
      <c r="G136" s="251" t="s">
        <v>93</v>
      </c>
      <c r="H136" s="251" t="s">
        <v>93</v>
      </c>
      <c r="I136" s="251" t="s">
        <v>90</v>
      </c>
      <c r="J136" s="251" t="s">
        <v>1490</v>
      </c>
      <c r="K136" s="251" t="s">
        <v>486</v>
      </c>
      <c r="L136" s="251" t="s">
        <v>487</v>
      </c>
      <c r="M136" s="251" t="s">
        <v>581</v>
      </c>
      <c r="N136" s="251" t="s">
        <v>581</v>
      </c>
      <c r="O136" s="251" t="s">
        <v>829</v>
      </c>
      <c r="P136" s="251" t="s">
        <v>1751</v>
      </c>
      <c r="Q136" s="252">
        <v>10006053</v>
      </c>
      <c r="R136" s="253">
        <v>42752</v>
      </c>
      <c r="S136" s="253">
        <v>42754</v>
      </c>
      <c r="T136" s="253">
        <v>42775</v>
      </c>
      <c r="U136" s="251" t="s">
        <v>488</v>
      </c>
      <c r="V136" s="251">
        <v>2</v>
      </c>
      <c r="W136" s="251" t="s">
        <v>219</v>
      </c>
      <c r="X136" s="251">
        <v>2</v>
      </c>
      <c r="Y136" s="251">
        <v>2</v>
      </c>
      <c r="Z136" s="251">
        <v>2</v>
      </c>
      <c r="AA136" s="251">
        <v>2</v>
      </c>
      <c r="AB136" s="251" t="s">
        <v>486</v>
      </c>
      <c r="AC136" s="251" t="s">
        <v>486</v>
      </c>
      <c r="AD136" s="251" t="s">
        <v>486</v>
      </c>
      <c r="AE136" s="251" t="s">
        <v>486</v>
      </c>
      <c r="AF136" s="251" t="s">
        <v>486</v>
      </c>
      <c r="AG136" s="251" t="s">
        <v>486</v>
      </c>
      <c r="AH136" s="251" t="s">
        <v>486</v>
      </c>
      <c r="AI136" s="251" t="s">
        <v>486</v>
      </c>
      <c r="AJ136" s="251" t="s">
        <v>486</v>
      </c>
      <c r="AK136" s="251" t="s">
        <v>486</v>
      </c>
      <c r="AL136" s="251" t="s">
        <v>491</v>
      </c>
      <c r="AM136" s="251" t="s">
        <v>486</v>
      </c>
      <c r="AN136" s="251" t="s">
        <v>486</v>
      </c>
      <c r="AO136" s="253" t="s">
        <v>486</v>
      </c>
      <c r="AP136" s="252" t="s">
        <v>486</v>
      </c>
      <c r="AQ136" s="254" t="s">
        <v>486</v>
      </c>
      <c r="AR136" s="251" t="s">
        <v>486</v>
      </c>
    </row>
    <row r="137" spans="1:44" ht="15" x14ac:dyDescent="0.25">
      <c r="A137" s="245" t="str">
        <f>HYPERLINK("http://www.ofsted.gov.uk/inspection-reports/find-inspection-report/provider/ELS/131291 ","Ofsted School Webpage")</f>
        <v>Ofsted School Webpage</v>
      </c>
      <c r="B137" s="246">
        <v>131291</v>
      </c>
      <c r="C137" s="246">
        <v>2026396</v>
      </c>
      <c r="D137" s="246" t="s">
        <v>1752</v>
      </c>
      <c r="E137" s="246" t="s">
        <v>247</v>
      </c>
      <c r="F137" s="246" t="s">
        <v>93</v>
      </c>
      <c r="G137" s="246" t="s">
        <v>93</v>
      </c>
      <c r="H137" s="246" t="s">
        <v>93</v>
      </c>
      <c r="I137" s="246" t="s">
        <v>90</v>
      </c>
      <c r="J137" s="246" t="s">
        <v>1490</v>
      </c>
      <c r="K137" s="246" t="s">
        <v>486</v>
      </c>
      <c r="L137" s="246" t="s">
        <v>487</v>
      </c>
      <c r="M137" s="246" t="s">
        <v>506</v>
      </c>
      <c r="N137" s="246" t="s">
        <v>506</v>
      </c>
      <c r="O137" s="246" t="s">
        <v>1177</v>
      </c>
      <c r="P137" s="246" t="s">
        <v>1753</v>
      </c>
      <c r="Q137" s="247">
        <v>10008533</v>
      </c>
      <c r="R137" s="248">
        <v>42752</v>
      </c>
      <c r="S137" s="248">
        <v>42754</v>
      </c>
      <c r="T137" s="248">
        <v>42823</v>
      </c>
      <c r="U137" s="246" t="s">
        <v>488</v>
      </c>
      <c r="V137" s="246">
        <v>1</v>
      </c>
      <c r="W137" s="246" t="s">
        <v>219</v>
      </c>
      <c r="X137" s="246">
        <v>1</v>
      </c>
      <c r="Y137" s="246">
        <v>1</v>
      </c>
      <c r="Z137" s="246">
        <v>1</v>
      </c>
      <c r="AA137" s="246">
        <v>1</v>
      </c>
      <c r="AB137" s="246" t="s">
        <v>486</v>
      </c>
      <c r="AC137" s="246" t="s">
        <v>486</v>
      </c>
      <c r="AD137" s="246" t="s">
        <v>486</v>
      </c>
      <c r="AE137" s="246" t="s">
        <v>486</v>
      </c>
      <c r="AF137" s="246" t="s">
        <v>486</v>
      </c>
      <c r="AG137" s="246" t="s">
        <v>486</v>
      </c>
      <c r="AH137" s="246" t="s">
        <v>486</v>
      </c>
      <c r="AI137" s="246" t="s">
        <v>486</v>
      </c>
      <c r="AJ137" s="246" t="s">
        <v>486</v>
      </c>
      <c r="AK137" s="246" t="s">
        <v>486</v>
      </c>
      <c r="AL137" s="246" t="s">
        <v>491</v>
      </c>
      <c r="AM137" s="246" t="s">
        <v>486</v>
      </c>
      <c r="AN137" s="246" t="s">
        <v>486</v>
      </c>
      <c r="AO137" s="248" t="s">
        <v>486</v>
      </c>
      <c r="AP137" s="247" t="s">
        <v>486</v>
      </c>
      <c r="AQ137" s="249" t="s">
        <v>486</v>
      </c>
      <c r="AR137" s="246" t="s">
        <v>486</v>
      </c>
    </row>
    <row r="138" spans="1:44" ht="15" x14ac:dyDescent="0.25">
      <c r="A138" s="250" t="str">
        <f>HYPERLINK("http://www.ofsted.gov.uk/inspection-reports/find-inspection-report/provider/ELS/134429 ","Ofsted School Webpage")</f>
        <v>Ofsted School Webpage</v>
      </c>
      <c r="B138" s="251">
        <v>134429</v>
      </c>
      <c r="C138" s="251">
        <v>3806117</v>
      </c>
      <c r="D138" s="251" t="s">
        <v>1754</v>
      </c>
      <c r="E138" s="251" t="s">
        <v>247</v>
      </c>
      <c r="F138" s="251" t="s">
        <v>93</v>
      </c>
      <c r="G138" s="251" t="s">
        <v>84</v>
      </c>
      <c r="H138" s="251" t="s">
        <v>84</v>
      </c>
      <c r="I138" s="251" t="s">
        <v>84</v>
      </c>
      <c r="J138" s="251" t="s">
        <v>1490</v>
      </c>
      <c r="K138" s="251" t="s">
        <v>486</v>
      </c>
      <c r="L138" s="251" t="s">
        <v>487</v>
      </c>
      <c r="M138" s="251" t="s">
        <v>523</v>
      </c>
      <c r="N138" s="251" t="s">
        <v>524</v>
      </c>
      <c r="O138" s="251" t="s">
        <v>674</v>
      </c>
      <c r="P138" s="251" t="s">
        <v>1755</v>
      </c>
      <c r="Q138" s="252">
        <v>10025955</v>
      </c>
      <c r="R138" s="253">
        <v>42752</v>
      </c>
      <c r="S138" s="253">
        <v>42754</v>
      </c>
      <c r="T138" s="253">
        <v>42781</v>
      </c>
      <c r="U138" s="251" t="s">
        <v>488</v>
      </c>
      <c r="V138" s="251">
        <v>3</v>
      </c>
      <c r="W138" s="251" t="s">
        <v>219</v>
      </c>
      <c r="X138" s="251">
        <v>3</v>
      </c>
      <c r="Y138" s="251">
        <v>2</v>
      </c>
      <c r="Z138" s="251">
        <v>3</v>
      </c>
      <c r="AA138" s="251">
        <v>3</v>
      </c>
      <c r="AB138" s="251">
        <v>2</v>
      </c>
      <c r="AC138" s="251" t="s">
        <v>486</v>
      </c>
      <c r="AD138" s="251" t="s">
        <v>486</v>
      </c>
      <c r="AE138" s="251" t="s">
        <v>486</v>
      </c>
      <c r="AF138" s="251" t="s">
        <v>486</v>
      </c>
      <c r="AG138" s="251" t="s">
        <v>486</v>
      </c>
      <c r="AH138" s="251" t="s">
        <v>486</v>
      </c>
      <c r="AI138" s="251" t="s">
        <v>486</v>
      </c>
      <c r="AJ138" s="251" t="s">
        <v>486</v>
      </c>
      <c r="AK138" s="251" t="s">
        <v>486</v>
      </c>
      <c r="AL138" s="251" t="s">
        <v>545</v>
      </c>
      <c r="AM138" s="251" t="s">
        <v>486</v>
      </c>
      <c r="AN138" s="251" t="s">
        <v>486</v>
      </c>
      <c r="AO138" s="253" t="s">
        <v>486</v>
      </c>
      <c r="AP138" s="252" t="s">
        <v>486</v>
      </c>
      <c r="AQ138" s="254" t="s">
        <v>486</v>
      </c>
      <c r="AR138" s="251" t="s">
        <v>486</v>
      </c>
    </row>
    <row r="139" spans="1:44" ht="15" x14ac:dyDescent="0.25">
      <c r="A139" s="245" t="str">
        <f>HYPERLINK("http://www.ofsted.gov.uk/inspection-reports/find-inspection-report/provider/ELS/134938 ","Ofsted School Webpage")</f>
        <v>Ofsted School Webpage</v>
      </c>
      <c r="B139" s="246">
        <v>134938</v>
      </c>
      <c r="C139" s="246">
        <v>8576005</v>
      </c>
      <c r="D139" s="246" t="s">
        <v>1111</v>
      </c>
      <c r="E139" s="246" t="s">
        <v>248</v>
      </c>
      <c r="F139" s="246" t="s">
        <v>93</v>
      </c>
      <c r="G139" s="246" t="s">
        <v>93</v>
      </c>
      <c r="H139" s="246" t="s">
        <v>93</v>
      </c>
      <c r="I139" s="246" t="s">
        <v>90</v>
      </c>
      <c r="J139" s="246" t="s">
        <v>1490</v>
      </c>
      <c r="K139" s="246" t="s">
        <v>486</v>
      </c>
      <c r="L139" s="246" t="s">
        <v>487</v>
      </c>
      <c r="M139" s="246" t="s">
        <v>572</v>
      </c>
      <c r="N139" s="246" t="s">
        <v>572</v>
      </c>
      <c r="O139" s="246" t="s">
        <v>1112</v>
      </c>
      <c r="P139" s="246" t="s">
        <v>1113</v>
      </c>
      <c r="Q139" s="247">
        <v>10026049</v>
      </c>
      <c r="R139" s="248">
        <v>42752</v>
      </c>
      <c r="S139" s="248">
        <v>42754</v>
      </c>
      <c r="T139" s="248">
        <v>42794</v>
      </c>
      <c r="U139" s="246" t="s">
        <v>624</v>
      </c>
      <c r="V139" s="246">
        <v>1</v>
      </c>
      <c r="W139" s="246" t="s">
        <v>219</v>
      </c>
      <c r="X139" s="246">
        <v>1</v>
      </c>
      <c r="Y139" s="246">
        <v>1</v>
      </c>
      <c r="Z139" s="246">
        <v>1</v>
      </c>
      <c r="AA139" s="246">
        <v>1</v>
      </c>
      <c r="AB139" s="246" t="s">
        <v>486</v>
      </c>
      <c r="AC139" s="246">
        <v>1</v>
      </c>
      <c r="AD139" s="246" t="s">
        <v>486</v>
      </c>
      <c r="AE139" s="246" t="s">
        <v>486</v>
      </c>
      <c r="AF139" s="246" t="s">
        <v>486</v>
      </c>
      <c r="AG139" s="246" t="s">
        <v>486</v>
      </c>
      <c r="AH139" s="246" t="s">
        <v>486</v>
      </c>
      <c r="AI139" s="246" t="s">
        <v>486</v>
      </c>
      <c r="AJ139" s="246" t="s">
        <v>486</v>
      </c>
      <c r="AK139" s="246" t="s">
        <v>486</v>
      </c>
      <c r="AL139" s="246" t="s">
        <v>491</v>
      </c>
      <c r="AM139" s="246" t="s">
        <v>486</v>
      </c>
      <c r="AN139" s="246" t="s">
        <v>486</v>
      </c>
      <c r="AO139" s="248" t="s">
        <v>486</v>
      </c>
      <c r="AP139" s="247" t="s">
        <v>486</v>
      </c>
      <c r="AQ139" s="249" t="s">
        <v>486</v>
      </c>
      <c r="AR139" s="246" t="s">
        <v>486</v>
      </c>
    </row>
    <row r="140" spans="1:44" ht="15" x14ac:dyDescent="0.25">
      <c r="A140" s="250" t="str">
        <f>HYPERLINK("http://www.ofsted.gov.uk/inspection-reports/find-inspection-report/provider/ELS/136100 ","Ofsted School Webpage")</f>
        <v>Ofsted School Webpage</v>
      </c>
      <c r="B140" s="251">
        <v>136100</v>
      </c>
      <c r="C140" s="251">
        <v>2036041</v>
      </c>
      <c r="D140" s="251" t="s">
        <v>1756</v>
      </c>
      <c r="E140" s="251" t="s">
        <v>247</v>
      </c>
      <c r="F140" s="251" t="s">
        <v>93</v>
      </c>
      <c r="G140" s="251" t="s">
        <v>93</v>
      </c>
      <c r="H140" s="251" t="s">
        <v>93</v>
      </c>
      <c r="I140" s="251" t="s">
        <v>90</v>
      </c>
      <c r="J140" s="251" t="s">
        <v>1490</v>
      </c>
      <c r="K140" s="251" t="s">
        <v>486</v>
      </c>
      <c r="L140" s="251" t="s">
        <v>487</v>
      </c>
      <c r="M140" s="251" t="s">
        <v>506</v>
      </c>
      <c r="N140" s="251" t="s">
        <v>506</v>
      </c>
      <c r="O140" s="251" t="s">
        <v>823</v>
      </c>
      <c r="P140" s="251" t="s">
        <v>1757</v>
      </c>
      <c r="Q140" s="252">
        <v>10026806</v>
      </c>
      <c r="R140" s="253">
        <v>42752</v>
      </c>
      <c r="S140" s="253">
        <v>42754</v>
      </c>
      <c r="T140" s="253">
        <v>42772</v>
      </c>
      <c r="U140" s="251" t="s">
        <v>488</v>
      </c>
      <c r="V140" s="251">
        <v>2</v>
      </c>
      <c r="W140" s="251" t="s">
        <v>219</v>
      </c>
      <c r="X140" s="251">
        <v>2</v>
      </c>
      <c r="Y140" s="251">
        <v>2</v>
      </c>
      <c r="Z140" s="251">
        <v>2</v>
      </c>
      <c r="AA140" s="251">
        <v>2</v>
      </c>
      <c r="AB140" s="251" t="s">
        <v>486</v>
      </c>
      <c r="AC140" s="251">
        <v>2</v>
      </c>
      <c r="AD140" s="251" t="s">
        <v>486</v>
      </c>
      <c r="AE140" s="251" t="s">
        <v>486</v>
      </c>
      <c r="AF140" s="251" t="s">
        <v>486</v>
      </c>
      <c r="AG140" s="251" t="s">
        <v>486</v>
      </c>
      <c r="AH140" s="251" t="s">
        <v>486</v>
      </c>
      <c r="AI140" s="251" t="s">
        <v>486</v>
      </c>
      <c r="AJ140" s="251" t="s">
        <v>486</v>
      </c>
      <c r="AK140" s="251" t="s">
        <v>486</v>
      </c>
      <c r="AL140" s="251" t="s">
        <v>491</v>
      </c>
      <c r="AM140" s="251" t="s">
        <v>486</v>
      </c>
      <c r="AN140" s="251" t="s">
        <v>486</v>
      </c>
      <c r="AO140" s="253" t="s">
        <v>486</v>
      </c>
      <c r="AP140" s="252" t="s">
        <v>486</v>
      </c>
      <c r="AQ140" s="254" t="s">
        <v>486</v>
      </c>
      <c r="AR140" s="251" t="s">
        <v>486</v>
      </c>
    </row>
    <row r="141" spans="1:44" ht="15" x14ac:dyDescent="0.25">
      <c r="A141" s="245" t="str">
        <f>HYPERLINK("http://www.ofsted.gov.uk/inspection-reports/find-inspection-report/provider/ELS/135594 ","Ofsted School Webpage")</f>
        <v>Ofsted School Webpage</v>
      </c>
      <c r="B141" s="246">
        <v>135594</v>
      </c>
      <c r="C141" s="246">
        <v>8816058</v>
      </c>
      <c r="D141" s="246" t="s">
        <v>1758</v>
      </c>
      <c r="E141" s="246" t="s">
        <v>247</v>
      </c>
      <c r="F141" s="246" t="s">
        <v>93</v>
      </c>
      <c r="G141" s="246" t="s">
        <v>93</v>
      </c>
      <c r="H141" s="246" t="s">
        <v>93</v>
      </c>
      <c r="I141" s="246" t="s">
        <v>90</v>
      </c>
      <c r="J141" s="246" t="s">
        <v>1490</v>
      </c>
      <c r="K141" s="246" t="s">
        <v>486</v>
      </c>
      <c r="L141" s="246" t="s">
        <v>487</v>
      </c>
      <c r="M141" s="246" t="s">
        <v>516</v>
      </c>
      <c r="N141" s="246" t="s">
        <v>516</v>
      </c>
      <c r="O141" s="246" t="s">
        <v>764</v>
      </c>
      <c r="P141" s="246" t="s">
        <v>1759</v>
      </c>
      <c r="Q141" s="247">
        <v>10026068</v>
      </c>
      <c r="R141" s="248">
        <v>42753</v>
      </c>
      <c r="S141" s="248">
        <v>42755</v>
      </c>
      <c r="T141" s="248">
        <v>42794</v>
      </c>
      <c r="U141" s="246" t="s">
        <v>488</v>
      </c>
      <c r="V141" s="246">
        <v>2</v>
      </c>
      <c r="W141" s="246" t="s">
        <v>219</v>
      </c>
      <c r="X141" s="246">
        <v>2</v>
      </c>
      <c r="Y141" s="246">
        <v>1</v>
      </c>
      <c r="Z141" s="246">
        <v>2</v>
      </c>
      <c r="AA141" s="246">
        <v>2</v>
      </c>
      <c r="AB141" s="246">
        <v>2</v>
      </c>
      <c r="AC141" s="246" t="s">
        <v>486</v>
      </c>
      <c r="AD141" s="246" t="s">
        <v>486</v>
      </c>
      <c r="AE141" s="246" t="s">
        <v>486</v>
      </c>
      <c r="AF141" s="246" t="s">
        <v>486</v>
      </c>
      <c r="AG141" s="246" t="s">
        <v>486</v>
      </c>
      <c r="AH141" s="246" t="s">
        <v>486</v>
      </c>
      <c r="AI141" s="246" t="s">
        <v>486</v>
      </c>
      <c r="AJ141" s="246" t="s">
        <v>486</v>
      </c>
      <c r="AK141" s="246" t="s">
        <v>486</v>
      </c>
      <c r="AL141" s="246" t="s">
        <v>491</v>
      </c>
      <c r="AM141" s="246" t="s">
        <v>486</v>
      </c>
      <c r="AN141" s="246" t="s">
        <v>486</v>
      </c>
      <c r="AO141" s="248" t="s">
        <v>486</v>
      </c>
      <c r="AP141" s="247" t="s">
        <v>486</v>
      </c>
      <c r="AQ141" s="249" t="s">
        <v>486</v>
      </c>
      <c r="AR141" s="246" t="s">
        <v>486</v>
      </c>
    </row>
    <row r="142" spans="1:44" ht="15" x14ac:dyDescent="0.25">
      <c r="A142" s="250" t="str">
        <f>HYPERLINK("http://www.ofsted.gov.uk/inspection-reports/find-inspection-report/provider/ELS/117646 ","Ofsted School Webpage")</f>
        <v>Ofsted School Webpage</v>
      </c>
      <c r="B142" s="251">
        <v>117646</v>
      </c>
      <c r="C142" s="251">
        <v>9196215</v>
      </c>
      <c r="D142" s="251" t="s">
        <v>1760</v>
      </c>
      <c r="E142" s="251" t="s">
        <v>248</v>
      </c>
      <c r="F142" s="251" t="s">
        <v>93</v>
      </c>
      <c r="G142" s="251" t="s">
        <v>93</v>
      </c>
      <c r="H142" s="251" t="s">
        <v>93</v>
      </c>
      <c r="I142" s="251" t="s">
        <v>90</v>
      </c>
      <c r="J142" s="251" t="s">
        <v>1490</v>
      </c>
      <c r="K142" s="251" t="s">
        <v>486</v>
      </c>
      <c r="L142" s="251" t="s">
        <v>487</v>
      </c>
      <c r="M142" s="251" t="s">
        <v>516</v>
      </c>
      <c r="N142" s="251" t="s">
        <v>516</v>
      </c>
      <c r="O142" s="251" t="s">
        <v>556</v>
      </c>
      <c r="P142" s="251" t="s">
        <v>1761</v>
      </c>
      <c r="Q142" s="252">
        <v>10008866</v>
      </c>
      <c r="R142" s="253">
        <v>42759</v>
      </c>
      <c r="S142" s="253">
        <v>42761</v>
      </c>
      <c r="T142" s="253">
        <v>42814</v>
      </c>
      <c r="U142" s="251" t="s">
        <v>488</v>
      </c>
      <c r="V142" s="251">
        <v>1</v>
      </c>
      <c r="W142" s="251" t="s">
        <v>219</v>
      </c>
      <c r="X142" s="251">
        <v>1</v>
      </c>
      <c r="Y142" s="251">
        <v>1</v>
      </c>
      <c r="Z142" s="251">
        <v>1</v>
      </c>
      <c r="AA142" s="251">
        <v>1</v>
      </c>
      <c r="AB142" s="251" t="s">
        <v>486</v>
      </c>
      <c r="AC142" s="251">
        <v>1</v>
      </c>
      <c r="AD142" s="251" t="s">
        <v>486</v>
      </c>
      <c r="AE142" s="251" t="s">
        <v>486</v>
      </c>
      <c r="AF142" s="251" t="s">
        <v>486</v>
      </c>
      <c r="AG142" s="251" t="s">
        <v>486</v>
      </c>
      <c r="AH142" s="251" t="s">
        <v>486</v>
      </c>
      <c r="AI142" s="251" t="s">
        <v>486</v>
      </c>
      <c r="AJ142" s="251" t="s">
        <v>486</v>
      </c>
      <c r="AK142" s="251" t="s">
        <v>486</v>
      </c>
      <c r="AL142" s="251" t="s">
        <v>491</v>
      </c>
      <c r="AM142" s="251" t="s">
        <v>486</v>
      </c>
      <c r="AN142" s="251" t="s">
        <v>486</v>
      </c>
      <c r="AO142" s="253" t="s">
        <v>486</v>
      </c>
      <c r="AP142" s="252" t="s">
        <v>486</v>
      </c>
      <c r="AQ142" s="254" t="s">
        <v>486</v>
      </c>
      <c r="AR142" s="251" t="s">
        <v>486</v>
      </c>
    </row>
    <row r="143" spans="1:44" ht="15" x14ac:dyDescent="0.25">
      <c r="A143" s="245" t="str">
        <f>HYPERLINK("http://www.ofsted.gov.uk/inspection-reports/find-inspection-report/provider/ELS/133285 ","Ofsted School Webpage")</f>
        <v>Ofsted School Webpage</v>
      </c>
      <c r="B143" s="246">
        <v>133285</v>
      </c>
      <c r="C143" s="246">
        <v>3506018</v>
      </c>
      <c r="D143" s="246" t="s">
        <v>1762</v>
      </c>
      <c r="E143" s="246" t="s">
        <v>247</v>
      </c>
      <c r="F143" s="246" t="s">
        <v>83</v>
      </c>
      <c r="G143" s="246" t="s">
        <v>84</v>
      </c>
      <c r="H143" s="246" t="s">
        <v>83</v>
      </c>
      <c r="I143" s="246" t="s">
        <v>84</v>
      </c>
      <c r="J143" s="246" t="s">
        <v>1490</v>
      </c>
      <c r="K143" s="246" t="s">
        <v>486</v>
      </c>
      <c r="L143" s="246" t="s">
        <v>487</v>
      </c>
      <c r="M143" s="246" t="s">
        <v>495</v>
      </c>
      <c r="N143" s="246" t="s">
        <v>495</v>
      </c>
      <c r="O143" s="246" t="s">
        <v>1169</v>
      </c>
      <c r="P143" s="246" t="s">
        <v>1763</v>
      </c>
      <c r="Q143" s="247">
        <v>10007711</v>
      </c>
      <c r="R143" s="248">
        <v>42759</v>
      </c>
      <c r="S143" s="248">
        <v>42761</v>
      </c>
      <c r="T143" s="248">
        <v>42803</v>
      </c>
      <c r="U143" s="246" t="s">
        <v>488</v>
      </c>
      <c r="V143" s="246">
        <v>1</v>
      </c>
      <c r="W143" s="246" t="s">
        <v>219</v>
      </c>
      <c r="X143" s="246">
        <v>1</v>
      </c>
      <c r="Y143" s="246">
        <v>1</v>
      </c>
      <c r="Z143" s="246">
        <v>1</v>
      </c>
      <c r="AA143" s="246">
        <v>1</v>
      </c>
      <c r="AB143" s="246" t="s">
        <v>486</v>
      </c>
      <c r="AC143" s="246">
        <v>1</v>
      </c>
      <c r="AD143" s="246" t="s">
        <v>486</v>
      </c>
      <c r="AE143" s="246" t="s">
        <v>486</v>
      </c>
      <c r="AF143" s="246" t="s">
        <v>486</v>
      </c>
      <c r="AG143" s="246" t="s">
        <v>486</v>
      </c>
      <c r="AH143" s="246" t="s">
        <v>486</v>
      </c>
      <c r="AI143" s="246" t="s">
        <v>486</v>
      </c>
      <c r="AJ143" s="246" t="s">
        <v>486</v>
      </c>
      <c r="AK143" s="246" t="s">
        <v>486</v>
      </c>
      <c r="AL143" s="246" t="s">
        <v>491</v>
      </c>
      <c r="AM143" s="246" t="s">
        <v>486</v>
      </c>
      <c r="AN143" s="246" t="s">
        <v>486</v>
      </c>
      <c r="AO143" s="248" t="s">
        <v>486</v>
      </c>
      <c r="AP143" s="247" t="s">
        <v>486</v>
      </c>
      <c r="AQ143" s="249" t="s">
        <v>486</v>
      </c>
      <c r="AR143" s="246" t="s">
        <v>486</v>
      </c>
    </row>
    <row r="144" spans="1:44" ht="15" x14ac:dyDescent="0.25">
      <c r="A144" s="250" t="str">
        <f>HYPERLINK("http://www.ofsted.gov.uk/inspection-reports/find-inspection-report/provider/ELS/139426 ","Ofsted School Webpage")</f>
        <v>Ofsted School Webpage</v>
      </c>
      <c r="B144" s="251">
        <v>139426</v>
      </c>
      <c r="C144" s="251">
        <v>8886058</v>
      </c>
      <c r="D144" s="251" t="s">
        <v>1764</v>
      </c>
      <c r="E144" s="251" t="s">
        <v>247</v>
      </c>
      <c r="F144" s="251" t="s">
        <v>93</v>
      </c>
      <c r="G144" s="251" t="s">
        <v>93</v>
      </c>
      <c r="H144" s="251" t="s">
        <v>93</v>
      </c>
      <c r="I144" s="251" t="s">
        <v>90</v>
      </c>
      <c r="J144" s="251" t="s">
        <v>1490</v>
      </c>
      <c r="K144" s="251" t="s">
        <v>486</v>
      </c>
      <c r="L144" s="251" t="s">
        <v>487</v>
      </c>
      <c r="M144" s="251" t="s">
        <v>495</v>
      </c>
      <c r="N144" s="251" t="s">
        <v>495</v>
      </c>
      <c r="O144" s="251" t="s">
        <v>534</v>
      </c>
      <c r="P144" s="251" t="s">
        <v>1765</v>
      </c>
      <c r="Q144" s="252">
        <v>10026018</v>
      </c>
      <c r="R144" s="253">
        <v>42759</v>
      </c>
      <c r="S144" s="253">
        <v>42761</v>
      </c>
      <c r="T144" s="253">
        <v>42783</v>
      </c>
      <c r="U144" s="251" t="s">
        <v>488</v>
      </c>
      <c r="V144" s="251">
        <v>2</v>
      </c>
      <c r="W144" s="251" t="s">
        <v>219</v>
      </c>
      <c r="X144" s="251">
        <v>2</v>
      </c>
      <c r="Y144" s="251">
        <v>2</v>
      </c>
      <c r="Z144" s="251">
        <v>2</v>
      </c>
      <c r="AA144" s="251">
        <v>2</v>
      </c>
      <c r="AB144" s="251" t="s">
        <v>486</v>
      </c>
      <c r="AC144" s="251" t="s">
        <v>486</v>
      </c>
      <c r="AD144" s="251" t="s">
        <v>486</v>
      </c>
      <c r="AE144" s="251" t="s">
        <v>486</v>
      </c>
      <c r="AF144" s="251" t="s">
        <v>486</v>
      </c>
      <c r="AG144" s="251" t="s">
        <v>486</v>
      </c>
      <c r="AH144" s="251" t="s">
        <v>486</v>
      </c>
      <c r="AI144" s="251" t="s">
        <v>486</v>
      </c>
      <c r="AJ144" s="251" t="s">
        <v>486</v>
      </c>
      <c r="AK144" s="251" t="s">
        <v>486</v>
      </c>
      <c r="AL144" s="251" t="s">
        <v>491</v>
      </c>
      <c r="AM144" s="251" t="s">
        <v>486</v>
      </c>
      <c r="AN144" s="251" t="s">
        <v>486</v>
      </c>
      <c r="AO144" s="253" t="s">
        <v>486</v>
      </c>
      <c r="AP144" s="252" t="s">
        <v>486</v>
      </c>
      <c r="AQ144" s="254" t="s">
        <v>486</v>
      </c>
      <c r="AR144" s="251" t="s">
        <v>486</v>
      </c>
    </row>
    <row r="145" spans="1:44" ht="15" x14ac:dyDescent="0.25">
      <c r="A145" s="245" t="str">
        <f>HYPERLINK("http://www.ofsted.gov.uk/inspection-reports/find-inspection-report/provider/ELS/142329 ","Ofsted School Webpage")</f>
        <v>Ofsted School Webpage</v>
      </c>
      <c r="B145" s="246">
        <v>142329</v>
      </c>
      <c r="C145" s="246">
        <v>3046001</v>
      </c>
      <c r="D145" s="246" t="s">
        <v>1766</v>
      </c>
      <c r="E145" s="246" t="s">
        <v>247</v>
      </c>
      <c r="F145" s="246" t="s">
        <v>93</v>
      </c>
      <c r="G145" s="246" t="s">
        <v>93</v>
      </c>
      <c r="H145" s="246" t="s">
        <v>93</v>
      </c>
      <c r="I145" s="246" t="s">
        <v>90</v>
      </c>
      <c r="J145" s="246" t="s">
        <v>1490</v>
      </c>
      <c r="K145" s="246" t="s">
        <v>486</v>
      </c>
      <c r="L145" s="246" t="s">
        <v>487</v>
      </c>
      <c r="M145" s="246" t="s">
        <v>506</v>
      </c>
      <c r="N145" s="246" t="s">
        <v>506</v>
      </c>
      <c r="O145" s="246" t="s">
        <v>543</v>
      </c>
      <c r="P145" s="246" t="s">
        <v>1767</v>
      </c>
      <c r="Q145" s="247">
        <v>10012797</v>
      </c>
      <c r="R145" s="248">
        <v>42759</v>
      </c>
      <c r="S145" s="248">
        <v>42761</v>
      </c>
      <c r="T145" s="248">
        <v>42801</v>
      </c>
      <c r="U145" s="246" t="s">
        <v>499</v>
      </c>
      <c r="V145" s="246">
        <v>3</v>
      </c>
      <c r="W145" s="246" t="s">
        <v>219</v>
      </c>
      <c r="X145" s="246">
        <v>3</v>
      </c>
      <c r="Y145" s="246">
        <v>2</v>
      </c>
      <c r="Z145" s="246">
        <v>3</v>
      </c>
      <c r="AA145" s="246">
        <v>3</v>
      </c>
      <c r="AB145" s="246" t="s">
        <v>486</v>
      </c>
      <c r="AC145" s="246">
        <v>2</v>
      </c>
      <c r="AD145" s="246" t="s">
        <v>486</v>
      </c>
      <c r="AE145" s="246" t="s">
        <v>486</v>
      </c>
      <c r="AF145" s="246" t="s">
        <v>486</v>
      </c>
      <c r="AG145" s="246" t="s">
        <v>486</v>
      </c>
      <c r="AH145" s="246" t="s">
        <v>486</v>
      </c>
      <c r="AI145" s="246" t="s">
        <v>486</v>
      </c>
      <c r="AJ145" s="246" t="s">
        <v>486</v>
      </c>
      <c r="AK145" s="246" t="s">
        <v>486</v>
      </c>
      <c r="AL145" s="246" t="s">
        <v>491</v>
      </c>
      <c r="AM145" s="246" t="s">
        <v>486</v>
      </c>
      <c r="AN145" s="246" t="s">
        <v>486</v>
      </c>
      <c r="AO145" s="248" t="s">
        <v>486</v>
      </c>
      <c r="AP145" s="247" t="s">
        <v>486</v>
      </c>
      <c r="AQ145" s="249" t="s">
        <v>486</v>
      </c>
      <c r="AR145" s="246" t="s">
        <v>486</v>
      </c>
    </row>
    <row r="146" spans="1:44" ht="15" x14ac:dyDescent="0.25">
      <c r="A146" s="250" t="str">
        <f>HYPERLINK("http://www.ofsted.gov.uk/inspection-reports/find-inspection-report/provider/ELS/118995 ","Ofsted School Webpage")</f>
        <v>Ofsted School Webpage</v>
      </c>
      <c r="B146" s="251">
        <v>118995</v>
      </c>
      <c r="C146" s="251">
        <v>8866047</v>
      </c>
      <c r="D146" s="251" t="s">
        <v>1768</v>
      </c>
      <c r="E146" s="251" t="s">
        <v>248</v>
      </c>
      <c r="F146" s="251" t="s">
        <v>93</v>
      </c>
      <c r="G146" s="251" t="s">
        <v>93</v>
      </c>
      <c r="H146" s="251" t="s">
        <v>93</v>
      </c>
      <c r="I146" s="251" t="s">
        <v>90</v>
      </c>
      <c r="J146" s="251" t="s">
        <v>1490</v>
      </c>
      <c r="K146" s="251" t="s">
        <v>486</v>
      </c>
      <c r="L146" s="251" t="s">
        <v>487</v>
      </c>
      <c r="M146" s="251" t="s">
        <v>581</v>
      </c>
      <c r="N146" s="251" t="s">
        <v>581</v>
      </c>
      <c r="O146" s="251" t="s">
        <v>694</v>
      </c>
      <c r="P146" s="251" t="s">
        <v>1769</v>
      </c>
      <c r="Q146" s="252">
        <v>10006043</v>
      </c>
      <c r="R146" s="253">
        <v>42766</v>
      </c>
      <c r="S146" s="253">
        <v>42768</v>
      </c>
      <c r="T146" s="253">
        <v>42800</v>
      </c>
      <c r="U146" s="251" t="s">
        <v>624</v>
      </c>
      <c r="V146" s="251">
        <v>2</v>
      </c>
      <c r="W146" s="251" t="s">
        <v>219</v>
      </c>
      <c r="X146" s="251">
        <v>2</v>
      </c>
      <c r="Y146" s="251">
        <v>1</v>
      </c>
      <c r="Z146" s="251">
        <v>2</v>
      </c>
      <c r="AA146" s="251">
        <v>2</v>
      </c>
      <c r="AB146" s="251" t="s">
        <v>486</v>
      </c>
      <c r="AC146" s="251">
        <v>2</v>
      </c>
      <c r="AD146" s="251" t="s">
        <v>486</v>
      </c>
      <c r="AE146" s="251" t="s">
        <v>486</v>
      </c>
      <c r="AF146" s="251" t="s">
        <v>486</v>
      </c>
      <c r="AG146" s="251" t="s">
        <v>486</v>
      </c>
      <c r="AH146" s="251" t="s">
        <v>486</v>
      </c>
      <c r="AI146" s="251" t="s">
        <v>486</v>
      </c>
      <c r="AJ146" s="251" t="s">
        <v>486</v>
      </c>
      <c r="AK146" s="251" t="s">
        <v>486</v>
      </c>
      <c r="AL146" s="251" t="s">
        <v>491</v>
      </c>
      <c r="AM146" s="251" t="s">
        <v>486</v>
      </c>
      <c r="AN146" s="251" t="s">
        <v>486</v>
      </c>
      <c r="AO146" s="253" t="s">
        <v>486</v>
      </c>
      <c r="AP146" s="252" t="s">
        <v>486</v>
      </c>
      <c r="AQ146" s="254" t="s">
        <v>486</v>
      </c>
      <c r="AR146" s="251" t="s">
        <v>486</v>
      </c>
    </row>
    <row r="147" spans="1:44" ht="15" x14ac:dyDescent="0.25">
      <c r="A147" s="245" t="str">
        <f>HYPERLINK("http://www.ofsted.gov.uk/inspection-reports/find-inspection-report/provider/ELS/120325 ","Ofsted School Webpage")</f>
        <v>Ofsted School Webpage</v>
      </c>
      <c r="B147" s="246">
        <v>120325</v>
      </c>
      <c r="C147" s="246">
        <v>8556002</v>
      </c>
      <c r="D147" s="246" t="s">
        <v>1770</v>
      </c>
      <c r="E147" s="246" t="s">
        <v>247</v>
      </c>
      <c r="F147" s="246" t="s">
        <v>93</v>
      </c>
      <c r="G147" s="246" t="s">
        <v>93</v>
      </c>
      <c r="H147" s="246" t="s">
        <v>93</v>
      </c>
      <c r="I147" s="246" t="s">
        <v>90</v>
      </c>
      <c r="J147" s="246" t="s">
        <v>1490</v>
      </c>
      <c r="K147" s="246" t="s">
        <v>486</v>
      </c>
      <c r="L147" s="246" t="s">
        <v>487</v>
      </c>
      <c r="M147" s="246" t="s">
        <v>572</v>
      </c>
      <c r="N147" s="246" t="s">
        <v>572</v>
      </c>
      <c r="O147" s="246" t="s">
        <v>966</v>
      </c>
      <c r="P147" s="246" t="s">
        <v>1771</v>
      </c>
      <c r="Q147" s="247">
        <v>10026045</v>
      </c>
      <c r="R147" s="248">
        <v>42766</v>
      </c>
      <c r="S147" s="248">
        <v>42768</v>
      </c>
      <c r="T147" s="248">
        <v>42786</v>
      </c>
      <c r="U147" s="246" t="s">
        <v>488</v>
      </c>
      <c r="V147" s="246">
        <v>2</v>
      </c>
      <c r="W147" s="246" t="s">
        <v>219</v>
      </c>
      <c r="X147" s="246">
        <v>2</v>
      </c>
      <c r="Y147" s="246">
        <v>1</v>
      </c>
      <c r="Z147" s="246">
        <v>2</v>
      </c>
      <c r="AA147" s="246">
        <v>2</v>
      </c>
      <c r="AB147" s="246">
        <v>2</v>
      </c>
      <c r="AC147" s="246" t="s">
        <v>486</v>
      </c>
      <c r="AD147" s="246" t="s">
        <v>486</v>
      </c>
      <c r="AE147" s="246" t="s">
        <v>486</v>
      </c>
      <c r="AF147" s="246" t="s">
        <v>486</v>
      </c>
      <c r="AG147" s="246" t="s">
        <v>486</v>
      </c>
      <c r="AH147" s="246" t="s">
        <v>486</v>
      </c>
      <c r="AI147" s="246" t="s">
        <v>486</v>
      </c>
      <c r="AJ147" s="246" t="s">
        <v>486</v>
      </c>
      <c r="AK147" s="246" t="s">
        <v>486</v>
      </c>
      <c r="AL147" s="246" t="s">
        <v>491</v>
      </c>
      <c r="AM147" s="246" t="s">
        <v>486</v>
      </c>
      <c r="AN147" s="246" t="s">
        <v>486</v>
      </c>
      <c r="AO147" s="248" t="s">
        <v>486</v>
      </c>
      <c r="AP147" s="247" t="s">
        <v>486</v>
      </c>
      <c r="AQ147" s="249" t="s">
        <v>486</v>
      </c>
      <c r="AR147" s="246" t="s">
        <v>486</v>
      </c>
    </row>
    <row r="148" spans="1:44" ht="15" x14ac:dyDescent="0.25">
      <c r="A148" s="250" t="str">
        <f>HYPERLINK("http://www.ofsted.gov.uk/inspection-reports/find-inspection-report/provider/ELS/133298 ","Ofsted School Webpage")</f>
        <v>Ofsted School Webpage</v>
      </c>
      <c r="B148" s="251">
        <v>133298</v>
      </c>
      <c r="C148" s="251">
        <v>8866089</v>
      </c>
      <c r="D148" s="251" t="s">
        <v>1145</v>
      </c>
      <c r="E148" s="251" t="s">
        <v>248</v>
      </c>
      <c r="F148" s="251" t="s">
        <v>93</v>
      </c>
      <c r="G148" s="251" t="s">
        <v>93</v>
      </c>
      <c r="H148" s="251" t="s">
        <v>93</v>
      </c>
      <c r="I148" s="251" t="s">
        <v>90</v>
      </c>
      <c r="J148" s="251" t="s">
        <v>1490</v>
      </c>
      <c r="K148" s="251" t="s">
        <v>486</v>
      </c>
      <c r="L148" s="251" t="s">
        <v>487</v>
      </c>
      <c r="M148" s="251" t="s">
        <v>581</v>
      </c>
      <c r="N148" s="251" t="s">
        <v>581</v>
      </c>
      <c r="O148" s="251" t="s">
        <v>694</v>
      </c>
      <c r="P148" s="251" t="s">
        <v>1146</v>
      </c>
      <c r="Q148" s="252">
        <v>10012926</v>
      </c>
      <c r="R148" s="253">
        <v>42766</v>
      </c>
      <c r="S148" s="253">
        <v>42768</v>
      </c>
      <c r="T148" s="253">
        <v>42797</v>
      </c>
      <c r="U148" s="251" t="s">
        <v>488</v>
      </c>
      <c r="V148" s="251">
        <v>3</v>
      </c>
      <c r="W148" s="251" t="s">
        <v>219</v>
      </c>
      <c r="X148" s="251">
        <v>3</v>
      </c>
      <c r="Y148" s="251">
        <v>3</v>
      </c>
      <c r="Z148" s="251">
        <v>3</v>
      </c>
      <c r="AA148" s="251">
        <v>3</v>
      </c>
      <c r="AB148" s="251" t="s">
        <v>486</v>
      </c>
      <c r="AC148" s="251" t="s">
        <v>486</v>
      </c>
      <c r="AD148" s="251" t="s">
        <v>486</v>
      </c>
      <c r="AE148" s="251" t="s">
        <v>486</v>
      </c>
      <c r="AF148" s="251" t="s">
        <v>486</v>
      </c>
      <c r="AG148" s="251" t="s">
        <v>486</v>
      </c>
      <c r="AH148" s="251" t="s">
        <v>486</v>
      </c>
      <c r="AI148" s="251" t="s">
        <v>486</v>
      </c>
      <c r="AJ148" s="251" t="s">
        <v>486</v>
      </c>
      <c r="AK148" s="251" t="s">
        <v>486</v>
      </c>
      <c r="AL148" s="251" t="s">
        <v>491</v>
      </c>
      <c r="AM148" s="251">
        <v>10056487</v>
      </c>
      <c r="AN148" s="251" t="s">
        <v>1109</v>
      </c>
      <c r="AO148" s="253">
        <v>43361</v>
      </c>
      <c r="AP148" s="252" t="s">
        <v>1523</v>
      </c>
      <c r="AQ148" s="254">
        <v>43384</v>
      </c>
      <c r="AR148" s="251" t="s">
        <v>1136</v>
      </c>
    </row>
    <row r="149" spans="1:44" ht="15" x14ac:dyDescent="0.25">
      <c r="A149" s="245" t="str">
        <f>HYPERLINK("http://www.ofsted.gov.uk/inspection-reports/find-inspection-report/provider/ELS/142674 ","Ofsted School Webpage")</f>
        <v>Ofsted School Webpage</v>
      </c>
      <c r="B149" s="246">
        <v>142674</v>
      </c>
      <c r="C149" s="246">
        <v>3846004</v>
      </c>
      <c r="D149" s="246" t="s">
        <v>1772</v>
      </c>
      <c r="E149" s="246" t="s">
        <v>248</v>
      </c>
      <c r="F149" s="246" t="s">
        <v>93</v>
      </c>
      <c r="G149" s="246" t="s">
        <v>93</v>
      </c>
      <c r="H149" s="246" t="s">
        <v>93</v>
      </c>
      <c r="I149" s="246" t="s">
        <v>90</v>
      </c>
      <c r="J149" s="246" t="s">
        <v>1490</v>
      </c>
      <c r="K149" s="246" t="s">
        <v>486</v>
      </c>
      <c r="L149" s="246" t="s">
        <v>487</v>
      </c>
      <c r="M149" s="246" t="s">
        <v>523</v>
      </c>
      <c r="N149" s="246" t="s">
        <v>524</v>
      </c>
      <c r="O149" s="246" t="s">
        <v>525</v>
      </c>
      <c r="P149" s="246" t="s">
        <v>1773</v>
      </c>
      <c r="Q149" s="247">
        <v>10025964</v>
      </c>
      <c r="R149" s="248">
        <v>42766</v>
      </c>
      <c r="S149" s="248">
        <v>42768</v>
      </c>
      <c r="T149" s="248">
        <v>42810</v>
      </c>
      <c r="U149" s="246" t="s">
        <v>499</v>
      </c>
      <c r="V149" s="246">
        <v>2</v>
      </c>
      <c r="W149" s="246" t="s">
        <v>219</v>
      </c>
      <c r="X149" s="246">
        <v>1</v>
      </c>
      <c r="Y149" s="246">
        <v>2</v>
      </c>
      <c r="Z149" s="246">
        <v>2</v>
      </c>
      <c r="AA149" s="246">
        <v>2</v>
      </c>
      <c r="AB149" s="246" t="s">
        <v>486</v>
      </c>
      <c r="AC149" s="246" t="s">
        <v>486</v>
      </c>
      <c r="AD149" s="246" t="s">
        <v>486</v>
      </c>
      <c r="AE149" s="246" t="s">
        <v>486</v>
      </c>
      <c r="AF149" s="246" t="s">
        <v>486</v>
      </c>
      <c r="AG149" s="246" t="s">
        <v>486</v>
      </c>
      <c r="AH149" s="246" t="s">
        <v>486</v>
      </c>
      <c r="AI149" s="246" t="s">
        <v>486</v>
      </c>
      <c r="AJ149" s="246" t="s">
        <v>486</v>
      </c>
      <c r="AK149" s="246" t="s">
        <v>486</v>
      </c>
      <c r="AL149" s="246" t="s">
        <v>491</v>
      </c>
      <c r="AM149" s="246" t="s">
        <v>486</v>
      </c>
      <c r="AN149" s="246" t="s">
        <v>486</v>
      </c>
      <c r="AO149" s="248" t="s">
        <v>486</v>
      </c>
      <c r="AP149" s="247" t="s">
        <v>486</v>
      </c>
      <c r="AQ149" s="249" t="s">
        <v>486</v>
      </c>
      <c r="AR149" s="246" t="s">
        <v>486</v>
      </c>
    </row>
    <row r="150" spans="1:44" ht="15" x14ac:dyDescent="0.25">
      <c r="A150" s="250" t="str">
        <f>HYPERLINK("http://www.ofsted.gov.uk/inspection-reports/find-inspection-report/provider/ELS/100077 ","Ofsted School Webpage")</f>
        <v>Ofsted School Webpage</v>
      </c>
      <c r="B150" s="251">
        <v>100077</v>
      </c>
      <c r="C150" s="251">
        <v>2026353</v>
      </c>
      <c r="D150" s="251" t="s">
        <v>1774</v>
      </c>
      <c r="E150" s="251" t="s">
        <v>247</v>
      </c>
      <c r="F150" s="251" t="s">
        <v>93</v>
      </c>
      <c r="G150" s="251" t="s">
        <v>92</v>
      </c>
      <c r="H150" s="251" t="s">
        <v>92</v>
      </c>
      <c r="I150" s="251" t="s">
        <v>90</v>
      </c>
      <c r="J150" s="251" t="s">
        <v>1490</v>
      </c>
      <c r="K150" s="251" t="s">
        <v>486</v>
      </c>
      <c r="L150" s="251" t="s">
        <v>487</v>
      </c>
      <c r="M150" s="251" t="s">
        <v>506</v>
      </c>
      <c r="N150" s="251" t="s">
        <v>506</v>
      </c>
      <c r="O150" s="251" t="s">
        <v>1177</v>
      </c>
      <c r="P150" s="251" t="s">
        <v>1775</v>
      </c>
      <c r="Q150" s="252">
        <v>10006054</v>
      </c>
      <c r="R150" s="253">
        <v>42773</v>
      </c>
      <c r="S150" s="253">
        <v>42775</v>
      </c>
      <c r="T150" s="253">
        <v>42815</v>
      </c>
      <c r="U150" s="251" t="s">
        <v>488</v>
      </c>
      <c r="V150" s="251">
        <v>1</v>
      </c>
      <c r="W150" s="251" t="s">
        <v>219</v>
      </c>
      <c r="X150" s="251">
        <v>1</v>
      </c>
      <c r="Y150" s="251">
        <v>1</v>
      </c>
      <c r="Z150" s="251">
        <v>1</v>
      </c>
      <c r="AA150" s="251">
        <v>1</v>
      </c>
      <c r="AB150" s="251">
        <v>1</v>
      </c>
      <c r="AC150" s="251" t="s">
        <v>486</v>
      </c>
      <c r="AD150" s="251" t="s">
        <v>486</v>
      </c>
      <c r="AE150" s="251" t="s">
        <v>486</v>
      </c>
      <c r="AF150" s="251" t="s">
        <v>486</v>
      </c>
      <c r="AG150" s="251" t="s">
        <v>486</v>
      </c>
      <c r="AH150" s="251" t="s">
        <v>486</v>
      </c>
      <c r="AI150" s="251" t="s">
        <v>486</v>
      </c>
      <c r="AJ150" s="251" t="s">
        <v>486</v>
      </c>
      <c r="AK150" s="251" t="s">
        <v>486</v>
      </c>
      <c r="AL150" s="251" t="s">
        <v>491</v>
      </c>
      <c r="AM150" s="251" t="s">
        <v>486</v>
      </c>
      <c r="AN150" s="251" t="s">
        <v>486</v>
      </c>
      <c r="AO150" s="253" t="s">
        <v>486</v>
      </c>
      <c r="AP150" s="252" t="s">
        <v>486</v>
      </c>
      <c r="AQ150" s="254" t="s">
        <v>486</v>
      </c>
      <c r="AR150" s="251" t="s">
        <v>486</v>
      </c>
    </row>
    <row r="151" spans="1:44" ht="15" x14ac:dyDescent="0.25">
      <c r="A151" s="245" t="str">
        <f>HYPERLINK("http://www.ofsted.gov.uk/inspection-reports/find-inspection-report/provider/ELS/102172 ","Ofsted School Webpage")</f>
        <v>Ofsted School Webpage</v>
      </c>
      <c r="B151" s="246">
        <v>102172</v>
      </c>
      <c r="C151" s="246">
        <v>3096070</v>
      </c>
      <c r="D151" s="246" t="s">
        <v>1776</v>
      </c>
      <c r="E151" s="246" t="s">
        <v>248</v>
      </c>
      <c r="F151" s="246" t="s">
        <v>93</v>
      </c>
      <c r="G151" s="246" t="s">
        <v>93</v>
      </c>
      <c r="H151" s="246" t="s">
        <v>93</v>
      </c>
      <c r="I151" s="246" t="s">
        <v>90</v>
      </c>
      <c r="J151" s="246" t="s">
        <v>1490</v>
      </c>
      <c r="K151" s="246" t="s">
        <v>486</v>
      </c>
      <c r="L151" s="246" t="s">
        <v>487</v>
      </c>
      <c r="M151" s="246" t="s">
        <v>506</v>
      </c>
      <c r="N151" s="246" t="s">
        <v>506</v>
      </c>
      <c r="O151" s="246" t="s">
        <v>595</v>
      </c>
      <c r="P151" s="246" t="s">
        <v>1777</v>
      </c>
      <c r="Q151" s="247">
        <v>10008599</v>
      </c>
      <c r="R151" s="248">
        <v>42773</v>
      </c>
      <c r="S151" s="248">
        <v>42775</v>
      </c>
      <c r="T151" s="248">
        <v>42797</v>
      </c>
      <c r="U151" s="246" t="s">
        <v>488</v>
      </c>
      <c r="V151" s="246">
        <v>2</v>
      </c>
      <c r="W151" s="246" t="s">
        <v>219</v>
      </c>
      <c r="X151" s="246">
        <v>2</v>
      </c>
      <c r="Y151" s="246">
        <v>2</v>
      </c>
      <c r="Z151" s="246">
        <v>2</v>
      </c>
      <c r="AA151" s="246">
        <v>2</v>
      </c>
      <c r="AB151" s="246" t="s">
        <v>486</v>
      </c>
      <c r="AC151" s="246" t="s">
        <v>486</v>
      </c>
      <c r="AD151" s="246" t="s">
        <v>486</v>
      </c>
      <c r="AE151" s="246" t="s">
        <v>486</v>
      </c>
      <c r="AF151" s="246" t="s">
        <v>486</v>
      </c>
      <c r="AG151" s="246" t="s">
        <v>486</v>
      </c>
      <c r="AH151" s="246" t="s">
        <v>486</v>
      </c>
      <c r="AI151" s="246" t="s">
        <v>486</v>
      </c>
      <c r="AJ151" s="246" t="s">
        <v>486</v>
      </c>
      <c r="AK151" s="246" t="s">
        <v>486</v>
      </c>
      <c r="AL151" s="246" t="s">
        <v>491</v>
      </c>
      <c r="AM151" s="246" t="s">
        <v>486</v>
      </c>
      <c r="AN151" s="246" t="s">
        <v>486</v>
      </c>
      <c r="AO151" s="248" t="s">
        <v>486</v>
      </c>
      <c r="AP151" s="247" t="s">
        <v>486</v>
      </c>
      <c r="AQ151" s="249" t="s">
        <v>486</v>
      </c>
      <c r="AR151" s="246" t="s">
        <v>486</v>
      </c>
    </row>
    <row r="152" spans="1:44" ht="15" x14ac:dyDescent="0.25">
      <c r="A152" s="250" t="str">
        <f>HYPERLINK("http://www.ofsted.gov.uk/inspection-reports/find-inspection-report/provider/ELS/106003 ","Ofsted School Webpage")</f>
        <v>Ofsted School Webpage</v>
      </c>
      <c r="B152" s="251">
        <v>106003</v>
      </c>
      <c r="C152" s="251">
        <v>3556027</v>
      </c>
      <c r="D152" s="251" t="s">
        <v>1778</v>
      </c>
      <c r="E152" s="251" t="s">
        <v>247</v>
      </c>
      <c r="F152" s="251" t="s">
        <v>82</v>
      </c>
      <c r="G152" s="251" t="s">
        <v>81</v>
      </c>
      <c r="H152" s="251" t="s">
        <v>82</v>
      </c>
      <c r="I152" s="251" t="s">
        <v>81</v>
      </c>
      <c r="J152" s="251" t="s">
        <v>1490</v>
      </c>
      <c r="K152" s="251" t="s">
        <v>486</v>
      </c>
      <c r="L152" s="251" t="s">
        <v>487</v>
      </c>
      <c r="M152" s="251" t="s">
        <v>495</v>
      </c>
      <c r="N152" s="251" t="s">
        <v>495</v>
      </c>
      <c r="O152" s="251" t="s">
        <v>601</v>
      </c>
      <c r="P152" s="251" t="s">
        <v>1779</v>
      </c>
      <c r="Q152" s="252">
        <v>10026002</v>
      </c>
      <c r="R152" s="253">
        <v>42773</v>
      </c>
      <c r="S152" s="253">
        <v>42775</v>
      </c>
      <c r="T152" s="253">
        <v>42930</v>
      </c>
      <c r="U152" s="251" t="s">
        <v>488</v>
      </c>
      <c r="V152" s="251">
        <v>3</v>
      </c>
      <c r="W152" s="251" t="s">
        <v>219</v>
      </c>
      <c r="X152" s="251">
        <v>3</v>
      </c>
      <c r="Y152" s="251">
        <v>3</v>
      </c>
      <c r="Z152" s="251">
        <v>2</v>
      </c>
      <c r="AA152" s="251">
        <v>2</v>
      </c>
      <c r="AB152" s="251">
        <v>2</v>
      </c>
      <c r="AC152" s="251" t="s">
        <v>486</v>
      </c>
      <c r="AD152" s="251" t="s">
        <v>486</v>
      </c>
      <c r="AE152" s="251" t="s">
        <v>486</v>
      </c>
      <c r="AF152" s="251" t="s">
        <v>486</v>
      </c>
      <c r="AG152" s="251" t="s">
        <v>486</v>
      </c>
      <c r="AH152" s="251" t="s">
        <v>486</v>
      </c>
      <c r="AI152" s="251" t="s">
        <v>486</v>
      </c>
      <c r="AJ152" s="251" t="s">
        <v>486</v>
      </c>
      <c r="AK152" s="251" t="s">
        <v>486</v>
      </c>
      <c r="AL152" s="251" t="s">
        <v>545</v>
      </c>
      <c r="AM152" s="251">
        <v>10043704</v>
      </c>
      <c r="AN152" s="251" t="s">
        <v>1109</v>
      </c>
      <c r="AO152" s="253">
        <v>43061</v>
      </c>
      <c r="AP152" s="252" t="s">
        <v>1690</v>
      </c>
      <c r="AQ152" s="254">
        <v>43109</v>
      </c>
      <c r="AR152" s="251" t="s">
        <v>1110</v>
      </c>
    </row>
    <row r="153" spans="1:44" ht="15" x14ac:dyDescent="0.25">
      <c r="A153" s="245" t="str">
        <f>HYPERLINK("http://www.ofsted.gov.uk/inspection-reports/find-inspection-report/provider/ELS/115426 ","Ofsted School Webpage")</f>
        <v>Ofsted School Webpage</v>
      </c>
      <c r="B153" s="246">
        <v>115426</v>
      </c>
      <c r="C153" s="246">
        <v>8816032</v>
      </c>
      <c r="D153" s="246" t="s">
        <v>1780</v>
      </c>
      <c r="E153" s="246" t="s">
        <v>248</v>
      </c>
      <c r="F153" s="246" t="s">
        <v>93</v>
      </c>
      <c r="G153" s="246" t="s">
        <v>93</v>
      </c>
      <c r="H153" s="246" t="s">
        <v>93</v>
      </c>
      <c r="I153" s="246" t="s">
        <v>90</v>
      </c>
      <c r="J153" s="246" t="s">
        <v>1490</v>
      </c>
      <c r="K153" s="246" t="s">
        <v>486</v>
      </c>
      <c r="L153" s="246" t="s">
        <v>487</v>
      </c>
      <c r="M153" s="246" t="s">
        <v>516</v>
      </c>
      <c r="N153" s="246" t="s">
        <v>516</v>
      </c>
      <c r="O153" s="246" t="s">
        <v>764</v>
      </c>
      <c r="P153" s="246" t="s">
        <v>1781</v>
      </c>
      <c r="Q153" s="247">
        <v>10026061</v>
      </c>
      <c r="R153" s="248">
        <v>42773</v>
      </c>
      <c r="S153" s="248">
        <v>42775</v>
      </c>
      <c r="T153" s="248">
        <v>42821</v>
      </c>
      <c r="U153" s="246" t="s">
        <v>624</v>
      </c>
      <c r="V153" s="246">
        <v>3</v>
      </c>
      <c r="W153" s="246" t="s">
        <v>219</v>
      </c>
      <c r="X153" s="246">
        <v>3</v>
      </c>
      <c r="Y153" s="246">
        <v>3</v>
      </c>
      <c r="Z153" s="246">
        <v>2</v>
      </c>
      <c r="AA153" s="246">
        <v>2</v>
      </c>
      <c r="AB153" s="246" t="s">
        <v>486</v>
      </c>
      <c r="AC153" s="246">
        <v>2</v>
      </c>
      <c r="AD153" s="246" t="s">
        <v>486</v>
      </c>
      <c r="AE153" s="246" t="s">
        <v>486</v>
      </c>
      <c r="AF153" s="246" t="s">
        <v>486</v>
      </c>
      <c r="AG153" s="246" t="s">
        <v>486</v>
      </c>
      <c r="AH153" s="246" t="s">
        <v>486</v>
      </c>
      <c r="AI153" s="246" t="s">
        <v>486</v>
      </c>
      <c r="AJ153" s="246" t="s">
        <v>486</v>
      </c>
      <c r="AK153" s="246" t="s">
        <v>486</v>
      </c>
      <c r="AL153" s="246" t="s">
        <v>545</v>
      </c>
      <c r="AM153" s="246">
        <v>10048977</v>
      </c>
      <c r="AN153" s="246" t="s">
        <v>1109</v>
      </c>
      <c r="AO153" s="248">
        <v>43186</v>
      </c>
      <c r="AP153" s="247" t="s">
        <v>1690</v>
      </c>
      <c r="AQ153" s="249">
        <v>43221</v>
      </c>
      <c r="AR153" s="246" t="s">
        <v>1110</v>
      </c>
    </row>
    <row r="154" spans="1:44" ht="15" x14ac:dyDescent="0.25">
      <c r="A154" s="250" t="str">
        <f>HYPERLINK("http://www.ofsted.gov.uk/inspection-reports/find-inspection-report/provider/ELS/131389 ","Ofsted School Webpage")</f>
        <v>Ofsted School Webpage</v>
      </c>
      <c r="B154" s="251">
        <v>131389</v>
      </c>
      <c r="C154" s="251">
        <v>8896005</v>
      </c>
      <c r="D154" s="251" t="s">
        <v>1782</v>
      </c>
      <c r="E154" s="251" t="s">
        <v>247</v>
      </c>
      <c r="F154" s="251" t="s">
        <v>93</v>
      </c>
      <c r="G154" s="251" t="s">
        <v>84</v>
      </c>
      <c r="H154" s="251" t="s">
        <v>84</v>
      </c>
      <c r="I154" s="251" t="s">
        <v>84</v>
      </c>
      <c r="J154" s="251" t="s">
        <v>1490</v>
      </c>
      <c r="K154" s="251" t="s">
        <v>486</v>
      </c>
      <c r="L154" s="251" t="s">
        <v>487</v>
      </c>
      <c r="M154" s="251" t="s">
        <v>495</v>
      </c>
      <c r="N154" s="251" t="s">
        <v>495</v>
      </c>
      <c r="O154" s="251" t="s">
        <v>609</v>
      </c>
      <c r="P154" s="251" t="s">
        <v>1783</v>
      </c>
      <c r="Q154" s="252">
        <v>10020865</v>
      </c>
      <c r="R154" s="253">
        <v>42773</v>
      </c>
      <c r="S154" s="253">
        <v>42775</v>
      </c>
      <c r="T154" s="253">
        <v>42814</v>
      </c>
      <c r="U154" s="251" t="s">
        <v>488</v>
      </c>
      <c r="V154" s="251">
        <v>1</v>
      </c>
      <c r="W154" s="251" t="s">
        <v>219</v>
      </c>
      <c r="X154" s="251">
        <v>1</v>
      </c>
      <c r="Y154" s="251">
        <v>1</v>
      </c>
      <c r="Z154" s="251">
        <v>1</v>
      </c>
      <c r="AA154" s="251">
        <v>1</v>
      </c>
      <c r="AB154" s="251" t="s">
        <v>486</v>
      </c>
      <c r="AC154" s="251">
        <v>1</v>
      </c>
      <c r="AD154" s="251" t="s">
        <v>486</v>
      </c>
      <c r="AE154" s="251" t="s">
        <v>486</v>
      </c>
      <c r="AF154" s="251" t="s">
        <v>486</v>
      </c>
      <c r="AG154" s="251" t="s">
        <v>486</v>
      </c>
      <c r="AH154" s="251" t="s">
        <v>486</v>
      </c>
      <c r="AI154" s="251" t="s">
        <v>486</v>
      </c>
      <c r="AJ154" s="251" t="s">
        <v>486</v>
      </c>
      <c r="AK154" s="251" t="s">
        <v>486</v>
      </c>
      <c r="AL154" s="251" t="s">
        <v>491</v>
      </c>
      <c r="AM154" s="251" t="s">
        <v>486</v>
      </c>
      <c r="AN154" s="251" t="s">
        <v>486</v>
      </c>
      <c r="AO154" s="253" t="s">
        <v>486</v>
      </c>
      <c r="AP154" s="252" t="s">
        <v>486</v>
      </c>
      <c r="AQ154" s="254" t="s">
        <v>486</v>
      </c>
      <c r="AR154" s="251" t="s">
        <v>486</v>
      </c>
    </row>
    <row r="155" spans="1:44" ht="15" x14ac:dyDescent="0.25">
      <c r="A155" s="245" t="str">
        <f>HYPERLINK("http://www.ofsted.gov.uk/inspection-reports/find-inspection-report/provider/ELS/135113 ","Ofsted School Webpage")</f>
        <v>Ofsted School Webpage</v>
      </c>
      <c r="B155" s="246">
        <v>135113</v>
      </c>
      <c r="C155" s="246">
        <v>8416003</v>
      </c>
      <c r="D155" s="246" t="s">
        <v>1784</v>
      </c>
      <c r="E155" s="246" t="s">
        <v>248</v>
      </c>
      <c r="F155" s="246" t="s">
        <v>93</v>
      </c>
      <c r="G155" s="246" t="s">
        <v>93</v>
      </c>
      <c r="H155" s="246" t="s">
        <v>93</v>
      </c>
      <c r="I155" s="246" t="s">
        <v>90</v>
      </c>
      <c r="J155" s="246" t="s">
        <v>1490</v>
      </c>
      <c r="K155" s="246" t="s">
        <v>486</v>
      </c>
      <c r="L155" s="246" t="s">
        <v>487</v>
      </c>
      <c r="M155" s="246" t="s">
        <v>523</v>
      </c>
      <c r="N155" s="246" t="s">
        <v>539</v>
      </c>
      <c r="O155" s="246" t="s">
        <v>540</v>
      </c>
      <c r="P155" s="246" t="s">
        <v>1785</v>
      </c>
      <c r="Q155" s="247">
        <v>10025958</v>
      </c>
      <c r="R155" s="248">
        <v>42773</v>
      </c>
      <c r="S155" s="248">
        <v>42775</v>
      </c>
      <c r="T155" s="248">
        <v>42807</v>
      </c>
      <c r="U155" s="246" t="s">
        <v>488</v>
      </c>
      <c r="V155" s="246">
        <v>1</v>
      </c>
      <c r="W155" s="246" t="s">
        <v>219</v>
      </c>
      <c r="X155" s="246">
        <v>1</v>
      </c>
      <c r="Y155" s="246">
        <v>1</v>
      </c>
      <c r="Z155" s="246">
        <v>1</v>
      </c>
      <c r="AA155" s="246">
        <v>1</v>
      </c>
      <c r="AB155" s="246" t="s">
        <v>486</v>
      </c>
      <c r="AC155" s="246" t="s">
        <v>486</v>
      </c>
      <c r="AD155" s="246" t="s">
        <v>486</v>
      </c>
      <c r="AE155" s="246" t="s">
        <v>486</v>
      </c>
      <c r="AF155" s="246" t="s">
        <v>486</v>
      </c>
      <c r="AG155" s="246" t="s">
        <v>486</v>
      </c>
      <c r="AH155" s="246" t="s">
        <v>486</v>
      </c>
      <c r="AI155" s="246" t="s">
        <v>486</v>
      </c>
      <c r="AJ155" s="246" t="s">
        <v>486</v>
      </c>
      <c r="AK155" s="246" t="s">
        <v>486</v>
      </c>
      <c r="AL155" s="246" t="s">
        <v>491</v>
      </c>
      <c r="AM155" s="246" t="s">
        <v>486</v>
      </c>
      <c r="AN155" s="246" t="s">
        <v>486</v>
      </c>
      <c r="AO155" s="248" t="s">
        <v>486</v>
      </c>
      <c r="AP155" s="247" t="s">
        <v>486</v>
      </c>
      <c r="AQ155" s="249" t="s">
        <v>486</v>
      </c>
      <c r="AR155" s="246" t="s">
        <v>486</v>
      </c>
    </row>
    <row r="156" spans="1:44" ht="15" x14ac:dyDescent="0.25">
      <c r="A156" s="250" t="str">
        <f>HYPERLINK("http://www.ofsted.gov.uk/inspection-reports/find-inspection-report/provider/ELS/135794 ","Ofsted School Webpage")</f>
        <v>Ofsted School Webpage</v>
      </c>
      <c r="B156" s="251">
        <v>135794</v>
      </c>
      <c r="C156" s="251">
        <v>3076401</v>
      </c>
      <c r="D156" s="251" t="s">
        <v>1786</v>
      </c>
      <c r="E156" s="251" t="s">
        <v>248</v>
      </c>
      <c r="F156" s="251" t="s">
        <v>93</v>
      </c>
      <c r="G156" s="251" t="s">
        <v>93</v>
      </c>
      <c r="H156" s="251" t="s">
        <v>93</v>
      </c>
      <c r="I156" s="251" t="s">
        <v>90</v>
      </c>
      <c r="J156" s="251" t="s">
        <v>1490</v>
      </c>
      <c r="K156" s="251" t="s">
        <v>486</v>
      </c>
      <c r="L156" s="251" t="s">
        <v>487</v>
      </c>
      <c r="M156" s="251" t="s">
        <v>506</v>
      </c>
      <c r="N156" s="251" t="s">
        <v>506</v>
      </c>
      <c r="O156" s="251" t="s">
        <v>507</v>
      </c>
      <c r="P156" s="251" t="s">
        <v>1787</v>
      </c>
      <c r="Q156" s="252">
        <v>10012833</v>
      </c>
      <c r="R156" s="253">
        <v>42773</v>
      </c>
      <c r="S156" s="253">
        <v>42775</v>
      </c>
      <c r="T156" s="253">
        <v>42818</v>
      </c>
      <c r="U156" s="251" t="s">
        <v>488</v>
      </c>
      <c r="V156" s="251">
        <v>1</v>
      </c>
      <c r="W156" s="251" t="s">
        <v>219</v>
      </c>
      <c r="X156" s="251">
        <v>1</v>
      </c>
      <c r="Y156" s="251">
        <v>1</v>
      </c>
      <c r="Z156" s="251">
        <v>1</v>
      </c>
      <c r="AA156" s="251">
        <v>1</v>
      </c>
      <c r="AB156" s="251" t="s">
        <v>486</v>
      </c>
      <c r="AC156" s="251" t="s">
        <v>486</v>
      </c>
      <c r="AD156" s="251" t="s">
        <v>486</v>
      </c>
      <c r="AE156" s="251" t="s">
        <v>486</v>
      </c>
      <c r="AF156" s="251" t="s">
        <v>486</v>
      </c>
      <c r="AG156" s="251" t="s">
        <v>486</v>
      </c>
      <c r="AH156" s="251" t="s">
        <v>486</v>
      </c>
      <c r="AI156" s="251" t="s">
        <v>486</v>
      </c>
      <c r="AJ156" s="251" t="s">
        <v>486</v>
      </c>
      <c r="AK156" s="251" t="s">
        <v>486</v>
      </c>
      <c r="AL156" s="251" t="s">
        <v>491</v>
      </c>
      <c r="AM156" s="251" t="s">
        <v>486</v>
      </c>
      <c r="AN156" s="251" t="s">
        <v>486</v>
      </c>
      <c r="AO156" s="253" t="s">
        <v>486</v>
      </c>
      <c r="AP156" s="252" t="s">
        <v>486</v>
      </c>
      <c r="AQ156" s="254" t="s">
        <v>486</v>
      </c>
      <c r="AR156" s="251" t="s">
        <v>486</v>
      </c>
    </row>
    <row r="157" spans="1:44" ht="15" x14ac:dyDescent="0.25">
      <c r="A157" s="245" t="str">
        <f>HYPERLINK("http://www.ofsted.gov.uk/inspection-reports/find-inspection-report/provider/ELS/104730 ","Ofsted School Webpage")</f>
        <v>Ofsted School Webpage</v>
      </c>
      <c r="B157" s="246">
        <v>104730</v>
      </c>
      <c r="C157" s="246">
        <v>3416040</v>
      </c>
      <c r="D157" s="246" t="s">
        <v>1788</v>
      </c>
      <c r="E157" s="246" t="s">
        <v>247</v>
      </c>
      <c r="F157" s="246" t="s">
        <v>71</v>
      </c>
      <c r="G157" s="246" t="s">
        <v>71</v>
      </c>
      <c r="H157" s="246" t="s">
        <v>71</v>
      </c>
      <c r="I157" s="246" t="s">
        <v>71</v>
      </c>
      <c r="J157" s="246" t="s">
        <v>1490</v>
      </c>
      <c r="K157" s="246" t="s">
        <v>486</v>
      </c>
      <c r="L157" s="246" t="s">
        <v>487</v>
      </c>
      <c r="M157" s="246" t="s">
        <v>495</v>
      </c>
      <c r="N157" s="246" t="s">
        <v>495</v>
      </c>
      <c r="O157" s="246" t="s">
        <v>736</v>
      </c>
      <c r="P157" s="246" t="s">
        <v>1789</v>
      </c>
      <c r="Q157" s="247">
        <v>10020913</v>
      </c>
      <c r="R157" s="248">
        <v>42780</v>
      </c>
      <c r="S157" s="248">
        <v>42782</v>
      </c>
      <c r="T157" s="248">
        <v>42880</v>
      </c>
      <c r="U157" s="246" t="s">
        <v>488</v>
      </c>
      <c r="V157" s="246">
        <v>2</v>
      </c>
      <c r="W157" s="246" t="s">
        <v>219</v>
      </c>
      <c r="X157" s="246">
        <v>2</v>
      </c>
      <c r="Y157" s="246">
        <v>1</v>
      </c>
      <c r="Z157" s="246">
        <v>2</v>
      </c>
      <c r="AA157" s="246">
        <v>2</v>
      </c>
      <c r="AB157" s="246">
        <v>2</v>
      </c>
      <c r="AC157" s="246" t="s">
        <v>486</v>
      </c>
      <c r="AD157" s="246" t="s">
        <v>486</v>
      </c>
      <c r="AE157" s="246" t="s">
        <v>486</v>
      </c>
      <c r="AF157" s="246" t="s">
        <v>486</v>
      </c>
      <c r="AG157" s="246" t="s">
        <v>486</v>
      </c>
      <c r="AH157" s="246" t="s">
        <v>486</v>
      </c>
      <c r="AI157" s="246" t="s">
        <v>486</v>
      </c>
      <c r="AJ157" s="246" t="s">
        <v>486</v>
      </c>
      <c r="AK157" s="246" t="s">
        <v>486</v>
      </c>
      <c r="AL157" s="246" t="s">
        <v>491</v>
      </c>
      <c r="AM157" s="246" t="s">
        <v>486</v>
      </c>
      <c r="AN157" s="246" t="s">
        <v>486</v>
      </c>
      <c r="AO157" s="248" t="s">
        <v>486</v>
      </c>
      <c r="AP157" s="247" t="s">
        <v>486</v>
      </c>
      <c r="AQ157" s="249" t="s">
        <v>486</v>
      </c>
      <c r="AR157" s="246" t="s">
        <v>486</v>
      </c>
    </row>
    <row r="158" spans="1:44" ht="15" x14ac:dyDescent="0.25">
      <c r="A158" s="250" t="str">
        <f>HYPERLINK("http://www.ofsted.gov.uk/inspection-reports/find-inspection-report/provider/ELS/111479 ","Ofsted School Webpage")</f>
        <v>Ofsted School Webpage</v>
      </c>
      <c r="B158" s="251">
        <v>111479</v>
      </c>
      <c r="C158" s="251">
        <v>8956013</v>
      </c>
      <c r="D158" s="251" t="s">
        <v>1790</v>
      </c>
      <c r="E158" s="251" t="s">
        <v>247</v>
      </c>
      <c r="F158" s="251" t="s">
        <v>93</v>
      </c>
      <c r="G158" s="251" t="s">
        <v>71</v>
      </c>
      <c r="H158" s="251" t="s">
        <v>71</v>
      </c>
      <c r="I158" s="251" t="s">
        <v>71</v>
      </c>
      <c r="J158" s="251" t="s">
        <v>1490</v>
      </c>
      <c r="K158" s="251" t="s">
        <v>486</v>
      </c>
      <c r="L158" s="251" t="s">
        <v>487</v>
      </c>
      <c r="M158" s="251" t="s">
        <v>495</v>
      </c>
      <c r="N158" s="251" t="s">
        <v>495</v>
      </c>
      <c r="O158" s="251" t="s">
        <v>985</v>
      </c>
      <c r="P158" s="251" t="s">
        <v>1791</v>
      </c>
      <c r="Q158" s="252">
        <v>10012948</v>
      </c>
      <c r="R158" s="253">
        <v>42781</v>
      </c>
      <c r="S158" s="253">
        <v>42783</v>
      </c>
      <c r="T158" s="253">
        <v>42814</v>
      </c>
      <c r="U158" s="251" t="s">
        <v>488</v>
      </c>
      <c r="V158" s="251">
        <v>2</v>
      </c>
      <c r="W158" s="251" t="s">
        <v>219</v>
      </c>
      <c r="X158" s="251">
        <v>2</v>
      </c>
      <c r="Y158" s="251">
        <v>2</v>
      </c>
      <c r="Z158" s="251">
        <v>1</v>
      </c>
      <c r="AA158" s="251">
        <v>1</v>
      </c>
      <c r="AB158" s="251">
        <v>1</v>
      </c>
      <c r="AC158" s="251" t="s">
        <v>486</v>
      </c>
      <c r="AD158" s="251" t="s">
        <v>486</v>
      </c>
      <c r="AE158" s="251" t="s">
        <v>486</v>
      </c>
      <c r="AF158" s="251" t="s">
        <v>486</v>
      </c>
      <c r="AG158" s="251" t="s">
        <v>486</v>
      </c>
      <c r="AH158" s="251" t="s">
        <v>486</v>
      </c>
      <c r="AI158" s="251" t="s">
        <v>486</v>
      </c>
      <c r="AJ158" s="251" t="s">
        <v>486</v>
      </c>
      <c r="AK158" s="251" t="s">
        <v>486</v>
      </c>
      <c r="AL158" s="251" t="s">
        <v>491</v>
      </c>
      <c r="AM158" s="251" t="s">
        <v>486</v>
      </c>
      <c r="AN158" s="251" t="s">
        <v>486</v>
      </c>
      <c r="AO158" s="253" t="s">
        <v>486</v>
      </c>
      <c r="AP158" s="252" t="s">
        <v>486</v>
      </c>
      <c r="AQ158" s="254" t="s">
        <v>486</v>
      </c>
      <c r="AR158" s="251" t="s">
        <v>486</v>
      </c>
    </row>
    <row r="159" spans="1:44" ht="15" x14ac:dyDescent="0.25">
      <c r="A159" s="245" t="str">
        <f>HYPERLINK("http://www.ofsted.gov.uk/inspection-reports/find-inspection-report/provider/ELS/101575 ","Ofsted School Webpage")</f>
        <v>Ofsted School Webpage</v>
      </c>
      <c r="B159" s="246">
        <v>101575</v>
      </c>
      <c r="C159" s="246">
        <v>3046069</v>
      </c>
      <c r="D159" s="246" t="s">
        <v>1792</v>
      </c>
      <c r="E159" s="246" t="s">
        <v>247</v>
      </c>
      <c r="F159" s="246" t="s">
        <v>83</v>
      </c>
      <c r="G159" s="246" t="s">
        <v>84</v>
      </c>
      <c r="H159" s="246" t="s">
        <v>83</v>
      </c>
      <c r="I159" s="246" t="s">
        <v>84</v>
      </c>
      <c r="J159" s="246" t="s">
        <v>1490</v>
      </c>
      <c r="K159" s="246" t="s">
        <v>486</v>
      </c>
      <c r="L159" s="246" t="s">
        <v>487</v>
      </c>
      <c r="M159" s="246" t="s">
        <v>506</v>
      </c>
      <c r="N159" s="246" t="s">
        <v>506</v>
      </c>
      <c r="O159" s="246" t="s">
        <v>543</v>
      </c>
      <c r="P159" s="246" t="s">
        <v>1793</v>
      </c>
      <c r="Q159" s="247">
        <v>10026716</v>
      </c>
      <c r="R159" s="248">
        <v>42787</v>
      </c>
      <c r="S159" s="248">
        <v>42789</v>
      </c>
      <c r="T159" s="248">
        <v>42850</v>
      </c>
      <c r="U159" s="246" t="s">
        <v>488</v>
      </c>
      <c r="V159" s="246">
        <v>1</v>
      </c>
      <c r="W159" s="246" t="s">
        <v>219</v>
      </c>
      <c r="X159" s="246">
        <v>1</v>
      </c>
      <c r="Y159" s="246">
        <v>1</v>
      </c>
      <c r="Z159" s="246">
        <v>1</v>
      </c>
      <c r="AA159" s="246">
        <v>1</v>
      </c>
      <c r="AB159" s="246" t="s">
        <v>486</v>
      </c>
      <c r="AC159" s="246" t="s">
        <v>486</v>
      </c>
      <c r="AD159" s="246" t="s">
        <v>486</v>
      </c>
      <c r="AE159" s="246" t="s">
        <v>486</v>
      </c>
      <c r="AF159" s="246" t="s">
        <v>486</v>
      </c>
      <c r="AG159" s="246" t="s">
        <v>486</v>
      </c>
      <c r="AH159" s="246" t="s">
        <v>486</v>
      </c>
      <c r="AI159" s="246" t="s">
        <v>486</v>
      </c>
      <c r="AJ159" s="246" t="s">
        <v>486</v>
      </c>
      <c r="AK159" s="246" t="s">
        <v>486</v>
      </c>
      <c r="AL159" s="246" t="s">
        <v>491</v>
      </c>
      <c r="AM159" s="246" t="s">
        <v>486</v>
      </c>
      <c r="AN159" s="246" t="s">
        <v>486</v>
      </c>
      <c r="AO159" s="248" t="s">
        <v>486</v>
      </c>
      <c r="AP159" s="247" t="s">
        <v>486</v>
      </c>
      <c r="AQ159" s="249" t="s">
        <v>486</v>
      </c>
      <c r="AR159" s="246" t="s">
        <v>486</v>
      </c>
    </row>
    <row r="160" spans="1:44" ht="15" x14ac:dyDescent="0.25">
      <c r="A160" s="250" t="str">
        <f>HYPERLINK("http://www.ofsted.gov.uk/inspection-reports/find-inspection-report/provider/ELS/119009 ","Ofsted School Webpage")</f>
        <v>Ofsted School Webpage</v>
      </c>
      <c r="B160" s="251">
        <v>119009</v>
      </c>
      <c r="C160" s="251">
        <v>8866060</v>
      </c>
      <c r="D160" s="251" t="s">
        <v>1794</v>
      </c>
      <c r="E160" s="251" t="s">
        <v>248</v>
      </c>
      <c r="F160" s="251" t="s">
        <v>93</v>
      </c>
      <c r="G160" s="251" t="s">
        <v>93</v>
      </c>
      <c r="H160" s="251" t="s">
        <v>93</v>
      </c>
      <c r="I160" s="251" t="s">
        <v>90</v>
      </c>
      <c r="J160" s="251" t="s">
        <v>1490</v>
      </c>
      <c r="K160" s="251" t="s">
        <v>486</v>
      </c>
      <c r="L160" s="251" t="s">
        <v>487</v>
      </c>
      <c r="M160" s="251" t="s">
        <v>581</v>
      </c>
      <c r="N160" s="251" t="s">
        <v>581</v>
      </c>
      <c r="O160" s="251" t="s">
        <v>694</v>
      </c>
      <c r="P160" s="251" t="s">
        <v>1795</v>
      </c>
      <c r="Q160" s="252">
        <v>10026656</v>
      </c>
      <c r="R160" s="253">
        <v>42787</v>
      </c>
      <c r="S160" s="253">
        <v>42789</v>
      </c>
      <c r="T160" s="253">
        <v>42808</v>
      </c>
      <c r="U160" s="251" t="s">
        <v>488</v>
      </c>
      <c r="V160" s="251">
        <v>2</v>
      </c>
      <c r="W160" s="251" t="s">
        <v>219</v>
      </c>
      <c r="X160" s="251">
        <v>1</v>
      </c>
      <c r="Y160" s="251">
        <v>1</v>
      </c>
      <c r="Z160" s="251">
        <v>2</v>
      </c>
      <c r="AA160" s="251">
        <v>2</v>
      </c>
      <c r="AB160" s="251" t="s">
        <v>486</v>
      </c>
      <c r="AC160" s="251">
        <v>2</v>
      </c>
      <c r="AD160" s="251" t="s">
        <v>486</v>
      </c>
      <c r="AE160" s="251" t="s">
        <v>486</v>
      </c>
      <c r="AF160" s="251" t="s">
        <v>486</v>
      </c>
      <c r="AG160" s="251" t="s">
        <v>486</v>
      </c>
      <c r="AH160" s="251" t="s">
        <v>486</v>
      </c>
      <c r="AI160" s="251" t="s">
        <v>486</v>
      </c>
      <c r="AJ160" s="251" t="s">
        <v>486</v>
      </c>
      <c r="AK160" s="251" t="s">
        <v>486</v>
      </c>
      <c r="AL160" s="251" t="s">
        <v>491</v>
      </c>
      <c r="AM160" s="251" t="s">
        <v>486</v>
      </c>
      <c r="AN160" s="251" t="s">
        <v>486</v>
      </c>
      <c r="AO160" s="253" t="s">
        <v>486</v>
      </c>
      <c r="AP160" s="252" t="s">
        <v>486</v>
      </c>
      <c r="AQ160" s="254" t="s">
        <v>486</v>
      </c>
      <c r="AR160" s="251" t="s">
        <v>486</v>
      </c>
    </row>
    <row r="161" spans="1:44" ht="15" x14ac:dyDescent="0.25">
      <c r="A161" s="245" t="str">
        <f>HYPERLINK("http://www.ofsted.gov.uk/inspection-reports/find-inspection-report/provider/ELS/129252 ","Ofsted School Webpage")</f>
        <v>Ofsted School Webpage</v>
      </c>
      <c r="B161" s="246">
        <v>129252</v>
      </c>
      <c r="C161" s="246">
        <v>9086095</v>
      </c>
      <c r="D161" s="246" t="s">
        <v>1796</v>
      </c>
      <c r="E161" s="246" t="s">
        <v>248</v>
      </c>
      <c r="F161" s="246" t="s">
        <v>93</v>
      </c>
      <c r="G161" s="246" t="s">
        <v>93</v>
      </c>
      <c r="H161" s="246" t="s">
        <v>93</v>
      </c>
      <c r="I161" s="246" t="s">
        <v>90</v>
      </c>
      <c r="J161" s="246" t="s">
        <v>1490</v>
      </c>
      <c r="K161" s="246" t="s">
        <v>486</v>
      </c>
      <c r="L161" s="246" t="s">
        <v>487</v>
      </c>
      <c r="M161" s="246" t="s">
        <v>483</v>
      </c>
      <c r="N161" s="246" t="s">
        <v>483</v>
      </c>
      <c r="O161" s="246" t="s">
        <v>1371</v>
      </c>
      <c r="P161" s="246" t="s">
        <v>1797</v>
      </c>
      <c r="Q161" s="247">
        <v>10012928</v>
      </c>
      <c r="R161" s="248">
        <v>42787</v>
      </c>
      <c r="S161" s="248">
        <v>42789</v>
      </c>
      <c r="T161" s="248">
        <v>42822</v>
      </c>
      <c r="U161" s="246" t="s">
        <v>488</v>
      </c>
      <c r="V161" s="246">
        <v>2</v>
      </c>
      <c r="W161" s="246" t="s">
        <v>219</v>
      </c>
      <c r="X161" s="246">
        <v>2</v>
      </c>
      <c r="Y161" s="246">
        <v>1</v>
      </c>
      <c r="Z161" s="246">
        <v>2</v>
      </c>
      <c r="AA161" s="246">
        <v>2</v>
      </c>
      <c r="AB161" s="246" t="s">
        <v>486</v>
      </c>
      <c r="AC161" s="246">
        <v>2</v>
      </c>
      <c r="AD161" s="246" t="s">
        <v>486</v>
      </c>
      <c r="AE161" s="246" t="s">
        <v>486</v>
      </c>
      <c r="AF161" s="246" t="s">
        <v>486</v>
      </c>
      <c r="AG161" s="246" t="s">
        <v>486</v>
      </c>
      <c r="AH161" s="246" t="s">
        <v>486</v>
      </c>
      <c r="AI161" s="246" t="s">
        <v>486</v>
      </c>
      <c r="AJ161" s="246" t="s">
        <v>486</v>
      </c>
      <c r="AK161" s="246" t="s">
        <v>486</v>
      </c>
      <c r="AL161" s="246" t="s">
        <v>491</v>
      </c>
      <c r="AM161" s="246" t="s">
        <v>486</v>
      </c>
      <c r="AN161" s="246" t="s">
        <v>486</v>
      </c>
      <c r="AO161" s="248" t="s">
        <v>486</v>
      </c>
      <c r="AP161" s="247" t="s">
        <v>486</v>
      </c>
      <c r="AQ161" s="249" t="s">
        <v>486</v>
      </c>
      <c r="AR161" s="246" t="s">
        <v>486</v>
      </c>
    </row>
    <row r="162" spans="1:44" ht="15" x14ac:dyDescent="0.25">
      <c r="A162" s="250" t="str">
        <f>HYPERLINK("http://www.ofsted.gov.uk/inspection-reports/find-inspection-report/provider/ELS/135216 ","Ofsted School Webpage")</f>
        <v>Ofsted School Webpage</v>
      </c>
      <c r="B162" s="251">
        <v>135216</v>
      </c>
      <c r="C162" s="251">
        <v>3846348</v>
      </c>
      <c r="D162" s="251" t="s">
        <v>1240</v>
      </c>
      <c r="E162" s="251" t="s">
        <v>248</v>
      </c>
      <c r="F162" s="251" t="s">
        <v>93</v>
      </c>
      <c r="G162" s="251" t="s">
        <v>93</v>
      </c>
      <c r="H162" s="251" t="s">
        <v>93</v>
      </c>
      <c r="I162" s="251" t="s">
        <v>90</v>
      </c>
      <c r="J162" s="251" t="s">
        <v>1490</v>
      </c>
      <c r="K162" s="251" t="s">
        <v>486</v>
      </c>
      <c r="L162" s="251" t="s">
        <v>487</v>
      </c>
      <c r="M162" s="251" t="s">
        <v>523</v>
      </c>
      <c r="N162" s="251" t="s">
        <v>524</v>
      </c>
      <c r="O162" s="251" t="s">
        <v>525</v>
      </c>
      <c r="P162" s="251" t="s">
        <v>1241</v>
      </c>
      <c r="Q162" s="252">
        <v>10025959</v>
      </c>
      <c r="R162" s="253">
        <v>42787</v>
      </c>
      <c r="S162" s="253">
        <v>42789</v>
      </c>
      <c r="T162" s="253">
        <v>42816</v>
      </c>
      <c r="U162" s="251" t="s">
        <v>488</v>
      </c>
      <c r="V162" s="251">
        <v>2</v>
      </c>
      <c r="W162" s="251" t="s">
        <v>219</v>
      </c>
      <c r="X162" s="251">
        <v>2</v>
      </c>
      <c r="Y162" s="251">
        <v>2</v>
      </c>
      <c r="Z162" s="251">
        <v>2</v>
      </c>
      <c r="AA162" s="251">
        <v>2</v>
      </c>
      <c r="AB162" s="251" t="s">
        <v>486</v>
      </c>
      <c r="AC162" s="251">
        <v>2</v>
      </c>
      <c r="AD162" s="251" t="s">
        <v>486</v>
      </c>
      <c r="AE162" s="251" t="s">
        <v>486</v>
      </c>
      <c r="AF162" s="251" t="s">
        <v>486</v>
      </c>
      <c r="AG162" s="251" t="s">
        <v>486</v>
      </c>
      <c r="AH162" s="251" t="s">
        <v>486</v>
      </c>
      <c r="AI162" s="251" t="s">
        <v>486</v>
      </c>
      <c r="AJ162" s="251" t="s">
        <v>486</v>
      </c>
      <c r="AK162" s="251" t="s">
        <v>486</v>
      </c>
      <c r="AL162" s="251" t="s">
        <v>491</v>
      </c>
      <c r="AM162" s="251" t="s">
        <v>486</v>
      </c>
      <c r="AN162" s="251" t="s">
        <v>486</v>
      </c>
      <c r="AO162" s="253" t="s">
        <v>486</v>
      </c>
      <c r="AP162" s="252" t="s">
        <v>486</v>
      </c>
      <c r="AQ162" s="254" t="s">
        <v>486</v>
      </c>
      <c r="AR162" s="251" t="s">
        <v>486</v>
      </c>
    </row>
    <row r="163" spans="1:44" ht="15" x14ac:dyDescent="0.25">
      <c r="A163" s="245" t="str">
        <f>HYPERLINK("http://www.ofsted.gov.uk/inspection-reports/find-inspection-report/provider/ELS/136047 ","Ofsted School Webpage")</f>
        <v>Ofsted School Webpage</v>
      </c>
      <c r="B163" s="246">
        <v>136047</v>
      </c>
      <c r="C163" s="246">
        <v>8736048</v>
      </c>
      <c r="D163" s="246" t="s">
        <v>1798</v>
      </c>
      <c r="E163" s="246" t="s">
        <v>248</v>
      </c>
      <c r="F163" s="246" t="s">
        <v>93</v>
      </c>
      <c r="G163" s="246" t="s">
        <v>93</v>
      </c>
      <c r="H163" s="246" t="s">
        <v>93</v>
      </c>
      <c r="I163" s="246" t="s">
        <v>90</v>
      </c>
      <c r="J163" s="246" t="s">
        <v>1490</v>
      </c>
      <c r="K163" s="246" t="s">
        <v>486</v>
      </c>
      <c r="L163" s="246" t="s">
        <v>487</v>
      </c>
      <c r="M163" s="246" t="s">
        <v>516</v>
      </c>
      <c r="N163" s="246" t="s">
        <v>516</v>
      </c>
      <c r="O163" s="246" t="s">
        <v>867</v>
      </c>
      <c r="P163" s="246" t="s">
        <v>1799</v>
      </c>
      <c r="Q163" s="247">
        <v>10020939</v>
      </c>
      <c r="R163" s="248">
        <v>42788</v>
      </c>
      <c r="S163" s="248">
        <v>42790</v>
      </c>
      <c r="T163" s="248">
        <v>42850</v>
      </c>
      <c r="U163" s="246" t="s">
        <v>624</v>
      </c>
      <c r="V163" s="246">
        <v>2</v>
      </c>
      <c r="W163" s="246" t="s">
        <v>219</v>
      </c>
      <c r="X163" s="246">
        <v>2</v>
      </c>
      <c r="Y163" s="246">
        <v>2</v>
      </c>
      <c r="Z163" s="246">
        <v>2</v>
      </c>
      <c r="AA163" s="246">
        <v>2</v>
      </c>
      <c r="AB163" s="246" t="s">
        <v>486</v>
      </c>
      <c r="AC163" s="246">
        <v>2</v>
      </c>
      <c r="AD163" s="246" t="s">
        <v>486</v>
      </c>
      <c r="AE163" s="246" t="s">
        <v>486</v>
      </c>
      <c r="AF163" s="246" t="s">
        <v>486</v>
      </c>
      <c r="AG163" s="246" t="s">
        <v>486</v>
      </c>
      <c r="AH163" s="246" t="s">
        <v>486</v>
      </c>
      <c r="AI163" s="246" t="s">
        <v>486</v>
      </c>
      <c r="AJ163" s="246" t="s">
        <v>486</v>
      </c>
      <c r="AK163" s="246" t="s">
        <v>486</v>
      </c>
      <c r="AL163" s="246" t="s">
        <v>491</v>
      </c>
      <c r="AM163" s="246" t="s">
        <v>486</v>
      </c>
      <c r="AN163" s="246" t="s">
        <v>486</v>
      </c>
      <c r="AO163" s="248" t="s">
        <v>486</v>
      </c>
      <c r="AP163" s="247" t="s">
        <v>486</v>
      </c>
      <c r="AQ163" s="249" t="s">
        <v>486</v>
      </c>
      <c r="AR163" s="246" t="s">
        <v>486</v>
      </c>
    </row>
    <row r="164" spans="1:44" ht="15" x14ac:dyDescent="0.25">
      <c r="A164" s="250" t="str">
        <f>HYPERLINK("http://www.ofsted.gov.uk/inspection-reports/find-inspection-report/provider/ELS/102065 ","Ofsted School Webpage")</f>
        <v>Ofsted School Webpage</v>
      </c>
      <c r="B164" s="251">
        <v>102065</v>
      </c>
      <c r="C164" s="251">
        <v>3086062</v>
      </c>
      <c r="D164" s="251" t="s">
        <v>1800</v>
      </c>
      <c r="E164" s="251" t="s">
        <v>247</v>
      </c>
      <c r="F164" s="251" t="s">
        <v>93</v>
      </c>
      <c r="G164" s="251" t="s">
        <v>71</v>
      </c>
      <c r="H164" s="251" t="s">
        <v>71</v>
      </c>
      <c r="I164" s="251" t="s">
        <v>71</v>
      </c>
      <c r="J164" s="251" t="s">
        <v>1490</v>
      </c>
      <c r="K164" s="251" t="s">
        <v>486</v>
      </c>
      <c r="L164" s="251" t="s">
        <v>487</v>
      </c>
      <c r="M164" s="251" t="s">
        <v>506</v>
      </c>
      <c r="N164" s="251" t="s">
        <v>506</v>
      </c>
      <c r="O164" s="251" t="s">
        <v>632</v>
      </c>
      <c r="P164" s="251" t="s">
        <v>1801</v>
      </c>
      <c r="Q164" s="252">
        <v>10012824</v>
      </c>
      <c r="R164" s="253">
        <v>42794</v>
      </c>
      <c r="S164" s="253">
        <v>42796</v>
      </c>
      <c r="T164" s="253">
        <v>42850</v>
      </c>
      <c r="U164" s="251" t="s">
        <v>488</v>
      </c>
      <c r="V164" s="251">
        <v>4</v>
      </c>
      <c r="W164" s="251" t="s">
        <v>220</v>
      </c>
      <c r="X164" s="251">
        <v>4</v>
      </c>
      <c r="Y164" s="251">
        <v>4</v>
      </c>
      <c r="Z164" s="251">
        <v>1</v>
      </c>
      <c r="AA164" s="251">
        <v>1</v>
      </c>
      <c r="AB164" s="251">
        <v>1</v>
      </c>
      <c r="AC164" s="251">
        <v>4</v>
      </c>
      <c r="AD164" s="251" t="s">
        <v>486</v>
      </c>
      <c r="AE164" s="251" t="s">
        <v>486</v>
      </c>
      <c r="AF164" s="251" t="s">
        <v>486</v>
      </c>
      <c r="AG164" s="251" t="s">
        <v>486</v>
      </c>
      <c r="AH164" s="251" t="s">
        <v>486</v>
      </c>
      <c r="AI164" s="251" t="s">
        <v>486</v>
      </c>
      <c r="AJ164" s="251" t="s">
        <v>486</v>
      </c>
      <c r="AK164" s="251" t="s">
        <v>486</v>
      </c>
      <c r="AL164" s="251" t="s">
        <v>545</v>
      </c>
      <c r="AM164" s="251">
        <v>10039972</v>
      </c>
      <c r="AN164" s="251" t="s">
        <v>1109</v>
      </c>
      <c r="AO164" s="253">
        <v>42948</v>
      </c>
      <c r="AP164" s="252" t="s">
        <v>1727</v>
      </c>
      <c r="AQ164" s="254">
        <v>43004</v>
      </c>
      <c r="AR164" s="251" t="s">
        <v>1110</v>
      </c>
    </row>
    <row r="165" spans="1:44" ht="15" x14ac:dyDescent="0.25">
      <c r="A165" s="245" t="str">
        <f>HYPERLINK("http://www.ofsted.gov.uk/inspection-reports/find-inspection-report/provider/ELS/131379 ","Ofsted School Webpage")</f>
        <v>Ofsted School Webpage</v>
      </c>
      <c r="B165" s="246">
        <v>131379</v>
      </c>
      <c r="C165" s="246">
        <v>3546036</v>
      </c>
      <c r="D165" s="246" t="s">
        <v>1802</v>
      </c>
      <c r="E165" s="246" t="s">
        <v>248</v>
      </c>
      <c r="F165" s="246" t="s">
        <v>93</v>
      </c>
      <c r="G165" s="246" t="s">
        <v>93</v>
      </c>
      <c r="H165" s="246" t="s">
        <v>93</v>
      </c>
      <c r="I165" s="246" t="s">
        <v>90</v>
      </c>
      <c r="J165" s="246" t="s">
        <v>1490</v>
      </c>
      <c r="K165" s="246" t="s">
        <v>486</v>
      </c>
      <c r="L165" s="246" t="s">
        <v>487</v>
      </c>
      <c r="M165" s="246" t="s">
        <v>495</v>
      </c>
      <c r="N165" s="246" t="s">
        <v>495</v>
      </c>
      <c r="O165" s="246" t="s">
        <v>604</v>
      </c>
      <c r="P165" s="246" t="s">
        <v>932</v>
      </c>
      <c r="Q165" s="247">
        <v>10012914</v>
      </c>
      <c r="R165" s="248">
        <v>42795</v>
      </c>
      <c r="S165" s="248">
        <v>42796</v>
      </c>
      <c r="T165" s="248">
        <v>42816</v>
      </c>
      <c r="U165" s="246" t="s">
        <v>488</v>
      </c>
      <c r="V165" s="246">
        <v>2</v>
      </c>
      <c r="W165" s="246" t="s">
        <v>219</v>
      </c>
      <c r="X165" s="246">
        <v>2</v>
      </c>
      <c r="Y165" s="246">
        <v>2</v>
      </c>
      <c r="Z165" s="246">
        <v>2</v>
      </c>
      <c r="AA165" s="246">
        <v>2</v>
      </c>
      <c r="AB165" s="246" t="s">
        <v>486</v>
      </c>
      <c r="AC165" s="246" t="s">
        <v>486</v>
      </c>
      <c r="AD165" s="246" t="s">
        <v>486</v>
      </c>
      <c r="AE165" s="246" t="s">
        <v>486</v>
      </c>
      <c r="AF165" s="246" t="s">
        <v>486</v>
      </c>
      <c r="AG165" s="246" t="s">
        <v>486</v>
      </c>
      <c r="AH165" s="246" t="s">
        <v>486</v>
      </c>
      <c r="AI165" s="246" t="s">
        <v>486</v>
      </c>
      <c r="AJ165" s="246" t="s">
        <v>486</v>
      </c>
      <c r="AK165" s="246" t="s">
        <v>486</v>
      </c>
      <c r="AL165" s="246" t="s">
        <v>491</v>
      </c>
      <c r="AM165" s="246" t="s">
        <v>486</v>
      </c>
      <c r="AN165" s="246" t="s">
        <v>486</v>
      </c>
      <c r="AO165" s="248" t="s">
        <v>486</v>
      </c>
      <c r="AP165" s="247" t="s">
        <v>486</v>
      </c>
      <c r="AQ165" s="249" t="s">
        <v>486</v>
      </c>
      <c r="AR165" s="246" t="s">
        <v>486</v>
      </c>
    </row>
    <row r="166" spans="1:44" ht="15" x14ac:dyDescent="0.25">
      <c r="A166" s="250" t="str">
        <f>HYPERLINK("http://www.ofsted.gov.uk/inspection-reports/find-inspection-report/provider/ELS/136083 ","Ofsted School Webpage")</f>
        <v>Ofsted School Webpage</v>
      </c>
      <c r="B166" s="251">
        <v>136083</v>
      </c>
      <c r="C166" s="251">
        <v>8736049</v>
      </c>
      <c r="D166" s="251" t="s">
        <v>1803</v>
      </c>
      <c r="E166" s="251" t="s">
        <v>247</v>
      </c>
      <c r="F166" s="251" t="s">
        <v>93</v>
      </c>
      <c r="G166" s="251" t="s">
        <v>93</v>
      </c>
      <c r="H166" s="251" t="s">
        <v>93</v>
      </c>
      <c r="I166" s="251" t="s">
        <v>90</v>
      </c>
      <c r="J166" s="251" t="s">
        <v>1490</v>
      </c>
      <c r="K166" s="251" t="s">
        <v>486</v>
      </c>
      <c r="L166" s="251" t="s">
        <v>487</v>
      </c>
      <c r="M166" s="251" t="s">
        <v>516</v>
      </c>
      <c r="N166" s="251" t="s">
        <v>516</v>
      </c>
      <c r="O166" s="251" t="s">
        <v>867</v>
      </c>
      <c r="P166" s="251" t="s">
        <v>1804</v>
      </c>
      <c r="Q166" s="252">
        <v>10026072</v>
      </c>
      <c r="R166" s="253">
        <v>42794</v>
      </c>
      <c r="S166" s="253">
        <v>42796</v>
      </c>
      <c r="T166" s="253">
        <v>42850</v>
      </c>
      <c r="U166" s="251" t="s">
        <v>488</v>
      </c>
      <c r="V166" s="251">
        <v>2</v>
      </c>
      <c r="W166" s="251" t="s">
        <v>219</v>
      </c>
      <c r="X166" s="251">
        <v>2</v>
      </c>
      <c r="Y166" s="251">
        <v>1</v>
      </c>
      <c r="Z166" s="251">
        <v>2</v>
      </c>
      <c r="AA166" s="251">
        <v>2</v>
      </c>
      <c r="AB166" s="251" t="s">
        <v>486</v>
      </c>
      <c r="AC166" s="251">
        <v>2</v>
      </c>
      <c r="AD166" s="251" t="s">
        <v>486</v>
      </c>
      <c r="AE166" s="251" t="s">
        <v>486</v>
      </c>
      <c r="AF166" s="251" t="s">
        <v>486</v>
      </c>
      <c r="AG166" s="251" t="s">
        <v>486</v>
      </c>
      <c r="AH166" s="251" t="s">
        <v>486</v>
      </c>
      <c r="AI166" s="251" t="s">
        <v>486</v>
      </c>
      <c r="AJ166" s="251" t="s">
        <v>486</v>
      </c>
      <c r="AK166" s="251" t="s">
        <v>486</v>
      </c>
      <c r="AL166" s="251" t="s">
        <v>491</v>
      </c>
      <c r="AM166" s="251" t="s">
        <v>486</v>
      </c>
      <c r="AN166" s="251" t="s">
        <v>486</v>
      </c>
      <c r="AO166" s="253" t="s">
        <v>486</v>
      </c>
      <c r="AP166" s="252" t="s">
        <v>486</v>
      </c>
      <c r="AQ166" s="254" t="s">
        <v>486</v>
      </c>
      <c r="AR166" s="251" t="s">
        <v>486</v>
      </c>
    </row>
    <row r="167" spans="1:44" ht="15" x14ac:dyDescent="0.25">
      <c r="A167" s="245" t="str">
        <f>HYPERLINK("http://www.ofsted.gov.uk/inspection-reports/find-inspection-report/provider/ELS/138386 ","Ofsted School Webpage")</f>
        <v>Ofsted School Webpage</v>
      </c>
      <c r="B167" s="246">
        <v>138386</v>
      </c>
      <c r="C167" s="246">
        <v>3036000</v>
      </c>
      <c r="D167" s="246" t="s">
        <v>1805</v>
      </c>
      <c r="E167" s="246" t="s">
        <v>248</v>
      </c>
      <c r="F167" s="246" t="s">
        <v>93</v>
      </c>
      <c r="G167" s="246" t="s">
        <v>93</v>
      </c>
      <c r="H167" s="246" t="s">
        <v>93</v>
      </c>
      <c r="I167" s="246" t="s">
        <v>90</v>
      </c>
      <c r="J167" s="246" t="s">
        <v>1490</v>
      </c>
      <c r="K167" s="246" t="s">
        <v>486</v>
      </c>
      <c r="L167" s="246" t="s">
        <v>487</v>
      </c>
      <c r="M167" s="246" t="s">
        <v>506</v>
      </c>
      <c r="N167" s="246" t="s">
        <v>506</v>
      </c>
      <c r="O167" s="246" t="s">
        <v>1330</v>
      </c>
      <c r="P167" s="246" t="s">
        <v>1806</v>
      </c>
      <c r="Q167" s="247">
        <v>10012787</v>
      </c>
      <c r="R167" s="248">
        <v>42795</v>
      </c>
      <c r="S167" s="248">
        <v>42797</v>
      </c>
      <c r="T167" s="248">
        <v>42817</v>
      </c>
      <c r="U167" s="246" t="s">
        <v>488</v>
      </c>
      <c r="V167" s="246">
        <v>3</v>
      </c>
      <c r="W167" s="246" t="s">
        <v>219</v>
      </c>
      <c r="X167" s="246">
        <v>3</v>
      </c>
      <c r="Y167" s="246">
        <v>3</v>
      </c>
      <c r="Z167" s="246">
        <v>3</v>
      </c>
      <c r="AA167" s="246">
        <v>3</v>
      </c>
      <c r="AB167" s="246" t="s">
        <v>486</v>
      </c>
      <c r="AC167" s="246" t="s">
        <v>486</v>
      </c>
      <c r="AD167" s="246" t="s">
        <v>486</v>
      </c>
      <c r="AE167" s="246" t="s">
        <v>486</v>
      </c>
      <c r="AF167" s="246" t="s">
        <v>486</v>
      </c>
      <c r="AG167" s="246" t="s">
        <v>486</v>
      </c>
      <c r="AH167" s="246" t="s">
        <v>486</v>
      </c>
      <c r="AI167" s="246" t="s">
        <v>486</v>
      </c>
      <c r="AJ167" s="246" t="s">
        <v>486</v>
      </c>
      <c r="AK167" s="246" t="s">
        <v>486</v>
      </c>
      <c r="AL167" s="246" t="s">
        <v>491</v>
      </c>
      <c r="AM167" s="246" t="s">
        <v>486</v>
      </c>
      <c r="AN167" s="246" t="s">
        <v>486</v>
      </c>
      <c r="AO167" s="248" t="s">
        <v>486</v>
      </c>
      <c r="AP167" s="247" t="s">
        <v>486</v>
      </c>
      <c r="AQ167" s="249" t="s">
        <v>486</v>
      </c>
      <c r="AR167" s="246" t="s">
        <v>486</v>
      </c>
    </row>
    <row r="168" spans="1:44" ht="15" x14ac:dyDescent="0.25">
      <c r="A168" s="250" t="str">
        <f>HYPERLINK("http://www.ofsted.gov.uk/inspection-reports/find-inspection-report/provider/ELS/131687 ","Ofsted School Webpage")</f>
        <v>Ofsted School Webpage</v>
      </c>
      <c r="B168" s="251">
        <v>131687</v>
      </c>
      <c r="C168" s="251">
        <v>3306097</v>
      </c>
      <c r="D168" s="251" t="s">
        <v>1164</v>
      </c>
      <c r="E168" s="251" t="s">
        <v>247</v>
      </c>
      <c r="F168" s="251" t="s">
        <v>83</v>
      </c>
      <c r="G168" s="251" t="s">
        <v>84</v>
      </c>
      <c r="H168" s="251" t="s">
        <v>83</v>
      </c>
      <c r="I168" s="251" t="s">
        <v>84</v>
      </c>
      <c r="J168" s="251" t="s">
        <v>1490</v>
      </c>
      <c r="K168" s="251" t="s">
        <v>486</v>
      </c>
      <c r="L168" s="251" t="s">
        <v>487</v>
      </c>
      <c r="M168" s="251" t="s">
        <v>502</v>
      </c>
      <c r="N168" s="251" t="s">
        <v>502</v>
      </c>
      <c r="O168" s="251" t="s">
        <v>909</v>
      </c>
      <c r="P168" s="251" t="s">
        <v>1165</v>
      </c>
      <c r="Q168" s="252">
        <v>10033384</v>
      </c>
      <c r="R168" s="253">
        <v>42800</v>
      </c>
      <c r="S168" s="253">
        <v>42802</v>
      </c>
      <c r="T168" s="253">
        <v>42830</v>
      </c>
      <c r="U168" s="251" t="s">
        <v>488</v>
      </c>
      <c r="V168" s="251">
        <v>2</v>
      </c>
      <c r="W168" s="251" t="s">
        <v>219</v>
      </c>
      <c r="X168" s="251">
        <v>1</v>
      </c>
      <c r="Y168" s="251">
        <v>1</v>
      </c>
      <c r="Z168" s="251">
        <v>2</v>
      </c>
      <c r="AA168" s="251">
        <v>2</v>
      </c>
      <c r="AB168" s="251" t="s">
        <v>486</v>
      </c>
      <c r="AC168" s="251" t="s">
        <v>486</v>
      </c>
      <c r="AD168" s="251" t="s">
        <v>486</v>
      </c>
      <c r="AE168" s="251" t="s">
        <v>486</v>
      </c>
      <c r="AF168" s="251" t="s">
        <v>486</v>
      </c>
      <c r="AG168" s="251" t="s">
        <v>486</v>
      </c>
      <c r="AH168" s="251" t="s">
        <v>486</v>
      </c>
      <c r="AI168" s="251" t="s">
        <v>486</v>
      </c>
      <c r="AJ168" s="251" t="s">
        <v>486</v>
      </c>
      <c r="AK168" s="251" t="s">
        <v>486</v>
      </c>
      <c r="AL168" s="251" t="s">
        <v>491</v>
      </c>
      <c r="AM168" s="251" t="s">
        <v>486</v>
      </c>
      <c r="AN168" s="251" t="s">
        <v>486</v>
      </c>
      <c r="AO168" s="253" t="s">
        <v>486</v>
      </c>
      <c r="AP168" s="252" t="s">
        <v>486</v>
      </c>
      <c r="AQ168" s="254" t="s">
        <v>486</v>
      </c>
      <c r="AR168" s="251" t="s">
        <v>486</v>
      </c>
    </row>
    <row r="169" spans="1:44" ht="15" x14ac:dyDescent="0.25">
      <c r="A169" s="245" t="str">
        <f>HYPERLINK("http://www.ofsted.gov.uk/inspection-reports/find-inspection-report/provider/ELS/130367 ","Ofsted School Webpage")</f>
        <v>Ofsted School Webpage</v>
      </c>
      <c r="B169" s="246">
        <v>130367</v>
      </c>
      <c r="C169" s="246">
        <v>9096048</v>
      </c>
      <c r="D169" s="246" t="s">
        <v>1807</v>
      </c>
      <c r="E169" s="246" t="s">
        <v>248</v>
      </c>
      <c r="F169" s="246" t="s">
        <v>93</v>
      </c>
      <c r="G169" s="246" t="s">
        <v>93</v>
      </c>
      <c r="H169" s="246" t="s">
        <v>93</v>
      </c>
      <c r="I169" s="246" t="s">
        <v>90</v>
      </c>
      <c r="J169" s="246" t="s">
        <v>1490</v>
      </c>
      <c r="K169" s="246" t="s">
        <v>486</v>
      </c>
      <c r="L169" s="246" t="s">
        <v>487</v>
      </c>
      <c r="M169" s="246" t="s">
        <v>495</v>
      </c>
      <c r="N169" s="246" t="s">
        <v>495</v>
      </c>
      <c r="O169" s="246" t="s">
        <v>663</v>
      </c>
      <c r="P169" s="246" t="s">
        <v>1808</v>
      </c>
      <c r="Q169" s="247">
        <v>10033386</v>
      </c>
      <c r="R169" s="248">
        <v>42801</v>
      </c>
      <c r="S169" s="248">
        <v>42803</v>
      </c>
      <c r="T169" s="248">
        <v>42828</v>
      </c>
      <c r="U169" s="246" t="s">
        <v>488</v>
      </c>
      <c r="V169" s="246">
        <v>2</v>
      </c>
      <c r="W169" s="246" t="s">
        <v>219</v>
      </c>
      <c r="X169" s="246">
        <v>2</v>
      </c>
      <c r="Y169" s="246">
        <v>1</v>
      </c>
      <c r="Z169" s="246">
        <v>2</v>
      </c>
      <c r="AA169" s="246">
        <v>2</v>
      </c>
      <c r="AB169" s="246" t="s">
        <v>486</v>
      </c>
      <c r="AC169" s="246" t="s">
        <v>486</v>
      </c>
      <c r="AD169" s="246" t="s">
        <v>486</v>
      </c>
      <c r="AE169" s="246" t="s">
        <v>486</v>
      </c>
      <c r="AF169" s="246" t="s">
        <v>486</v>
      </c>
      <c r="AG169" s="246" t="s">
        <v>486</v>
      </c>
      <c r="AH169" s="246" t="s">
        <v>486</v>
      </c>
      <c r="AI169" s="246" t="s">
        <v>486</v>
      </c>
      <c r="AJ169" s="246" t="s">
        <v>486</v>
      </c>
      <c r="AK169" s="246" t="s">
        <v>486</v>
      </c>
      <c r="AL169" s="246" t="s">
        <v>491</v>
      </c>
      <c r="AM169" s="246" t="s">
        <v>486</v>
      </c>
      <c r="AN169" s="246" t="s">
        <v>486</v>
      </c>
      <c r="AO169" s="248" t="s">
        <v>486</v>
      </c>
      <c r="AP169" s="247" t="s">
        <v>486</v>
      </c>
      <c r="AQ169" s="249" t="s">
        <v>486</v>
      </c>
      <c r="AR169" s="246" t="s">
        <v>486</v>
      </c>
    </row>
    <row r="170" spans="1:44" ht="15" x14ac:dyDescent="0.25">
      <c r="A170" s="250" t="str">
        <f>HYPERLINK("http://www.ofsted.gov.uk/inspection-reports/find-inspection-report/provider/ELS/131975 ","Ofsted School Webpage")</f>
        <v>Ofsted School Webpage</v>
      </c>
      <c r="B170" s="251">
        <v>131975</v>
      </c>
      <c r="C170" s="251">
        <v>9336200</v>
      </c>
      <c r="D170" s="251" t="s">
        <v>1809</v>
      </c>
      <c r="E170" s="251" t="s">
        <v>248</v>
      </c>
      <c r="F170" s="251" t="s">
        <v>93</v>
      </c>
      <c r="G170" s="251" t="s">
        <v>93</v>
      </c>
      <c r="H170" s="251" t="s">
        <v>93</v>
      </c>
      <c r="I170" s="251" t="s">
        <v>90</v>
      </c>
      <c r="J170" s="251" t="s">
        <v>1490</v>
      </c>
      <c r="K170" s="251" t="s">
        <v>486</v>
      </c>
      <c r="L170" s="251" t="s">
        <v>487</v>
      </c>
      <c r="M170" s="251" t="s">
        <v>483</v>
      </c>
      <c r="N170" s="251" t="s">
        <v>483</v>
      </c>
      <c r="O170" s="251" t="s">
        <v>531</v>
      </c>
      <c r="P170" s="251" t="s">
        <v>1810</v>
      </c>
      <c r="Q170" s="252">
        <v>10026040</v>
      </c>
      <c r="R170" s="253">
        <v>42801</v>
      </c>
      <c r="S170" s="253">
        <v>42803</v>
      </c>
      <c r="T170" s="253">
        <v>42850</v>
      </c>
      <c r="U170" s="251" t="s">
        <v>624</v>
      </c>
      <c r="V170" s="251">
        <v>2</v>
      </c>
      <c r="W170" s="251" t="s">
        <v>219</v>
      </c>
      <c r="X170" s="251">
        <v>2</v>
      </c>
      <c r="Y170" s="251">
        <v>2</v>
      </c>
      <c r="Z170" s="251">
        <v>2</v>
      </c>
      <c r="AA170" s="251">
        <v>2</v>
      </c>
      <c r="AB170" s="251" t="s">
        <v>486</v>
      </c>
      <c r="AC170" s="251">
        <v>2</v>
      </c>
      <c r="AD170" s="251" t="s">
        <v>486</v>
      </c>
      <c r="AE170" s="251" t="s">
        <v>486</v>
      </c>
      <c r="AF170" s="251" t="s">
        <v>486</v>
      </c>
      <c r="AG170" s="251" t="s">
        <v>486</v>
      </c>
      <c r="AH170" s="251" t="s">
        <v>486</v>
      </c>
      <c r="AI170" s="251" t="s">
        <v>486</v>
      </c>
      <c r="AJ170" s="251" t="s">
        <v>486</v>
      </c>
      <c r="AK170" s="251" t="s">
        <v>486</v>
      </c>
      <c r="AL170" s="251" t="s">
        <v>491</v>
      </c>
      <c r="AM170" s="251" t="s">
        <v>486</v>
      </c>
      <c r="AN170" s="251" t="s">
        <v>486</v>
      </c>
      <c r="AO170" s="253" t="s">
        <v>486</v>
      </c>
      <c r="AP170" s="252" t="s">
        <v>486</v>
      </c>
      <c r="AQ170" s="254" t="s">
        <v>486</v>
      </c>
      <c r="AR170" s="251" t="s">
        <v>486</v>
      </c>
    </row>
    <row r="171" spans="1:44" ht="15" x14ac:dyDescent="0.25">
      <c r="A171" s="245" t="str">
        <f>HYPERLINK("http://www.ofsted.gov.uk/inspection-reports/find-inspection-report/provider/ELS/133346 ","Ofsted School Webpage")</f>
        <v>Ofsted School Webpage</v>
      </c>
      <c r="B171" s="246">
        <v>133346</v>
      </c>
      <c r="C171" s="246">
        <v>9096051</v>
      </c>
      <c r="D171" s="246" t="s">
        <v>1811</v>
      </c>
      <c r="E171" s="246" t="s">
        <v>248</v>
      </c>
      <c r="F171" s="246" t="s">
        <v>93</v>
      </c>
      <c r="G171" s="246" t="s">
        <v>93</v>
      </c>
      <c r="H171" s="246" t="s">
        <v>93</v>
      </c>
      <c r="I171" s="246" t="s">
        <v>90</v>
      </c>
      <c r="J171" s="246" t="s">
        <v>1490</v>
      </c>
      <c r="K171" s="246" t="s">
        <v>486</v>
      </c>
      <c r="L171" s="246" t="s">
        <v>487</v>
      </c>
      <c r="M171" s="246" t="s">
        <v>495</v>
      </c>
      <c r="N171" s="246" t="s">
        <v>495</v>
      </c>
      <c r="O171" s="246" t="s">
        <v>663</v>
      </c>
      <c r="P171" s="246" t="s">
        <v>1812</v>
      </c>
      <c r="Q171" s="247">
        <v>10033388</v>
      </c>
      <c r="R171" s="248">
        <v>42801</v>
      </c>
      <c r="S171" s="248">
        <v>42803</v>
      </c>
      <c r="T171" s="248">
        <v>42828</v>
      </c>
      <c r="U171" s="246" t="s">
        <v>2930</v>
      </c>
      <c r="V171" s="246">
        <v>2</v>
      </c>
      <c r="W171" s="246" t="s">
        <v>219</v>
      </c>
      <c r="X171" s="246">
        <v>2</v>
      </c>
      <c r="Y171" s="246">
        <v>1</v>
      </c>
      <c r="Z171" s="246">
        <v>2</v>
      </c>
      <c r="AA171" s="246">
        <v>2</v>
      </c>
      <c r="AB171" s="246" t="s">
        <v>486</v>
      </c>
      <c r="AC171" s="246" t="s">
        <v>486</v>
      </c>
      <c r="AD171" s="246" t="s">
        <v>486</v>
      </c>
      <c r="AE171" s="246" t="s">
        <v>486</v>
      </c>
      <c r="AF171" s="246" t="s">
        <v>486</v>
      </c>
      <c r="AG171" s="246" t="s">
        <v>486</v>
      </c>
      <c r="AH171" s="246" t="s">
        <v>486</v>
      </c>
      <c r="AI171" s="246" t="s">
        <v>486</v>
      </c>
      <c r="AJ171" s="246" t="s">
        <v>486</v>
      </c>
      <c r="AK171" s="246" t="s">
        <v>486</v>
      </c>
      <c r="AL171" s="246" t="s">
        <v>491</v>
      </c>
      <c r="AM171" s="246" t="s">
        <v>486</v>
      </c>
      <c r="AN171" s="246" t="s">
        <v>486</v>
      </c>
      <c r="AO171" s="248" t="s">
        <v>486</v>
      </c>
      <c r="AP171" s="247" t="s">
        <v>486</v>
      </c>
      <c r="AQ171" s="249" t="s">
        <v>486</v>
      </c>
      <c r="AR171" s="246" t="s">
        <v>486</v>
      </c>
    </row>
    <row r="172" spans="1:44" ht="15" x14ac:dyDescent="0.25">
      <c r="A172" s="250" t="str">
        <f>HYPERLINK("http://www.ofsted.gov.uk/inspection-reports/find-inspection-report/provider/ELS/142537 ","Ofsted School Webpage")</f>
        <v>Ofsted School Webpage</v>
      </c>
      <c r="B172" s="251">
        <v>142537</v>
      </c>
      <c r="C172" s="251">
        <v>8816065</v>
      </c>
      <c r="D172" s="251" t="s">
        <v>1813</v>
      </c>
      <c r="E172" s="251" t="s">
        <v>247</v>
      </c>
      <c r="F172" s="251" t="s">
        <v>93</v>
      </c>
      <c r="G172" s="251" t="s">
        <v>93</v>
      </c>
      <c r="H172" s="251" t="s">
        <v>93</v>
      </c>
      <c r="I172" s="251" t="s">
        <v>90</v>
      </c>
      <c r="J172" s="251" t="s">
        <v>1490</v>
      </c>
      <c r="K172" s="251" t="s">
        <v>486</v>
      </c>
      <c r="L172" s="251" t="s">
        <v>487</v>
      </c>
      <c r="M172" s="251" t="s">
        <v>516</v>
      </c>
      <c r="N172" s="251" t="s">
        <v>516</v>
      </c>
      <c r="O172" s="251" t="s">
        <v>764</v>
      </c>
      <c r="P172" s="251" t="s">
        <v>1814</v>
      </c>
      <c r="Q172" s="252">
        <v>10026075</v>
      </c>
      <c r="R172" s="253">
        <v>42801</v>
      </c>
      <c r="S172" s="253">
        <v>42803</v>
      </c>
      <c r="T172" s="253">
        <v>42849</v>
      </c>
      <c r="U172" s="251" t="s">
        <v>499</v>
      </c>
      <c r="V172" s="251">
        <v>1</v>
      </c>
      <c r="W172" s="251" t="s">
        <v>219</v>
      </c>
      <c r="X172" s="251">
        <v>1</v>
      </c>
      <c r="Y172" s="251">
        <v>1</v>
      </c>
      <c r="Z172" s="251">
        <v>1</v>
      </c>
      <c r="AA172" s="251">
        <v>1</v>
      </c>
      <c r="AB172" s="251" t="s">
        <v>486</v>
      </c>
      <c r="AC172" s="251">
        <v>1</v>
      </c>
      <c r="AD172" s="251" t="s">
        <v>486</v>
      </c>
      <c r="AE172" s="251" t="s">
        <v>486</v>
      </c>
      <c r="AF172" s="251" t="s">
        <v>486</v>
      </c>
      <c r="AG172" s="251" t="s">
        <v>486</v>
      </c>
      <c r="AH172" s="251" t="s">
        <v>486</v>
      </c>
      <c r="AI172" s="251" t="s">
        <v>486</v>
      </c>
      <c r="AJ172" s="251" t="s">
        <v>486</v>
      </c>
      <c r="AK172" s="251" t="s">
        <v>486</v>
      </c>
      <c r="AL172" s="251" t="s">
        <v>491</v>
      </c>
      <c r="AM172" s="251" t="s">
        <v>486</v>
      </c>
      <c r="AN172" s="251" t="s">
        <v>486</v>
      </c>
      <c r="AO172" s="253" t="s">
        <v>486</v>
      </c>
      <c r="AP172" s="252" t="s">
        <v>486</v>
      </c>
      <c r="AQ172" s="254" t="s">
        <v>486</v>
      </c>
      <c r="AR172" s="251" t="s">
        <v>486</v>
      </c>
    </row>
    <row r="173" spans="1:44" ht="15" x14ac:dyDescent="0.25">
      <c r="A173" s="245" t="str">
        <f>HYPERLINK("http://www.ofsted.gov.uk/inspection-reports/find-inspection-report/provider/ELS/105269 ","Ofsted School Webpage")</f>
        <v>Ofsted School Webpage</v>
      </c>
      <c r="B173" s="246">
        <v>105269</v>
      </c>
      <c r="C173" s="246">
        <v>3506000</v>
      </c>
      <c r="D173" s="246" t="s">
        <v>1815</v>
      </c>
      <c r="E173" s="246" t="s">
        <v>247</v>
      </c>
      <c r="F173" s="246" t="s">
        <v>93</v>
      </c>
      <c r="G173" s="246" t="s">
        <v>93</v>
      </c>
      <c r="H173" s="246" t="s">
        <v>93</v>
      </c>
      <c r="I173" s="246" t="s">
        <v>90</v>
      </c>
      <c r="J173" s="246" t="s">
        <v>1490</v>
      </c>
      <c r="K173" s="246" t="s">
        <v>486</v>
      </c>
      <c r="L173" s="246" t="s">
        <v>487</v>
      </c>
      <c r="M173" s="246" t="s">
        <v>495</v>
      </c>
      <c r="N173" s="246" t="s">
        <v>495</v>
      </c>
      <c r="O173" s="246" t="s">
        <v>1169</v>
      </c>
      <c r="P173" s="246" t="s">
        <v>1816</v>
      </c>
      <c r="Q173" s="247">
        <v>10012840</v>
      </c>
      <c r="R173" s="248">
        <v>42808</v>
      </c>
      <c r="S173" s="248">
        <v>42810</v>
      </c>
      <c r="T173" s="248">
        <v>42851</v>
      </c>
      <c r="U173" s="246" t="s">
        <v>488</v>
      </c>
      <c r="V173" s="246">
        <v>2</v>
      </c>
      <c r="W173" s="246" t="s">
        <v>219</v>
      </c>
      <c r="X173" s="246">
        <v>2</v>
      </c>
      <c r="Y173" s="246">
        <v>2</v>
      </c>
      <c r="Z173" s="246">
        <v>2</v>
      </c>
      <c r="AA173" s="246">
        <v>2</v>
      </c>
      <c r="AB173" s="246" t="s">
        <v>486</v>
      </c>
      <c r="AC173" s="246">
        <v>2</v>
      </c>
      <c r="AD173" s="246" t="s">
        <v>486</v>
      </c>
      <c r="AE173" s="246" t="s">
        <v>486</v>
      </c>
      <c r="AF173" s="246" t="s">
        <v>486</v>
      </c>
      <c r="AG173" s="246" t="s">
        <v>486</v>
      </c>
      <c r="AH173" s="246" t="s">
        <v>486</v>
      </c>
      <c r="AI173" s="246" t="s">
        <v>486</v>
      </c>
      <c r="AJ173" s="246" t="s">
        <v>486</v>
      </c>
      <c r="AK173" s="246" t="s">
        <v>486</v>
      </c>
      <c r="AL173" s="246" t="s">
        <v>491</v>
      </c>
      <c r="AM173" s="246" t="s">
        <v>486</v>
      </c>
      <c r="AN173" s="246" t="s">
        <v>486</v>
      </c>
      <c r="AO173" s="248" t="s">
        <v>486</v>
      </c>
      <c r="AP173" s="247" t="s">
        <v>486</v>
      </c>
      <c r="AQ173" s="249" t="s">
        <v>486</v>
      </c>
      <c r="AR173" s="246" t="s">
        <v>486</v>
      </c>
    </row>
    <row r="174" spans="1:44" ht="15" x14ac:dyDescent="0.25">
      <c r="A174" s="250" t="str">
        <f>HYPERLINK("http://www.ofsted.gov.uk/inspection-reports/find-inspection-report/provider/ELS/131611 ","Ofsted School Webpage")</f>
        <v>Ofsted School Webpage</v>
      </c>
      <c r="B174" s="251">
        <v>131611</v>
      </c>
      <c r="C174" s="251">
        <v>8866079</v>
      </c>
      <c r="D174" s="251" t="s">
        <v>1817</v>
      </c>
      <c r="E174" s="251" t="s">
        <v>248</v>
      </c>
      <c r="F174" s="251" t="s">
        <v>93</v>
      </c>
      <c r="G174" s="251" t="s">
        <v>93</v>
      </c>
      <c r="H174" s="251" t="s">
        <v>93</v>
      </c>
      <c r="I174" s="251" t="s">
        <v>90</v>
      </c>
      <c r="J174" s="251" t="s">
        <v>1490</v>
      </c>
      <c r="K174" s="251" t="s">
        <v>486</v>
      </c>
      <c r="L174" s="251" t="s">
        <v>487</v>
      </c>
      <c r="M174" s="251" t="s">
        <v>581</v>
      </c>
      <c r="N174" s="251" t="s">
        <v>581</v>
      </c>
      <c r="O174" s="251" t="s">
        <v>694</v>
      </c>
      <c r="P174" s="251" t="s">
        <v>1818</v>
      </c>
      <c r="Q174" s="252">
        <v>10026009</v>
      </c>
      <c r="R174" s="253">
        <v>42808</v>
      </c>
      <c r="S174" s="253">
        <v>42810</v>
      </c>
      <c r="T174" s="253">
        <v>42857</v>
      </c>
      <c r="U174" s="251" t="s">
        <v>624</v>
      </c>
      <c r="V174" s="251">
        <v>1</v>
      </c>
      <c r="W174" s="251" t="s">
        <v>219</v>
      </c>
      <c r="X174" s="251">
        <v>1</v>
      </c>
      <c r="Y174" s="251">
        <v>1</v>
      </c>
      <c r="Z174" s="251">
        <v>1</v>
      </c>
      <c r="AA174" s="251">
        <v>1</v>
      </c>
      <c r="AB174" s="251" t="s">
        <v>486</v>
      </c>
      <c r="AC174" s="251">
        <v>1</v>
      </c>
      <c r="AD174" s="251" t="s">
        <v>486</v>
      </c>
      <c r="AE174" s="251" t="s">
        <v>486</v>
      </c>
      <c r="AF174" s="251" t="s">
        <v>486</v>
      </c>
      <c r="AG174" s="251" t="s">
        <v>486</v>
      </c>
      <c r="AH174" s="251" t="s">
        <v>486</v>
      </c>
      <c r="AI174" s="251" t="s">
        <v>486</v>
      </c>
      <c r="AJ174" s="251" t="s">
        <v>486</v>
      </c>
      <c r="AK174" s="251" t="s">
        <v>486</v>
      </c>
      <c r="AL174" s="251" t="s">
        <v>491</v>
      </c>
      <c r="AM174" s="251" t="s">
        <v>486</v>
      </c>
      <c r="AN174" s="251" t="s">
        <v>486</v>
      </c>
      <c r="AO174" s="253" t="s">
        <v>486</v>
      </c>
      <c r="AP174" s="252" t="s">
        <v>486</v>
      </c>
      <c r="AQ174" s="254" t="s">
        <v>486</v>
      </c>
      <c r="AR174" s="251" t="s">
        <v>486</v>
      </c>
    </row>
    <row r="175" spans="1:44" ht="15" x14ac:dyDescent="0.25">
      <c r="A175" s="245" t="str">
        <f>HYPERLINK("http://www.ofsted.gov.uk/inspection-reports/find-inspection-report/provider/ELS/134469 ","Ofsted School Webpage")</f>
        <v>Ofsted School Webpage</v>
      </c>
      <c r="B175" s="246">
        <v>134469</v>
      </c>
      <c r="C175" s="246">
        <v>3586018</v>
      </c>
      <c r="D175" s="246" t="s">
        <v>1819</v>
      </c>
      <c r="E175" s="246" t="s">
        <v>247</v>
      </c>
      <c r="F175" s="246" t="s">
        <v>84</v>
      </c>
      <c r="G175" s="246" t="s">
        <v>84</v>
      </c>
      <c r="H175" s="246" t="s">
        <v>84</v>
      </c>
      <c r="I175" s="246" t="s">
        <v>84</v>
      </c>
      <c r="J175" s="246" t="s">
        <v>1490</v>
      </c>
      <c r="K175" s="246" t="s">
        <v>486</v>
      </c>
      <c r="L175" s="246" t="s">
        <v>487</v>
      </c>
      <c r="M175" s="246" t="s">
        <v>495</v>
      </c>
      <c r="N175" s="246" t="s">
        <v>495</v>
      </c>
      <c r="O175" s="246" t="s">
        <v>1306</v>
      </c>
      <c r="P175" s="246" t="s">
        <v>1820</v>
      </c>
      <c r="Q175" s="247">
        <v>10026011</v>
      </c>
      <c r="R175" s="248">
        <v>42808</v>
      </c>
      <c r="S175" s="248">
        <v>42810</v>
      </c>
      <c r="T175" s="248">
        <v>42830</v>
      </c>
      <c r="U175" s="246" t="s">
        <v>488</v>
      </c>
      <c r="V175" s="246">
        <v>2</v>
      </c>
      <c r="W175" s="246" t="s">
        <v>219</v>
      </c>
      <c r="X175" s="246">
        <v>2</v>
      </c>
      <c r="Y175" s="246">
        <v>2</v>
      </c>
      <c r="Z175" s="246">
        <v>2</v>
      </c>
      <c r="AA175" s="246">
        <v>2</v>
      </c>
      <c r="AB175" s="246">
        <v>2</v>
      </c>
      <c r="AC175" s="246" t="s">
        <v>486</v>
      </c>
      <c r="AD175" s="246" t="s">
        <v>486</v>
      </c>
      <c r="AE175" s="246" t="s">
        <v>486</v>
      </c>
      <c r="AF175" s="246" t="s">
        <v>486</v>
      </c>
      <c r="AG175" s="246" t="s">
        <v>486</v>
      </c>
      <c r="AH175" s="246" t="s">
        <v>486</v>
      </c>
      <c r="AI175" s="246" t="s">
        <v>486</v>
      </c>
      <c r="AJ175" s="246" t="s">
        <v>486</v>
      </c>
      <c r="AK175" s="246" t="s">
        <v>486</v>
      </c>
      <c r="AL175" s="246" t="s">
        <v>491</v>
      </c>
      <c r="AM175" s="246" t="s">
        <v>486</v>
      </c>
      <c r="AN175" s="246" t="s">
        <v>486</v>
      </c>
      <c r="AO175" s="248" t="s">
        <v>486</v>
      </c>
      <c r="AP175" s="247" t="s">
        <v>486</v>
      </c>
      <c r="AQ175" s="249" t="s">
        <v>486</v>
      </c>
      <c r="AR175" s="246" t="s">
        <v>486</v>
      </c>
    </row>
    <row r="176" spans="1:44" ht="15" x14ac:dyDescent="0.25">
      <c r="A176" s="250" t="str">
        <f>HYPERLINK("http://www.ofsted.gov.uk/inspection-reports/find-inspection-report/provider/ELS/135366 ","Ofsted School Webpage")</f>
        <v>Ofsted School Webpage</v>
      </c>
      <c r="B176" s="251">
        <v>135366</v>
      </c>
      <c r="C176" s="251">
        <v>8916031</v>
      </c>
      <c r="D176" s="251" t="s">
        <v>1821</v>
      </c>
      <c r="E176" s="251" t="s">
        <v>247</v>
      </c>
      <c r="F176" s="251" t="s">
        <v>93</v>
      </c>
      <c r="G176" s="251" t="s">
        <v>93</v>
      </c>
      <c r="H176" s="251" t="s">
        <v>93</v>
      </c>
      <c r="I176" s="251" t="s">
        <v>90</v>
      </c>
      <c r="J176" s="251" t="s">
        <v>1490</v>
      </c>
      <c r="K176" s="251" t="s">
        <v>486</v>
      </c>
      <c r="L176" s="251" t="s">
        <v>487</v>
      </c>
      <c r="M176" s="251" t="s">
        <v>572</v>
      </c>
      <c r="N176" s="251" t="s">
        <v>572</v>
      </c>
      <c r="O176" s="251" t="s">
        <v>852</v>
      </c>
      <c r="P176" s="251" t="s">
        <v>1822</v>
      </c>
      <c r="Q176" s="252">
        <v>10020945</v>
      </c>
      <c r="R176" s="253">
        <v>42808</v>
      </c>
      <c r="S176" s="253">
        <v>42810</v>
      </c>
      <c r="T176" s="253">
        <v>42852</v>
      </c>
      <c r="U176" s="251" t="s">
        <v>488</v>
      </c>
      <c r="V176" s="251">
        <v>2</v>
      </c>
      <c r="W176" s="251" t="s">
        <v>219</v>
      </c>
      <c r="X176" s="251">
        <v>2</v>
      </c>
      <c r="Y176" s="251">
        <v>1</v>
      </c>
      <c r="Z176" s="251">
        <v>2</v>
      </c>
      <c r="AA176" s="251">
        <v>2</v>
      </c>
      <c r="AB176" s="251">
        <v>2</v>
      </c>
      <c r="AC176" s="251" t="s">
        <v>486</v>
      </c>
      <c r="AD176" s="251" t="s">
        <v>486</v>
      </c>
      <c r="AE176" s="251" t="s">
        <v>486</v>
      </c>
      <c r="AF176" s="251" t="s">
        <v>486</v>
      </c>
      <c r="AG176" s="251" t="s">
        <v>486</v>
      </c>
      <c r="AH176" s="251" t="s">
        <v>486</v>
      </c>
      <c r="AI176" s="251" t="s">
        <v>486</v>
      </c>
      <c r="AJ176" s="251" t="s">
        <v>486</v>
      </c>
      <c r="AK176" s="251" t="s">
        <v>486</v>
      </c>
      <c r="AL176" s="251" t="s">
        <v>491</v>
      </c>
      <c r="AM176" s="251" t="s">
        <v>486</v>
      </c>
      <c r="AN176" s="251" t="s">
        <v>486</v>
      </c>
      <c r="AO176" s="253" t="s">
        <v>486</v>
      </c>
      <c r="AP176" s="252" t="s">
        <v>486</v>
      </c>
      <c r="AQ176" s="254" t="s">
        <v>486</v>
      </c>
      <c r="AR176" s="251" t="s">
        <v>486</v>
      </c>
    </row>
    <row r="177" spans="1:44" ht="15" x14ac:dyDescent="0.25">
      <c r="A177" s="245" t="str">
        <f>HYPERLINK("http://www.ofsted.gov.uk/inspection-reports/find-inspection-report/provider/ELS/136000 ","Ofsted School Webpage")</f>
        <v>Ofsted School Webpage</v>
      </c>
      <c r="B177" s="246">
        <v>136000</v>
      </c>
      <c r="C177" s="246">
        <v>3906008</v>
      </c>
      <c r="D177" s="246" t="s">
        <v>1222</v>
      </c>
      <c r="E177" s="246" t="s">
        <v>247</v>
      </c>
      <c r="F177" s="246" t="s">
        <v>93</v>
      </c>
      <c r="G177" s="246" t="s">
        <v>81</v>
      </c>
      <c r="H177" s="246" t="s">
        <v>81</v>
      </c>
      <c r="I177" s="246" t="s">
        <v>81</v>
      </c>
      <c r="J177" s="246" t="s">
        <v>1490</v>
      </c>
      <c r="K177" s="246" t="s">
        <v>486</v>
      </c>
      <c r="L177" s="246" t="s">
        <v>487</v>
      </c>
      <c r="M177" s="246" t="s">
        <v>523</v>
      </c>
      <c r="N177" s="246" t="s">
        <v>539</v>
      </c>
      <c r="O177" s="246" t="s">
        <v>883</v>
      </c>
      <c r="P177" s="246" t="s">
        <v>1223</v>
      </c>
      <c r="Q177" s="247">
        <v>10025960</v>
      </c>
      <c r="R177" s="248">
        <v>42808</v>
      </c>
      <c r="S177" s="248">
        <v>42810</v>
      </c>
      <c r="T177" s="248">
        <v>42829</v>
      </c>
      <c r="U177" s="246" t="s">
        <v>488</v>
      </c>
      <c r="V177" s="246">
        <v>2</v>
      </c>
      <c r="W177" s="246" t="s">
        <v>219</v>
      </c>
      <c r="X177" s="246">
        <v>2</v>
      </c>
      <c r="Y177" s="246">
        <v>2</v>
      </c>
      <c r="Z177" s="246">
        <v>2</v>
      </c>
      <c r="AA177" s="246">
        <v>2</v>
      </c>
      <c r="AB177" s="246">
        <v>2</v>
      </c>
      <c r="AC177" s="246" t="s">
        <v>486</v>
      </c>
      <c r="AD177" s="246" t="s">
        <v>486</v>
      </c>
      <c r="AE177" s="246" t="s">
        <v>486</v>
      </c>
      <c r="AF177" s="246" t="s">
        <v>486</v>
      </c>
      <c r="AG177" s="246" t="s">
        <v>486</v>
      </c>
      <c r="AH177" s="246" t="s">
        <v>486</v>
      </c>
      <c r="AI177" s="246" t="s">
        <v>486</v>
      </c>
      <c r="AJ177" s="246" t="s">
        <v>486</v>
      </c>
      <c r="AK177" s="246" t="s">
        <v>486</v>
      </c>
      <c r="AL177" s="246" t="s">
        <v>491</v>
      </c>
      <c r="AM177" s="246" t="s">
        <v>486</v>
      </c>
      <c r="AN177" s="246" t="s">
        <v>486</v>
      </c>
      <c r="AO177" s="248" t="s">
        <v>486</v>
      </c>
      <c r="AP177" s="247" t="s">
        <v>486</v>
      </c>
      <c r="AQ177" s="249" t="s">
        <v>486</v>
      </c>
      <c r="AR177" s="246" t="s">
        <v>486</v>
      </c>
    </row>
    <row r="178" spans="1:44" ht="15" x14ac:dyDescent="0.25">
      <c r="A178" s="250" t="str">
        <f>HYPERLINK("http://www.ofsted.gov.uk/inspection-reports/find-inspection-report/provider/ELS/136189 ","Ofsted School Webpage")</f>
        <v>Ofsted School Webpage</v>
      </c>
      <c r="B178" s="251">
        <v>136189</v>
      </c>
      <c r="C178" s="251">
        <v>3806349</v>
      </c>
      <c r="D178" s="251" t="s">
        <v>1823</v>
      </c>
      <c r="E178" s="251" t="s">
        <v>247</v>
      </c>
      <c r="F178" s="251" t="s">
        <v>93</v>
      </c>
      <c r="G178" s="251" t="s">
        <v>83</v>
      </c>
      <c r="H178" s="251" t="s">
        <v>83</v>
      </c>
      <c r="I178" s="251" t="s">
        <v>84</v>
      </c>
      <c r="J178" s="251" t="s">
        <v>1490</v>
      </c>
      <c r="K178" s="251" t="s">
        <v>486</v>
      </c>
      <c r="L178" s="251" t="s">
        <v>487</v>
      </c>
      <c r="M178" s="251" t="s">
        <v>523</v>
      </c>
      <c r="N178" s="251" t="s">
        <v>524</v>
      </c>
      <c r="O178" s="251" t="s">
        <v>674</v>
      </c>
      <c r="P178" s="251" t="s">
        <v>1824</v>
      </c>
      <c r="Q178" s="252">
        <v>10025961</v>
      </c>
      <c r="R178" s="253">
        <v>42808</v>
      </c>
      <c r="S178" s="253">
        <v>42810</v>
      </c>
      <c r="T178" s="253">
        <v>42837</v>
      </c>
      <c r="U178" s="251" t="s">
        <v>488</v>
      </c>
      <c r="V178" s="251">
        <v>2</v>
      </c>
      <c r="W178" s="251" t="s">
        <v>219</v>
      </c>
      <c r="X178" s="251">
        <v>2</v>
      </c>
      <c r="Y178" s="251">
        <v>1</v>
      </c>
      <c r="Z178" s="251">
        <v>2</v>
      </c>
      <c r="AA178" s="251">
        <v>2</v>
      </c>
      <c r="AB178" s="251" t="s">
        <v>486</v>
      </c>
      <c r="AC178" s="251">
        <v>2</v>
      </c>
      <c r="AD178" s="251" t="s">
        <v>486</v>
      </c>
      <c r="AE178" s="251" t="s">
        <v>486</v>
      </c>
      <c r="AF178" s="251" t="s">
        <v>486</v>
      </c>
      <c r="AG178" s="251" t="s">
        <v>486</v>
      </c>
      <c r="AH178" s="251" t="s">
        <v>486</v>
      </c>
      <c r="AI178" s="251" t="s">
        <v>486</v>
      </c>
      <c r="AJ178" s="251" t="s">
        <v>486</v>
      </c>
      <c r="AK178" s="251" t="s">
        <v>486</v>
      </c>
      <c r="AL178" s="251" t="s">
        <v>491</v>
      </c>
      <c r="AM178" s="251" t="s">
        <v>486</v>
      </c>
      <c r="AN178" s="251" t="s">
        <v>486</v>
      </c>
      <c r="AO178" s="253" t="s">
        <v>486</v>
      </c>
      <c r="AP178" s="252" t="s">
        <v>486</v>
      </c>
      <c r="AQ178" s="254" t="s">
        <v>486</v>
      </c>
      <c r="AR178" s="251" t="s">
        <v>486</v>
      </c>
    </row>
    <row r="179" spans="1:44" ht="15" x14ac:dyDescent="0.25">
      <c r="A179" s="245" t="str">
        <f>HYPERLINK("http://www.ofsted.gov.uk/inspection-reports/find-inspection-report/provider/ELS/136258 ","Ofsted School Webpage")</f>
        <v>Ofsted School Webpage</v>
      </c>
      <c r="B179" s="246">
        <v>136258</v>
      </c>
      <c r="C179" s="246">
        <v>3916040</v>
      </c>
      <c r="D179" s="246" t="s">
        <v>1825</v>
      </c>
      <c r="E179" s="246" t="s">
        <v>247</v>
      </c>
      <c r="F179" s="246" t="s">
        <v>85</v>
      </c>
      <c r="G179" s="246" t="s">
        <v>84</v>
      </c>
      <c r="H179" s="246" t="s">
        <v>85</v>
      </c>
      <c r="I179" s="246" t="s">
        <v>84</v>
      </c>
      <c r="J179" s="246" t="s">
        <v>1490</v>
      </c>
      <c r="K179" s="246" t="s">
        <v>486</v>
      </c>
      <c r="L179" s="246" t="s">
        <v>487</v>
      </c>
      <c r="M179" s="246" t="s">
        <v>523</v>
      </c>
      <c r="N179" s="246" t="s">
        <v>539</v>
      </c>
      <c r="O179" s="246" t="s">
        <v>1384</v>
      </c>
      <c r="P179" s="246" t="s">
        <v>1826</v>
      </c>
      <c r="Q179" s="247">
        <v>10025962</v>
      </c>
      <c r="R179" s="248">
        <v>42808</v>
      </c>
      <c r="S179" s="248">
        <v>42810</v>
      </c>
      <c r="T179" s="248">
        <v>42828</v>
      </c>
      <c r="U179" s="246" t="s">
        <v>488</v>
      </c>
      <c r="V179" s="246">
        <v>2</v>
      </c>
      <c r="W179" s="246" t="s">
        <v>219</v>
      </c>
      <c r="X179" s="246">
        <v>2</v>
      </c>
      <c r="Y179" s="246">
        <v>1</v>
      </c>
      <c r="Z179" s="246">
        <v>2</v>
      </c>
      <c r="AA179" s="246">
        <v>2</v>
      </c>
      <c r="AB179" s="246" t="s">
        <v>486</v>
      </c>
      <c r="AC179" s="246" t="s">
        <v>486</v>
      </c>
      <c r="AD179" s="246" t="s">
        <v>486</v>
      </c>
      <c r="AE179" s="246" t="s">
        <v>486</v>
      </c>
      <c r="AF179" s="246" t="s">
        <v>486</v>
      </c>
      <c r="AG179" s="246" t="s">
        <v>486</v>
      </c>
      <c r="AH179" s="246" t="s">
        <v>486</v>
      </c>
      <c r="AI179" s="246" t="s">
        <v>486</v>
      </c>
      <c r="AJ179" s="246" t="s">
        <v>486</v>
      </c>
      <c r="AK179" s="246" t="s">
        <v>486</v>
      </c>
      <c r="AL179" s="246" t="s">
        <v>491</v>
      </c>
      <c r="AM179" s="246" t="s">
        <v>486</v>
      </c>
      <c r="AN179" s="246" t="s">
        <v>486</v>
      </c>
      <c r="AO179" s="248" t="s">
        <v>486</v>
      </c>
      <c r="AP179" s="247" t="s">
        <v>486</v>
      </c>
      <c r="AQ179" s="249" t="s">
        <v>486</v>
      </c>
      <c r="AR179" s="246" t="s">
        <v>486</v>
      </c>
    </row>
    <row r="180" spans="1:44" ht="15" x14ac:dyDescent="0.25">
      <c r="A180" s="250" t="str">
        <f>HYPERLINK("http://www.ofsted.gov.uk/inspection-reports/find-inspection-report/provider/ELS/138378 ","Ofsted School Webpage")</f>
        <v>Ofsted School Webpage</v>
      </c>
      <c r="B180" s="251">
        <v>138378</v>
      </c>
      <c r="C180" s="251">
        <v>3056005</v>
      </c>
      <c r="D180" s="251" t="s">
        <v>1827</v>
      </c>
      <c r="E180" s="251" t="s">
        <v>248</v>
      </c>
      <c r="F180" s="251" t="s">
        <v>93</v>
      </c>
      <c r="G180" s="251" t="s">
        <v>93</v>
      </c>
      <c r="H180" s="251" t="s">
        <v>93</v>
      </c>
      <c r="I180" s="251" t="s">
        <v>90</v>
      </c>
      <c r="J180" s="251" t="s">
        <v>1490</v>
      </c>
      <c r="K180" s="251" t="s">
        <v>486</v>
      </c>
      <c r="L180" s="251" t="s">
        <v>487</v>
      </c>
      <c r="M180" s="251" t="s">
        <v>506</v>
      </c>
      <c r="N180" s="251" t="s">
        <v>506</v>
      </c>
      <c r="O180" s="251" t="s">
        <v>679</v>
      </c>
      <c r="P180" s="251" t="s">
        <v>703</v>
      </c>
      <c r="Q180" s="252">
        <v>10012826</v>
      </c>
      <c r="R180" s="253">
        <v>42809</v>
      </c>
      <c r="S180" s="253">
        <v>42811</v>
      </c>
      <c r="T180" s="253">
        <v>42858</v>
      </c>
      <c r="U180" s="251" t="s">
        <v>488</v>
      </c>
      <c r="V180" s="251">
        <v>2</v>
      </c>
      <c r="W180" s="251" t="s">
        <v>219</v>
      </c>
      <c r="X180" s="251">
        <v>2</v>
      </c>
      <c r="Y180" s="251">
        <v>1</v>
      </c>
      <c r="Z180" s="251">
        <v>2</v>
      </c>
      <c r="AA180" s="251">
        <v>2</v>
      </c>
      <c r="AB180" s="251" t="s">
        <v>486</v>
      </c>
      <c r="AC180" s="251" t="s">
        <v>486</v>
      </c>
      <c r="AD180" s="251" t="s">
        <v>486</v>
      </c>
      <c r="AE180" s="251" t="s">
        <v>486</v>
      </c>
      <c r="AF180" s="251" t="s">
        <v>486</v>
      </c>
      <c r="AG180" s="251" t="s">
        <v>486</v>
      </c>
      <c r="AH180" s="251" t="s">
        <v>486</v>
      </c>
      <c r="AI180" s="251" t="s">
        <v>486</v>
      </c>
      <c r="AJ180" s="251" t="s">
        <v>486</v>
      </c>
      <c r="AK180" s="251" t="s">
        <v>486</v>
      </c>
      <c r="AL180" s="251" t="s">
        <v>491</v>
      </c>
      <c r="AM180" s="251" t="s">
        <v>486</v>
      </c>
      <c r="AN180" s="251" t="s">
        <v>486</v>
      </c>
      <c r="AO180" s="253" t="s">
        <v>486</v>
      </c>
      <c r="AP180" s="252" t="s">
        <v>486</v>
      </c>
      <c r="AQ180" s="254" t="s">
        <v>486</v>
      </c>
      <c r="AR180" s="251" t="s">
        <v>486</v>
      </c>
    </row>
    <row r="181" spans="1:44" ht="15" x14ac:dyDescent="0.25">
      <c r="A181" s="245" t="str">
        <f>HYPERLINK("http://www.ofsted.gov.uk/inspection-reports/find-inspection-report/provider/ELS/119848 ","Ofsted School Webpage")</f>
        <v>Ofsted School Webpage</v>
      </c>
      <c r="B181" s="246">
        <v>119848</v>
      </c>
      <c r="C181" s="246">
        <v>8896003</v>
      </c>
      <c r="D181" s="246" t="s">
        <v>1262</v>
      </c>
      <c r="E181" s="246" t="s">
        <v>247</v>
      </c>
      <c r="F181" s="246" t="s">
        <v>93</v>
      </c>
      <c r="G181" s="246" t="s">
        <v>84</v>
      </c>
      <c r="H181" s="246" t="s">
        <v>84</v>
      </c>
      <c r="I181" s="246" t="s">
        <v>84</v>
      </c>
      <c r="J181" s="246" t="s">
        <v>1490</v>
      </c>
      <c r="K181" s="246" t="s">
        <v>486</v>
      </c>
      <c r="L181" s="246" t="s">
        <v>487</v>
      </c>
      <c r="M181" s="246" t="s">
        <v>495</v>
      </c>
      <c r="N181" s="246" t="s">
        <v>495</v>
      </c>
      <c r="O181" s="246" t="s">
        <v>609</v>
      </c>
      <c r="P181" s="246" t="s">
        <v>1263</v>
      </c>
      <c r="Q181" s="247">
        <v>10026006</v>
      </c>
      <c r="R181" s="248">
        <v>42815</v>
      </c>
      <c r="S181" s="248">
        <v>42817</v>
      </c>
      <c r="T181" s="248">
        <v>42859</v>
      </c>
      <c r="U181" s="246" t="s">
        <v>488</v>
      </c>
      <c r="V181" s="246">
        <v>3</v>
      </c>
      <c r="W181" s="246" t="s">
        <v>219</v>
      </c>
      <c r="X181" s="246">
        <v>3</v>
      </c>
      <c r="Y181" s="246">
        <v>2</v>
      </c>
      <c r="Z181" s="246">
        <v>3</v>
      </c>
      <c r="AA181" s="246">
        <v>3</v>
      </c>
      <c r="AB181" s="246">
        <v>3</v>
      </c>
      <c r="AC181" s="246" t="s">
        <v>486</v>
      </c>
      <c r="AD181" s="246" t="s">
        <v>486</v>
      </c>
      <c r="AE181" s="246" t="s">
        <v>486</v>
      </c>
      <c r="AF181" s="246" t="s">
        <v>486</v>
      </c>
      <c r="AG181" s="246" t="s">
        <v>486</v>
      </c>
      <c r="AH181" s="246" t="s">
        <v>486</v>
      </c>
      <c r="AI181" s="246" t="s">
        <v>486</v>
      </c>
      <c r="AJ181" s="246" t="s">
        <v>486</v>
      </c>
      <c r="AK181" s="246" t="s">
        <v>486</v>
      </c>
      <c r="AL181" s="246" t="s">
        <v>491</v>
      </c>
      <c r="AM181" s="246">
        <v>10084068</v>
      </c>
      <c r="AN181" s="246" t="s">
        <v>1109</v>
      </c>
      <c r="AO181" s="248">
        <v>43431</v>
      </c>
      <c r="AP181" s="247" t="s">
        <v>1523</v>
      </c>
      <c r="AQ181" s="249">
        <v>43452</v>
      </c>
      <c r="AR181" s="246" t="s">
        <v>1110</v>
      </c>
    </row>
    <row r="182" spans="1:44" ht="15" x14ac:dyDescent="0.25">
      <c r="A182" s="250" t="str">
        <f>HYPERLINK("http://www.ofsted.gov.uk/inspection-reports/find-inspection-report/provider/ELS/123920 ","Ofsted School Webpage")</f>
        <v>Ofsted School Webpage</v>
      </c>
      <c r="B182" s="251">
        <v>123920</v>
      </c>
      <c r="C182" s="251">
        <v>9336089</v>
      </c>
      <c r="D182" s="251" t="s">
        <v>1828</v>
      </c>
      <c r="E182" s="251" t="s">
        <v>248</v>
      </c>
      <c r="F182" s="251" t="s">
        <v>93</v>
      </c>
      <c r="G182" s="251" t="s">
        <v>93</v>
      </c>
      <c r="H182" s="251" t="s">
        <v>93</v>
      </c>
      <c r="I182" s="251" t="s">
        <v>90</v>
      </c>
      <c r="J182" s="251" t="s">
        <v>1490</v>
      </c>
      <c r="K182" s="251" t="s">
        <v>486</v>
      </c>
      <c r="L182" s="251" t="s">
        <v>487</v>
      </c>
      <c r="M182" s="251" t="s">
        <v>483</v>
      </c>
      <c r="N182" s="251" t="s">
        <v>483</v>
      </c>
      <c r="O182" s="251" t="s">
        <v>531</v>
      </c>
      <c r="P182" s="251" t="s">
        <v>1829</v>
      </c>
      <c r="Q182" s="252">
        <v>10008941</v>
      </c>
      <c r="R182" s="253">
        <v>42815</v>
      </c>
      <c r="S182" s="253">
        <v>42817</v>
      </c>
      <c r="T182" s="253">
        <v>42859</v>
      </c>
      <c r="U182" s="251" t="s">
        <v>624</v>
      </c>
      <c r="V182" s="251">
        <v>2</v>
      </c>
      <c r="W182" s="251" t="s">
        <v>219</v>
      </c>
      <c r="X182" s="251">
        <v>2</v>
      </c>
      <c r="Y182" s="251">
        <v>2</v>
      </c>
      <c r="Z182" s="251">
        <v>2</v>
      </c>
      <c r="AA182" s="251">
        <v>2</v>
      </c>
      <c r="AB182" s="251" t="s">
        <v>486</v>
      </c>
      <c r="AC182" s="251" t="s">
        <v>486</v>
      </c>
      <c r="AD182" s="251" t="s">
        <v>486</v>
      </c>
      <c r="AE182" s="251" t="s">
        <v>486</v>
      </c>
      <c r="AF182" s="251" t="s">
        <v>486</v>
      </c>
      <c r="AG182" s="251" t="s">
        <v>486</v>
      </c>
      <c r="AH182" s="251" t="s">
        <v>486</v>
      </c>
      <c r="AI182" s="251" t="s">
        <v>486</v>
      </c>
      <c r="AJ182" s="251" t="s">
        <v>486</v>
      </c>
      <c r="AK182" s="251" t="s">
        <v>486</v>
      </c>
      <c r="AL182" s="251" t="s">
        <v>491</v>
      </c>
      <c r="AM182" s="251" t="s">
        <v>486</v>
      </c>
      <c r="AN182" s="251" t="s">
        <v>486</v>
      </c>
      <c r="AO182" s="253" t="s">
        <v>486</v>
      </c>
      <c r="AP182" s="252" t="s">
        <v>486</v>
      </c>
      <c r="AQ182" s="254" t="s">
        <v>486</v>
      </c>
      <c r="AR182" s="251" t="s">
        <v>486</v>
      </c>
    </row>
    <row r="183" spans="1:44" ht="15" x14ac:dyDescent="0.25">
      <c r="A183" s="245" t="str">
        <f>HYPERLINK("http://www.ofsted.gov.uk/inspection-reports/find-inspection-report/provider/ELS/131158 ","Ofsted School Webpage")</f>
        <v>Ofsted School Webpage</v>
      </c>
      <c r="B183" s="246">
        <v>131158</v>
      </c>
      <c r="C183" s="246">
        <v>3816012</v>
      </c>
      <c r="D183" s="246" t="s">
        <v>1830</v>
      </c>
      <c r="E183" s="246" t="s">
        <v>247</v>
      </c>
      <c r="F183" s="246" t="s">
        <v>93</v>
      </c>
      <c r="G183" s="246" t="s">
        <v>93</v>
      </c>
      <c r="H183" s="246" t="s">
        <v>93</v>
      </c>
      <c r="I183" s="246" t="s">
        <v>90</v>
      </c>
      <c r="J183" s="246" t="s">
        <v>1490</v>
      </c>
      <c r="K183" s="246" t="s">
        <v>486</v>
      </c>
      <c r="L183" s="246" t="s">
        <v>487</v>
      </c>
      <c r="M183" s="246" t="s">
        <v>523</v>
      </c>
      <c r="N183" s="246" t="s">
        <v>524</v>
      </c>
      <c r="O183" s="246" t="s">
        <v>1539</v>
      </c>
      <c r="P183" s="246" t="s">
        <v>1831</v>
      </c>
      <c r="Q183" s="247">
        <v>10025952</v>
      </c>
      <c r="R183" s="248">
        <v>42815</v>
      </c>
      <c r="S183" s="248">
        <v>42817</v>
      </c>
      <c r="T183" s="248">
        <v>42858</v>
      </c>
      <c r="U183" s="246" t="s">
        <v>488</v>
      </c>
      <c r="V183" s="246">
        <v>1</v>
      </c>
      <c r="W183" s="246" t="s">
        <v>219</v>
      </c>
      <c r="X183" s="246">
        <v>1</v>
      </c>
      <c r="Y183" s="246">
        <v>1</v>
      </c>
      <c r="Z183" s="246">
        <v>1</v>
      </c>
      <c r="AA183" s="246">
        <v>1</v>
      </c>
      <c r="AB183" s="246">
        <v>1</v>
      </c>
      <c r="AC183" s="246" t="s">
        <v>486</v>
      </c>
      <c r="AD183" s="246" t="s">
        <v>486</v>
      </c>
      <c r="AE183" s="246" t="s">
        <v>486</v>
      </c>
      <c r="AF183" s="246" t="s">
        <v>486</v>
      </c>
      <c r="AG183" s="246" t="s">
        <v>486</v>
      </c>
      <c r="AH183" s="246" t="s">
        <v>486</v>
      </c>
      <c r="AI183" s="246" t="s">
        <v>486</v>
      </c>
      <c r="AJ183" s="246" t="s">
        <v>486</v>
      </c>
      <c r="AK183" s="246" t="s">
        <v>486</v>
      </c>
      <c r="AL183" s="246" t="s">
        <v>491</v>
      </c>
      <c r="AM183" s="246" t="s">
        <v>486</v>
      </c>
      <c r="AN183" s="246" t="s">
        <v>486</v>
      </c>
      <c r="AO183" s="248" t="s">
        <v>486</v>
      </c>
      <c r="AP183" s="247" t="s">
        <v>486</v>
      </c>
      <c r="AQ183" s="249" t="s">
        <v>486</v>
      </c>
      <c r="AR183" s="246" t="s">
        <v>486</v>
      </c>
    </row>
    <row r="184" spans="1:44" ht="15" x14ac:dyDescent="0.25">
      <c r="A184" s="250" t="str">
        <f>HYPERLINK("http://www.ofsted.gov.uk/inspection-reports/find-inspection-report/provider/ELS/135998 ","Ofsted School Webpage")</f>
        <v>Ofsted School Webpage</v>
      </c>
      <c r="B184" s="251">
        <v>135998</v>
      </c>
      <c r="C184" s="251">
        <v>3596011</v>
      </c>
      <c r="D184" s="251" t="s">
        <v>1832</v>
      </c>
      <c r="E184" s="251" t="s">
        <v>247</v>
      </c>
      <c r="F184" s="251" t="s">
        <v>93</v>
      </c>
      <c r="G184" s="251" t="s">
        <v>93</v>
      </c>
      <c r="H184" s="251" t="s">
        <v>93</v>
      </c>
      <c r="I184" s="251" t="s">
        <v>90</v>
      </c>
      <c r="J184" s="251" t="s">
        <v>1490</v>
      </c>
      <c r="K184" s="251" t="s">
        <v>486</v>
      </c>
      <c r="L184" s="251" t="s">
        <v>487</v>
      </c>
      <c r="M184" s="251" t="s">
        <v>495</v>
      </c>
      <c r="N184" s="251" t="s">
        <v>495</v>
      </c>
      <c r="O184" s="251" t="s">
        <v>496</v>
      </c>
      <c r="P184" s="251" t="s">
        <v>1833</v>
      </c>
      <c r="Q184" s="252">
        <v>10026013</v>
      </c>
      <c r="R184" s="253">
        <v>42815</v>
      </c>
      <c r="S184" s="253">
        <v>42817</v>
      </c>
      <c r="T184" s="253">
        <v>42850</v>
      </c>
      <c r="U184" s="251" t="s">
        <v>488</v>
      </c>
      <c r="V184" s="251">
        <v>2</v>
      </c>
      <c r="W184" s="251" t="s">
        <v>219</v>
      </c>
      <c r="X184" s="251">
        <v>2</v>
      </c>
      <c r="Y184" s="251">
        <v>1</v>
      </c>
      <c r="Z184" s="251">
        <v>2</v>
      </c>
      <c r="AA184" s="251">
        <v>2</v>
      </c>
      <c r="AB184" s="251">
        <v>2</v>
      </c>
      <c r="AC184" s="251" t="s">
        <v>486</v>
      </c>
      <c r="AD184" s="251" t="s">
        <v>486</v>
      </c>
      <c r="AE184" s="251" t="s">
        <v>486</v>
      </c>
      <c r="AF184" s="251" t="s">
        <v>486</v>
      </c>
      <c r="AG184" s="251" t="s">
        <v>486</v>
      </c>
      <c r="AH184" s="251" t="s">
        <v>486</v>
      </c>
      <c r="AI184" s="251" t="s">
        <v>486</v>
      </c>
      <c r="AJ184" s="251" t="s">
        <v>486</v>
      </c>
      <c r="AK184" s="251" t="s">
        <v>486</v>
      </c>
      <c r="AL184" s="251" t="s">
        <v>491</v>
      </c>
      <c r="AM184" s="251" t="s">
        <v>486</v>
      </c>
      <c r="AN184" s="251" t="s">
        <v>486</v>
      </c>
      <c r="AO184" s="253" t="s">
        <v>486</v>
      </c>
      <c r="AP184" s="252" t="s">
        <v>486</v>
      </c>
      <c r="AQ184" s="254" t="s">
        <v>486</v>
      </c>
      <c r="AR184" s="251" t="s">
        <v>486</v>
      </c>
    </row>
    <row r="185" spans="1:44" ht="15" x14ac:dyDescent="0.25">
      <c r="A185" s="245" t="str">
        <f>HYPERLINK("http://www.ofsted.gov.uk/inspection-reports/find-inspection-report/provider/ELS/142635 ","Ofsted School Webpage")</f>
        <v>Ofsted School Webpage</v>
      </c>
      <c r="B185" s="246">
        <v>142635</v>
      </c>
      <c r="C185" s="246">
        <v>8576006</v>
      </c>
      <c r="D185" s="246" t="s">
        <v>1834</v>
      </c>
      <c r="E185" s="246" t="s">
        <v>248</v>
      </c>
      <c r="F185" s="246" t="s">
        <v>93</v>
      </c>
      <c r="G185" s="246" t="s">
        <v>93</v>
      </c>
      <c r="H185" s="246" t="s">
        <v>93</v>
      </c>
      <c r="I185" s="246" t="s">
        <v>90</v>
      </c>
      <c r="J185" s="246" t="s">
        <v>1490</v>
      </c>
      <c r="K185" s="246" t="s">
        <v>486</v>
      </c>
      <c r="L185" s="246" t="s">
        <v>487</v>
      </c>
      <c r="M185" s="246" t="s">
        <v>572</v>
      </c>
      <c r="N185" s="246" t="s">
        <v>572</v>
      </c>
      <c r="O185" s="246" t="s">
        <v>1112</v>
      </c>
      <c r="P185" s="246" t="s">
        <v>1835</v>
      </c>
      <c r="Q185" s="247">
        <v>10026055</v>
      </c>
      <c r="R185" s="248">
        <v>42815</v>
      </c>
      <c r="S185" s="248">
        <v>42817</v>
      </c>
      <c r="T185" s="248">
        <v>42849</v>
      </c>
      <c r="U185" s="246" t="s">
        <v>488</v>
      </c>
      <c r="V185" s="246">
        <v>1</v>
      </c>
      <c r="W185" s="246" t="s">
        <v>219</v>
      </c>
      <c r="X185" s="246">
        <v>1</v>
      </c>
      <c r="Y185" s="246">
        <v>1</v>
      </c>
      <c r="Z185" s="246">
        <v>1</v>
      </c>
      <c r="AA185" s="246">
        <v>1</v>
      </c>
      <c r="AB185" s="246" t="s">
        <v>486</v>
      </c>
      <c r="AC185" s="246">
        <v>1</v>
      </c>
      <c r="AD185" s="246" t="s">
        <v>486</v>
      </c>
      <c r="AE185" s="246" t="s">
        <v>486</v>
      </c>
      <c r="AF185" s="246" t="s">
        <v>486</v>
      </c>
      <c r="AG185" s="246" t="s">
        <v>486</v>
      </c>
      <c r="AH185" s="246" t="s">
        <v>486</v>
      </c>
      <c r="AI185" s="246" t="s">
        <v>486</v>
      </c>
      <c r="AJ185" s="246" t="s">
        <v>486</v>
      </c>
      <c r="AK185" s="246" t="s">
        <v>486</v>
      </c>
      <c r="AL185" s="246" t="s">
        <v>491</v>
      </c>
      <c r="AM185" s="246" t="s">
        <v>486</v>
      </c>
      <c r="AN185" s="246" t="s">
        <v>486</v>
      </c>
      <c r="AO185" s="248" t="s">
        <v>486</v>
      </c>
      <c r="AP185" s="247" t="s">
        <v>486</v>
      </c>
      <c r="AQ185" s="249" t="s">
        <v>486</v>
      </c>
      <c r="AR185" s="246" t="s">
        <v>486</v>
      </c>
    </row>
    <row r="186" spans="1:44" ht="15" x14ac:dyDescent="0.25">
      <c r="A186" s="250" t="str">
        <f>HYPERLINK("http://www.ofsted.gov.uk/inspection-reports/find-inspection-report/provider/ELS/142776 ","Ofsted School Webpage")</f>
        <v>Ofsted School Webpage</v>
      </c>
      <c r="B186" s="251">
        <v>142776</v>
      </c>
      <c r="C186" s="251">
        <v>8736054</v>
      </c>
      <c r="D186" s="251" t="s">
        <v>1836</v>
      </c>
      <c r="E186" s="251" t="s">
        <v>247</v>
      </c>
      <c r="F186" s="251" t="s">
        <v>93</v>
      </c>
      <c r="G186" s="251" t="s">
        <v>93</v>
      </c>
      <c r="H186" s="251" t="s">
        <v>93</v>
      </c>
      <c r="I186" s="251" t="s">
        <v>90</v>
      </c>
      <c r="J186" s="251" t="s">
        <v>1490</v>
      </c>
      <c r="K186" s="251" t="s">
        <v>486</v>
      </c>
      <c r="L186" s="251" t="s">
        <v>487</v>
      </c>
      <c r="M186" s="251" t="s">
        <v>516</v>
      </c>
      <c r="N186" s="251" t="s">
        <v>516</v>
      </c>
      <c r="O186" s="251" t="s">
        <v>867</v>
      </c>
      <c r="P186" s="251" t="s">
        <v>1837</v>
      </c>
      <c r="Q186" s="252">
        <v>10033610</v>
      </c>
      <c r="R186" s="253">
        <v>42815</v>
      </c>
      <c r="S186" s="253">
        <v>42817</v>
      </c>
      <c r="T186" s="253">
        <v>42858</v>
      </c>
      <c r="U186" s="251" t="s">
        <v>499</v>
      </c>
      <c r="V186" s="251">
        <v>2</v>
      </c>
      <c r="W186" s="251" t="s">
        <v>219</v>
      </c>
      <c r="X186" s="251">
        <v>2</v>
      </c>
      <c r="Y186" s="251">
        <v>2</v>
      </c>
      <c r="Z186" s="251">
        <v>2</v>
      </c>
      <c r="AA186" s="251">
        <v>2</v>
      </c>
      <c r="AB186" s="251" t="s">
        <v>486</v>
      </c>
      <c r="AC186" s="251" t="s">
        <v>486</v>
      </c>
      <c r="AD186" s="251" t="s">
        <v>486</v>
      </c>
      <c r="AE186" s="251" t="s">
        <v>486</v>
      </c>
      <c r="AF186" s="251" t="s">
        <v>486</v>
      </c>
      <c r="AG186" s="251" t="s">
        <v>486</v>
      </c>
      <c r="AH186" s="251" t="s">
        <v>486</v>
      </c>
      <c r="AI186" s="251" t="s">
        <v>486</v>
      </c>
      <c r="AJ186" s="251" t="s">
        <v>486</v>
      </c>
      <c r="AK186" s="251" t="s">
        <v>486</v>
      </c>
      <c r="AL186" s="251" t="s">
        <v>491</v>
      </c>
      <c r="AM186" s="251" t="s">
        <v>486</v>
      </c>
      <c r="AN186" s="251" t="s">
        <v>486</v>
      </c>
      <c r="AO186" s="253" t="s">
        <v>486</v>
      </c>
      <c r="AP186" s="252" t="s">
        <v>486</v>
      </c>
      <c r="AQ186" s="254" t="s">
        <v>486</v>
      </c>
      <c r="AR186" s="251" t="s">
        <v>486</v>
      </c>
    </row>
    <row r="187" spans="1:44" ht="15" x14ac:dyDescent="0.25">
      <c r="A187" s="245" t="str">
        <f>HYPERLINK("http://www.ofsted.gov.uk/inspection-reports/find-inspection-report/provider/ELS/113594 ","Ofsted School Webpage")</f>
        <v>Ofsted School Webpage</v>
      </c>
      <c r="B187" s="246">
        <v>113594</v>
      </c>
      <c r="C187" s="246">
        <v>8796001</v>
      </c>
      <c r="D187" s="246" t="s">
        <v>1838</v>
      </c>
      <c r="E187" s="246" t="s">
        <v>247</v>
      </c>
      <c r="F187" s="246" t="s">
        <v>78</v>
      </c>
      <c r="G187" s="246" t="s">
        <v>78</v>
      </c>
      <c r="H187" s="246" t="s">
        <v>78</v>
      </c>
      <c r="I187" s="246" t="s">
        <v>71</v>
      </c>
      <c r="J187" s="246" t="s">
        <v>1490</v>
      </c>
      <c r="K187" s="246" t="s">
        <v>486</v>
      </c>
      <c r="L187" s="246" t="s">
        <v>487</v>
      </c>
      <c r="M187" s="246" t="s">
        <v>483</v>
      </c>
      <c r="N187" s="246" t="s">
        <v>483</v>
      </c>
      <c r="O187" s="246" t="s">
        <v>1839</v>
      </c>
      <c r="P187" s="246" t="s">
        <v>1840</v>
      </c>
      <c r="Q187" s="247">
        <v>10020897</v>
      </c>
      <c r="R187" s="248">
        <v>42822</v>
      </c>
      <c r="S187" s="248">
        <v>42824</v>
      </c>
      <c r="T187" s="248">
        <v>42866</v>
      </c>
      <c r="U187" s="246" t="s">
        <v>488</v>
      </c>
      <c r="V187" s="246">
        <v>2</v>
      </c>
      <c r="W187" s="246" t="s">
        <v>219</v>
      </c>
      <c r="X187" s="246">
        <v>2</v>
      </c>
      <c r="Y187" s="246">
        <v>1</v>
      </c>
      <c r="Z187" s="246">
        <v>2</v>
      </c>
      <c r="AA187" s="246">
        <v>2</v>
      </c>
      <c r="AB187" s="246">
        <v>2</v>
      </c>
      <c r="AC187" s="246" t="s">
        <v>486</v>
      </c>
      <c r="AD187" s="246" t="s">
        <v>486</v>
      </c>
      <c r="AE187" s="246" t="s">
        <v>486</v>
      </c>
      <c r="AF187" s="246" t="s">
        <v>486</v>
      </c>
      <c r="AG187" s="246" t="s">
        <v>486</v>
      </c>
      <c r="AH187" s="246" t="s">
        <v>486</v>
      </c>
      <c r="AI187" s="246" t="s">
        <v>486</v>
      </c>
      <c r="AJ187" s="246" t="s">
        <v>486</v>
      </c>
      <c r="AK187" s="246" t="s">
        <v>486</v>
      </c>
      <c r="AL187" s="246" t="s">
        <v>491</v>
      </c>
      <c r="AM187" s="246" t="s">
        <v>486</v>
      </c>
      <c r="AN187" s="246" t="s">
        <v>486</v>
      </c>
      <c r="AO187" s="248" t="s">
        <v>486</v>
      </c>
      <c r="AP187" s="247" t="s">
        <v>486</v>
      </c>
      <c r="AQ187" s="249" t="s">
        <v>486</v>
      </c>
      <c r="AR187" s="246" t="s">
        <v>486</v>
      </c>
    </row>
    <row r="188" spans="1:44" ht="15" x14ac:dyDescent="0.25">
      <c r="A188" s="250" t="str">
        <f>HYPERLINK("http://www.ofsted.gov.uk/inspection-reports/find-inspection-report/provider/ELS/131802 ","Ofsted School Webpage")</f>
        <v>Ofsted School Webpage</v>
      </c>
      <c r="B188" s="251">
        <v>131802</v>
      </c>
      <c r="C188" s="251">
        <v>9286067</v>
      </c>
      <c r="D188" s="251" t="s">
        <v>1841</v>
      </c>
      <c r="E188" s="251" t="s">
        <v>248</v>
      </c>
      <c r="F188" s="251" t="s">
        <v>93</v>
      </c>
      <c r="G188" s="251" t="s">
        <v>93</v>
      </c>
      <c r="H188" s="251" t="s">
        <v>93</v>
      </c>
      <c r="I188" s="251" t="s">
        <v>90</v>
      </c>
      <c r="J188" s="251" t="s">
        <v>1490</v>
      </c>
      <c r="K188" s="251" t="s">
        <v>486</v>
      </c>
      <c r="L188" s="251" t="s">
        <v>487</v>
      </c>
      <c r="M188" s="251" t="s">
        <v>572</v>
      </c>
      <c r="N188" s="251" t="s">
        <v>572</v>
      </c>
      <c r="O188" s="251" t="s">
        <v>1297</v>
      </c>
      <c r="P188" s="251" t="s">
        <v>1842</v>
      </c>
      <c r="Q188" s="252">
        <v>10026048</v>
      </c>
      <c r="R188" s="253">
        <v>42822</v>
      </c>
      <c r="S188" s="253">
        <v>42824</v>
      </c>
      <c r="T188" s="253">
        <v>42857</v>
      </c>
      <c r="U188" s="251" t="s">
        <v>488</v>
      </c>
      <c r="V188" s="251">
        <v>3</v>
      </c>
      <c r="W188" s="251" t="s">
        <v>219</v>
      </c>
      <c r="X188" s="251">
        <v>3</v>
      </c>
      <c r="Y188" s="251">
        <v>3</v>
      </c>
      <c r="Z188" s="251">
        <v>3</v>
      </c>
      <c r="AA188" s="251">
        <v>3</v>
      </c>
      <c r="AB188" s="251" t="s">
        <v>486</v>
      </c>
      <c r="AC188" s="251" t="s">
        <v>486</v>
      </c>
      <c r="AD188" s="251" t="s">
        <v>486</v>
      </c>
      <c r="AE188" s="251" t="s">
        <v>486</v>
      </c>
      <c r="AF188" s="251" t="s">
        <v>486</v>
      </c>
      <c r="AG188" s="251" t="s">
        <v>486</v>
      </c>
      <c r="AH188" s="251" t="s">
        <v>486</v>
      </c>
      <c r="AI188" s="251" t="s">
        <v>486</v>
      </c>
      <c r="AJ188" s="251" t="s">
        <v>486</v>
      </c>
      <c r="AK188" s="251" t="s">
        <v>486</v>
      </c>
      <c r="AL188" s="251" t="s">
        <v>545</v>
      </c>
      <c r="AM188" s="251">
        <v>10043120</v>
      </c>
      <c r="AN188" s="251" t="s">
        <v>1109</v>
      </c>
      <c r="AO188" s="253">
        <v>43013</v>
      </c>
      <c r="AP188" s="252" t="s">
        <v>1690</v>
      </c>
      <c r="AQ188" s="254">
        <v>43045</v>
      </c>
      <c r="AR188" s="251" t="s">
        <v>1136</v>
      </c>
    </row>
    <row r="189" spans="1:44" ht="15" x14ac:dyDescent="0.25">
      <c r="A189" s="245" t="str">
        <f>HYPERLINK("http://www.ofsted.gov.uk/inspection-reports/find-inspection-report/provider/ELS/141864 ","Ofsted School Webpage")</f>
        <v>Ofsted School Webpage</v>
      </c>
      <c r="B189" s="246">
        <v>141864</v>
      </c>
      <c r="C189" s="246">
        <v>8886059</v>
      </c>
      <c r="D189" s="246" t="s">
        <v>1843</v>
      </c>
      <c r="E189" s="246" t="s">
        <v>248</v>
      </c>
      <c r="F189" s="246" t="s">
        <v>93</v>
      </c>
      <c r="G189" s="246" t="s">
        <v>93</v>
      </c>
      <c r="H189" s="246" t="s">
        <v>93</v>
      </c>
      <c r="I189" s="246" t="s">
        <v>90</v>
      </c>
      <c r="J189" s="246" t="s">
        <v>1490</v>
      </c>
      <c r="K189" s="246" t="s">
        <v>486</v>
      </c>
      <c r="L189" s="246" t="s">
        <v>487</v>
      </c>
      <c r="M189" s="246" t="s">
        <v>495</v>
      </c>
      <c r="N189" s="246" t="s">
        <v>495</v>
      </c>
      <c r="O189" s="246" t="s">
        <v>534</v>
      </c>
      <c r="P189" s="246" t="s">
        <v>1844</v>
      </c>
      <c r="Q189" s="247">
        <v>10008943</v>
      </c>
      <c r="R189" s="248">
        <v>42822</v>
      </c>
      <c r="S189" s="248">
        <v>42824</v>
      </c>
      <c r="T189" s="248">
        <v>42859</v>
      </c>
      <c r="U189" s="246" t="s">
        <v>499</v>
      </c>
      <c r="V189" s="246">
        <v>2</v>
      </c>
      <c r="W189" s="246" t="s">
        <v>219</v>
      </c>
      <c r="X189" s="246">
        <v>1</v>
      </c>
      <c r="Y189" s="246">
        <v>2</v>
      </c>
      <c r="Z189" s="246">
        <v>2</v>
      </c>
      <c r="AA189" s="246">
        <v>2</v>
      </c>
      <c r="AB189" s="246" t="s">
        <v>486</v>
      </c>
      <c r="AC189" s="246" t="s">
        <v>486</v>
      </c>
      <c r="AD189" s="246" t="s">
        <v>486</v>
      </c>
      <c r="AE189" s="246" t="s">
        <v>486</v>
      </c>
      <c r="AF189" s="246" t="s">
        <v>486</v>
      </c>
      <c r="AG189" s="246" t="s">
        <v>486</v>
      </c>
      <c r="AH189" s="246" t="s">
        <v>486</v>
      </c>
      <c r="AI189" s="246" t="s">
        <v>486</v>
      </c>
      <c r="AJ189" s="246" t="s">
        <v>486</v>
      </c>
      <c r="AK189" s="246" t="s">
        <v>486</v>
      </c>
      <c r="AL189" s="246" t="s">
        <v>491</v>
      </c>
      <c r="AM189" s="246" t="s">
        <v>486</v>
      </c>
      <c r="AN189" s="246" t="s">
        <v>486</v>
      </c>
      <c r="AO189" s="248" t="s">
        <v>486</v>
      </c>
      <c r="AP189" s="247" t="s">
        <v>486</v>
      </c>
      <c r="AQ189" s="249" t="s">
        <v>486</v>
      </c>
      <c r="AR189" s="246" t="s">
        <v>486</v>
      </c>
    </row>
    <row r="190" spans="1:44" ht="15" x14ac:dyDescent="0.25">
      <c r="A190" s="250" t="str">
        <f>HYPERLINK("http://www.ofsted.gov.uk/inspection-reports/find-inspection-report/provider/ELS/136040 ","Ofsted School Webpage")</f>
        <v>Ofsted School Webpage</v>
      </c>
      <c r="B190" s="251">
        <v>136040</v>
      </c>
      <c r="C190" s="251">
        <v>3846126</v>
      </c>
      <c r="D190" s="251" t="s">
        <v>1845</v>
      </c>
      <c r="E190" s="251" t="s">
        <v>248</v>
      </c>
      <c r="F190" s="251" t="s">
        <v>93</v>
      </c>
      <c r="G190" s="251" t="s">
        <v>93</v>
      </c>
      <c r="H190" s="251" t="s">
        <v>93</v>
      </c>
      <c r="I190" s="251" t="s">
        <v>90</v>
      </c>
      <c r="J190" s="251" t="s">
        <v>1490</v>
      </c>
      <c r="K190" s="251" t="s">
        <v>486</v>
      </c>
      <c r="L190" s="251" t="s">
        <v>487</v>
      </c>
      <c r="M190" s="251" t="s">
        <v>523</v>
      </c>
      <c r="N190" s="251" t="s">
        <v>524</v>
      </c>
      <c r="O190" s="251" t="s">
        <v>525</v>
      </c>
      <c r="P190" s="251" t="s">
        <v>1846</v>
      </c>
      <c r="Q190" s="252">
        <v>10033919</v>
      </c>
      <c r="R190" s="253">
        <v>42823</v>
      </c>
      <c r="S190" s="253">
        <v>42825</v>
      </c>
      <c r="T190" s="253">
        <v>42860</v>
      </c>
      <c r="U190" s="251" t="s">
        <v>488</v>
      </c>
      <c r="V190" s="251">
        <v>2</v>
      </c>
      <c r="W190" s="251" t="s">
        <v>219</v>
      </c>
      <c r="X190" s="251">
        <v>2</v>
      </c>
      <c r="Y190" s="251">
        <v>2</v>
      </c>
      <c r="Z190" s="251">
        <v>2</v>
      </c>
      <c r="AA190" s="251">
        <v>2</v>
      </c>
      <c r="AB190" s="251" t="s">
        <v>486</v>
      </c>
      <c r="AC190" s="251" t="s">
        <v>486</v>
      </c>
      <c r="AD190" s="251" t="s">
        <v>486</v>
      </c>
      <c r="AE190" s="251" t="s">
        <v>486</v>
      </c>
      <c r="AF190" s="251" t="s">
        <v>486</v>
      </c>
      <c r="AG190" s="251" t="s">
        <v>486</v>
      </c>
      <c r="AH190" s="251" t="s">
        <v>486</v>
      </c>
      <c r="AI190" s="251" t="s">
        <v>486</v>
      </c>
      <c r="AJ190" s="251" t="s">
        <v>486</v>
      </c>
      <c r="AK190" s="251" t="s">
        <v>486</v>
      </c>
      <c r="AL190" s="251" t="s">
        <v>491</v>
      </c>
      <c r="AM190" s="251" t="s">
        <v>486</v>
      </c>
      <c r="AN190" s="251" t="s">
        <v>486</v>
      </c>
      <c r="AO190" s="253" t="s">
        <v>486</v>
      </c>
      <c r="AP190" s="252" t="s">
        <v>486</v>
      </c>
      <c r="AQ190" s="254" t="s">
        <v>486</v>
      </c>
      <c r="AR190" s="251" t="s">
        <v>486</v>
      </c>
    </row>
    <row r="191" spans="1:44" ht="15" x14ac:dyDescent="0.25">
      <c r="A191" s="245" t="str">
        <f>HYPERLINK("http://www.ofsted.gov.uk/inspection-reports/find-inspection-report/provider/ELS/139415 ","Ofsted School Webpage")</f>
        <v>Ofsted School Webpage</v>
      </c>
      <c r="B191" s="246">
        <v>139415</v>
      </c>
      <c r="C191" s="246">
        <v>2136001</v>
      </c>
      <c r="D191" s="246" t="s">
        <v>1847</v>
      </c>
      <c r="E191" s="246" t="s">
        <v>247</v>
      </c>
      <c r="F191" s="246" t="s">
        <v>93</v>
      </c>
      <c r="G191" s="246" t="s">
        <v>93</v>
      </c>
      <c r="H191" s="246" t="s">
        <v>93</v>
      </c>
      <c r="I191" s="246" t="s">
        <v>90</v>
      </c>
      <c r="J191" s="246" t="s">
        <v>1490</v>
      </c>
      <c r="K191" s="246" t="s">
        <v>486</v>
      </c>
      <c r="L191" s="246" t="s">
        <v>487</v>
      </c>
      <c r="M191" s="246" t="s">
        <v>506</v>
      </c>
      <c r="N191" s="246" t="s">
        <v>506</v>
      </c>
      <c r="O191" s="246" t="s">
        <v>658</v>
      </c>
      <c r="P191" s="246" t="s">
        <v>1848</v>
      </c>
      <c r="Q191" s="247">
        <v>10026298</v>
      </c>
      <c r="R191" s="248">
        <v>42829</v>
      </c>
      <c r="S191" s="248">
        <v>42831</v>
      </c>
      <c r="T191" s="248">
        <v>42865</v>
      </c>
      <c r="U191" s="246" t="s">
        <v>488</v>
      </c>
      <c r="V191" s="246">
        <v>1</v>
      </c>
      <c r="W191" s="246" t="s">
        <v>219</v>
      </c>
      <c r="X191" s="246">
        <v>1</v>
      </c>
      <c r="Y191" s="246">
        <v>1</v>
      </c>
      <c r="Z191" s="246">
        <v>1</v>
      </c>
      <c r="AA191" s="246">
        <v>1</v>
      </c>
      <c r="AB191" s="246" t="s">
        <v>486</v>
      </c>
      <c r="AC191" s="246">
        <v>1</v>
      </c>
      <c r="AD191" s="246" t="s">
        <v>486</v>
      </c>
      <c r="AE191" s="246" t="s">
        <v>486</v>
      </c>
      <c r="AF191" s="246" t="s">
        <v>486</v>
      </c>
      <c r="AG191" s="246" t="s">
        <v>486</v>
      </c>
      <c r="AH191" s="246" t="s">
        <v>486</v>
      </c>
      <c r="AI191" s="246" t="s">
        <v>486</v>
      </c>
      <c r="AJ191" s="246" t="s">
        <v>486</v>
      </c>
      <c r="AK191" s="246" t="s">
        <v>486</v>
      </c>
      <c r="AL191" s="246" t="s">
        <v>491</v>
      </c>
      <c r="AM191" s="246" t="s">
        <v>486</v>
      </c>
      <c r="AN191" s="246" t="s">
        <v>486</v>
      </c>
      <c r="AO191" s="248" t="s">
        <v>486</v>
      </c>
      <c r="AP191" s="247" t="s">
        <v>486</v>
      </c>
      <c r="AQ191" s="249" t="s">
        <v>486</v>
      </c>
      <c r="AR191" s="246" t="s">
        <v>486</v>
      </c>
    </row>
    <row r="192" spans="1:44" ht="15" x14ac:dyDescent="0.25">
      <c r="A192" s="250" t="str">
        <f>HYPERLINK("http://www.ofsted.gov.uk/inspection-reports/find-inspection-report/provider/ELS/100295 ","Ofsted School Webpage")</f>
        <v>Ofsted School Webpage</v>
      </c>
      <c r="B192" s="251">
        <v>100295</v>
      </c>
      <c r="C192" s="251">
        <v>2046337</v>
      </c>
      <c r="D192" s="251" t="s">
        <v>1849</v>
      </c>
      <c r="E192" s="251" t="s">
        <v>247</v>
      </c>
      <c r="F192" s="251" t="s">
        <v>93</v>
      </c>
      <c r="G192" s="251" t="s">
        <v>81</v>
      </c>
      <c r="H192" s="251" t="s">
        <v>81</v>
      </c>
      <c r="I192" s="251" t="s">
        <v>81</v>
      </c>
      <c r="J192" s="251" t="s">
        <v>1490</v>
      </c>
      <c r="K192" s="251" t="s">
        <v>486</v>
      </c>
      <c r="L192" s="251" t="s">
        <v>487</v>
      </c>
      <c r="M192" s="251" t="s">
        <v>506</v>
      </c>
      <c r="N192" s="251" t="s">
        <v>506</v>
      </c>
      <c r="O192" s="251" t="s">
        <v>617</v>
      </c>
      <c r="P192" s="251" t="s">
        <v>1850</v>
      </c>
      <c r="Q192" s="252">
        <v>10020732</v>
      </c>
      <c r="R192" s="253">
        <v>42850</v>
      </c>
      <c r="S192" s="253">
        <v>42852</v>
      </c>
      <c r="T192" s="253">
        <v>42877</v>
      </c>
      <c r="U192" s="251" t="s">
        <v>488</v>
      </c>
      <c r="V192" s="251">
        <v>2</v>
      </c>
      <c r="W192" s="251" t="s">
        <v>219</v>
      </c>
      <c r="X192" s="251">
        <v>2</v>
      </c>
      <c r="Y192" s="251">
        <v>2</v>
      </c>
      <c r="Z192" s="251">
        <v>2</v>
      </c>
      <c r="AA192" s="251">
        <v>2</v>
      </c>
      <c r="AB192" s="251">
        <v>2</v>
      </c>
      <c r="AC192" s="251" t="s">
        <v>486</v>
      </c>
      <c r="AD192" s="251" t="s">
        <v>486</v>
      </c>
      <c r="AE192" s="251" t="s">
        <v>486</v>
      </c>
      <c r="AF192" s="251" t="s">
        <v>486</v>
      </c>
      <c r="AG192" s="251" t="s">
        <v>486</v>
      </c>
      <c r="AH192" s="251" t="s">
        <v>486</v>
      </c>
      <c r="AI192" s="251" t="s">
        <v>486</v>
      </c>
      <c r="AJ192" s="251" t="s">
        <v>486</v>
      </c>
      <c r="AK192" s="251" t="s">
        <v>486</v>
      </c>
      <c r="AL192" s="251" t="s">
        <v>491</v>
      </c>
      <c r="AM192" s="251" t="s">
        <v>486</v>
      </c>
      <c r="AN192" s="251" t="s">
        <v>486</v>
      </c>
      <c r="AO192" s="253" t="s">
        <v>486</v>
      </c>
      <c r="AP192" s="252" t="s">
        <v>486</v>
      </c>
      <c r="AQ192" s="254" t="s">
        <v>486</v>
      </c>
      <c r="AR192" s="251" t="s">
        <v>486</v>
      </c>
    </row>
    <row r="193" spans="1:44" ht="15" x14ac:dyDescent="0.25">
      <c r="A193" s="245" t="str">
        <f>HYPERLINK("http://www.ofsted.gov.uk/inspection-reports/find-inspection-report/provider/ELS/131138 ","Ofsted School Webpage")</f>
        <v>Ofsted School Webpage</v>
      </c>
      <c r="B193" s="246">
        <v>131138</v>
      </c>
      <c r="C193" s="246">
        <v>8886030</v>
      </c>
      <c r="D193" s="246" t="s">
        <v>1851</v>
      </c>
      <c r="E193" s="246" t="s">
        <v>248</v>
      </c>
      <c r="F193" s="246" t="s">
        <v>93</v>
      </c>
      <c r="G193" s="246" t="s">
        <v>93</v>
      </c>
      <c r="H193" s="246" t="s">
        <v>93</v>
      </c>
      <c r="I193" s="246" t="s">
        <v>90</v>
      </c>
      <c r="J193" s="246" t="s">
        <v>1490</v>
      </c>
      <c r="K193" s="246" t="s">
        <v>486</v>
      </c>
      <c r="L193" s="246" t="s">
        <v>487</v>
      </c>
      <c r="M193" s="246" t="s">
        <v>495</v>
      </c>
      <c r="N193" s="246" t="s">
        <v>495</v>
      </c>
      <c r="O193" s="246" t="s">
        <v>534</v>
      </c>
      <c r="P193" s="246" t="s">
        <v>1852</v>
      </c>
      <c r="Q193" s="247">
        <v>10012964</v>
      </c>
      <c r="R193" s="248">
        <v>42850</v>
      </c>
      <c r="S193" s="248">
        <v>42852</v>
      </c>
      <c r="T193" s="248">
        <v>42873</v>
      </c>
      <c r="U193" s="246" t="s">
        <v>488</v>
      </c>
      <c r="V193" s="246">
        <v>2</v>
      </c>
      <c r="W193" s="246" t="s">
        <v>219</v>
      </c>
      <c r="X193" s="246">
        <v>1</v>
      </c>
      <c r="Y193" s="246">
        <v>2</v>
      </c>
      <c r="Z193" s="246">
        <v>2</v>
      </c>
      <c r="AA193" s="246">
        <v>2</v>
      </c>
      <c r="AB193" s="246" t="s">
        <v>486</v>
      </c>
      <c r="AC193" s="246">
        <v>2</v>
      </c>
      <c r="AD193" s="246" t="s">
        <v>486</v>
      </c>
      <c r="AE193" s="246" t="s">
        <v>486</v>
      </c>
      <c r="AF193" s="246" t="s">
        <v>486</v>
      </c>
      <c r="AG193" s="246" t="s">
        <v>486</v>
      </c>
      <c r="AH193" s="246" t="s">
        <v>486</v>
      </c>
      <c r="AI193" s="246" t="s">
        <v>486</v>
      </c>
      <c r="AJ193" s="246" t="s">
        <v>486</v>
      </c>
      <c r="AK193" s="246" t="s">
        <v>486</v>
      </c>
      <c r="AL193" s="246" t="s">
        <v>491</v>
      </c>
      <c r="AM193" s="246" t="s">
        <v>486</v>
      </c>
      <c r="AN193" s="246" t="s">
        <v>486</v>
      </c>
      <c r="AO193" s="248" t="s">
        <v>486</v>
      </c>
      <c r="AP193" s="247" t="s">
        <v>486</v>
      </c>
      <c r="AQ193" s="249" t="s">
        <v>486</v>
      </c>
      <c r="AR193" s="246" t="s">
        <v>486</v>
      </c>
    </row>
    <row r="194" spans="1:44" ht="15" x14ac:dyDescent="0.25">
      <c r="A194" s="250" t="str">
        <f>HYPERLINK("http://www.ofsted.gov.uk/inspection-reports/find-inspection-report/provider/ELS/135393 ","Ofsted School Webpage")</f>
        <v>Ofsted School Webpage</v>
      </c>
      <c r="B194" s="251">
        <v>135393</v>
      </c>
      <c r="C194" s="251">
        <v>8916032</v>
      </c>
      <c r="D194" s="251" t="s">
        <v>1853</v>
      </c>
      <c r="E194" s="251" t="s">
        <v>248</v>
      </c>
      <c r="F194" s="251" t="s">
        <v>93</v>
      </c>
      <c r="G194" s="251" t="s">
        <v>93</v>
      </c>
      <c r="H194" s="251" t="s">
        <v>93</v>
      </c>
      <c r="I194" s="251" t="s">
        <v>90</v>
      </c>
      <c r="J194" s="251" t="s">
        <v>1490</v>
      </c>
      <c r="K194" s="251" t="s">
        <v>486</v>
      </c>
      <c r="L194" s="251" t="s">
        <v>487</v>
      </c>
      <c r="M194" s="251" t="s">
        <v>572</v>
      </c>
      <c r="N194" s="251" t="s">
        <v>572</v>
      </c>
      <c r="O194" s="251" t="s">
        <v>852</v>
      </c>
      <c r="P194" s="251" t="s">
        <v>1854</v>
      </c>
      <c r="Q194" s="252">
        <v>10026051</v>
      </c>
      <c r="R194" s="253">
        <v>42850</v>
      </c>
      <c r="S194" s="253">
        <v>42852</v>
      </c>
      <c r="T194" s="253">
        <v>42872</v>
      </c>
      <c r="U194" s="251" t="s">
        <v>488</v>
      </c>
      <c r="V194" s="251">
        <v>2</v>
      </c>
      <c r="W194" s="251" t="s">
        <v>219</v>
      </c>
      <c r="X194" s="251">
        <v>2</v>
      </c>
      <c r="Y194" s="251">
        <v>1</v>
      </c>
      <c r="Z194" s="251">
        <v>2</v>
      </c>
      <c r="AA194" s="251">
        <v>2</v>
      </c>
      <c r="AB194" s="251" t="s">
        <v>486</v>
      </c>
      <c r="AC194" s="251">
        <v>2</v>
      </c>
      <c r="AD194" s="251" t="s">
        <v>486</v>
      </c>
      <c r="AE194" s="251" t="s">
        <v>486</v>
      </c>
      <c r="AF194" s="251" t="s">
        <v>486</v>
      </c>
      <c r="AG194" s="251" t="s">
        <v>486</v>
      </c>
      <c r="AH194" s="251" t="s">
        <v>486</v>
      </c>
      <c r="AI194" s="251" t="s">
        <v>486</v>
      </c>
      <c r="AJ194" s="251" t="s">
        <v>486</v>
      </c>
      <c r="AK194" s="251" t="s">
        <v>486</v>
      </c>
      <c r="AL194" s="251" t="s">
        <v>491</v>
      </c>
      <c r="AM194" s="251" t="s">
        <v>486</v>
      </c>
      <c r="AN194" s="251" t="s">
        <v>486</v>
      </c>
      <c r="AO194" s="253" t="s">
        <v>486</v>
      </c>
      <c r="AP194" s="252" t="s">
        <v>486</v>
      </c>
      <c r="AQ194" s="254" t="s">
        <v>486</v>
      </c>
      <c r="AR194" s="251" t="s">
        <v>486</v>
      </c>
    </row>
    <row r="195" spans="1:44" ht="15" x14ac:dyDescent="0.25">
      <c r="A195" s="245" t="str">
        <f>HYPERLINK("http://www.ofsted.gov.uk/inspection-reports/find-inspection-report/provider/ELS/136817 ","Ofsted School Webpage")</f>
        <v>Ofsted School Webpage</v>
      </c>
      <c r="B195" s="246">
        <v>136817</v>
      </c>
      <c r="C195" s="246">
        <v>2046000</v>
      </c>
      <c r="D195" s="246" t="s">
        <v>1855</v>
      </c>
      <c r="E195" s="246" t="s">
        <v>247</v>
      </c>
      <c r="F195" s="246" t="s">
        <v>80</v>
      </c>
      <c r="G195" s="246" t="s">
        <v>81</v>
      </c>
      <c r="H195" s="246" t="s">
        <v>80</v>
      </c>
      <c r="I195" s="246" t="s">
        <v>81</v>
      </c>
      <c r="J195" s="246" t="s">
        <v>1490</v>
      </c>
      <c r="K195" s="246" t="s">
        <v>486</v>
      </c>
      <c r="L195" s="246" t="s">
        <v>487</v>
      </c>
      <c r="M195" s="246" t="s">
        <v>506</v>
      </c>
      <c r="N195" s="246" t="s">
        <v>506</v>
      </c>
      <c r="O195" s="246" t="s">
        <v>617</v>
      </c>
      <c r="P195" s="246" t="s">
        <v>1856</v>
      </c>
      <c r="Q195" s="247">
        <v>10012790</v>
      </c>
      <c r="R195" s="248">
        <v>42850</v>
      </c>
      <c r="S195" s="248">
        <v>42852</v>
      </c>
      <c r="T195" s="248">
        <v>42878</v>
      </c>
      <c r="U195" s="246" t="s">
        <v>488</v>
      </c>
      <c r="V195" s="246">
        <v>2</v>
      </c>
      <c r="W195" s="246" t="s">
        <v>219</v>
      </c>
      <c r="X195" s="246">
        <v>2</v>
      </c>
      <c r="Y195" s="246">
        <v>2</v>
      </c>
      <c r="Z195" s="246">
        <v>2</v>
      </c>
      <c r="AA195" s="246">
        <v>2</v>
      </c>
      <c r="AB195" s="246">
        <v>2</v>
      </c>
      <c r="AC195" s="246" t="s">
        <v>486</v>
      </c>
      <c r="AD195" s="246" t="s">
        <v>486</v>
      </c>
      <c r="AE195" s="246" t="s">
        <v>486</v>
      </c>
      <c r="AF195" s="246" t="s">
        <v>486</v>
      </c>
      <c r="AG195" s="246" t="s">
        <v>486</v>
      </c>
      <c r="AH195" s="246" t="s">
        <v>486</v>
      </c>
      <c r="AI195" s="246" t="s">
        <v>486</v>
      </c>
      <c r="AJ195" s="246" t="s">
        <v>486</v>
      </c>
      <c r="AK195" s="246" t="s">
        <v>486</v>
      </c>
      <c r="AL195" s="246" t="s">
        <v>491</v>
      </c>
      <c r="AM195" s="246" t="s">
        <v>486</v>
      </c>
      <c r="AN195" s="246" t="s">
        <v>486</v>
      </c>
      <c r="AO195" s="248" t="s">
        <v>486</v>
      </c>
      <c r="AP195" s="247" t="s">
        <v>486</v>
      </c>
      <c r="AQ195" s="249" t="s">
        <v>486</v>
      </c>
      <c r="AR195" s="246" t="s">
        <v>486</v>
      </c>
    </row>
    <row r="196" spans="1:44" ht="15" x14ac:dyDescent="0.25">
      <c r="A196" s="250" t="str">
        <f>HYPERLINK("http://www.ofsted.gov.uk/inspection-reports/find-inspection-report/provider/ELS/142925 ","Ofsted School Webpage")</f>
        <v>Ofsted School Webpage</v>
      </c>
      <c r="B196" s="251">
        <v>142925</v>
      </c>
      <c r="C196" s="251">
        <v>8456062</v>
      </c>
      <c r="D196" s="251" t="s">
        <v>1857</v>
      </c>
      <c r="E196" s="251" t="s">
        <v>247</v>
      </c>
      <c r="F196" s="251" t="s">
        <v>93</v>
      </c>
      <c r="G196" s="251" t="s">
        <v>93</v>
      </c>
      <c r="H196" s="251" t="s">
        <v>93</v>
      </c>
      <c r="I196" s="251" t="s">
        <v>90</v>
      </c>
      <c r="J196" s="251" t="s">
        <v>1490</v>
      </c>
      <c r="K196" s="251" t="s">
        <v>486</v>
      </c>
      <c r="L196" s="251" t="s">
        <v>487</v>
      </c>
      <c r="M196" s="251" t="s">
        <v>581</v>
      </c>
      <c r="N196" s="251" t="s">
        <v>581</v>
      </c>
      <c r="O196" s="251" t="s">
        <v>761</v>
      </c>
      <c r="P196" s="251" t="s">
        <v>1858</v>
      </c>
      <c r="Q196" s="252">
        <v>10033965</v>
      </c>
      <c r="R196" s="253">
        <v>42850</v>
      </c>
      <c r="S196" s="253">
        <v>42852</v>
      </c>
      <c r="T196" s="253">
        <v>42873</v>
      </c>
      <c r="U196" s="251" t="s">
        <v>499</v>
      </c>
      <c r="V196" s="251">
        <v>2</v>
      </c>
      <c r="W196" s="251" t="s">
        <v>219</v>
      </c>
      <c r="X196" s="251">
        <v>1</v>
      </c>
      <c r="Y196" s="251">
        <v>2</v>
      </c>
      <c r="Z196" s="251">
        <v>2</v>
      </c>
      <c r="AA196" s="251">
        <v>2</v>
      </c>
      <c r="AB196" s="251" t="s">
        <v>486</v>
      </c>
      <c r="AC196" s="251">
        <v>2</v>
      </c>
      <c r="AD196" s="251" t="s">
        <v>486</v>
      </c>
      <c r="AE196" s="251" t="s">
        <v>486</v>
      </c>
      <c r="AF196" s="251" t="s">
        <v>486</v>
      </c>
      <c r="AG196" s="251" t="s">
        <v>486</v>
      </c>
      <c r="AH196" s="251" t="s">
        <v>486</v>
      </c>
      <c r="AI196" s="251" t="s">
        <v>486</v>
      </c>
      <c r="AJ196" s="251" t="s">
        <v>486</v>
      </c>
      <c r="AK196" s="251" t="s">
        <v>486</v>
      </c>
      <c r="AL196" s="251" t="s">
        <v>491</v>
      </c>
      <c r="AM196" s="251" t="s">
        <v>486</v>
      </c>
      <c r="AN196" s="251" t="s">
        <v>486</v>
      </c>
      <c r="AO196" s="253" t="s">
        <v>486</v>
      </c>
      <c r="AP196" s="252" t="s">
        <v>486</v>
      </c>
      <c r="AQ196" s="254" t="s">
        <v>486</v>
      </c>
      <c r="AR196" s="251" t="s">
        <v>486</v>
      </c>
    </row>
    <row r="197" spans="1:44" ht="15" x14ac:dyDescent="0.25">
      <c r="A197" s="245" t="str">
        <f>HYPERLINK("http://www.ofsted.gov.uk/inspection-reports/find-inspection-report/provider/ELS/100544 ","Ofsted School Webpage")</f>
        <v>Ofsted School Webpage</v>
      </c>
      <c r="B197" s="246">
        <v>100544</v>
      </c>
      <c r="C197" s="246">
        <v>2136005</v>
      </c>
      <c r="D197" s="246" t="s">
        <v>1859</v>
      </c>
      <c r="E197" s="246" t="s">
        <v>247</v>
      </c>
      <c r="F197" s="246" t="s">
        <v>93</v>
      </c>
      <c r="G197" s="246" t="s">
        <v>93</v>
      </c>
      <c r="H197" s="246" t="s">
        <v>93</v>
      </c>
      <c r="I197" s="246" t="s">
        <v>90</v>
      </c>
      <c r="J197" s="246" t="s">
        <v>1490</v>
      </c>
      <c r="K197" s="246" t="s">
        <v>486</v>
      </c>
      <c r="L197" s="246" t="s">
        <v>487</v>
      </c>
      <c r="M197" s="246" t="s">
        <v>506</v>
      </c>
      <c r="N197" s="246" t="s">
        <v>506</v>
      </c>
      <c r="O197" s="246" t="s">
        <v>658</v>
      </c>
      <c r="P197" s="246" t="s">
        <v>1860</v>
      </c>
      <c r="Q197" s="247">
        <v>10034004</v>
      </c>
      <c r="R197" s="248">
        <v>42857</v>
      </c>
      <c r="S197" s="248">
        <v>42859</v>
      </c>
      <c r="T197" s="248">
        <v>42881</v>
      </c>
      <c r="U197" s="246" t="s">
        <v>488</v>
      </c>
      <c r="V197" s="246">
        <v>1</v>
      </c>
      <c r="W197" s="246" t="s">
        <v>219</v>
      </c>
      <c r="X197" s="246">
        <v>1</v>
      </c>
      <c r="Y197" s="246">
        <v>1</v>
      </c>
      <c r="Z197" s="246">
        <v>1</v>
      </c>
      <c r="AA197" s="246">
        <v>1</v>
      </c>
      <c r="AB197" s="246" t="s">
        <v>486</v>
      </c>
      <c r="AC197" s="246">
        <v>1</v>
      </c>
      <c r="AD197" s="246" t="s">
        <v>486</v>
      </c>
      <c r="AE197" s="246" t="s">
        <v>486</v>
      </c>
      <c r="AF197" s="246" t="s">
        <v>486</v>
      </c>
      <c r="AG197" s="246" t="s">
        <v>486</v>
      </c>
      <c r="AH197" s="246" t="s">
        <v>486</v>
      </c>
      <c r="AI197" s="246" t="s">
        <v>486</v>
      </c>
      <c r="AJ197" s="246" t="s">
        <v>486</v>
      </c>
      <c r="AK197" s="246" t="s">
        <v>486</v>
      </c>
      <c r="AL197" s="246" t="s">
        <v>491</v>
      </c>
      <c r="AM197" s="246" t="s">
        <v>486</v>
      </c>
      <c r="AN197" s="246" t="s">
        <v>486</v>
      </c>
      <c r="AO197" s="248" t="s">
        <v>486</v>
      </c>
      <c r="AP197" s="247" t="s">
        <v>486</v>
      </c>
      <c r="AQ197" s="249" t="s">
        <v>486</v>
      </c>
      <c r="AR197" s="246" t="s">
        <v>486</v>
      </c>
    </row>
    <row r="198" spans="1:44" ht="15" x14ac:dyDescent="0.25">
      <c r="A198" s="250" t="str">
        <f>HYPERLINK("http://www.ofsted.gov.uk/inspection-reports/find-inspection-report/provider/ELS/137950 ","Ofsted School Webpage")</f>
        <v>Ofsted School Webpage</v>
      </c>
      <c r="B198" s="251">
        <v>137950</v>
      </c>
      <c r="C198" s="251">
        <v>8036008</v>
      </c>
      <c r="D198" s="251" t="s">
        <v>1294</v>
      </c>
      <c r="E198" s="251" t="s">
        <v>247</v>
      </c>
      <c r="F198" s="251" t="s">
        <v>93</v>
      </c>
      <c r="G198" s="251" t="s">
        <v>93</v>
      </c>
      <c r="H198" s="251" t="s">
        <v>93</v>
      </c>
      <c r="I198" s="251" t="s">
        <v>90</v>
      </c>
      <c r="J198" s="251" t="s">
        <v>1490</v>
      </c>
      <c r="K198" s="251" t="s">
        <v>486</v>
      </c>
      <c r="L198" s="251" t="s">
        <v>487</v>
      </c>
      <c r="M198" s="251" t="s">
        <v>483</v>
      </c>
      <c r="N198" s="251" t="s">
        <v>483</v>
      </c>
      <c r="O198" s="251" t="s">
        <v>1214</v>
      </c>
      <c r="P198" s="251" t="s">
        <v>1295</v>
      </c>
      <c r="Q198" s="252">
        <v>10026042</v>
      </c>
      <c r="R198" s="253">
        <v>42858</v>
      </c>
      <c r="S198" s="253">
        <v>42860</v>
      </c>
      <c r="T198" s="253">
        <v>42908</v>
      </c>
      <c r="U198" s="251" t="s">
        <v>624</v>
      </c>
      <c r="V198" s="251">
        <v>4</v>
      </c>
      <c r="W198" s="251" t="s">
        <v>220</v>
      </c>
      <c r="X198" s="251">
        <v>4</v>
      </c>
      <c r="Y198" s="251">
        <v>3</v>
      </c>
      <c r="Z198" s="251">
        <v>3</v>
      </c>
      <c r="AA198" s="251">
        <v>3</v>
      </c>
      <c r="AB198" s="251" t="s">
        <v>486</v>
      </c>
      <c r="AC198" s="251" t="s">
        <v>486</v>
      </c>
      <c r="AD198" s="251" t="s">
        <v>486</v>
      </c>
      <c r="AE198" s="251" t="s">
        <v>486</v>
      </c>
      <c r="AF198" s="251" t="s">
        <v>486</v>
      </c>
      <c r="AG198" s="251" t="s">
        <v>486</v>
      </c>
      <c r="AH198" s="251" t="s">
        <v>486</v>
      </c>
      <c r="AI198" s="251" t="s">
        <v>486</v>
      </c>
      <c r="AJ198" s="251" t="s">
        <v>486</v>
      </c>
      <c r="AK198" s="251" t="s">
        <v>486</v>
      </c>
      <c r="AL198" s="251" t="s">
        <v>545</v>
      </c>
      <c r="AM198" s="251">
        <v>10084375</v>
      </c>
      <c r="AN198" s="251" t="s">
        <v>1202</v>
      </c>
      <c r="AO198" s="253">
        <v>43473</v>
      </c>
      <c r="AP198" s="252" t="s">
        <v>1523</v>
      </c>
      <c r="AQ198" s="254">
        <v>43494</v>
      </c>
      <c r="AR198" s="251" t="s">
        <v>1136</v>
      </c>
    </row>
    <row r="199" spans="1:44" ht="15" x14ac:dyDescent="0.25">
      <c r="A199" s="245" t="str">
        <f>HYPERLINK("http://www.ofsted.gov.uk/inspection-reports/find-inspection-report/provider/ELS/141560 ","Ofsted School Webpage")</f>
        <v>Ofsted School Webpage</v>
      </c>
      <c r="B199" s="246">
        <v>141560</v>
      </c>
      <c r="C199" s="246">
        <v>3326010</v>
      </c>
      <c r="D199" s="246" t="s">
        <v>1861</v>
      </c>
      <c r="E199" s="246" t="s">
        <v>247</v>
      </c>
      <c r="F199" s="246" t="s">
        <v>93</v>
      </c>
      <c r="G199" s="246" t="s">
        <v>93</v>
      </c>
      <c r="H199" s="246" t="s">
        <v>93</v>
      </c>
      <c r="I199" s="246" t="s">
        <v>90</v>
      </c>
      <c r="J199" s="246" t="s">
        <v>1490</v>
      </c>
      <c r="K199" s="246" t="s">
        <v>486</v>
      </c>
      <c r="L199" s="246" t="s">
        <v>487</v>
      </c>
      <c r="M199" s="246" t="s">
        <v>502</v>
      </c>
      <c r="N199" s="246" t="s">
        <v>502</v>
      </c>
      <c r="O199" s="246" t="s">
        <v>699</v>
      </c>
      <c r="P199" s="246" t="s">
        <v>1862</v>
      </c>
      <c r="Q199" s="247">
        <v>10006308</v>
      </c>
      <c r="R199" s="248">
        <v>42858</v>
      </c>
      <c r="S199" s="248">
        <v>42860</v>
      </c>
      <c r="T199" s="248">
        <v>42902</v>
      </c>
      <c r="U199" s="246" t="s">
        <v>499</v>
      </c>
      <c r="V199" s="246">
        <v>3</v>
      </c>
      <c r="W199" s="246" t="s">
        <v>219</v>
      </c>
      <c r="X199" s="246">
        <v>3</v>
      </c>
      <c r="Y199" s="246">
        <v>2</v>
      </c>
      <c r="Z199" s="246">
        <v>3</v>
      </c>
      <c r="AA199" s="246">
        <v>3</v>
      </c>
      <c r="AB199" s="246" t="s">
        <v>486</v>
      </c>
      <c r="AC199" s="246" t="s">
        <v>486</v>
      </c>
      <c r="AD199" s="246" t="s">
        <v>486</v>
      </c>
      <c r="AE199" s="246" t="s">
        <v>486</v>
      </c>
      <c r="AF199" s="246" t="s">
        <v>486</v>
      </c>
      <c r="AG199" s="246" t="s">
        <v>486</v>
      </c>
      <c r="AH199" s="246" t="s">
        <v>486</v>
      </c>
      <c r="AI199" s="246" t="s">
        <v>486</v>
      </c>
      <c r="AJ199" s="246" t="s">
        <v>486</v>
      </c>
      <c r="AK199" s="246" t="s">
        <v>486</v>
      </c>
      <c r="AL199" s="246" t="s">
        <v>491</v>
      </c>
      <c r="AM199" s="246" t="s">
        <v>486</v>
      </c>
      <c r="AN199" s="246" t="s">
        <v>486</v>
      </c>
      <c r="AO199" s="248" t="s">
        <v>486</v>
      </c>
      <c r="AP199" s="247" t="s">
        <v>486</v>
      </c>
      <c r="AQ199" s="249" t="s">
        <v>486</v>
      </c>
      <c r="AR199" s="246" t="s">
        <v>486</v>
      </c>
    </row>
    <row r="200" spans="1:44" ht="15" x14ac:dyDescent="0.25">
      <c r="A200" s="250" t="str">
        <f>HYPERLINK("http://www.ofsted.gov.uk/inspection-reports/find-inspection-report/provider/ELS/142416 ","Ofsted School Webpage")</f>
        <v>Ofsted School Webpage</v>
      </c>
      <c r="B200" s="251">
        <v>142416</v>
      </c>
      <c r="C200" s="251">
        <v>9366006</v>
      </c>
      <c r="D200" s="251" t="s">
        <v>1126</v>
      </c>
      <c r="E200" s="251" t="s">
        <v>248</v>
      </c>
      <c r="F200" s="251" t="s">
        <v>93</v>
      </c>
      <c r="G200" s="251" t="s">
        <v>93</v>
      </c>
      <c r="H200" s="251" t="s">
        <v>93</v>
      </c>
      <c r="I200" s="251" t="s">
        <v>90</v>
      </c>
      <c r="J200" s="251" t="s">
        <v>1490</v>
      </c>
      <c r="K200" s="251" t="s">
        <v>486</v>
      </c>
      <c r="L200" s="251" t="s">
        <v>487</v>
      </c>
      <c r="M200" s="251" t="s">
        <v>581</v>
      </c>
      <c r="N200" s="251" t="s">
        <v>581</v>
      </c>
      <c r="O200" s="251" t="s">
        <v>788</v>
      </c>
      <c r="P200" s="251" t="s">
        <v>1127</v>
      </c>
      <c r="Q200" s="252">
        <v>10025994</v>
      </c>
      <c r="R200" s="253">
        <v>42864</v>
      </c>
      <c r="S200" s="253">
        <v>42865</v>
      </c>
      <c r="T200" s="253">
        <v>42888</v>
      </c>
      <c r="U200" s="251" t="s">
        <v>499</v>
      </c>
      <c r="V200" s="251">
        <v>2</v>
      </c>
      <c r="W200" s="251" t="s">
        <v>219</v>
      </c>
      <c r="X200" s="251">
        <v>2</v>
      </c>
      <c r="Y200" s="251">
        <v>2</v>
      </c>
      <c r="Z200" s="251">
        <v>1</v>
      </c>
      <c r="AA200" s="251">
        <v>1</v>
      </c>
      <c r="AB200" s="251" t="s">
        <v>486</v>
      </c>
      <c r="AC200" s="251" t="s">
        <v>486</v>
      </c>
      <c r="AD200" s="251" t="s">
        <v>486</v>
      </c>
      <c r="AE200" s="251" t="s">
        <v>486</v>
      </c>
      <c r="AF200" s="251" t="s">
        <v>486</v>
      </c>
      <c r="AG200" s="251" t="s">
        <v>486</v>
      </c>
      <c r="AH200" s="251" t="s">
        <v>486</v>
      </c>
      <c r="AI200" s="251" t="s">
        <v>486</v>
      </c>
      <c r="AJ200" s="251" t="s">
        <v>486</v>
      </c>
      <c r="AK200" s="251" t="s">
        <v>486</v>
      </c>
      <c r="AL200" s="251" t="s">
        <v>491</v>
      </c>
      <c r="AM200" s="251" t="s">
        <v>486</v>
      </c>
      <c r="AN200" s="251" t="s">
        <v>486</v>
      </c>
      <c r="AO200" s="253" t="s">
        <v>486</v>
      </c>
      <c r="AP200" s="252" t="s">
        <v>486</v>
      </c>
      <c r="AQ200" s="254" t="s">
        <v>486</v>
      </c>
      <c r="AR200" s="251" t="s">
        <v>486</v>
      </c>
    </row>
    <row r="201" spans="1:44" ht="15" x14ac:dyDescent="0.25">
      <c r="A201" s="245" t="str">
        <f>HYPERLINK("http://www.ofsted.gov.uk/inspection-reports/find-inspection-report/provider/ELS/101695 ","Ofsted School Webpage")</f>
        <v>Ofsted School Webpage</v>
      </c>
      <c r="B201" s="246">
        <v>101695</v>
      </c>
      <c r="C201" s="246">
        <v>3056077</v>
      </c>
      <c r="D201" s="246" t="s">
        <v>1863</v>
      </c>
      <c r="E201" s="246" t="s">
        <v>247</v>
      </c>
      <c r="F201" s="246" t="s">
        <v>93</v>
      </c>
      <c r="G201" s="246" t="s">
        <v>84</v>
      </c>
      <c r="H201" s="246" t="s">
        <v>84</v>
      </c>
      <c r="I201" s="246" t="s">
        <v>84</v>
      </c>
      <c r="J201" s="246" t="s">
        <v>1490</v>
      </c>
      <c r="K201" s="246" t="s">
        <v>486</v>
      </c>
      <c r="L201" s="246" t="s">
        <v>487</v>
      </c>
      <c r="M201" s="246" t="s">
        <v>506</v>
      </c>
      <c r="N201" s="246" t="s">
        <v>506</v>
      </c>
      <c r="O201" s="246" t="s">
        <v>679</v>
      </c>
      <c r="P201" s="246" t="s">
        <v>1864</v>
      </c>
      <c r="Q201" s="247">
        <v>10034171</v>
      </c>
      <c r="R201" s="248">
        <v>42864</v>
      </c>
      <c r="S201" s="248">
        <v>42866</v>
      </c>
      <c r="T201" s="248">
        <v>42937</v>
      </c>
      <c r="U201" s="246" t="s">
        <v>624</v>
      </c>
      <c r="V201" s="246">
        <v>4</v>
      </c>
      <c r="W201" s="246" t="s">
        <v>220</v>
      </c>
      <c r="X201" s="246">
        <v>4</v>
      </c>
      <c r="Y201" s="246">
        <v>4</v>
      </c>
      <c r="Z201" s="246">
        <v>3</v>
      </c>
      <c r="AA201" s="246">
        <v>3</v>
      </c>
      <c r="AB201" s="246" t="s">
        <v>486</v>
      </c>
      <c r="AC201" s="246">
        <v>4</v>
      </c>
      <c r="AD201" s="246" t="s">
        <v>486</v>
      </c>
      <c r="AE201" s="246" t="s">
        <v>486</v>
      </c>
      <c r="AF201" s="246" t="s">
        <v>486</v>
      </c>
      <c r="AG201" s="246" t="s">
        <v>486</v>
      </c>
      <c r="AH201" s="246" t="s">
        <v>486</v>
      </c>
      <c r="AI201" s="246" t="s">
        <v>486</v>
      </c>
      <c r="AJ201" s="246" t="s">
        <v>486</v>
      </c>
      <c r="AK201" s="246" t="s">
        <v>486</v>
      </c>
      <c r="AL201" s="246" t="s">
        <v>545</v>
      </c>
      <c r="AM201" s="246">
        <v>10043252</v>
      </c>
      <c r="AN201" s="246" t="s">
        <v>1202</v>
      </c>
      <c r="AO201" s="248">
        <v>43138</v>
      </c>
      <c r="AP201" s="247" t="s">
        <v>1690</v>
      </c>
      <c r="AQ201" s="249">
        <v>43385</v>
      </c>
      <c r="AR201" s="246" t="s">
        <v>1136</v>
      </c>
    </row>
    <row r="202" spans="1:44" ht="15" x14ac:dyDescent="0.25">
      <c r="A202" s="250" t="str">
        <f>HYPERLINK("http://www.ofsted.gov.uk/inspection-reports/find-inspection-report/provider/ELS/123619 ","Ofsted School Webpage")</f>
        <v>Ofsted School Webpage</v>
      </c>
      <c r="B202" s="251">
        <v>123619</v>
      </c>
      <c r="C202" s="251">
        <v>8936017</v>
      </c>
      <c r="D202" s="251" t="s">
        <v>1147</v>
      </c>
      <c r="E202" s="251" t="s">
        <v>248</v>
      </c>
      <c r="F202" s="251" t="s">
        <v>93</v>
      </c>
      <c r="G202" s="251" t="s">
        <v>93</v>
      </c>
      <c r="H202" s="251" t="s">
        <v>93</v>
      </c>
      <c r="I202" s="251" t="s">
        <v>90</v>
      </c>
      <c r="J202" s="251" t="s">
        <v>1490</v>
      </c>
      <c r="K202" s="251" t="s">
        <v>486</v>
      </c>
      <c r="L202" s="251" t="s">
        <v>487</v>
      </c>
      <c r="M202" s="251" t="s">
        <v>502</v>
      </c>
      <c r="N202" s="251" t="s">
        <v>502</v>
      </c>
      <c r="O202" s="251" t="s">
        <v>666</v>
      </c>
      <c r="P202" s="251" t="s">
        <v>1148</v>
      </c>
      <c r="Q202" s="252">
        <v>10033564</v>
      </c>
      <c r="R202" s="253">
        <v>42864</v>
      </c>
      <c r="S202" s="253">
        <v>42866</v>
      </c>
      <c r="T202" s="253">
        <v>42907</v>
      </c>
      <c r="U202" s="251" t="s">
        <v>2930</v>
      </c>
      <c r="V202" s="251">
        <v>2</v>
      </c>
      <c r="W202" s="251" t="s">
        <v>219</v>
      </c>
      <c r="X202" s="251">
        <v>2</v>
      </c>
      <c r="Y202" s="251">
        <v>2</v>
      </c>
      <c r="Z202" s="251">
        <v>2</v>
      </c>
      <c r="AA202" s="251">
        <v>2</v>
      </c>
      <c r="AB202" s="251" t="s">
        <v>486</v>
      </c>
      <c r="AC202" s="251">
        <v>2</v>
      </c>
      <c r="AD202" s="251" t="s">
        <v>486</v>
      </c>
      <c r="AE202" s="251" t="s">
        <v>486</v>
      </c>
      <c r="AF202" s="251" t="s">
        <v>486</v>
      </c>
      <c r="AG202" s="251" t="s">
        <v>486</v>
      </c>
      <c r="AH202" s="251" t="s">
        <v>486</v>
      </c>
      <c r="AI202" s="251" t="s">
        <v>486</v>
      </c>
      <c r="AJ202" s="251" t="s">
        <v>486</v>
      </c>
      <c r="AK202" s="251" t="s">
        <v>486</v>
      </c>
      <c r="AL202" s="251" t="s">
        <v>491</v>
      </c>
      <c r="AM202" s="251" t="s">
        <v>486</v>
      </c>
      <c r="AN202" s="251" t="s">
        <v>486</v>
      </c>
      <c r="AO202" s="253" t="s">
        <v>486</v>
      </c>
      <c r="AP202" s="252" t="s">
        <v>486</v>
      </c>
      <c r="AQ202" s="254" t="s">
        <v>486</v>
      </c>
      <c r="AR202" s="251" t="s">
        <v>486</v>
      </c>
    </row>
    <row r="203" spans="1:44" ht="15" x14ac:dyDescent="0.25">
      <c r="A203" s="245" t="str">
        <f>HYPERLINK("http://www.ofsted.gov.uk/inspection-reports/find-inspection-report/provider/ELS/131435 ","Ofsted School Webpage")</f>
        <v>Ofsted School Webpage</v>
      </c>
      <c r="B203" s="246">
        <v>131435</v>
      </c>
      <c r="C203" s="246">
        <v>3556035</v>
      </c>
      <c r="D203" s="246" t="s">
        <v>956</v>
      </c>
      <c r="E203" s="246" t="s">
        <v>247</v>
      </c>
      <c r="F203" s="246" t="s">
        <v>93</v>
      </c>
      <c r="G203" s="246" t="s">
        <v>93</v>
      </c>
      <c r="H203" s="246" t="s">
        <v>93</v>
      </c>
      <c r="I203" s="246" t="s">
        <v>90</v>
      </c>
      <c r="J203" s="246" t="s">
        <v>1490</v>
      </c>
      <c r="K203" s="246" t="s">
        <v>486</v>
      </c>
      <c r="L203" s="246" t="s">
        <v>487</v>
      </c>
      <c r="M203" s="246" t="s">
        <v>495</v>
      </c>
      <c r="N203" s="246" t="s">
        <v>495</v>
      </c>
      <c r="O203" s="246" t="s">
        <v>601</v>
      </c>
      <c r="P203" s="246" t="s">
        <v>1197</v>
      </c>
      <c r="Q203" s="247">
        <v>10012865</v>
      </c>
      <c r="R203" s="248">
        <v>42864</v>
      </c>
      <c r="S203" s="248">
        <v>42866</v>
      </c>
      <c r="T203" s="248">
        <v>42899</v>
      </c>
      <c r="U203" s="246" t="s">
        <v>488</v>
      </c>
      <c r="V203" s="246">
        <v>3</v>
      </c>
      <c r="W203" s="246" t="s">
        <v>219</v>
      </c>
      <c r="X203" s="246">
        <v>3</v>
      </c>
      <c r="Y203" s="246">
        <v>2</v>
      </c>
      <c r="Z203" s="246">
        <v>3</v>
      </c>
      <c r="AA203" s="246">
        <v>3</v>
      </c>
      <c r="AB203" s="246">
        <v>3</v>
      </c>
      <c r="AC203" s="246" t="s">
        <v>486</v>
      </c>
      <c r="AD203" s="246" t="s">
        <v>486</v>
      </c>
      <c r="AE203" s="246" t="s">
        <v>486</v>
      </c>
      <c r="AF203" s="246" t="s">
        <v>486</v>
      </c>
      <c r="AG203" s="246" t="s">
        <v>486</v>
      </c>
      <c r="AH203" s="246" t="s">
        <v>486</v>
      </c>
      <c r="AI203" s="246" t="s">
        <v>486</v>
      </c>
      <c r="AJ203" s="246" t="s">
        <v>486</v>
      </c>
      <c r="AK203" s="246" t="s">
        <v>486</v>
      </c>
      <c r="AL203" s="246" t="s">
        <v>491</v>
      </c>
      <c r="AM203" s="246" t="s">
        <v>486</v>
      </c>
      <c r="AN203" s="246" t="s">
        <v>486</v>
      </c>
      <c r="AO203" s="248" t="s">
        <v>486</v>
      </c>
      <c r="AP203" s="247" t="s">
        <v>486</v>
      </c>
      <c r="AQ203" s="249" t="s">
        <v>486</v>
      </c>
      <c r="AR203" s="246" t="s">
        <v>486</v>
      </c>
    </row>
    <row r="204" spans="1:44" ht="15" x14ac:dyDescent="0.25">
      <c r="A204" s="250" t="str">
        <f>HYPERLINK("http://www.ofsted.gov.uk/inspection-reports/find-inspection-report/provider/ELS/134440 ","Ofsted School Webpage")</f>
        <v>Ofsted School Webpage</v>
      </c>
      <c r="B204" s="251">
        <v>134440</v>
      </c>
      <c r="C204" s="251">
        <v>9266150</v>
      </c>
      <c r="D204" s="251" t="s">
        <v>1865</v>
      </c>
      <c r="E204" s="251" t="s">
        <v>247</v>
      </c>
      <c r="F204" s="251" t="s">
        <v>93</v>
      </c>
      <c r="G204" s="251" t="s">
        <v>93</v>
      </c>
      <c r="H204" s="251" t="s">
        <v>93</v>
      </c>
      <c r="I204" s="251" t="s">
        <v>90</v>
      </c>
      <c r="J204" s="251" t="s">
        <v>1490</v>
      </c>
      <c r="K204" s="251" t="s">
        <v>486</v>
      </c>
      <c r="L204" s="251" t="s">
        <v>487</v>
      </c>
      <c r="M204" s="251" t="s">
        <v>516</v>
      </c>
      <c r="N204" s="251" t="s">
        <v>516</v>
      </c>
      <c r="O204" s="251" t="s">
        <v>528</v>
      </c>
      <c r="P204" s="251" t="s">
        <v>1866</v>
      </c>
      <c r="Q204" s="252">
        <v>10020816</v>
      </c>
      <c r="R204" s="253">
        <v>42864</v>
      </c>
      <c r="S204" s="253">
        <v>42866</v>
      </c>
      <c r="T204" s="253">
        <v>42907</v>
      </c>
      <c r="U204" s="251" t="s">
        <v>488</v>
      </c>
      <c r="V204" s="251">
        <v>3</v>
      </c>
      <c r="W204" s="251" t="s">
        <v>219</v>
      </c>
      <c r="X204" s="251">
        <v>3</v>
      </c>
      <c r="Y204" s="251">
        <v>3</v>
      </c>
      <c r="Z204" s="251">
        <v>3</v>
      </c>
      <c r="AA204" s="251">
        <v>3</v>
      </c>
      <c r="AB204" s="251" t="s">
        <v>486</v>
      </c>
      <c r="AC204" s="251" t="s">
        <v>486</v>
      </c>
      <c r="AD204" s="251" t="s">
        <v>486</v>
      </c>
      <c r="AE204" s="251" t="s">
        <v>486</v>
      </c>
      <c r="AF204" s="251" t="s">
        <v>486</v>
      </c>
      <c r="AG204" s="251" t="s">
        <v>486</v>
      </c>
      <c r="AH204" s="251" t="s">
        <v>486</v>
      </c>
      <c r="AI204" s="251" t="s">
        <v>486</v>
      </c>
      <c r="AJ204" s="251" t="s">
        <v>486</v>
      </c>
      <c r="AK204" s="251" t="s">
        <v>486</v>
      </c>
      <c r="AL204" s="251" t="s">
        <v>545</v>
      </c>
      <c r="AM204" s="251">
        <v>10043987</v>
      </c>
      <c r="AN204" s="251" t="s">
        <v>1109</v>
      </c>
      <c r="AO204" s="253">
        <v>43229</v>
      </c>
      <c r="AP204" s="252" t="s">
        <v>1690</v>
      </c>
      <c r="AQ204" s="254">
        <v>43269</v>
      </c>
      <c r="AR204" s="251" t="s">
        <v>1110</v>
      </c>
    </row>
    <row r="205" spans="1:44" ht="15" x14ac:dyDescent="0.25">
      <c r="A205" s="245" t="str">
        <f>HYPERLINK("http://www.ofsted.gov.uk/inspection-reports/find-inspection-report/provider/ELS/134978 ","Ofsted School Webpage")</f>
        <v>Ofsted School Webpage</v>
      </c>
      <c r="B205" s="246">
        <v>134978</v>
      </c>
      <c r="C205" s="246">
        <v>9266419</v>
      </c>
      <c r="D205" s="246" t="s">
        <v>1867</v>
      </c>
      <c r="E205" s="246" t="s">
        <v>248</v>
      </c>
      <c r="F205" s="246" t="s">
        <v>93</v>
      </c>
      <c r="G205" s="246" t="s">
        <v>93</v>
      </c>
      <c r="H205" s="246" t="s">
        <v>93</v>
      </c>
      <c r="I205" s="246" t="s">
        <v>90</v>
      </c>
      <c r="J205" s="246" t="s">
        <v>1490</v>
      </c>
      <c r="K205" s="246" t="s">
        <v>486</v>
      </c>
      <c r="L205" s="246" t="s">
        <v>487</v>
      </c>
      <c r="M205" s="246" t="s">
        <v>516</v>
      </c>
      <c r="N205" s="246" t="s">
        <v>516</v>
      </c>
      <c r="O205" s="246" t="s">
        <v>528</v>
      </c>
      <c r="P205" s="246" t="s">
        <v>1868</v>
      </c>
      <c r="Q205" s="247">
        <v>10008940</v>
      </c>
      <c r="R205" s="248">
        <v>42864</v>
      </c>
      <c r="S205" s="248">
        <v>42866</v>
      </c>
      <c r="T205" s="248">
        <v>42921</v>
      </c>
      <c r="U205" s="246" t="s">
        <v>2930</v>
      </c>
      <c r="V205" s="246">
        <v>1</v>
      </c>
      <c r="W205" s="246" t="s">
        <v>219</v>
      </c>
      <c r="X205" s="246">
        <v>1</v>
      </c>
      <c r="Y205" s="246">
        <v>1</v>
      </c>
      <c r="Z205" s="246">
        <v>1</v>
      </c>
      <c r="AA205" s="246">
        <v>1</v>
      </c>
      <c r="AB205" s="246" t="s">
        <v>486</v>
      </c>
      <c r="AC205" s="246" t="s">
        <v>486</v>
      </c>
      <c r="AD205" s="246" t="s">
        <v>486</v>
      </c>
      <c r="AE205" s="246" t="s">
        <v>486</v>
      </c>
      <c r="AF205" s="246" t="s">
        <v>486</v>
      </c>
      <c r="AG205" s="246" t="s">
        <v>486</v>
      </c>
      <c r="AH205" s="246" t="s">
        <v>486</v>
      </c>
      <c r="AI205" s="246" t="s">
        <v>486</v>
      </c>
      <c r="AJ205" s="246" t="s">
        <v>486</v>
      </c>
      <c r="AK205" s="246" t="s">
        <v>486</v>
      </c>
      <c r="AL205" s="246" t="s">
        <v>491</v>
      </c>
      <c r="AM205" s="246" t="s">
        <v>486</v>
      </c>
      <c r="AN205" s="246" t="s">
        <v>486</v>
      </c>
      <c r="AO205" s="248" t="s">
        <v>486</v>
      </c>
      <c r="AP205" s="247" t="s">
        <v>486</v>
      </c>
      <c r="AQ205" s="249" t="s">
        <v>486</v>
      </c>
      <c r="AR205" s="246" t="s">
        <v>486</v>
      </c>
    </row>
    <row r="206" spans="1:44" ht="15" x14ac:dyDescent="0.25">
      <c r="A206" s="250" t="str">
        <f>HYPERLINK("http://www.ofsted.gov.uk/inspection-reports/find-inspection-report/provider/ELS/135252 ","Ofsted School Webpage")</f>
        <v>Ofsted School Webpage</v>
      </c>
      <c r="B206" s="251">
        <v>135252</v>
      </c>
      <c r="C206" s="251">
        <v>9356086</v>
      </c>
      <c r="D206" s="251" t="s">
        <v>1869</v>
      </c>
      <c r="E206" s="251" t="s">
        <v>248</v>
      </c>
      <c r="F206" s="251" t="s">
        <v>93</v>
      </c>
      <c r="G206" s="251" t="s">
        <v>93</v>
      </c>
      <c r="H206" s="251" t="s">
        <v>93</v>
      </c>
      <c r="I206" s="251" t="s">
        <v>90</v>
      </c>
      <c r="J206" s="251" t="s">
        <v>1490</v>
      </c>
      <c r="K206" s="251" t="s">
        <v>486</v>
      </c>
      <c r="L206" s="251" t="s">
        <v>487</v>
      </c>
      <c r="M206" s="251" t="s">
        <v>516</v>
      </c>
      <c r="N206" s="251" t="s">
        <v>516</v>
      </c>
      <c r="O206" s="251" t="s">
        <v>937</v>
      </c>
      <c r="P206" s="251" t="s">
        <v>1870</v>
      </c>
      <c r="Q206" s="252">
        <v>10030847</v>
      </c>
      <c r="R206" s="253">
        <v>42864</v>
      </c>
      <c r="S206" s="253">
        <v>42866</v>
      </c>
      <c r="T206" s="253">
        <v>42907</v>
      </c>
      <c r="U206" s="251" t="s">
        <v>2930</v>
      </c>
      <c r="V206" s="251">
        <v>2</v>
      </c>
      <c r="W206" s="251" t="s">
        <v>219</v>
      </c>
      <c r="X206" s="251">
        <v>2</v>
      </c>
      <c r="Y206" s="251">
        <v>1</v>
      </c>
      <c r="Z206" s="251">
        <v>2</v>
      </c>
      <c r="AA206" s="251">
        <v>2</v>
      </c>
      <c r="AB206" s="251" t="s">
        <v>486</v>
      </c>
      <c r="AC206" s="251">
        <v>2</v>
      </c>
      <c r="AD206" s="251" t="s">
        <v>486</v>
      </c>
      <c r="AE206" s="251" t="s">
        <v>486</v>
      </c>
      <c r="AF206" s="251" t="s">
        <v>486</v>
      </c>
      <c r="AG206" s="251" t="s">
        <v>486</v>
      </c>
      <c r="AH206" s="251" t="s">
        <v>486</v>
      </c>
      <c r="AI206" s="251" t="s">
        <v>486</v>
      </c>
      <c r="AJ206" s="251" t="s">
        <v>486</v>
      </c>
      <c r="AK206" s="251" t="s">
        <v>486</v>
      </c>
      <c r="AL206" s="251" t="s">
        <v>491</v>
      </c>
      <c r="AM206" s="251" t="s">
        <v>486</v>
      </c>
      <c r="AN206" s="251" t="s">
        <v>486</v>
      </c>
      <c r="AO206" s="253" t="s">
        <v>486</v>
      </c>
      <c r="AP206" s="252" t="s">
        <v>486</v>
      </c>
      <c r="AQ206" s="254" t="s">
        <v>486</v>
      </c>
      <c r="AR206" s="251" t="s">
        <v>486</v>
      </c>
    </row>
    <row r="207" spans="1:44" ht="15" x14ac:dyDescent="0.25">
      <c r="A207" s="245" t="str">
        <f>HYPERLINK("http://www.ofsted.gov.uk/inspection-reports/find-inspection-report/provider/ELS/135604 ","Ofsted School Webpage")</f>
        <v>Ofsted School Webpage</v>
      </c>
      <c r="B207" s="246">
        <v>135604</v>
      </c>
      <c r="C207" s="246">
        <v>8256040</v>
      </c>
      <c r="D207" s="246" t="s">
        <v>1871</v>
      </c>
      <c r="E207" s="246" t="s">
        <v>248</v>
      </c>
      <c r="F207" s="246" t="s">
        <v>93</v>
      </c>
      <c r="G207" s="246" t="s">
        <v>93</v>
      </c>
      <c r="H207" s="246" t="s">
        <v>93</v>
      </c>
      <c r="I207" s="246" t="s">
        <v>90</v>
      </c>
      <c r="J207" s="246" t="s">
        <v>1490</v>
      </c>
      <c r="K207" s="246" t="s">
        <v>486</v>
      </c>
      <c r="L207" s="246" t="s">
        <v>487</v>
      </c>
      <c r="M207" s="246" t="s">
        <v>581</v>
      </c>
      <c r="N207" s="246" t="s">
        <v>581</v>
      </c>
      <c r="O207" s="246" t="s">
        <v>714</v>
      </c>
      <c r="P207" s="246" t="s">
        <v>1872</v>
      </c>
      <c r="Q207" s="247">
        <v>10006103</v>
      </c>
      <c r="R207" s="248">
        <v>42864</v>
      </c>
      <c r="S207" s="248">
        <v>42866</v>
      </c>
      <c r="T207" s="248">
        <v>42887</v>
      </c>
      <c r="U207" s="246" t="s">
        <v>488</v>
      </c>
      <c r="V207" s="246">
        <v>2</v>
      </c>
      <c r="W207" s="246" t="s">
        <v>219</v>
      </c>
      <c r="X207" s="246">
        <v>2</v>
      </c>
      <c r="Y207" s="246">
        <v>2</v>
      </c>
      <c r="Z207" s="246">
        <v>2</v>
      </c>
      <c r="AA207" s="246">
        <v>2</v>
      </c>
      <c r="AB207" s="246" t="s">
        <v>486</v>
      </c>
      <c r="AC207" s="246" t="s">
        <v>486</v>
      </c>
      <c r="AD207" s="246" t="s">
        <v>486</v>
      </c>
      <c r="AE207" s="246" t="s">
        <v>486</v>
      </c>
      <c r="AF207" s="246" t="s">
        <v>486</v>
      </c>
      <c r="AG207" s="246" t="s">
        <v>486</v>
      </c>
      <c r="AH207" s="246" t="s">
        <v>486</v>
      </c>
      <c r="AI207" s="246" t="s">
        <v>486</v>
      </c>
      <c r="AJ207" s="246" t="s">
        <v>486</v>
      </c>
      <c r="AK207" s="246" t="s">
        <v>486</v>
      </c>
      <c r="AL207" s="246" t="s">
        <v>491</v>
      </c>
      <c r="AM207" s="246" t="s">
        <v>486</v>
      </c>
      <c r="AN207" s="246" t="s">
        <v>486</v>
      </c>
      <c r="AO207" s="248" t="s">
        <v>486</v>
      </c>
      <c r="AP207" s="247" t="s">
        <v>486</v>
      </c>
      <c r="AQ207" s="249" t="s">
        <v>486</v>
      </c>
      <c r="AR207" s="246" t="s">
        <v>486</v>
      </c>
    </row>
    <row r="208" spans="1:44" ht="15" x14ac:dyDescent="0.25">
      <c r="A208" s="250" t="str">
        <f>HYPERLINK("http://www.ofsted.gov.uk/inspection-reports/find-inspection-report/provider/ELS/135749 ","Ofsted School Webpage")</f>
        <v>Ofsted School Webpage</v>
      </c>
      <c r="B208" s="251">
        <v>135749</v>
      </c>
      <c r="C208" s="251">
        <v>8766013</v>
      </c>
      <c r="D208" s="251" t="s">
        <v>1873</v>
      </c>
      <c r="E208" s="251" t="s">
        <v>248</v>
      </c>
      <c r="F208" s="251" t="s">
        <v>93</v>
      </c>
      <c r="G208" s="251" t="s">
        <v>93</v>
      </c>
      <c r="H208" s="251" t="s">
        <v>93</v>
      </c>
      <c r="I208" s="251" t="s">
        <v>90</v>
      </c>
      <c r="J208" s="251" t="s">
        <v>1490</v>
      </c>
      <c r="K208" s="251" t="s">
        <v>486</v>
      </c>
      <c r="L208" s="251" t="s">
        <v>487</v>
      </c>
      <c r="M208" s="251" t="s">
        <v>495</v>
      </c>
      <c r="N208" s="251" t="s">
        <v>495</v>
      </c>
      <c r="O208" s="251" t="s">
        <v>646</v>
      </c>
      <c r="P208" s="251" t="s">
        <v>1874</v>
      </c>
      <c r="Q208" s="252">
        <v>10008531</v>
      </c>
      <c r="R208" s="253">
        <v>42864</v>
      </c>
      <c r="S208" s="253">
        <v>42866</v>
      </c>
      <c r="T208" s="253">
        <v>42892</v>
      </c>
      <c r="U208" s="251" t="s">
        <v>488</v>
      </c>
      <c r="V208" s="251">
        <v>2</v>
      </c>
      <c r="W208" s="251" t="s">
        <v>219</v>
      </c>
      <c r="X208" s="251">
        <v>2</v>
      </c>
      <c r="Y208" s="251">
        <v>2</v>
      </c>
      <c r="Z208" s="251">
        <v>2</v>
      </c>
      <c r="AA208" s="251">
        <v>2</v>
      </c>
      <c r="AB208" s="251" t="s">
        <v>486</v>
      </c>
      <c r="AC208" s="251" t="s">
        <v>486</v>
      </c>
      <c r="AD208" s="251" t="s">
        <v>486</v>
      </c>
      <c r="AE208" s="251" t="s">
        <v>486</v>
      </c>
      <c r="AF208" s="251" t="s">
        <v>486</v>
      </c>
      <c r="AG208" s="251" t="s">
        <v>486</v>
      </c>
      <c r="AH208" s="251" t="s">
        <v>486</v>
      </c>
      <c r="AI208" s="251" t="s">
        <v>486</v>
      </c>
      <c r="AJ208" s="251" t="s">
        <v>486</v>
      </c>
      <c r="AK208" s="251" t="s">
        <v>486</v>
      </c>
      <c r="AL208" s="251" t="s">
        <v>491</v>
      </c>
      <c r="AM208" s="251" t="s">
        <v>486</v>
      </c>
      <c r="AN208" s="251" t="s">
        <v>486</v>
      </c>
      <c r="AO208" s="253" t="s">
        <v>486</v>
      </c>
      <c r="AP208" s="252" t="s">
        <v>486</v>
      </c>
      <c r="AQ208" s="254" t="s">
        <v>486</v>
      </c>
      <c r="AR208" s="251" t="s">
        <v>486</v>
      </c>
    </row>
    <row r="209" spans="1:44" ht="15" x14ac:dyDescent="0.25">
      <c r="A209" s="245" t="str">
        <f>HYPERLINK("http://www.ofsted.gov.uk/inspection-reports/find-inspection-report/provider/ELS/135837 ","Ofsted School Webpage")</f>
        <v>Ofsted School Webpage</v>
      </c>
      <c r="B209" s="246">
        <v>135837</v>
      </c>
      <c r="C209" s="246">
        <v>8816060</v>
      </c>
      <c r="D209" s="246" t="s">
        <v>1875</v>
      </c>
      <c r="E209" s="246" t="s">
        <v>248</v>
      </c>
      <c r="F209" s="246" t="s">
        <v>93</v>
      </c>
      <c r="G209" s="246" t="s">
        <v>93</v>
      </c>
      <c r="H209" s="246" t="s">
        <v>93</v>
      </c>
      <c r="I209" s="246" t="s">
        <v>90</v>
      </c>
      <c r="J209" s="246" t="s">
        <v>1490</v>
      </c>
      <c r="K209" s="246" t="s">
        <v>486</v>
      </c>
      <c r="L209" s="246" t="s">
        <v>487</v>
      </c>
      <c r="M209" s="246" t="s">
        <v>516</v>
      </c>
      <c r="N209" s="246" t="s">
        <v>516</v>
      </c>
      <c r="O209" s="246" t="s">
        <v>764</v>
      </c>
      <c r="P209" s="246" t="s">
        <v>1876</v>
      </c>
      <c r="Q209" s="247">
        <v>10020918</v>
      </c>
      <c r="R209" s="248">
        <v>42864</v>
      </c>
      <c r="S209" s="248">
        <v>42866</v>
      </c>
      <c r="T209" s="248">
        <v>42906</v>
      </c>
      <c r="U209" s="246" t="s">
        <v>488</v>
      </c>
      <c r="V209" s="246">
        <v>2</v>
      </c>
      <c r="W209" s="246" t="s">
        <v>219</v>
      </c>
      <c r="X209" s="246">
        <v>2</v>
      </c>
      <c r="Y209" s="246">
        <v>2</v>
      </c>
      <c r="Z209" s="246">
        <v>2</v>
      </c>
      <c r="AA209" s="246">
        <v>2</v>
      </c>
      <c r="AB209" s="246" t="s">
        <v>486</v>
      </c>
      <c r="AC209" s="246" t="s">
        <v>486</v>
      </c>
      <c r="AD209" s="246" t="s">
        <v>486</v>
      </c>
      <c r="AE209" s="246" t="s">
        <v>486</v>
      </c>
      <c r="AF209" s="246" t="s">
        <v>486</v>
      </c>
      <c r="AG209" s="246" t="s">
        <v>486</v>
      </c>
      <c r="AH209" s="246" t="s">
        <v>486</v>
      </c>
      <c r="AI209" s="246" t="s">
        <v>486</v>
      </c>
      <c r="AJ209" s="246" t="s">
        <v>486</v>
      </c>
      <c r="AK209" s="246" t="s">
        <v>486</v>
      </c>
      <c r="AL209" s="246" t="s">
        <v>491</v>
      </c>
      <c r="AM209" s="246" t="s">
        <v>486</v>
      </c>
      <c r="AN209" s="246" t="s">
        <v>486</v>
      </c>
      <c r="AO209" s="248" t="s">
        <v>486</v>
      </c>
      <c r="AP209" s="247" t="s">
        <v>486</v>
      </c>
      <c r="AQ209" s="249" t="s">
        <v>486</v>
      </c>
      <c r="AR209" s="246" t="s">
        <v>486</v>
      </c>
    </row>
    <row r="210" spans="1:44" ht="15" x14ac:dyDescent="0.25">
      <c r="A210" s="250" t="str">
        <f>HYPERLINK("http://www.ofsted.gov.uk/inspection-reports/find-inspection-report/provider/ELS/142784 ","Ofsted School Webpage")</f>
        <v>Ofsted School Webpage</v>
      </c>
      <c r="B210" s="251">
        <v>142784</v>
      </c>
      <c r="C210" s="251">
        <v>3806013</v>
      </c>
      <c r="D210" s="251" t="s">
        <v>1290</v>
      </c>
      <c r="E210" s="251" t="s">
        <v>248</v>
      </c>
      <c r="F210" s="251" t="s">
        <v>93</v>
      </c>
      <c r="G210" s="251" t="s">
        <v>93</v>
      </c>
      <c r="H210" s="251" t="s">
        <v>93</v>
      </c>
      <c r="I210" s="251" t="s">
        <v>90</v>
      </c>
      <c r="J210" s="251" t="s">
        <v>1490</v>
      </c>
      <c r="K210" s="251" t="s">
        <v>486</v>
      </c>
      <c r="L210" s="251" t="s">
        <v>487</v>
      </c>
      <c r="M210" s="251" t="s">
        <v>523</v>
      </c>
      <c r="N210" s="251" t="s">
        <v>524</v>
      </c>
      <c r="O210" s="251" t="s">
        <v>674</v>
      </c>
      <c r="P210" s="251" t="s">
        <v>1291</v>
      </c>
      <c r="Q210" s="252">
        <v>10033925</v>
      </c>
      <c r="R210" s="253">
        <v>42864</v>
      </c>
      <c r="S210" s="253">
        <v>42866</v>
      </c>
      <c r="T210" s="253">
        <v>42909</v>
      </c>
      <c r="U210" s="251" t="s">
        <v>499</v>
      </c>
      <c r="V210" s="251">
        <v>2</v>
      </c>
      <c r="W210" s="251" t="s">
        <v>219</v>
      </c>
      <c r="X210" s="251">
        <v>1</v>
      </c>
      <c r="Y210" s="251">
        <v>1</v>
      </c>
      <c r="Z210" s="251">
        <v>2</v>
      </c>
      <c r="AA210" s="251">
        <v>2</v>
      </c>
      <c r="AB210" s="251" t="s">
        <v>486</v>
      </c>
      <c r="AC210" s="251" t="s">
        <v>486</v>
      </c>
      <c r="AD210" s="251" t="s">
        <v>486</v>
      </c>
      <c r="AE210" s="251" t="s">
        <v>486</v>
      </c>
      <c r="AF210" s="251" t="s">
        <v>486</v>
      </c>
      <c r="AG210" s="251" t="s">
        <v>486</v>
      </c>
      <c r="AH210" s="251" t="s">
        <v>486</v>
      </c>
      <c r="AI210" s="251" t="s">
        <v>486</v>
      </c>
      <c r="AJ210" s="251" t="s">
        <v>486</v>
      </c>
      <c r="AK210" s="251" t="s">
        <v>486</v>
      </c>
      <c r="AL210" s="251" t="s">
        <v>491</v>
      </c>
      <c r="AM210" s="251" t="s">
        <v>486</v>
      </c>
      <c r="AN210" s="251" t="s">
        <v>486</v>
      </c>
      <c r="AO210" s="253" t="s">
        <v>486</v>
      </c>
      <c r="AP210" s="252" t="s">
        <v>486</v>
      </c>
      <c r="AQ210" s="254" t="s">
        <v>486</v>
      </c>
      <c r="AR210" s="251" t="s">
        <v>486</v>
      </c>
    </row>
    <row r="211" spans="1:44" ht="15" x14ac:dyDescent="0.25">
      <c r="A211" s="245" t="str">
        <f>HYPERLINK("http://www.ofsted.gov.uk/inspection-reports/find-inspection-report/provider/ELS/137560 ","Ofsted School Webpage")</f>
        <v>Ofsted School Webpage</v>
      </c>
      <c r="B211" s="246">
        <v>137560</v>
      </c>
      <c r="C211" s="246">
        <v>3306009</v>
      </c>
      <c r="D211" s="246" t="s">
        <v>1877</v>
      </c>
      <c r="E211" s="246" t="s">
        <v>247</v>
      </c>
      <c r="F211" s="246" t="s">
        <v>93</v>
      </c>
      <c r="G211" s="246" t="s">
        <v>84</v>
      </c>
      <c r="H211" s="246" t="s">
        <v>84</v>
      </c>
      <c r="I211" s="246" t="s">
        <v>84</v>
      </c>
      <c r="J211" s="246" t="s">
        <v>1490</v>
      </c>
      <c r="K211" s="246" t="s">
        <v>486</v>
      </c>
      <c r="L211" s="246" t="s">
        <v>487</v>
      </c>
      <c r="M211" s="246" t="s">
        <v>502</v>
      </c>
      <c r="N211" s="246" t="s">
        <v>502</v>
      </c>
      <c r="O211" s="246" t="s">
        <v>909</v>
      </c>
      <c r="P211" s="246" t="s">
        <v>1878</v>
      </c>
      <c r="Q211" s="247">
        <v>10034669</v>
      </c>
      <c r="R211" s="248">
        <v>42865</v>
      </c>
      <c r="S211" s="248">
        <v>42867</v>
      </c>
      <c r="T211" s="248">
        <v>42990</v>
      </c>
      <c r="U211" s="246" t="s">
        <v>488</v>
      </c>
      <c r="V211" s="246">
        <v>4</v>
      </c>
      <c r="W211" s="246" t="s">
        <v>220</v>
      </c>
      <c r="X211" s="246">
        <v>4</v>
      </c>
      <c r="Y211" s="246">
        <v>3</v>
      </c>
      <c r="Z211" s="246">
        <v>2</v>
      </c>
      <c r="AA211" s="246">
        <v>2</v>
      </c>
      <c r="AB211" s="246" t="s">
        <v>486</v>
      </c>
      <c r="AC211" s="246" t="s">
        <v>486</v>
      </c>
      <c r="AD211" s="246" t="s">
        <v>486</v>
      </c>
      <c r="AE211" s="246" t="s">
        <v>486</v>
      </c>
      <c r="AF211" s="246" t="s">
        <v>486</v>
      </c>
      <c r="AG211" s="246" t="s">
        <v>486</v>
      </c>
      <c r="AH211" s="246" t="s">
        <v>486</v>
      </c>
      <c r="AI211" s="246" t="s">
        <v>486</v>
      </c>
      <c r="AJ211" s="246" t="s">
        <v>486</v>
      </c>
      <c r="AK211" s="246" t="s">
        <v>486</v>
      </c>
      <c r="AL211" s="246" t="s">
        <v>545</v>
      </c>
      <c r="AM211" s="246">
        <v>10045415</v>
      </c>
      <c r="AN211" s="246" t="s">
        <v>1109</v>
      </c>
      <c r="AO211" s="248">
        <v>43224</v>
      </c>
      <c r="AP211" s="247" t="s">
        <v>1690</v>
      </c>
      <c r="AQ211" s="249">
        <v>43283</v>
      </c>
      <c r="AR211" s="246" t="s">
        <v>1136</v>
      </c>
    </row>
    <row r="212" spans="1:44" ht="15" x14ac:dyDescent="0.25">
      <c r="A212" s="250" t="str">
        <f>HYPERLINK("http://www.ofsted.gov.uk/inspection-reports/find-inspection-report/provider/ELS/136239 ","Ofsted School Webpage")</f>
        <v>Ofsted School Webpage</v>
      </c>
      <c r="B212" s="251">
        <v>136239</v>
      </c>
      <c r="C212" s="251">
        <v>3586019</v>
      </c>
      <c r="D212" s="251" t="s">
        <v>1305</v>
      </c>
      <c r="E212" s="251" t="s">
        <v>248</v>
      </c>
      <c r="F212" s="251" t="s">
        <v>71</v>
      </c>
      <c r="G212" s="251" t="s">
        <v>71</v>
      </c>
      <c r="H212" s="251" t="s">
        <v>71</v>
      </c>
      <c r="I212" s="251" t="s">
        <v>71</v>
      </c>
      <c r="J212" s="251" t="s">
        <v>1490</v>
      </c>
      <c r="K212" s="251" t="s">
        <v>486</v>
      </c>
      <c r="L212" s="251" t="s">
        <v>487</v>
      </c>
      <c r="M212" s="251" t="s">
        <v>495</v>
      </c>
      <c r="N212" s="251" t="s">
        <v>495</v>
      </c>
      <c r="O212" s="251" t="s">
        <v>1306</v>
      </c>
      <c r="P212" s="251" t="s">
        <v>1307</v>
      </c>
      <c r="Q212" s="252">
        <v>10034046</v>
      </c>
      <c r="R212" s="253">
        <v>42871</v>
      </c>
      <c r="S212" s="253">
        <v>42872</v>
      </c>
      <c r="T212" s="253">
        <v>42898</v>
      </c>
      <c r="U212" s="251" t="s">
        <v>2930</v>
      </c>
      <c r="V212" s="251">
        <v>2</v>
      </c>
      <c r="W212" s="251" t="s">
        <v>219</v>
      </c>
      <c r="X212" s="251">
        <v>2</v>
      </c>
      <c r="Y212" s="251">
        <v>1</v>
      </c>
      <c r="Z212" s="251">
        <v>2</v>
      </c>
      <c r="AA212" s="251">
        <v>2</v>
      </c>
      <c r="AB212" s="251" t="s">
        <v>486</v>
      </c>
      <c r="AC212" s="251">
        <v>2</v>
      </c>
      <c r="AD212" s="251" t="s">
        <v>486</v>
      </c>
      <c r="AE212" s="251" t="s">
        <v>486</v>
      </c>
      <c r="AF212" s="251" t="s">
        <v>486</v>
      </c>
      <c r="AG212" s="251" t="s">
        <v>486</v>
      </c>
      <c r="AH212" s="251" t="s">
        <v>486</v>
      </c>
      <c r="AI212" s="251" t="s">
        <v>486</v>
      </c>
      <c r="AJ212" s="251" t="s">
        <v>486</v>
      </c>
      <c r="AK212" s="251" t="s">
        <v>486</v>
      </c>
      <c r="AL212" s="251" t="s">
        <v>491</v>
      </c>
      <c r="AM212" s="251" t="s">
        <v>486</v>
      </c>
      <c r="AN212" s="251" t="s">
        <v>486</v>
      </c>
      <c r="AO212" s="253" t="s">
        <v>486</v>
      </c>
      <c r="AP212" s="252" t="s">
        <v>486</v>
      </c>
      <c r="AQ212" s="254" t="s">
        <v>486</v>
      </c>
      <c r="AR212" s="251" t="s">
        <v>486</v>
      </c>
    </row>
    <row r="213" spans="1:44" ht="15" x14ac:dyDescent="0.25">
      <c r="A213" s="245" t="str">
        <f>HYPERLINK("http://www.ofsted.gov.uk/inspection-reports/find-inspection-report/provider/ELS/123615 ","Ofsted School Webpage")</f>
        <v>Ofsted School Webpage</v>
      </c>
      <c r="B213" s="246">
        <v>123615</v>
      </c>
      <c r="C213" s="246">
        <v>8936013</v>
      </c>
      <c r="D213" s="246" t="s">
        <v>1879</v>
      </c>
      <c r="E213" s="246" t="s">
        <v>247</v>
      </c>
      <c r="F213" s="246" t="s">
        <v>93</v>
      </c>
      <c r="G213" s="246" t="s">
        <v>93</v>
      </c>
      <c r="H213" s="246" t="s">
        <v>93</v>
      </c>
      <c r="I213" s="246" t="s">
        <v>90</v>
      </c>
      <c r="J213" s="246" t="s">
        <v>1490</v>
      </c>
      <c r="K213" s="246" t="s">
        <v>486</v>
      </c>
      <c r="L213" s="246" t="s">
        <v>487</v>
      </c>
      <c r="M213" s="246" t="s">
        <v>502</v>
      </c>
      <c r="N213" s="246" t="s">
        <v>502</v>
      </c>
      <c r="O213" s="246" t="s">
        <v>666</v>
      </c>
      <c r="P213" s="246" t="s">
        <v>1880</v>
      </c>
      <c r="Q213" s="247">
        <v>10033562</v>
      </c>
      <c r="R213" s="248">
        <v>42871</v>
      </c>
      <c r="S213" s="248">
        <v>42873</v>
      </c>
      <c r="T213" s="248">
        <v>42906</v>
      </c>
      <c r="U213" s="246" t="s">
        <v>488</v>
      </c>
      <c r="V213" s="246">
        <v>2</v>
      </c>
      <c r="W213" s="246" t="s">
        <v>219</v>
      </c>
      <c r="X213" s="246">
        <v>2</v>
      </c>
      <c r="Y213" s="246">
        <v>1</v>
      </c>
      <c r="Z213" s="246">
        <v>2</v>
      </c>
      <c r="AA213" s="246">
        <v>2</v>
      </c>
      <c r="AB213" s="246">
        <v>2</v>
      </c>
      <c r="AC213" s="246" t="s">
        <v>486</v>
      </c>
      <c r="AD213" s="246" t="s">
        <v>486</v>
      </c>
      <c r="AE213" s="246" t="s">
        <v>486</v>
      </c>
      <c r="AF213" s="246" t="s">
        <v>486</v>
      </c>
      <c r="AG213" s="246" t="s">
        <v>486</v>
      </c>
      <c r="AH213" s="246" t="s">
        <v>486</v>
      </c>
      <c r="AI213" s="246" t="s">
        <v>486</v>
      </c>
      <c r="AJ213" s="246" t="s">
        <v>486</v>
      </c>
      <c r="AK213" s="246" t="s">
        <v>486</v>
      </c>
      <c r="AL213" s="246" t="s">
        <v>491</v>
      </c>
      <c r="AM213" s="246" t="s">
        <v>486</v>
      </c>
      <c r="AN213" s="246" t="s">
        <v>486</v>
      </c>
      <c r="AO213" s="248" t="s">
        <v>486</v>
      </c>
      <c r="AP213" s="247" t="s">
        <v>486</v>
      </c>
      <c r="AQ213" s="249" t="s">
        <v>486</v>
      </c>
      <c r="AR213" s="246" t="s">
        <v>486</v>
      </c>
    </row>
    <row r="214" spans="1:44" ht="15" x14ac:dyDescent="0.25">
      <c r="A214" s="250" t="str">
        <f>HYPERLINK("http://www.ofsted.gov.uk/inspection-reports/find-inspection-report/provider/ELS/134087 ","Ofsted School Webpage")</f>
        <v>Ofsted School Webpage</v>
      </c>
      <c r="B214" s="251">
        <v>134087</v>
      </c>
      <c r="C214" s="251">
        <v>9196243</v>
      </c>
      <c r="D214" s="251" t="s">
        <v>1881</v>
      </c>
      <c r="E214" s="251" t="s">
        <v>247</v>
      </c>
      <c r="F214" s="251" t="s">
        <v>93</v>
      </c>
      <c r="G214" s="251" t="s">
        <v>93</v>
      </c>
      <c r="H214" s="251" t="s">
        <v>93</v>
      </c>
      <c r="I214" s="251" t="s">
        <v>90</v>
      </c>
      <c r="J214" s="251" t="s">
        <v>1490</v>
      </c>
      <c r="K214" s="251" t="s">
        <v>486</v>
      </c>
      <c r="L214" s="251" t="s">
        <v>487</v>
      </c>
      <c r="M214" s="251" t="s">
        <v>516</v>
      </c>
      <c r="N214" s="251" t="s">
        <v>516</v>
      </c>
      <c r="O214" s="251" t="s">
        <v>556</v>
      </c>
      <c r="P214" s="251" t="s">
        <v>1882</v>
      </c>
      <c r="Q214" s="252">
        <v>10033603</v>
      </c>
      <c r="R214" s="253">
        <v>42871</v>
      </c>
      <c r="S214" s="253">
        <v>42873</v>
      </c>
      <c r="T214" s="253">
        <v>42912</v>
      </c>
      <c r="U214" s="251" t="s">
        <v>488</v>
      </c>
      <c r="V214" s="251">
        <v>2</v>
      </c>
      <c r="W214" s="251" t="s">
        <v>219</v>
      </c>
      <c r="X214" s="251">
        <v>2</v>
      </c>
      <c r="Y214" s="251">
        <v>1</v>
      </c>
      <c r="Z214" s="251">
        <v>2</v>
      </c>
      <c r="AA214" s="251">
        <v>2</v>
      </c>
      <c r="AB214" s="251" t="s">
        <v>486</v>
      </c>
      <c r="AC214" s="251">
        <v>2</v>
      </c>
      <c r="AD214" s="251" t="s">
        <v>486</v>
      </c>
      <c r="AE214" s="251" t="s">
        <v>486</v>
      </c>
      <c r="AF214" s="251" t="s">
        <v>486</v>
      </c>
      <c r="AG214" s="251" t="s">
        <v>486</v>
      </c>
      <c r="AH214" s="251" t="s">
        <v>486</v>
      </c>
      <c r="AI214" s="251" t="s">
        <v>486</v>
      </c>
      <c r="AJ214" s="251" t="s">
        <v>486</v>
      </c>
      <c r="AK214" s="251" t="s">
        <v>486</v>
      </c>
      <c r="AL214" s="251" t="s">
        <v>491</v>
      </c>
      <c r="AM214" s="251" t="s">
        <v>486</v>
      </c>
      <c r="AN214" s="251" t="s">
        <v>486</v>
      </c>
      <c r="AO214" s="253" t="s">
        <v>486</v>
      </c>
      <c r="AP214" s="252" t="s">
        <v>486</v>
      </c>
      <c r="AQ214" s="254" t="s">
        <v>486</v>
      </c>
      <c r="AR214" s="251" t="s">
        <v>486</v>
      </c>
    </row>
    <row r="215" spans="1:44" ht="15" x14ac:dyDescent="0.25">
      <c r="A215" s="245" t="str">
        <f>HYPERLINK("http://www.ofsted.gov.uk/inspection-reports/find-inspection-report/provider/ELS/135688 ","Ofsted School Webpage")</f>
        <v>Ofsted School Webpage</v>
      </c>
      <c r="B215" s="246">
        <v>135688</v>
      </c>
      <c r="C215" s="246">
        <v>3306205</v>
      </c>
      <c r="D215" s="246" t="s">
        <v>1883</v>
      </c>
      <c r="E215" s="246" t="s">
        <v>247</v>
      </c>
      <c r="F215" s="246" t="s">
        <v>93</v>
      </c>
      <c r="G215" s="246" t="s">
        <v>93</v>
      </c>
      <c r="H215" s="246" t="s">
        <v>93</v>
      </c>
      <c r="I215" s="246" t="s">
        <v>90</v>
      </c>
      <c r="J215" s="246" t="s">
        <v>1490</v>
      </c>
      <c r="K215" s="246" t="s">
        <v>486</v>
      </c>
      <c r="L215" s="246" t="s">
        <v>487</v>
      </c>
      <c r="M215" s="246" t="s">
        <v>502</v>
      </c>
      <c r="N215" s="246" t="s">
        <v>502</v>
      </c>
      <c r="O215" s="246" t="s">
        <v>909</v>
      </c>
      <c r="P215" s="246" t="s">
        <v>1884</v>
      </c>
      <c r="Q215" s="247">
        <v>10006060</v>
      </c>
      <c r="R215" s="248">
        <v>42871</v>
      </c>
      <c r="S215" s="248">
        <v>42873</v>
      </c>
      <c r="T215" s="248">
        <v>42913</v>
      </c>
      <c r="U215" s="246" t="s">
        <v>488</v>
      </c>
      <c r="V215" s="246">
        <v>2</v>
      </c>
      <c r="W215" s="246" t="s">
        <v>219</v>
      </c>
      <c r="X215" s="246">
        <v>2</v>
      </c>
      <c r="Y215" s="246">
        <v>2</v>
      </c>
      <c r="Z215" s="246">
        <v>2</v>
      </c>
      <c r="AA215" s="246">
        <v>2</v>
      </c>
      <c r="AB215" s="246" t="s">
        <v>486</v>
      </c>
      <c r="AC215" s="246" t="s">
        <v>486</v>
      </c>
      <c r="AD215" s="246" t="s">
        <v>486</v>
      </c>
      <c r="AE215" s="246" t="s">
        <v>486</v>
      </c>
      <c r="AF215" s="246" t="s">
        <v>486</v>
      </c>
      <c r="AG215" s="246" t="s">
        <v>486</v>
      </c>
      <c r="AH215" s="246" t="s">
        <v>486</v>
      </c>
      <c r="AI215" s="246" t="s">
        <v>486</v>
      </c>
      <c r="AJ215" s="246" t="s">
        <v>486</v>
      </c>
      <c r="AK215" s="246" t="s">
        <v>486</v>
      </c>
      <c r="AL215" s="246" t="s">
        <v>491</v>
      </c>
      <c r="AM215" s="246" t="s">
        <v>486</v>
      </c>
      <c r="AN215" s="246" t="s">
        <v>486</v>
      </c>
      <c r="AO215" s="248" t="s">
        <v>486</v>
      </c>
      <c r="AP215" s="247" t="s">
        <v>486</v>
      </c>
      <c r="AQ215" s="249" t="s">
        <v>486</v>
      </c>
      <c r="AR215" s="246" t="s">
        <v>486</v>
      </c>
    </row>
    <row r="216" spans="1:44" ht="15" x14ac:dyDescent="0.25">
      <c r="A216" s="250" t="str">
        <f>HYPERLINK("http://www.ofsted.gov.uk/inspection-reports/find-inspection-report/provider/ELS/135766 ","Ofsted School Webpage")</f>
        <v>Ofsted School Webpage</v>
      </c>
      <c r="B216" s="251">
        <v>135766</v>
      </c>
      <c r="C216" s="251">
        <v>8456057</v>
      </c>
      <c r="D216" s="251" t="s">
        <v>1885</v>
      </c>
      <c r="E216" s="251" t="s">
        <v>248</v>
      </c>
      <c r="F216" s="251" t="s">
        <v>93</v>
      </c>
      <c r="G216" s="251" t="s">
        <v>93</v>
      </c>
      <c r="H216" s="251" t="s">
        <v>93</v>
      </c>
      <c r="I216" s="251" t="s">
        <v>90</v>
      </c>
      <c r="J216" s="251" t="s">
        <v>1490</v>
      </c>
      <c r="K216" s="251" t="s">
        <v>486</v>
      </c>
      <c r="L216" s="251" t="s">
        <v>487</v>
      </c>
      <c r="M216" s="251" t="s">
        <v>581</v>
      </c>
      <c r="N216" s="251" t="s">
        <v>581</v>
      </c>
      <c r="O216" s="251" t="s">
        <v>761</v>
      </c>
      <c r="P216" s="251" t="s">
        <v>1886</v>
      </c>
      <c r="Q216" s="252">
        <v>10020899</v>
      </c>
      <c r="R216" s="253">
        <v>42871</v>
      </c>
      <c r="S216" s="253">
        <v>42873</v>
      </c>
      <c r="T216" s="253">
        <v>42893</v>
      </c>
      <c r="U216" s="251" t="s">
        <v>2930</v>
      </c>
      <c r="V216" s="251">
        <v>2</v>
      </c>
      <c r="W216" s="251" t="s">
        <v>219</v>
      </c>
      <c r="X216" s="251">
        <v>2</v>
      </c>
      <c r="Y216" s="251">
        <v>2</v>
      </c>
      <c r="Z216" s="251">
        <v>2</v>
      </c>
      <c r="AA216" s="251">
        <v>2</v>
      </c>
      <c r="AB216" s="251" t="s">
        <v>486</v>
      </c>
      <c r="AC216" s="251" t="s">
        <v>486</v>
      </c>
      <c r="AD216" s="251" t="s">
        <v>486</v>
      </c>
      <c r="AE216" s="251" t="s">
        <v>486</v>
      </c>
      <c r="AF216" s="251" t="s">
        <v>486</v>
      </c>
      <c r="AG216" s="251" t="s">
        <v>486</v>
      </c>
      <c r="AH216" s="251" t="s">
        <v>486</v>
      </c>
      <c r="AI216" s="251" t="s">
        <v>486</v>
      </c>
      <c r="AJ216" s="251" t="s">
        <v>486</v>
      </c>
      <c r="AK216" s="251" t="s">
        <v>486</v>
      </c>
      <c r="AL216" s="251" t="s">
        <v>491</v>
      </c>
      <c r="AM216" s="251" t="s">
        <v>486</v>
      </c>
      <c r="AN216" s="251" t="s">
        <v>486</v>
      </c>
      <c r="AO216" s="253" t="s">
        <v>486</v>
      </c>
      <c r="AP216" s="252" t="s">
        <v>486</v>
      </c>
      <c r="AQ216" s="254" t="s">
        <v>486</v>
      </c>
      <c r="AR216" s="251" t="s">
        <v>486</v>
      </c>
    </row>
    <row r="217" spans="1:44" ht="15" x14ac:dyDescent="0.25">
      <c r="A217" s="245" t="str">
        <f>HYPERLINK("http://www.ofsted.gov.uk/inspection-reports/find-inspection-report/provider/ELS/138405 ","Ofsted School Webpage")</f>
        <v>Ofsted School Webpage</v>
      </c>
      <c r="B217" s="246">
        <v>138405</v>
      </c>
      <c r="C217" s="246">
        <v>8866138</v>
      </c>
      <c r="D217" s="246" t="s">
        <v>1887</v>
      </c>
      <c r="E217" s="246" t="s">
        <v>247</v>
      </c>
      <c r="F217" s="246" t="s">
        <v>93</v>
      </c>
      <c r="G217" s="246" t="s">
        <v>93</v>
      </c>
      <c r="H217" s="246" t="s">
        <v>93</v>
      </c>
      <c r="I217" s="246" t="s">
        <v>90</v>
      </c>
      <c r="J217" s="246" t="s">
        <v>1490</v>
      </c>
      <c r="K217" s="246" t="s">
        <v>486</v>
      </c>
      <c r="L217" s="246" t="s">
        <v>487</v>
      </c>
      <c r="M217" s="246" t="s">
        <v>581</v>
      </c>
      <c r="N217" s="246" t="s">
        <v>581</v>
      </c>
      <c r="O217" s="246" t="s">
        <v>694</v>
      </c>
      <c r="P217" s="246" t="s">
        <v>1888</v>
      </c>
      <c r="Q217" s="247">
        <v>10033679</v>
      </c>
      <c r="R217" s="248">
        <v>42871</v>
      </c>
      <c r="S217" s="248">
        <v>42873</v>
      </c>
      <c r="T217" s="248">
        <v>42913</v>
      </c>
      <c r="U217" s="246" t="s">
        <v>624</v>
      </c>
      <c r="V217" s="246">
        <v>1</v>
      </c>
      <c r="W217" s="246" t="s">
        <v>219</v>
      </c>
      <c r="X217" s="246">
        <v>1</v>
      </c>
      <c r="Y217" s="246">
        <v>1</v>
      </c>
      <c r="Z217" s="246">
        <v>1</v>
      </c>
      <c r="AA217" s="246">
        <v>1</v>
      </c>
      <c r="AB217" s="246" t="s">
        <v>486</v>
      </c>
      <c r="AC217" s="246">
        <v>1</v>
      </c>
      <c r="AD217" s="246" t="s">
        <v>486</v>
      </c>
      <c r="AE217" s="246" t="s">
        <v>486</v>
      </c>
      <c r="AF217" s="246" t="s">
        <v>486</v>
      </c>
      <c r="AG217" s="246" t="s">
        <v>486</v>
      </c>
      <c r="AH217" s="246" t="s">
        <v>486</v>
      </c>
      <c r="AI217" s="246" t="s">
        <v>486</v>
      </c>
      <c r="AJ217" s="246" t="s">
        <v>486</v>
      </c>
      <c r="AK217" s="246" t="s">
        <v>486</v>
      </c>
      <c r="AL217" s="246" t="s">
        <v>491</v>
      </c>
      <c r="AM217" s="246" t="s">
        <v>486</v>
      </c>
      <c r="AN217" s="246" t="s">
        <v>486</v>
      </c>
      <c r="AO217" s="248" t="s">
        <v>486</v>
      </c>
      <c r="AP217" s="247" t="s">
        <v>486</v>
      </c>
      <c r="AQ217" s="249" t="s">
        <v>486</v>
      </c>
      <c r="AR217" s="246" t="s">
        <v>486</v>
      </c>
    </row>
    <row r="218" spans="1:44" ht="15" x14ac:dyDescent="0.25">
      <c r="A218" s="250" t="str">
        <f>HYPERLINK("http://www.ofsted.gov.uk/inspection-reports/find-inspection-report/provider/ELS/138873 ","Ofsted School Webpage")</f>
        <v>Ofsted School Webpage</v>
      </c>
      <c r="B218" s="251">
        <v>138873</v>
      </c>
      <c r="C218" s="251">
        <v>9316011</v>
      </c>
      <c r="D218" s="251" t="s">
        <v>1889</v>
      </c>
      <c r="E218" s="251" t="s">
        <v>247</v>
      </c>
      <c r="F218" s="251" t="s">
        <v>93</v>
      </c>
      <c r="G218" s="251" t="s">
        <v>93</v>
      </c>
      <c r="H218" s="251" t="s">
        <v>93</v>
      </c>
      <c r="I218" s="251" t="s">
        <v>90</v>
      </c>
      <c r="J218" s="251" t="s">
        <v>1490</v>
      </c>
      <c r="K218" s="251" t="s">
        <v>486</v>
      </c>
      <c r="L218" s="251" t="s">
        <v>487</v>
      </c>
      <c r="M218" s="251" t="s">
        <v>581</v>
      </c>
      <c r="N218" s="251" t="s">
        <v>581</v>
      </c>
      <c r="O218" s="251" t="s">
        <v>1150</v>
      </c>
      <c r="P218" s="251" t="s">
        <v>1890</v>
      </c>
      <c r="Q218" s="252">
        <v>10025991</v>
      </c>
      <c r="R218" s="253">
        <v>42871</v>
      </c>
      <c r="S218" s="253">
        <v>42873</v>
      </c>
      <c r="T218" s="253">
        <v>42902</v>
      </c>
      <c r="U218" s="251" t="s">
        <v>488</v>
      </c>
      <c r="V218" s="251">
        <v>3</v>
      </c>
      <c r="W218" s="251" t="s">
        <v>219</v>
      </c>
      <c r="X218" s="251">
        <v>3</v>
      </c>
      <c r="Y218" s="251">
        <v>2</v>
      </c>
      <c r="Z218" s="251">
        <v>3</v>
      </c>
      <c r="AA218" s="251">
        <v>3</v>
      </c>
      <c r="AB218" s="251" t="s">
        <v>486</v>
      </c>
      <c r="AC218" s="251" t="s">
        <v>486</v>
      </c>
      <c r="AD218" s="251" t="s">
        <v>486</v>
      </c>
      <c r="AE218" s="251" t="s">
        <v>486</v>
      </c>
      <c r="AF218" s="251" t="s">
        <v>486</v>
      </c>
      <c r="AG218" s="251" t="s">
        <v>486</v>
      </c>
      <c r="AH218" s="251" t="s">
        <v>486</v>
      </c>
      <c r="AI218" s="251" t="s">
        <v>486</v>
      </c>
      <c r="AJ218" s="251" t="s">
        <v>486</v>
      </c>
      <c r="AK218" s="251" t="s">
        <v>486</v>
      </c>
      <c r="AL218" s="251" t="s">
        <v>491</v>
      </c>
      <c r="AM218" s="251" t="s">
        <v>486</v>
      </c>
      <c r="AN218" s="251" t="s">
        <v>486</v>
      </c>
      <c r="AO218" s="253" t="s">
        <v>486</v>
      </c>
      <c r="AP218" s="252" t="s">
        <v>486</v>
      </c>
      <c r="AQ218" s="254" t="s">
        <v>486</v>
      </c>
      <c r="AR218" s="251" t="s">
        <v>486</v>
      </c>
    </row>
    <row r="219" spans="1:44" ht="15" x14ac:dyDescent="0.25">
      <c r="A219" s="245" t="str">
        <f>HYPERLINK("http://www.ofsted.gov.uk/inspection-reports/find-inspection-report/provider/ELS/138880 ","Ofsted School Webpage")</f>
        <v>Ofsted School Webpage</v>
      </c>
      <c r="B219" s="246">
        <v>138880</v>
      </c>
      <c r="C219" s="246">
        <v>9266009</v>
      </c>
      <c r="D219" s="246" t="s">
        <v>1891</v>
      </c>
      <c r="E219" s="246" t="s">
        <v>248</v>
      </c>
      <c r="F219" s="246" t="s">
        <v>93</v>
      </c>
      <c r="G219" s="246" t="s">
        <v>93</v>
      </c>
      <c r="H219" s="246" t="s">
        <v>93</v>
      </c>
      <c r="I219" s="246" t="s">
        <v>90</v>
      </c>
      <c r="J219" s="246" t="s">
        <v>1490</v>
      </c>
      <c r="K219" s="246" t="s">
        <v>486</v>
      </c>
      <c r="L219" s="246" t="s">
        <v>487</v>
      </c>
      <c r="M219" s="246" t="s">
        <v>516</v>
      </c>
      <c r="N219" s="246" t="s">
        <v>516</v>
      </c>
      <c r="O219" s="246" t="s">
        <v>528</v>
      </c>
      <c r="P219" s="246" t="s">
        <v>1892</v>
      </c>
      <c r="Q219" s="247">
        <v>10020822</v>
      </c>
      <c r="R219" s="248">
        <v>42871</v>
      </c>
      <c r="S219" s="248">
        <v>42873</v>
      </c>
      <c r="T219" s="248">
        <v>42920</v>
      </c>
      <c r="U219" s="246" t="s">
        <v>2930</v>
      </c>
      <c r="V219" s="246">
        <v>1</v>
      </c>
      <c r="W219" s="246" t="s">
        <v>219</v>
      </c>
      <c r="X219" s="246">
        <v>1</v>
      </c>
      <c r="Y219" s="246">
        <v>1</v>
      </c>
      <c r="Z219" s="246">
        <v>1</v>
      </c>
      <c r="AA219" s="246">
        <v>1</v>
      </c>
      <c r="AB219" s="246" t="s">
        <v>486</v>
      </c>
      <c r="AC219" s="246">
        <v>1</v>
      </c>
      <c r="AD219" s="246" t="s">
        <v>486</v>
      </c>
      <c r="AE219" s="246" t="s">
        <v>486</v>
      </c>
      <c r="AF219" s="246" t="s">
        <v>486</v>
      </c>
      <c r="AG219" s="246" t="s">
        <v>486</v>
      </c>
      <c r="AH219" s="246" t="s">
        <v>486</v>
      </c>
      <c r="AI219" s="246" t="s">
        <v>486</v>
      </c>
      <c r="AJ219" s="246" t="s">
        <v>486</v>
      </c>
      <c r="AK219" s="246" t="s">
        <v>486</v>
      </c>
      <c r="AL219" s="246" t="s">
        <v>491</v>
      </c>
      <c r="AM219" s="246" t="s">
        <v>486</v>
      </c>
      <c r="AN219" s="246" t="s">
        <v>486</v>
      </c>
      <c r="AO219" s="248" t="s">
        <v>486</v>
      </c>
      <c r="AP219" s="247" t="s">
        <v>486</v>
      </c>
      <c r="AQ219" s="249" t="s">
        <v>486</v>
      </c>
      <c r="AR219" s="246" t="s">
        <v>486</v>
      </c>
    </row>
    <row r="220" spans="1:44" ht="15" x14ac:dyDescent="0.25">
      <c r="A220" s="250" t="str">
        <f>HYPERLINK("http://www.ofsted.gov.uk/inspection-reports/find-inspection-report/provider/ELS/141207 ","Ofsted School Webpage")</f>
        <v>Ofsted School Webpage</v>
      </c>
      <c r="B220" s="251">
        <v>141207</v>
      </c>
      <c r="C220" s="251">
        <v>3526009</v>
      </c>
      <c r="D220" s="251" t="s">
        <v>1893</v>
      </c>
      <c r="E220" s="251" t="s">
        <v>248</v>
      </c>
      <c r="F220" s="251" t="s">
        <v>93</v>
      </c>
      <c r="G220" s="251" t="s">
        <v>93</v>
      </c>
      <c r="H220" s="251" t="s">
        <v>93</v>
      </c>
      <c r="I220" s="251" t="s">
        <v>90</v>
      </c>
      <c r="J220" s="251" t="s">
        <v>1490</v>
      </c>
      <c r="K220" s="251" t="s">
        <v>486</v>
      </c>
      <c r="L220" s="251" t="s">
        <v>487</v>
      </c>
      <c r="M220" s="251" t="s">
        <v>495</v>
      </c>
      <c r="N220" s="251" t="s">
        <v>495</v>
      </c>
      <c r="O220" s="251" t="s">
        <v>744</v>
      </c>
      <c r="P220" s="251" t="s">
        <v>1894</v>
      </c>
      <c r="Q220" s="252">
        <v>10034035</v>
      </c>
      <c r="R220" s="253">
        <v>42871</v>
      </c>
      <c r="S220" s="253">
        <v>42873</v>
      </c>
      <c r="T220" s="253">
        <v>42898</v>
      </c>
      <c r="U220" s="251" t="s">
        <v>488</v>
      </c>
      <c r="V220" s="251">
        <v>2</v>
      </c>
      <c r="W220" s="251" t="s">
        <v>219</v>
      </c>
      <c r="X220" s="251">
        <v>2</v>
      </c>
      <c r="Y220" s="251">
        <v>2</v>
      </c>
      <c r="Z220" s="251">
        <v>2</v>
      </c>
      <c r="AA220" s="251">
        <v>2</v>
      </c>
      <c r="AB220" s="251" t="s">
        <v>486</v>
      </c>
      <c r="AC220" s="251" t="s">
        <v>486</v>
      </c>
      <c r="AD220" s="251" t="s">
        <v>486</v>
      </c>
      <c r="AE220" s="251" t="s">
        <v>486</v>
      </c>
      <c r="AF220" s="251" t="s">
        <v>486</v>
      </c>
      <c r="AG220" s="251" t="s">
        <v>486</v>
      </c>
      <c r="AH220" s="251" t="s">
        <v>486</v>
      </c>
      <c r="AI220" s="251" t="s">
        <v>486</v>
      </c>
      <c r="AJ220" s="251" t="s">
        <v>486</v>
      </c>
      <c r="AK220" s="251" t="s">
        <v>486</v>
      </c>
      <c r="AL220" s="251" t="s">
        <v>491</v>
      </c>
      <c r="AM220" s="251" t="s">
        <v>486</v>
      </c>
      <c r="AN220" s="251" t="s">
        <v>486</v>
      </c>
      <c r="AO220" s="253" t="s">
        <v>486</v>
      </c>
      <c r="AP220" s="252" t="s">
        <v>486</v>
      </c>
      <c r="AQ220" s="254" t="s">
        <v>486</v>
      </c>
      <c r="AR220" s="251" t="s">
        <v>486</v>
      </c>
    </row>
    <row r="221" spans="1:44" ht="15" x14ac:dyDescent="0.25">
      <c r="A221" s="245" t="str">
        <f>HYPERLINK("http://www.ofsted.gov.uk/inspection-reports/find-inspection-report/provider/ELS/142516 ","Ofsted School Webpage")</f>
        <v>Ofsted School Webpage</v>
      </c>
      <c r="B221" s="246">
        <v>142516</v>
      </c>
      <c r="C221" s="246">
        <v>8606042</v>
      </c>
      <c r="D221" s="246" t="s">
        <v>1895</v>
      </c>
      <c r="E221" s="246" t="s">
        <v>248</v>
      </c>
      <c r="F221" s="246" t="s">
        <v>93</v>
      </c>
      <c r="G221" s="246" t="s">
        <v>93</v>
      </c>
      <c r="H221" s="246" t="s">
        <v>93</v>
      </c>
      <c r="I221" s="246" t="s">
        <v>90</v>
      </c>
      <c r="J221" s="246" t="s">
        <v>1490</v>
      </c>
      <c r="K221" s="246" t="s">
        <v>486</v>
      </c>
      <c r="L221" s="246" t="s">
        <v>487</v>
      </c>
      <c r="M221" s="246" t="s">
        <v>502</v>
      </c>
      <c r="N221" s="246" t="s">
        <v>502</v>
      </c>
      <c r="O221" s="246" t="s">
        <v>652</v>
      </c>
      <c r="P221" s="246" t="s">
        <v>1896</v>
      </c>
      <c r="Q221" s="247">
        <v>10033585</v>
      </c>
      <c r="R221" s="248">
        <v>42878</v>
      </c>
      <c r="S221" s="248">
        <v>42879</v>
      </c>
      <c r="T221" s="248">
        <v>42912</v>
      </c>
      <c r="U221" s="246" t="s">
        <v>499</v>
      </c>
      <c r="V221" s="246">
        <v>2</v>
      </c>
      <c r="W221" s="246" t="s">
        <v>219</v>
      </c>
      <c r="X221" s="246">
        <v>2</v>
      </c>
      <c r="Y221" s="246">
        <v>2</v>
      </c>
      <c r="Z221" s="246">
        <v>2</v>
      </c>
      <c r="AA221" s="246">
        <v>2</v>
      </c>
      <c r="AB221" s="246" t="s">
        <v>486</v>
      </c>
      <c r="AC221" s="246">
        <v>2</v>
      </c>
      <c r="AD221" s="246" t="s">
        <v>486</v>
      </c>
      <c r="AE221" s="246" t="s">
        <v>486</v>
      </c>
      <c r="AF221" s="246" t="s">
        <v>486</v>
      </c>
      <c r="AG221" s="246" t="s">
        <v>486</v>
      </c>
      <c r="AH221" s="246" t="s">
        <v>486</v>
      </c>
      <c r="AI221" s="246" t="s">
        <v>486</v>
      </c>
      <c r="AJ221" s="246" t="s">
        <v>486</v>
      </c>
      <c r="AK221" s="246" t="s">
        <v>486</v>
      </c>
      <c r="AL221" s="246" t="s">
        <v>491</v>
      </c>
      <c r="AM221" s="246" t="s">
        <v>486</v>
      </c>
      <c r="AN221" s="246" t="s">
        <v>486</v>
      </c>
      <c r="AO221" s="248" t="s">
        <v>486</v>
      </c>
      <c r="AP221" s="247" t="s">
        <v>486</v>
      </c>
      <c r="AQ221" s="249" t="s">
        <v>486</v>
      </c>
      <c r="AR221" s="246" t="s">
        <v>486</v>
      </c>
    </row>
    <row r="222" spans="1:44" ht="15" x14ac:dyDescent="0.25">
      <c r="A222" s="250" t="str">
        <f>HYPERLINK("http://www.ofsted.gov.uk/inspection-reports/find-inspection-report/provider/ELS/103595 ","Ofsted School Webpage")</f>
        <v>Ofsted School Webpage</v>
      </c>
      <c r="B222" s="251">
        <v>103595</v>
      </c>
      <c r="C222" s="251">
        <v>3306088</v>
      </c>
      <c r="D222" s="251" t="s">
        <v>1897</v>
      </c>
      <c r="E222" s="251" t="s">
        <v>247</v>
      </c>
      <c r="F222" s="251" t="s">
        <v>93</v>
      </c>
      <c r="G222" s="251" t="s">
        <v>84</v>
      </c>
      <c r="H222" s="251" t="s">
        <v>84</v>
      </c>
      <c r="I222" s="251" t="s">
        <v>84</v>
      </c>
      <c r="J222" s="251" t="s">
        <v>1490</v>
      </c>
      <c r="K222" s="251" t="s">
        <v>486</v>
      </c>
      <c r="L222" s="251" t="s">
        <v>487</v>
      </c>
      <c r="M222" s="251" t="s">
        <v>502</v>
      </c>
      <c r="N222" s="251" t="s">
        <v>502</v>
      </c>
      <c r="O222" s="251" t="s">
        <v>909</v>
      </c>
      <c r="P222" s="251" t="s">
        <v>1898</v>
      </c>
      <c r="Q222" s="252">
        <v>10020735</v>
      </c>
      <c r="R222" s="253">
        <v>42878</v>
      </c>
      <c r="S222" s="253">
        <v>42880</v>
      </c>
      <c r="T222" s="253">
        <v>42907</v>
      </c>
      <c r="U222" s="251" t="s">
        <v>488</v>
      </c>
      <c r="V222" s="251">
        <v>2</v>
      </c>
      <c r="W222" s="251" t="s">
        <v>219</v>
      </c>
      <c r="X222" s="251">
        <v>2</v>
      </c>
      <c r="Y222" s="251">
        <v>2</v>
      </c>
      <c r="Z222" s="251">
        <v>2</v>
      </c>
      <c r="AA222" s="251">
        <v>2</v>
      </c>
      <c r="AB222" s="251" t="s">
        <v>486</v>
      </c>
      <c r="AC222" s="251" t="s">
        <v>486</v>
      </c>
      <c r="AD222" s="251" t="s">
        <v>486</v>
      </c>
      <c r="AE222" s="251" t="s">
        <v>486</v>
      </c>
      <c r="AF222" s="251" t="s">
        <v>486</v>
      </c>
      <c r="AG222" s="251" t="s">
        <v>486</v>
      </c>
      <c r="AH222" s="251" t="s">
        <v>486</v>
      </c>
      <c r="AI222" s="251" t="s">
        <v>486</v>
      </c>
      <c r="AJ222" s="251" t="s">
        <v>486</v>
      </c>
      <c r="AK222" s="251" t="s">
        <v>486</v>
      </c>
      <c r="AL222" s="251" t="s">
        <v>491</v>
      </c>
      <c r="AM222" s="251" t="s">
        <v>486</v>
      </c>
      <c r="AN222" s="251" t="s">
        <v>486</v>
      </c>
      <c r="AO222" s="253" t="s">
        <v>486</v>
      </c>
      <c r="AP222" s="252" t="s">
        <v>486</v>
      </c>
      <c r="AQ222" s="254" t="s">
        <v>486</v>
      </c>
      <c r="AR222" s="251" t="s">
        <v>486</v>
      </c>
    </row>
    <row r="223" spans="1:44" ht="15" x14ac:dyDescent="0.25">
      <c r="A223" s="245" t="str">
        <f>HYPERLINK("http://www.ofsted.gov.uk/inspection-reports/find-inspection-report/provider/ELS/135754 ","Ofsted School Webpage")</f>
        <v>Ofsted School Webpage</v>
      </c>
      <c r="B223" s="246">
        <v>135754</v>
      </c>
      <c r="C223" s="246">
        <v>9286070</v>
      </c>
      <c r="D223" s="246" t="s">
        <v>1899</v>
      </c>
      <c r="E223" s="246" t="s">
        <v>248</v>
      </c>
      <c r="F223" s="246" t="s">
        <v>93</v>
      </c>
      <c r="G223" s="246" t="s">
        <v>93</v>
      </c>
      <c r="H223" s="246" t="s">
        <v>93</v>
      </c>
      <c r="I223" s="246" t="s">
        <v>90</v>
      </c>
      <c r="J223" s="246" t="s">
        <v>1490</v>
      </c>
      <c r="K223" s="246" t="s">
        <v>486</v>
      </c>
      <c r="L223" s="246" t="s">
        <v>487</v>
      </c>
      <c r="M223" s="246" t="s">
        <v>572</v>
      </c>
      <c r="N223" s="246" t="s">
        <v>572</v>
      </c>
      <c r="O223" s="246" t="s">
        <v>1297</v>
      </c>
      <c r="P223" s="246" t="s">
        <v>1900</v>
      </c>
      <c r="Q223" s="247">
        <v>10012953</v>
      </c>
      <c r="R223" s="248">
        <v>42878</v>
      </c>
      <c r="S223" s="248">
        <v>42880</v>
      </c>
      <c r="T223" s="248">
        <v>42900</v>
      </c>
      <c r="U223" s="246" t="s">
        <v>488</v>
      </c>
      <c r="V223" s="246">
        <v>2</v>
      </c>
      <c r="W223" s="246" t="s">
        <v>219</v>
      </c>
      <c r="X223" s="246">
        <v>2</v>
      </c>
      <c r="Y223" s="246">
        <v>2</v>
      </c>
      <c r="Z223" s="246">
        <v>2</v>
      </c>
      <c r="AA223" s="246">
        <v>2</v>
      </c>
      <c r="AB223" s="246" t="s">
        <v>486</v>
      </c>
      <c r="AC223" s="246" t="s">
        <v>486</v>
      </c>
      <c r="AD223" s="246" t="s">
        <v>486</v>
      </c>
      <c r="AE223" s="246" t="s">
        <v>486</v>
      </c>
      <c r="AF223" s="246" t="s">
        <v>486</v>
      </c>
      <c r="AG223" s="246" t="s">
        <v>486</v>
      </c>
      <c r="AH223" s="246" t="s">
        <v>486</v>
      </c>
      <c r="AI223" s="246" t="s">
        <v>486</v>
      </c>
      <c r="AJ223" s="246" t="s">
        <v>486</v>
      </c>
      <c r="AK223" s="246" t="s">
        <v>486</v>
      </c>
      <c r="AL223" s="246" t="s">
        <v>491</v>
      </c>
      <c r="AM223" s="246" t="s">
        <v>486</v>
      </c>
      <c r="AN223" s="246" t="s">
        <v>486</v>
      </c>
      <c r="AO223" s="248" t="s">
        <v>486</v>
      </c>
      <c r="AP223" s="247" t="s">
        <v>486</v>
      </c>
      <c r="AQ223" s="249" t="s">
        <v>486</v>
      </c>
      <c r="AR223" s="246" t="s">
        <v>486</v>
      </c>
    </row>
    <row r="224" spans="1:44" ht="15" x14ac:dyDescent="0.25">
      <c r="A224" s="250" t="str">
        <f>HYPERLINK("http://www.ofsted.gov.uk/inspection-reports/find-inspection-report/provider/ELS/101086 ","Ofsted School Webpage")</f>
        <v>Ofsted School Webpage</v>
      </c>
      <c r="B224" s="251">
        <v>101086</v>
      </c>
      <c r="C224" s="251">
        <v>2126390</v>
      </c>
      <c r="D224" s="251" t="s">
        <v>1901</v>
      </c>
      <c r="E224" s="251" t="s">
        <v>247</v>
      </c>
      <c r="F224" s="251" t="s">
        <v>93</v>
      </c>
      <c r="G224" s="251" t="s">
        <v>93</v>
      </c>
      <c r="H224" s="251" t="s">
        <v>93</v>
      </c>
      <c r="I224" s="251" t="s">
        <v>90</v>
      </c>
      <c r="J224" s="251" t="s">
        <v>1490</v>
      </c>
      <c r="K224" s="251" t="s">
        <v>486</v>
      </c>
      <c r="L224" s="251" t="s">
        <v>487</v>
      </c>
      <c r="M224" s="251" t="s">
        <v>506</v>
      </c>
      <c r="N224" s="251" t="s">
        <v>506</v>
      </c>
      <c r="O224" s="251" t="s">
        <v>837</v>
      </c>
      <c r="P224" s="251" t="s">
        <v>1902</v>
      </c>
      <c r="Q224" s="252">
        <v>10020722</v>
      </c>
      <c r="R224" s="253">
        <v>42892</v>
      </c>
      <c r="S224" s="253">
        <v>42894</v>
      </c>
      <c r="T224" s="253">
        <v>42923</v>
      </c>
      <c r="U224" s="251" t="s">
        <v>488</v>
      </c>
      <c r="V224" s="251">
        <v>4</v>
      </c>
      <c r="W224" s="251" t="s">
        <v>220</v>
      </c>
      <c r="X224" s="251">
        <v>4</v>
      </c>
      <c r="Y224" s="251">
        <v>4</v>
      </c>
      <c r="Z224" s="251">
        <v>3</v>
      </c>
      <c r="AA224" s="251">
        <v>3</v>
      </c>
      <c r="AB224" s="251">
        <v>4</v>
      </c>
      <c r="AC224" s="251" t="s">
        <v>486</v>
      </c>
      <c r="AD224" s="251" t="s">
        <v>486</v>
      </c>
      <c r="AE224" s="251" t="s">
        <v>486</v>
      </c>
      <c r="AF224" s="251" t="s">
        <v>486</v>
      </c>
      <c r="AG224" s="251" t="s">
        <v>486</v>
      </c>
      <c r="AH224" s="251" t="s">
        <v>486</v>
      </c>
      <c r="AI224" s="251" t="s">
        <v>486</v>
      </c>
      <c r="AJ224" s="251" t="s">
        <v>486</v>
      </c>
      <c r="AK224" s="251" t="s">
        <v>486</v>
      </c>
      <c r="AL224" s="251" t="s">
        <v>545</v>
      </c>
      <c r="AM224" s="251">
        <v>10048460</v>
      </c>
      <c r="AN224" s="251" t="s">
        <v>1109</v>
      </c>
      <c r="AO224" s="253">
        <v>43159</v>
      </c>
      <c r="AP224" s="252" t="s">
        <v>1690</v>
      </c>
      <c r="AQ224" s="254">
        <v>43187</v>
      </c>
      <c r="AR224" s="251" t="s">
        <v>1110</v>
      </c>
    </row>
    <row r="225" spans="1:44" ht="15" x14ac:dyDescent="0.25">
      <c r="A225" s="245" t="str">
        <f>HYPERLINK("http://www.ofsted.gov.uk/inspection-reports/find-inspection-report/provider/ELS/120331 ","Ofsted School Webpage")</f>
        <v>Ofsted School Webpage</v>
      </c>
      <c r="B225" s="246">
        <v>120331</v>
      </c>
      <c r="C225" s="246">
        <v>8556006</v>
      </c>
      <c r="D225" s="246" t="s">
        <v>1903</v>
      </c>
      <c r="E225" s="246" t="s">
        <v>247</v>
      </c>
      <c r="F225" s="246" t="s">
        <v>93</v>
      </c>
      <c r="G225" s="246" t="s">
        <v>93</v>
      </c>
      <c r="H225" s="246" t="s">
        <v>93</v>
      </c>
      <c r="I225" s="246" t="s">
        <v>90</v>
      </c>
      <c r="J225" s="246" t="s">
        <v>1490</v>
      </c>
      <c r="K225" s="246" t="s">
        <v>486</v>
      </c>
      <c r="L225" s="246" t="s">
        <v>487</v>
      </c>
      <c r="M225" s="246" t="s">
        <v>572</v>
      </c>
      <c r="N225" s="246" t="s">
        <v>572</v>
      </c>
      <c r="O225" s="246" t="s">
        <v>966</v>
      </c>
      <c r="P225" s="246" t="s">
        <v>1904</v>
      </c>
      <c r="Q225" s="247">
        <v>10026046</v>
      </c>
      <c r="R225" s="248">
        <v>42892</v>
      </c>
      <c r="S225" s="248">
        <v>42894</v>
      </c>
      <c r="T225" s="248">
        <v>42989</v>
      </c>
      <c r="U225" s="246" t="s">
        <v>488</v>
      </c>
      <c r="V225" s="246">
        <v>1</v>
      </c>
      <c r="W225" s="246" t="s">
        <v>219</v>
      </c>
      <c r="X225" s="246">
        <v>1</v>
      </c>
      <c r="Y225" s="246">
        <v>1</v>
      </c>
      <c r="Z225" s="246">
        <v>1</v>
      </c>
      <c r="AA225" s="246">
        <v>1</v>
      </c>
      <c r="AB225" s="246" t="s">
        <v>486</v>
      </c>
      <c r="AC225" s="246">
        <v>1</v>
      </c>
      <c r="AD225" s="246" t="s">
        <v>486</v>
      </c>
      <c r="AE225" s="246" t="s">
        <v>486</v>
      </c>
      <c r="AF225" s="246" t="s">
        <v>486</v>
      </c>
      <c r="AG225" s="246" t="s">
        <v>486</v>
      </c>
      <c r="AH225" s="246" t="s">
        <v>486</v>
      </c>
      <c r="AI225" s="246" t="s">
        <v>486</v>
      </c>
      <c r="AJ225" s="246" t="s">
        <v>486</v>
      </c>
      <c r="AK225" s="246" t="s">
        <v>486</v>
      </c>
      <c r="AL225" s="246" t="s">
        <v>491</v>
      </c>
      <c r="AM225" s="246" t="s">
        <v>486</v>
      </c>
      <c r="AN225" s="246" t="s">
        <v>486</v>
      </c>
      <c r="AO225" s="248" t="s">
        <v>486</v>
      </c>
      <c r="AP225" s="247" t="s">
        <v>486</v>
      </c>
      <c r="AQ225" s="249" t="s">
        <v>486</v>
      </c>
      <c r="AR225" s="246" t="s">
        <v>486</v>
      </c>
    </row>
    <row r="226" spans="1:44" ht="15" x14ac:dyDescent="0.25">
      <c r="A226" s="250" t="str">
        <f>HYPERLINK("http://www.ofsted.gov.uk/inspection-reports/find-inspection-report/provider/ELS/121763 ","Ofsted School Webpage")</f>
        <v>Ofsted School Webpage</v>
      </c>
      <c r="B226" s="251">
        <v>121763</v>
      </c>
      <c r="C226" s="251">
        <v>8156032</v>
      </c>
      <c r="D226" s="251" t="s">
        <v>1905</v>
      </c>
      <c r="E226" s="251" t="s">
        <v>247</v>
      </c>
      <c r="F226" s="251" t="s">
        <v>93</v>
      </c>
      <c r="G226" s="251" t="s">
        <v>71</v>
      </c>
      <c r="H226" s="251" t="s">
        <v>71</v>
      </c>
      <c r="I226" s="251" t="s">
        <v>71</v>
      </c>
      <c r="J226" s="251" t="s">
        <v>1490</v>
      </c>
      <c r="K226" s="251" t="s">
        <v>486</v>
      </c>
      <c r="L226" s="251" t="s">
        <v>487</v>
      </c>
      <c r="M226" s="251" t="s">
        <v>523</v>
      </c>
      <c r="N226" s="251" t="s">
        <v>524</v>
      </c>
      <c r="O226" s="251" t="s">
        <v>846</v>
      </c>
      <c r="P226" s="251" t="s">
        <v>1906</v>
      </c>
      <c r="Q226" s="252">
        <v>10033914</v>
      </c>
      <c r="R226" s="253">
        <v>42892</v>
      </c>
      <c r="S226" s="253">
        <v>42894</v>
      </c>
      <c r="T226" s="253">
        <v>42920</v>
      </c>
      <c r="U226" s="251" t="s">
        <v>488</v>
      </c>
      <c r="V226" s="251">
        <v>1</v>
      </c>
      <c r="W226" s="251" t="s">
        <v>219</v>
      </c>
      <c r="X226" s="251">
        <v>1</v>
      </c>
      <c r="Y226" s="251">
        <v>1</v>
      </c>
      <c r="Z226" s="251">
        <v>1</v>
      </c>
      <c r="AA226" s="251">
        <v>1</v>
      </c>
      <c r="AB226" s="251">
        <v>1</v>
      </c>
      <c r="AC226" s="251" t="s">
        <v>486</v>
      </c>
      <c r="AD226" s="251" t="s">
        <v>486</v>
      </c>
      <c r="AE226" s="251" t="s">
        <v>486</v>
      </c>
      <c r="AF226" s="251" t="s">
        <v>486</v>
      </c>
      <c r="AG226" s="251" t="s">
        <v>486</v>
      </c>
      <c r="AH226" s="251" t="s">
        <v>486</v>
      </c>
      <c r="AI226" s="251" t="s">
        <v>486</v>
      </c>
      <c r="AJ226" s="251" t="s">
        <v>486</v>
      </c>
      <c r="AK226" s="251" t="s">
        <v>486</v>
      </c>
      <c r="AL226" s="251" t="s">
        <v>491</v>
      </c>
      <c r="AM226" s="251" t="s">
        <v>486</v>
      </c>
      <c r="AN226" s="251" t="s">
        <v>486</v>
      </c>
      <c r="AO226" s="253" t="s">
        <v>486</v>
      </c>
      <c r="AP226" s="252" t="s">
        <v>486</v>
      </c>
      <c r="AQ226" s="254" t="s">
        <v>486</v>
      </c>
      <c r="AR226" s="251" t="s">
        <v>486</v>
      </c>
    </row>
    <row r="227" spans="1:44" ht="15" x14ac:dyDescent="0.25">
      <c r="A227" s="245" t="str">
        <f>HYPERLINK("http://www.ofsted.gov.uk/inspection-reports/find-inspection-report/provider/ELS/135168 ","Ofsted School Webpage")</f>
        <v>Ofsted School Webpage</v>
      </c>
      <c r="B227" s="246">
        <v>135168</v>
      </c>
      <c r="C227" s="246">
        <v>3556054</v>
      </c>
      <c r="D227" s="246" t="s">
        <v>1907</v>
      </c>
      <c r="E227" s="246" t="s">
        <v>247</v>
      </c>
      <c r="F227" s="246" t="s">
        <v>93</v>
      </c>
      <c r="G227" s="246" t="s">
        <v>82</v>
      </c>
      <c r="H227" s="246" t="s">
        <v>82</v>
      </c>
      <c r="I227" s="246" t="s">
        <v>81</v>
      </c>
      <c r="J227" s="246" t="s">
        <v>1490</v>
      </c>
      <c r="K227" s="246" t="s">
        <v>486</v>
      </c>
      <c r="L227" s="246" t="s">
        <v>487</v>
      </c>
      <c r="M227" s="246" t="s">
        <v>495</v>
      </c>
      <c r="N227" s="246" t="s">
        <v>495</v>
      </c>
      <c r="O227" s="246" t="s">
        <v>601</v>
      </c>
      <c r="P227" s="246" t="s">
        <v>1908</v>
      </c>
      <c r="Q227" s="247">
        <v>10034027</v>
      </c>
      <c r="R227" s="248">
        <v>42892</v>
      </c>
      <c r="S227" s="248">
        <v>42894</v>
      </c>
      <c r="T227" s="248">
        <v>42920</v>
      </c>
      <c r="U227" s="246" t="s">
        <v>488</v>
      </c>
      <c r="V227" s="246">
        <v>2</v>
      </c>
      <c r="W227" s="246" t="s">
        <v>219</v>
      </c>
      <c r="X227" s="246">
        <v>2</v>
      </c>
      <c r="Y227" s="246">
        <v>2</v>
      </c>
      <c r="Z227" s="246">
        <v>2</v>
      </c>
      <c r="AA227" s="246">
        <v>2</v>
      </c>
      <c r="AB227" s="246" t="s">
        <v>486</v>
      </c>
      <c r="AC227" s="246" t="s">
        <v>486</v>
      </c>
      <c r="AD227" s="246" t="s">
        <v>486</v>
      </c>
      <c r="AE227" s="246" t="s">
        <v>486</v>
      </c>
      <c r="AF227" s="246" t="s">
        <v>486</v>
      </c>
      <c r="AG227" s="246" t="s">
        <v>486</v>
      </c>
      <c r="AH227" s="246" t="s">
        <v>486</v>
      </c>
      <c r="AI227" s="246" t="s">
        <v>486</v>
      </c>
      <c r="AJ227" s="246" t="s">
        <v>486</v>
      </c>
      <c r="AK227" s="246" t="s">
        <v>486</v>
      </c>
      <c r="AL227" s="246" t="s">
        <v>491</v>
      </c>
      <c r="AM227" s="246" t="s">
        <v>486</v>
      </c>
      <c r="AN227" s="246" t="s">
        <v>486</v>
      </c>
      <c r="AO227" s="248" t="s">
        <v>486</v>
      </c>
      <c r="AP227" s="247" t="s">
        <v>486</v>
      </c>
      <c r="AQ227" s="249" t="s">
        <v>486</v>
      </c>
      <c r="AR227" s="246" t="s">
        <v>486</v>
      </c>
    </row>
    <row r="228" spans="1:44" ht="15" x14ac:dyDescent="0.25">
      <c r="A228" s="250" t="str">
        <f>HYPERLINK("http://www.ofsted.gov.uk/inspection-reports/find-inspection-report/provider/ELS/135208 ","Ofsted School Webpage")</f>
        <v>Ofsted School Webpage</v>
      </c>
      <c r="B228" s="251">
        <v>135208</v>
      </c>
      <c r="C228" s="251">
        <v>3306115</v>
      </c>
      <c r="D228" s="251" t="s">
        <v>1909</v>
      </c>
      <c r="E228" s="251" t="s">
        <v>248</v>
      </c>
      <c r="F228" s="251" t="s">
        <v>93</v>
      </c>
      <c r="G228" s="251" t="s">
        <v>93</v>
      </c>
      <c r="H228" s="251" t="s">
        <v>93</v>
      </c>
      <c r="I228" s="251" t="s">
        <v>90</v>
      </c>
      <c r="J228" s="251" t="s">
        <v>1490</v>
      </c>
      <c r="K228" s="251" t="s">
        <v>486</v>
      </c>
      <c r="L228" s="251" t="s">
        <v>487</v>
      </c>
      <c r="M228" s="251" t="s">
        <v>502</v>
      </c>
      <c r="N228" s="251" t="s">
        <v>502</v>
      </c>
      <c r="O228" s="251" t="s">
        <v>909</v>
      </c>
      <c r="P228" s="251" t="s">
        <v>1910</v>
      </c>
      <c r="Q228" s="252">
        <v>10033570</v>
      </c>
      <c r="R228" s="253">
        <v>42892</v>
      </c>
      <c r="S228" s="253">
        <v>42894</v>
      </c>
      <c r="T228" s="253">
        <v>42916</v>
      </c>
      <c r="U228" s="251" t="s">
        <v>488</v>
      </c>
      <c r="V228" s="251">
        <v>3</v>
      </c>
      <c r="W228" s="251" t="s">
        <v>219</v>
      </c>
      <c r="X228" s="251">
        <v>3</v>
      </c>
      <c r="Y228" s="251">
        <v>3</v>
      </c>
      <c r="Z228" s="251">
        <v>3</v>
      </c>
      <c r="AA228" s="251">
        <v>3</v>
      </c>
      <c r="AB228" s="251" t="s">
        <v>486</v>
      </c>
      <c r="AC228" s="251" t="s">
        <v>486</v>
      </c>
      <c r="AD228" s="251" t="s">
        <v>486</v>
      </c>
      <c r="AE228" s="251" t="s">
        <v>486</v>
      </c>
      <c r="AF228" s="251" t="s">
        <v>486</v>
      </c>
      <c r="AG228" s="251" t="s">
        <v>486</v>
      </c>
      <c r="AH228" s="251" t="s">
        <v>486</v>
      </c>
      <c r="AI228" s="251" t="s">
        <v>486</v>
      </c>
      <c r="AJ228" s="251" t="s">
        <v>486</v>
      </c>
      <c r="AK228" s="251" t="s">
        <v>486</v>
      </c>
      <c r="AL228" s="251" t="s">
        <v>545</v>
      </c>
      <c r="AM228" s="251" t="s">
        <v>486</v>
      </c>
      <c r="AN228" s="251" t="s">
        <v>486</v>
      </c>
      <c r="AO228" s="253" t="s">
        <v>486</v>
      </c>
      <c r="AP228" s="252" t="s">
        <v>486</v>
      </c>
      <c r="AQ228" s="254" t="s">
        <v>486</v>
      </c>
      <c r="AR228" s="251" t="s">
        <v>486</v>
      </c>
    </row>
    <row r="229" spans="1:44" ht="15" x14ac:dyDescent="0.25">
      <c r="A229" s="245" t="str">
        <f>HYPERLINK("http://www.ofsted.gov.uk/inspection-reports/find-inspection-report/provider/ELS/135596 ","Ofsted School Webpage")</f>
        <v>Ofsted School Webpage</v>
      </c>
      <c r="B229" s="246">
        <v>135596</v>
      </c>
      <c r="C229" s="246">
        <v>9196261</v>
      </c>
      <c r="D229" s="246" t="s">
        <v>1911</v>
      </c>
      <c r="E229" s="246" t="s">
        <v>247</v>
      </c>
      <c r="F229" s="246" t="s">
        <v>93</v>
      </c>
      <c r="G229" s="246" t="s">
        <v>78</v>
      </c>
      <c r="H229" s="246" t="s">
        <v>78</v>
      </c>
      <c r="I229" s="246" t="s">
        <v>71</v>
      </c>
      <c r="J229" s="246" t="s">
        <v>1490</v>
      </c>
      <c r="K229" s="246" t="s">
        <v>486</v>
      </c>
      <c r="L229" s="246" t="s">
        <v>487</v>
      </c>
      <c r="M229" s="246" t="s">
        <v>516</v>
      </c>
      <c r="N229" s="246" t="s">
        <v>516</v>
      </c>
      <c r="O229" s="246" t="s">
        <v>556</v>
      </c>
      <c r="P229" s="246" t="s">
        <v>1912</v>
      </c>
      <c r="Q229" s="247">
        <v>10026071</v>
      </c>
      <c r="R229" s="248">
        <v>42892</v>
      </c>
      <c r="S229" s="248">
        <v>42894</v>
      </c>
      <c r="T229" s="248">
        <v>43013</v>
      </c>
      <c r="U229" s="246" t="s">
        <v>488</v>
      </c>
      <c r="V229" s="246">
        <v>3</v>
      </c>
      <c r="W229" s="246" t="s">
        <v>219</v>
      </c>
      <c r="X229" s="246">
        <v>3</v>
      </c>
      <c r="Y229" s="246">
        <v>3</v>
      </c>
      <c r="Z229" s="246">
        <v>3</v>
      </c>
      <c r="AA229" s="246">
        <v>3</v>
      </c>
      <c r="AB229" s="246">
        <v>2</v>
      </c>
      <c r="AC229" s="246" t="s">
        <v>486</v>
      </c>
      <c r="AD229" s="246" t="s">
        <v>486</v>
      </c>
      <c r="AE229" s="246" t="s">
        <v>486</v>
      </c>
      <c r="AF229" s="246" t="s">
        <v>486</v>
      </c>
      <c r="AG229" s="246" t="s">
        <v>486</v>
      </c>
      <c r="AH229" s="246" t="s">
        <v>486</v>
      </c>
      <c r="AI229" s="246" t="s">
        <v>486</v>
      </c>
      <c r="AJ229" s="246" t="s">
        <v>486</v>
      </c>
      <c r="AK229" s="246" t="s">
        <v>486</v>
      </c>
      <c r="AL229" s="246" t="s">
        <v>545</v>
      </c>
      <c r="AM229" s="246" t="s">
        <v>486</v>
      </c>
      <c r="AN229" s="246" t="s">
        <v>486</v>
      </c>
      <c r="AO229" s="248" t="s">
        <v>486</v>
      </c>
      <c r="AP229" s="247" t="s">
        <v>486</v>
      </c>
      <c r="AQ229" s="249" t="s">
        <v>486</v>
      </c>
      <c r="AR229" s="246" t="s">
        <v>486</v>
      </c>
    </row>
    <row r="230" spans="1:44" ht="15" x14ac:dyDescent="0.25">
      <c r="A230" s="250" t="str">
        <f>HYPERLINK("http://www.ofsted.gov.uk/inspection-reports/find-inspection-report/provider/ELS/135859 ","Ofsted School Webpage")</f>
        <v>Ofsted School Webpage</v>
      </c>
      <c r="B230" s="251">
        <v>135859</v>
      </c>
      <c r="C230" s="251">
        <v>9266160</v>
      </c>
      <c r="D230" s="251" t="s">
        <v>1913</v>
      </c>
      <c r="E230" s="251" t="s">
        <v>248</v>
      </c>
      <c r="F230" s="251" t="s">
        <v>93</v>
      </c>
      <c r="G230" s="251" t="s">
        <v>93</v>
      </c>
      <c r="H230" s="251" t="s">
        <v>93</v>
      </c>
      <c r="I230" s="251" t="s">
        <v>90</v>
      </c>
      <c r="J230" s="251" t="s">
        <v>1490</v>
      </c>
      <c r="K230" s="251" t="s">
        <v>486</v>
      </c>
      <c r="L230" s="251" t="s">
        <v>487</v>
      </c>
      <c r="M230" s="251" t="s">
        <v>516</v>
      </c>
      <c r="N230" s="251" t="s">
        <v>516</v>
      </c>
      <c r="O230" s="251" t="s">
        <v>528</v>
      </c>
      <c r="P230" s="251" t="s">
        <v>1914</v>
      </c>
      <c r="Q230" s="252">
        <v>10020821</v>
      </c>
      <c r="R230" s="253">
        <v>42892</v>
      </c>
      <c r="S230" s="253">
        <v>42894</v>
      </c>
      <c r="T230" s="253">
        <v>42929</v>
      </c>
      <c r="U230" s="251" t="s">
        <v>488</v>
      </c>
      <c r="V230" s="251">
        <v>3</v>
      </c>
      <c r="W230" s="251" t="s">
        <v>219</v>
      </c>
      <c r="X230" s="251">
        <v>3</v>
      </c>
      <c r="Y230" s="251">
        <v>3</v>
      </c>
      <c r="Z230" s="251">
        <v>3</v>
      </c>
      <c r="AA230" s="251">
        <v>3</v>
      </c>
      <c r="AB230" s="251" t="s">
        <v>486</v>
      </c>
      <c r="AC230" s="251" t="s">
        <v>486</v>
      </c>
      <c r="AD230" s="251" t="s">
        <v>486</v>
      </c>
      <c r="AE230" s="251" t="s">
        <v>486</v>
      </c>
      <c r="AF230" s="251" t="s">
        <v>486</v>
      </c>
      <c r="AG230" s="251" t="s">
        <v>486</v>
      </c>
      <c r="AH230" s="251" t="s">
        <v>486</v>
      </c>
      <c r="AI230" s="251" t="s">
        <v>486</v>
      </c>
      <c r="AJ230" s="251" t="s">
        <v>486</v>
      </c>
      <c r="AK230" s="251" t="s">
        <v>486</v>
      </c>
      <c r="AL230" s="251" t="s">
        <v>545</v>
      </c>
      <c r="AM230" s="251" t="s">
        <v>486</v>
      </c>
      <c r="AN230" s="251" t="s">
        <v>486</v>
      </c>
      <c r="AO230" s="253" t="s">
        <v>486</v>
      </c>
      <c r="AP230" s="252" t="s">
        <v>486</v>
      </c>
      <c r="AQ230" s="254" t="s">
        <v>486</v>
      </c>
      <c r="AR230" s="251" t="s">
        <v>486</v>
      </c>
    </row>
    <row r="231" spans="1:44" ht="15" x14ac:dyDescent="0.25">
      <c r="A231" s="245" t="str">
        <f>HYPERLINK("http://www.ofsted.gov.uk/inspection-reports/find-inspection-report/provider/ELS/139706 ","Ofsted School Webpage")</f>
        <v>Ofsted School Webpage</v>
      </c>
      <c r="B231" s="246">
        <v>139706</v>
      </c>
      <c r="C231" s="246">
        <v>3306014</v>
      </c>
      <c r="D231" s="246" t="s">
        <v>1915</v>
      </c>
      <c r="E231" s="246" t="s">
        <v>248</v>
      </c>
      <c r="F231" s="246" t="s">
        <v>89</v>
      </c>
      <c r="G231" s="246" t="s">
        <v>93</v>
      </c>
      <c r="H231" s="246" t="s">
        <v>93</v>
      </c>
      <c r="I231" s="246" t="s">
        <v>90</v>
      </c>
      <c r="J231" s="246" t="s">
        <v>1490</v>
      </c>
      <c r="K231" s="246" t="s">
        <v>486</v>
      </c>
      <c r="L231" s="246" t="s">
        <v>487</v>
      </c>
      <c r="M231" s="246" t="s">
        <v>502</v>
      </c>
      <c r="N231" s="246" t="s">
        <v>502</v>
      </c>
      <c r="O231" s="246" t="s">
        <v>909</v>
      </c>
      <c r="P231" s="246" t="s">
        <v>1916</v>
      </c>
      <c r="Q231" s="247">
        <v>10033573</v>
      </c>
      <c r="R231" s="248">
        <v>42892</v>
      </c>
      <c r="S231" s="248">
        <v>42894</v>
      </c>
      <c r="T231" s="248">
        <v>42914</v>
      </c>
      <c r="U231" s="246" t="s">
        <v>488</v>
      </c>
      <c r="V231" s="246">
        <v>2</v>
      </c>
      <c r="W231" s="246" t="s">
        <v>219</v>
      </c>
      <c r="X231" s="246">
        <v>2</v>
      </c>
      <c r="Y231" s="246">
        <v>2</v>
      </c>
      <c r="Z231" s="246">
        <v>2</v>
      </c>
      <c r="AA231" s="246">
        <v>2</v>
      </c>
      <c r="AB231" s="246" t="s">
        <v>486</v>
      </c>
      <c r="AC231" s="246" t="s">
        <v>486</v>
      </c>
      <c r="AD231" s="246" t="s">
        <v>486</v>
      </c>
      <c r="AE231" s="246" t="s">
        <v>486</v>
      </c>
      <c r="AF231" s="246" t="s">
        <v>486</v>
      </c>
      <c r="AG231" s="246" t="s">
        <v>486</v>
      </c>
      <c r="AH231" s="246" t="s">
        <v>486</v>
      </c>
      <c r="AI231" s="246" t="s">
        <v>486</v>
      </c>
      <c r="AJ231" s="246" t="s">
        <v>486</v>
      </c>
      <c r="AK231" s="246" t="s">
        <v>486</v>
      </c>
      <c r="AL231" s="246" t="s">
        <v>491</v>
      </c>
      <c r="AM231" s="246" t="s">
        <v>486</v>
      </c>
      <c r="AN231" s="246" t="s">
        <v>486</v>
      </c>
      <c r="AO231" s="248" t="s">
        <v>486</v>
      </c>
      <c r="AP231" s="247" t="s">
        <v>486</v>
      </c>
      <c r="AQ231" s="249" t="s">
        <v>486</v>
      </c>
      <c r="AR231" s="246" t="s">
        <v>486</v>
      </c>
    </row>
    <row r="232" spans="1:44" ht="15" x14ac:dyDescent="0.25">
      <c r="A232" s="250" t="str">
        <f>HYPERLINK("http://www.ofsted.gov.uk/inspection-reports/find-inspection-report/provider/ELS/141087 ","Ofsted School Webpage")</f>
        <v>Ofsted School Webpage</v>
      </c>
      <c r="B232" s="251">
        <v>141087</v>
      </c>
      <c r="C232" s="251">
        <v>3536002</v>
      </c>
      <c r="D232" s="251" t="s">
        <v>1242</v>
      </c>
      <c r="E232" s="251" t="s">
        <v>247</v>
      </c>
      <c r="F232" s="251" t="s">
        <v>93</v>
      </c>
      <c r="G232" s="251" t="s">
        <v>84</v>
      </c>
      <c r="H232" s="251" t="s">
        <v>84</v>
      </c>
      <c r="I232" s="251" t="s">
        <v>84</v>
      </c>
      <c r="J232" s="251" t="s">
        <v>1490</v>
      </c>
      <c r="K232" s="251" t="s">
        <v>486</v>
      </c>
      <c r="L232" s="251" t="s">
        <v>487</v>
      </c>
      <c r="M232" s="251" t="s">
        <v>495</v>
      </c>
      <c r="N232" s="251" t="s">
        <v>495</v>
      </c>
      <c r="O232" s="251" t="s">
        <v>880</v>
      </c>
      <c r="P232" s="251" t="s">
        <v>1243</v>
      </c>
      <c r="Q232" s="252">
        <v>10034034</v>
      </c>
      <c r="R232" s="253">
        <v>42892</v>
      </c>
      <c r="S232" s="253">
        <v>42894</v>
      </c>
      <c r="T232" s="253">
        <v>42998</v>
      </c>
      <c r="U232" s="251" t="s">
        <v>488</v>
      </c>
      <c r="V232" s="251">
        <v>4</v>
      </c>
      <c r="W232" s="251" t="s">
        <v>220</v>
      </c>
      <c r="X232" s="251">
        <v>4</v>
      </c>
      <c r="Y232" s="251">
        <v>4</v>
      </c>
      <c r="Z232" s="251">
        <v>4</v>
      </c>
      <c r="AA232" s="251">
        <v>4</v>
      </c>
      <c r="AB232" s="251" t="s">
        <v>486</v>
      </c>
      <c r="AC232" s="251" t="s">
        <v>486</v>
      </c>
      <c r="AD232" s="251" t="s">
        <v>486</v>
      </c>
      <c r="AE232" s="251" t="s">
        <v>486</v>
      </c>
      <c r="AF232" s="251" t="s">
        <v>486</v>
      </c>
      <c r="AG232" s="251" t="s">
        <v>486</v>
      </c>
      <c r="AH232" s="251" t="s">
        <v>486</v>
      </c>
      <c r="AI232" s="251" t="s">
        <v>486</v>
      </c>
      <c r="AJ232" s="251" t="s">
        <v>486</v>
      </c>
      <c r="AK232" s="251" t="s">
        <v>486</v>
      </c>
      <c r="AL232" s="251" t="s">
        <v>545</v>
      </c>
      <c r="AM232" s="251">
        <v>10084064</v>
      </c>
      <c r="AN232" s="251" t="s">
        <v>1109</v>
      </c>
      <c r="AO232" s="253">
        <v>43418</v>
      </c>
      <c r="AP232" s="252" t="s">
        <v>1523</v>
      </c>
      <c r="AQ232" s="254">
        <v>43450</v>
      </c>
      <c r="AR232" s="251" t="s">
        <v>1110</v>
      </c>
    </row>
    <row r="233" spans="1:44" ht="15" x14ac:dyDescent="0.25">
      <c r="A233" s="245" t="str">
        <f>HYPERLINK("http://www.ofsted.gov.uk/inspection-reports/find-inspection-report/provider/ELS/142338 ","Ofsted School Webpage")</f>
        <v>Ofsted School Webpage</v>
      </c>
      <c r="B233" s="246">
        <v>142338</v>
      </c>
      <c r="C233" s="246">
        <v>3306019</v>
      </c>
      <c r="D233" s="246" t="s">
        <v>1917</v>
      </c>
      <c r="E233" s="246" t="s">
        <v>247</v>
      </c>
      <c r="F233" s="246" t="s">
        <v>93</v>
      </c>
      <c r="G233" s="246" t="s">
        <v>93</v>
      </c>
      <c r="H233" s="246" t="s">
        <v>93</v>
      </c>
      <c r="I233" s="246" t="s">
        <v>90</v>
      </c>
      <c r="J233" s="246" t="s">
        <v>1490</v>
      </c>
      <c r="K233" s="246" t="s">
        <v>486</v>
      </c>
      <c r="L233" s="246" t="s">
        <v>487</v>
      </c>
      <c r="M233" s="246" t="s">
        <v>502</v>
      </c>
      <c r="N233" s="246" t="s">
        <v>502</v>
      </c>
      <c r="O233" s="246" t="s">
        <v>909</v>
      </c>
      <c r="P233" s="246" t="s">
        <v>1918</v>
      </c>
      <c r="Q233" s="247">
        <v>10012983</v>
      </c>
      <c r="R233" s="248">
        <v>42892</v>
      </c>
      <c r="S233" s="248">
        <v>42894</v>
      </c>
      <c r="T233" s="248">
        <v>42983</v>
      </c>
      <c r="U233" s="246" t="s">
        <v>499</v>
      </c>
      <c r="V233" s="246">
        <v>3</v>
      </c>
      <c r="W233" s="246" t="s">
        <v>219</v>
      </c>
      <c r="X233" s="246">
        <v>2</v>
      </c>
      <c r="Y233" s="246">
        <v>2</v>
      </c>
      <c r="Z233" s="246">
        <v>3</v>
      </c>
      <c r="AA233" s="246">
        <v>3</v>
      </c>
      <c r="AB233" s="246" t="s">
        <v>486</v>
      </c>
      <c r="AC233" s="246">
        <v>3</v>
      </c>
      <c r="AD233" s="246" t="s">
        <v>486</v>
      </c>
      <c r="AE233" s="246" t="s">
        <v>486</v>
      </c>
      <c r="AF233" s="246" t="s">
        <v>486</v>
      </c>
      <c r="AG233" s="246" t="s">
        <v>486</v>
      </c>
      <c r="AH233" s="246" t="s">
        <v>486</v>
      </c>
      <c r="AI233" s="246" t="s">
        <v>486</v>
      </c>
      <c r="AJ233" s="246" t="s">
        <v>486</v>
      </c>
      <c r="AK233" s="246" t="s">
        <v>486</v>
      </c>
      <c r="AL233" s="246" t="s">
        <v>491</v>
      </c>
      <c r="AM233" s="246" t="s">
        <v>486</v>
      </c>
      <c r="AN233" s="246" t="s">
        <v>486</v>
      </c>
      <c r="AO233" s="248" t="s">
        <v>486</v>
      </c>
      <c r="AP233" s="247" t="s">
        <v>486</v>
      </c>
      <c r="AQ233" s="249" t="s">
        <v>486</v>
      </c>
      <c r="AR233" s="246" t="s">
        <v>486</v>
      </c>
    </row>
    <row r="234" spans="1:44" ht="15" x14ac:dyDescent="0.25">
      <c r="A234" s="250" t="str">
        <f>HYPERLINK("http://www.ofsted.gov.uk/inspection-reports/find-inspection-report/provider/ELS/113023 ","Ofsted School Webpage")</f>
        <v>Ofsted School Webpage</v>
      </c>
      <c r="B234" s="251">
        <v>113023</v>
      </c>
      <c r="C234" s="251">
        <v>8306020</v>
      </c>
      <c r="D234" s="251" t="s">
        <v>1919</v>
      </c>
      <c r="E234" s="251" t="s">
        <v>247</v>
      </c>
      <c r="F234" s="251" t="s">
        <v>93</v>
      </c>
      <c r="G234" s="251" t="s">
        <v>93</v>
      </c>
      <c r="H234" s="251" t="s">
        <v>93</v>
      </c>
      <c r="I234" s="251" t="s">
        <v>90</v>
      </c>
      <c r="J234" s="251" t="s">
        <v>1490</v>
      </c>
      <c r="K234" s="251" t="s">
        <v>486</v>
      </c>
      <c r="L234" s="251" t="s">
        <v>487</v>
      </c>
      <c r="M234" s="251" t="s">
        <v>572</v>
      </c>
      <c r="N234" s="251" t="s">
        <v>572</v>
      </c>
      <c r="O234" s="251" t="s">
        <v>573</v>
      </c>
      <c r="P234" s="251" t="s">
        <v>1920</v>
      </c>
      <c r="Q234" s="252">
        <v>10026044</v>
      </c>
      <c r="R234" s="253">
        <v>42893</v>
      </c>
      <c r="S234" s="253">
        <v>42895</v>
      </c>
      <c r="T234" s="253">
        <v>42992</v>
      </c>
      <c r="U234" s="251" t="s">
        <v>488</v>
      </c>
      <c r="V234" s="251">
        <v>4</v>
      </c>
      <c r="W234" s="251" t="s">
        <v>220</v>
      </c>
      <c r="X234" s="251">
        <v>4</v>
      </c>
      <c r="Y234" s="251">
        <v>4</v>
      </c>
      <c r="Z234" s="251">
        <v>2</v>
      </c>
      <c r="AA234" s="251">
        <v>2</v>
      </c>
      <c r="AB234" s="251">
        <v>4</v>
      </c>
      <c r="AC234" s="251" t="s">
        <v>486</v>
      </c>
      <c r="AD234" s="251" t="s">
        <v>486</v>
      </c>
      <c r="AE234" s="251" t="s">
        <v>486</v>
      </c>
      <c r="AF234" s="251" t="s">
        <v>486</v>
      </c>
      <c r="AG234" s="251" t="s">
        <v>486</v>
      </c>
      <c r="AH234" s="251" t="s">
        <v>486</v>
      </c>
      <c r="AI234" s="251" t="s">
        <v>486</v>
      </c>
      <c r="AJ234" s="251" t="s">
        <v>486</v>
      </c>
      <c r="AK234" s="251" t="s">
        <v>486</v>
      </c>
      <c r="AL234" s="251" t="s">
        <v>545</v>
      </c>
      <c r="AM234" s="251">
        <v>10043874</v>
      </c>
      <c r="AN234" s="251" t="s">
        <v>1109</v>
      </c>
      <c r="AO234" s="253">
        <v>43047</v>
      </c>
      <c r="AP234" s="252" t="s">
        <v>1690</v>
      </c>
      <c r="AQ234" s="254">
        <v>43066</v>
      </c>
      <c r="AR234" s="251" t="s">
        <v>1110</v>
      </c>
    </row>
    <row r="235" spans="1:44" ht="15" x14ac:dyDescent="0.25">
      <c r="A235" s="245" t="str">
        <f>HYPERLINK("http://www.ofsted.gov.uk/inspection-reports/find-inspection-report/provider/ELS/134395 ","Ofsted School Webpage")</f>
        <v>Ofsted School Webpage</v>
      </c>
      <c r="B235" s="246">
        <v>134395</v>
      </c>
      <c r="C235" s="246">
        <v>8306027</v>
      </c>
      <c r="D235" s="246" t="s">
        <v>1921</v>
      </c>
      <c r="E235" s="246" t="s">
        <v>248</v>
      </c>
      <c r="F235" s="246" t="s">
        <v>93</v>
      </c>
      <c r="G235" s="246" t="s">
        <v>93</v>
      </c>
      <c r="H235" s="246" t="s">
        <v>93</v>
      </c>
      <c r="I235" s="246" t="s">
        <v>90</v>
      </c>
      <c r="J235" s="246" t="s">
        <v>1490</v>
      </c>
      <c r="K235" s="246" t="s">
        <v>486</v>
      </c>
      <c r="L235" s="246" t="s">
        <v>487</v>
      </c>
      <c r="M235" s="246" t="s">
        <v>572</v>
      </c>
      <c r="N235" s="246" t="s">
        <v>572</v>
      </c>
      <c r="O235" s="246" t="s">
        <v>573</v>
      </c>
      <c r="P235" s="246" t="s">
        <v>1922</v>
      </c>
      <c r="Q235" s="247">
        <v>10006102</v>
      </c>
      <c r="R235" s="248">
        <v>42899</v>
      </c>
      <c r="S235" s="248">
        <v>42900</v>
      </c>
      <c r="T235" s="248">
        <v>42923</v>
      </c>
      <c r="U235" s="246" t="s">
        <v>488</v>
      </c>
      <c r="V235" s="246">
        <v>3</v>
      </c>
      <c r="W235" s="246" t="s">
        <v>219</v>
      </c>
      <c r="X235" s="246">
        <v>3</v>
      </c>
      <c r="Y235" s="246">
        <v>2</v>
      </c>
      <c r="Z235" s="246">
        <v>3</v>
      </c>
      <c r="AA235" s="246">
        <v>2</v>
      </c>
      <c r="AB235" s="246" t="s">
        <v>486</v>
      </c>
      <c r="AC235" s="246" t="s">
        <v>486</v>
      </c>
      <c r="AD235" s="246" t="s">
        <v>486</v>
      </c>
      <c r="AE235" s="246" t="s">
        <v>486</v>
      </c>
      <c r="AF235" s="246" t="s">
        <v>486</v>
      </c>
      <c r="AG235" s="246" t="s">
        <v>486</v>
      </c>
      <c r="AH235" s="246" t="s">
        <v>486</v>
      </c>
      <c r="AI235" s="246" t="s">
        <v>486</v>
      </c>
      <c r="AJ235" s="246" t="s">
        <v>486</v>
      </c>
      <c r="AK235" s="246" t="s">
        <v>486</v>
      </c>
      <c r="AL235" s="246" t="s">
        <v>545</v>
      </c>
      <c r="AM235" s="246" t="s">
        <v>486</v>
      </c>
      <c r="AN235" s="246" t="s">
        <v>486</v>
      </c>
      <c r="AO235" s="248" t="s">
        <v>486</v>
      </c>
      <c r="AP235" s="247" t="s">
        <v>486</v>
      </c>
      <c r="AQ235" s="249" t="s">
        <v>486</v>
      </c>
      <c r="AR235" s="246" t="s">
        <v>486</v>
      </c>
    </row>
    <row r="236" spans="1:44" ht="15" x14ac:dyDescent="0.25">
      <c r="A236" s="250" t="str">
        <f>HYPERLINK("http://www.ofsted.gov.uk/inspection-reports/find-inspection-report/provider/ELS/142328 ","Ofsted School Webpage")</f>
        <v>Ofsted School Webpage</v>
      </c>
      <c r="B236" s="251">
        <v>142328</v>
      </c>
      <c r="C236" s="251">
        <v>9366005</v>
      </c>
      <c r="D236" s="251" t="s">
        <v>1923</v>
      </c>
      <c r="E236" s="251" t="s">
        <v>248</v>
      </c>
      <c r="F236" s="251" t="s">
        <v>93</v>
      </c>
      <c r="G236" s="251" t="s">
        <v>93</v>
      </c>
      <c r="H236" s="251" t="s">
        <v>93</v>
      </c>
      <c r="I236" s="251" t="s">
        <v>90</v>
      </c>
      <c r="J236" s="251" t="s">
        <v>1490</v>
      </c>
      <c r="K236" s="251" t="s">
        <v>486</v>
      </c>
      <c r="L236" s="251" t="s">
        <v>487</v>
      </c>
      <c r="M236" s="251" t="s">
        <v>581</v>
      </c>
      <c r="N236" s="251" t="s">
        <v>581</v>
      </c>
      <c r="O236" s="251" t="s">
        <v>788</v>
      </c>
      <c r="P236" s="251" t="s">
        <v>1886</v>
      </c>
      <c r="Q236" s="252">
        <v>10034346</v>
      </c>
      <c r="R236" s="253">
        <v>42899</v>
      </c>
      <c r="S236" s="253">
        <v>42900</v>
      </c>
      <c r="T236" s="253">
        <v>42930</v>
      </c>
      <c r="U236" s="251" t="s">
        <v>499</v>
      </c>
      <c r="V236" s="251">
        <v>3</v>
      </c>
      <c r="W236" s="251" t="s">
        <v>219</v>
      </c>
      <c r="X236" s="251">
        <v>3</v>
      </c>
      <c r="Y236" s="251">
        <v>2</v>
      </c>
      <c r="Z236" s="251">
        <v>0</v>
      </c>
      <c r="AA236" s="251">
        <v>0</v>
      </c>
      <c r="AB236" s="251" t="s">
        <v>486</v>
      </c>
      <c r="AC236" s="251" t="s">
        <v>486</v>
      </c>
      <c r="AD236" s="251" t="s">
        <v>486</v>
      </c>
      <c r="AE236" s="251" t="s">
        <v>486</v>
      </c>
      <c r="AF236" s="251" t="s">
        <v>486</v>
      </c>
      <c r="AG236" s="251" t="s">
        <v>486</v>
      </c>
      <c r="AH236" s="251" t="s">
        <v>486</v>
      </c>
      <c r="AI236" s="251" t="s">
        <v>486</v>
      </c>
      <c r="AJ236" s="251" t="s">
        <v>486</v>
      </c>
      <c r="AK236" s="251" t="s">
        <v>486</v>
      </c>
      <c r="AL236" s="251" t="s">
        <v>491</v>
      </c>
      <c r="AM236" s="251" t="s">
        <v>486</v>
      </c>
      <c r="AN236" s="251" t="s">
        <v>486</v>
      </c>
      <c r="AO236" s="253" t="s">
        <v>486</v>
      </c>
      <c r="AP236" s="252" t="s">
        <v>486</v>
      </c>
      <c r="AQ236" s="254" t="s">
        <v>486</v>
      </c>
      <c r="AR236" s="251" t="s">
        <v>486</v>
      </c>
    </row>
    <row r="237" spans="1:44" ht="15" x14ac:dyDescent="0.25">
      <c r="A237" s="245" t="str">
        <f>HYPERLINK("http://www.ofsted.gov.uk/inspection-reports/find-inspection-report/provider/ELS/143418 ","Ofsted School Webpage")</f>
        <v>Ofsted School Webpage</v>
      </c>
      <c r="B237" s="246">
        <v>143418</v>
      </c>
      <c r="C237" s="246">
        <v>3306032</v>
      </c>
      <c r="D237" s="246" t="s">
        <v>1924</v>
      </c>
      <c r="E237" s="246" t="s">
        <v>247</v>
      </c>
      <c r="F237" s="246" t="s">
        <v>93</v>
      </c>
      <c r="G237" s="246" t="s">
        <v>93</v>
      </c>
      <c r="H237" s="246" t="s">
        <v>93</v>
      </c>
      <c r="I237" s="246" t="s">
        <v>90</v>
      </c>
      <c r="J237" s="246" t="s">
        <v>1490</v>
      </c>
      <c r="K237" s="246" t="s">
        <v>486</v>
      </c>
      <c r="L237" s="246" t="s">
        <v>487</v>
      </c>
      <c r="M237" s="246" t="s">
        <v>502</v>
      </c>
      <c r="N237" s="246" t="s">
        <v>502</v>
      </c>
      <c r="O237" s="246" t="s">
        <v>909</v>
      </c>
      <c r="P237" s="246" t="s">
        <v>1925</v>
      </c>
      <c r="Q237" s="247">
        <v>10033591</v>
      </c>
      <c r="R237" s="248">
        <v>42899</v>
      </c>
      <c r="S237" s="248">
        <v>42900</v>
      </c>
      <c r="T237" s="248">
        <v>42937</v>
      </c>
      <c r="U237" s="246" t="s">
        <v>499</v>
      </c>
      <c r="V237" s="246">
        <v>2</v>
      </c>
      <c r="W237" s="246" t="s">
        <v>219</v>
      </c>
      <c r="X237" s="246">
        <v>2</v>
      </c>
      <c r="Y237" s="246">
        <v>1</v>
      </c>
      <c r="Z237" s="246">
        <v>2</v>
      </c>
      <c r="AA237" s="246">
        <v>2</v>
      </c>
      <c r="AB237" s="246" t="s">
        <v>486</v>
      </c>
      <c r="AC237" s="246" t="s">
        <v>486</v>
      </c>
      <c r="AD237" s="246" t="s">
        <v>486</v>
      </c>
      <c r="AE237" s="246" t="s">
        <v>486</v>
      </c>
      <c r="AF237" s="246" t="s">
        <v>486</v>
      </c>
      <c r="AG237" s="246" t="s">
        <v>486</v>
      </c>
      <c r="AH237" s="246" t="s">
        <v>486</v>
      </c>
      <c r="AI237" s="246" t="s">
        <v>486</v>
      </c>
      <c r="AJ237" s="246" t="s">
        <v>486</v>
      </c>
      <c r="AK237" s="246" t="s">
        <v>486</v>
      </c>
      <c r="AL237" s="246" t="s">
        <v>491</v>
      </c>
      <c r="AM237" s="246" t="s">
        <v>486</v>
      </c>
      <c r="AN237" s="246" t="s">
        <v>486</v>
      </c>
      <c r="AO237" s="248" t="s">
        <v>486</v>
      </c>
      <c r="AP237" s="247" t="s">
        <v>486</v>
      </c>
      <c r="AQ237" s="249" t="s">
        <v>486</v>
      </c>
      <c r="AR237" s="246" t="s">
        <v>486</v>
      </c>
    </row>
    <row r="238" spans="1:44" ht="15" x14ac:dyDescent="0.25">
      <c r="A238" s="250" t="str">
        <f>HYPERLINK("http://www.ofsted.gov.uk/inspection-reports/find-inspection-report/provider/ELS/103578 ","Ofsted School Webpage")</f>
        <v>Ofsted School Webpage</v>
      </c>
      <c r="B238" s="251">
        <v>103578</v>
      </c>
      <c r="C238" s="251">
        <v>3306064</v>
      </c>
      <c r="D238" s="251" t="s">
        <v>1926</v>
      </c>
      <c r="E238" s="251" t="s">
        <v>247</v>
      </c>
      <c r="F238" s="251" t="s">
        <v>93</v>
      </c>
      <c r="G238" s="251" t="s">
        <v>93</v>
      </c>
      <c r="H238" s="251" t="s">
        <v>93</v>
      </c>
      <c r="I238" s="251" t="s">
        <v>90</v>
      </c>
      <c r="J238" s="251" t="s">
        <v>1490</v>
      </c>
      <c r="K238" s="251" t="s">
        <v>486</v>
      </c>
      <c r="L238" s="251" t="s">
        <v>487</v>
      </c>
      <c r="M238" s="251" t="s">
        <v>502</v>
      </c>
      <c r="N238" s="251" t="s">
        <v>502</v>
      </c>
      <c r="O238" s="251" t="s">
        <v>909</v>
      </c>
      <c r="P238" s="251" t="s">
        <v>1927</v>
      </c>
      <c r="Q238" s="252">
        <v>10020746</v>
      </c>
      <c r="R238" s="253">
        <v>42899</v>
      </c>
      <c r="S238" s="253">
        <v>42901</v>
      </c>
      <c r="T238" s="253">
        <v>42927</v>
      </c>
      <c r="U238" s="251" t="s">
        <v>488</v>
      </c>
      <c r="V238" s="251">
        <v>3</v>
      </c>
      <c r="W238" s="251" t="s">
        <v>219</v>
      </c>
      <c r="X238" s="251">
        <v>3</v>
      </c>
      <c r="Y238" s="251">
        <v>2</v>
      </c>
      <c r="Z238" s="251">
        <v>3</v>
      </c>
      <c r="AA238" s="251">
        <v>3</v>
      </c>
      <c r="AB238" s="251">
        <v>2</v>
      </c>
      <c r="AC238" s="251" t="s">
        <v>486</v>
      </c>
      <c r="AD238" s="251" t="s">
        <v>486</v>
      </c>
      <c r="AE238" s="251" t="s">
        <v>486</v>
      </c>
      <c r="AF238" s="251" t="s">
        <v>486</v>
      </c>
      <c r="AG238" s="251" t="s">
        <v>486</v>
      </c>
      <c r="AH238" s="251" t="s">
        <v>486</v>
      </c>
      <c r="AI238" s="251" t="s">
        <v>486</v>
      </c>
      <c r="AJ238" s="251" t="s">
        <v>486</v>
      </c>
      <c r="AK238" s="251" t="s">
        <v>486</v>
      </c>
      <c r="AL238" s="251" t="s">
        <v>545</v>
      </c>
      <c r="AM238" s="251">
        <v>10052084</v>
      </c>
      <c r="AN238" s="251" t="s">
        <v>1109</v>
      </c>
      <c r="AO238" s="253">
        <v>43243</v>
      </c>
      <c r="AP238" s="252" t="s">
        <v>1690</v>
      </c>
      <c r="AQ238" s="254">
        <v>43283</v>
      </c>
      <c r="AR238" s="251" t="s">
        <v>1110</v>
      </c>
    </row>
    <row r="239" spans="1:44" ht="15" x14ac:dyDescent="0.25">
      <c r="A239" s="245" t="str">
        <f>HYPERLINK("http://www.ofsted.gov.uk/inspection-reports/find-inspection-report/provider/ELS/110564 ","Ofsted School Webpage")</f>
        <v>Ofsted School Webpage</v>
      </c>
      <c r="B239" s="246">
        <v>110564</v>
      </c>
      <c r="C239" s="246">
        <v>8256011</v>
      </c>
      <c r="D239" s="246" t="s">
        <v>1928</v>
      </c>
      <c r="E239" s="246" t="s">
        <v>248</v>
      </c>
      <c r="F239" s="246" t="s">
        <v>93</v>
      </c>
      <c r="G239" s="246" t="s">
        <v>93</v>
      </c>
      <c r="H239" s="246" t="s">
        <v>93</v>
      </c>
      <c r="I239" s="246" t="s">
        <v>90</v>
      </c>
      <c r="J239" s="246" t="s">
        <v>1490</v>
      </c>
      <c r="K239" s="246" t="s">
        <v>486</v>
      </c>
      <c r="L239" s="246" t="s">
        <v>487</v>
      </c>
      <c r="M239" s="246" t="s">
        <v>581</v>
      </c>
      <c r="N239" s="246" t="s">
        <v>581</v>
      </c>
      <c r="O239" s="246" t="s">
        <v>714</v>
      </c>
      <c r="P239" s="246" t="s">
        <v>1929</v>
      </c>
      <c r="Q239" s="247">
        <v>10025975</v>
      </c>
      <c r="R239" s="248">
        <v>42899</v>
      </c>
      <c r="S239" s="248">
        <v>42901</v>
      </c>
      <c r="T239" s="248">
        <v>42922</v>
      </c>
      <c r="U239" s="246" t="s">
        <v>488</v>
      </c>
      <c r="V239" s="246">
        <v>2</v>
      </c>
      <c r="W239" s="246" t="s">
        <v>219</v>
      </c>
      <c r="X239" s="246">
        <v>2</v>
      </c>
      <c r="Y239" s="246">
        <v>1</v>
      </c>
      <c r="Z239" s="246">
        <v>2</v>
      </c>
      <c r="AA239" s="246">
        <v>2</v>
      </c>
      <c r="AB239" s="246" t="s">
        <v>486</v>
      </c>
      <c r="AC239" s="246">
        <v>2</v>
      </c>
      <c r="AD239" s="246" t="s">
        <v>486</v>
      </c>
      <c r="AE239" s="246" t="s">
        <v>486</v>
      </c>
      <c r="AF239" s="246" t="s">
        <v>486</v>
      </c>
      <c r="AG239" s="246" t="s">
        <v>486</v>
      </c>
      <c r="AH239" s="246" t="s">
        <v>486</v>
      </c>
      <c r="AI239" s="246" t="s">
        <v>486</v>
      </c>
      <c r="AJ239" s="246" t="s">
        <v>486</v>
      </c>
      <c r="AK239" s="246" t="s">
        <v>486</v>
      </c>
      <c r="AL239" s="246" t="s">
        <v>491</v>
      </c>
      <c r="AM239" s="246" t="s">
        <v>486</v>
      </c>
      <c r="AN239" s="246" t="s">
        <v>486</v>
      </c>
      <c r="AO239" s="248" t="s">
        <v>486</v>
      </c>
      <c r="AP239" s="247" t="s">
        <v>486</v>
      </c>
      <c r="AQ239" s="249" t="s">
        <v>486</v>
      </c>
      <c r="AR239" s="246" t="s">
        <v>486</v>
      </c>
    </row>
    <row r="240" spans="1:44" ht="15" x14ac:dyDescent="0.25">
      <c r="A240" s="250" t="str">
        <f>HYPERLINK("http://www.ofsted.gov.uk/inspection-reports/find-inspection-report/provider/ELS/131337 ","Ofsted School Webpage")</f>
        <v>Ofsted School Webpage</v>
      </c>
      <c r="B240" s="251">
        <v>131337</v>
      </c>
      <c r="C240" s="251">
        <v>8886033</v>
      </c>
      <c r="D240" s="251" t="s">
        <v>1930</v>
      </c>
      <c r="E240" s="251" t="s">
        <v>247</v>
      </c>
      <c r="F240" s="251" t="s">
        <v>93</v>
      </c>
      <c r="G240" s="251" t="s">
        <v>84</v>
      </c>
      <c r="H240" s="251" t="s">
        <v>84</v>
      </c>
      <c r="I240" s="251" t="s">
        <v>84</v>
      </c>
      <c r="J240" s="251" t="s">
        <v>1490</v>
      </c>
      <c r="K240" s="251" t="s">
        <v>486</v>
      </c>
      <c r="L240" s="251" t="s">
        <v>487</v>
      </c>
      <c r="M240" s="251" t="s">
        <v>495</v>
      </c>
      <c r="N240" s="251" t="s">
        <v>495</v>
      </c>
      <c r="O240" s="251" t="s">
        <v>534</v>
      </c>
      <c r="P240" s="251" t="s">
        <v>1931</v>
      </c>
      <c r="Q240" s="252">
        <v>10034539</v>
      </c>
      <c r="R240" s="253">
        <v>42899</v>
      </c>
      <c r="S240" s="253">
        <v>42901</v>
      </c>
      <c r="T240" s="253">
        <v>42927</v>
      </c>
      <c r="U240" s="251" t="s">
        <v>488</v>
      </c>
      <c r="V240" s="251">
        <v>3</v>
      </c>
      <c r="W240" s="251" t="s">
        <v>219</v>
      </c>
      <c r="X240" s="251">
        <v>3</v>
      </c>
      <c r="Y240" s="251">
        <v>2</v>
      </c>
      <c r="Z240" s="251">
        <v>3</v>
      </c>
      <c r="AA240" s="251">
        <v>3</v>
      </c>
      <c r="AB240" s="251" t="s">
        <v>486</v>
      </c>
      <c r="AC240" s="251" t="s">
        <v>486</v>
      </c>
      <c r="AD240" s="251" t="s">
        <v>486</v>
      </c>
      <c r="AE240" s="251" t="s">
        <v>486</v>
      </c>
      <c r="AF240" s="251" t="s">
        <v>486</v>
      </c>
      <c r="AG240" s="251" t="s">
        <v>486</v>
      </c>
      <c r="AH240" s="251" t="s">
        <v>486</v>
      </c>
      <c r="AI240" s="251" t="s">
        <v>486</v>
      </c>
      <c r="AJ240" s="251" t="s">
        <v>486</v>
      </c>
      <c r="AK240" s="251" t="s">
        <v>486</v>
      </c>
      <c r="AL240" s="251" t="s">
        <v>491</v>
      </c>
      <c r="AM240" s="251" t="s">
        <v>486</v>
      </c>
      <c r="AN240" s="251" t="s">
        <v>486</v>
      </c>
      <c r="AO240" s="253" t="s">
        <v>486</v>
      </c>
      <c r="AP240" s="252" t="s">
        <v>486</v>
      </c>
      <c r="AQ240" s="254" t="s">
        <v>486</v>
      </c>
      <c r="AR240" s="251" t="s">
        <v>486</v>
      </c>
    </row>
    <row r="241" spans="1:44" ht="15" x14ac:dyDescent="0.25">
      <c r="A241" s="245" t="str">
        <f>HYPERLINK("http://www.ofsted.gov.uk/inspection-reports/find-inspection-report/provider/ELS/132097 ","Ofsted School Webpage")</f>
        <v>Ofsted School Webpage</v>
      </c>
      <c r="B241" s="246">
        <v>132097</v>
      </c>
      <c r="C241" s="246">
        <v>8876006</v>
      </c>
      <c r="D241" s="246" t="s">
        <v>1156</v>
      </c>
      <c r="E241" s="246" t="s">
        <v>248</v>
      </c>
      <c r="F241" s="246" t="s">
        <v>93</v>
      </c>
      <c r="G241" s="246" t="s">
        <v>93</v>
      </c>
      <c r="H241" s="246" t="s">
        <v>93</v>
      </c>
      <c r="I241" s="246" t="s">
        <v>90</v>
      </c>
      <c r="J241" s="246" t="s">
        <v>1490</v>
      </c>
      <c r="K241" s="246" t="s">
        <v>486</v>
      </c>
      <c r="L241" s="246" t="s">
        <v>487</v>
      </c>
      <c r="M241" s="246" t="s">
        <v>581</v>
      </c>
      <c r="N241" s="246" t="s">
        <v>581</v>
      </c>
      <c r="O241" s="246" t="s">
        <v>794</v>
      </c>
      <c r="P241" s="246" t="s">
        <v>1157</v>
      </c>
      <c r="Q241" s="247">
        <v>10026020</v>
      </c>
      <c r="R241" s="248">
        <v>42899</v>
      </c>
      <c r="S241" s="248">
        <v>42901</v>
      </c>
      <c r="T241" s="248">
        <v>42928</v>
      </c>
      <c r="U241" s="246" t="s">
        <v>488</v>
      </c>
      <c r="V241" s="246">
        <v>2</v>
      </c>
      <c r="W241" s="246" t="s">
        <v>219</v>
      </c>
      <c r="X241" s="246">
        <v>2</v>
      </c>
      <c r="Y241" s="246">
        <v>1</v>
      </c>
      <c r="Z241" s="246">
        <v>2</v>
      </c>
      <c r="AA241" s="246">
        <v>2</v>
      </c>
      <c r="AB241" s="246" t="s">
        <v>486</v>
      </c>
      <c r="AC241" s="246">
        <v>2</v>
      </c>
      <c r="AD241" s="246" t="s">
        <v>486</v>
      </c>
      <c r="AE241" s="246" t="s">
        <v>486</v>
      </c>
      <c r="AF241" s="246" t="s">
        <v>486</v>
      </c>
      <c r="AG241" s="246" t="s">
        <v>486</v>
      </c>
      <c r="AH241" s="246" t="s">
        <v>486</v>
      </c>
      <c r="AI241" s="246" t="s">
        <v>486</v>
      </c>
      <c r="AJ241" s="246" t="s">
        <v>486</v>
      </c>
      <c r="AK241" s="246" t="s">
        <v>486</v>
      </c>
      <c r="AL241" s="246" t="s">
        <v>491</v>
      </c>
      <c r="AM241" s="246" t="s">
        <v>486</v>
      </c>
      <c r="AN241" s="246" t="s">
        <v>486</v>
      </c>
      <c r="AO241" s="248" t="s">
        <v>486</v>
      </c>
      <c r="AP241" s="247" t="s">
        <v>486</v>
      </c>
      <c r="AQ241" s="249" t="s">
        <v>486</v>
      </c>
      <c r="AR241" s="246" t="s">
        <v>486</v>
      </c>
    </row>
    <row r="242" spans="1:44" ht="15" x14ac:dyDescent="0.25">
      <c r="A242" s="250" t="str">
        <f>HYPERLINK("http://www.ofsted.gov.uk/inspection-reports/find-inspection-report/provider/ELS/134191 ","Ofsted School Webpage")</f>
        <v>Ofsted School Webpage</v>
      </c>
      <c r="B242" s="251">
        <v>134191</v>
      </c>
      <c r="C242" s="251">
        <v>9096053</v>
      </c>
      <c r="D242" s="251" t="s">
        <v>1932</v>
      </c>
      <c r="E242" s="251" t="s">
        <v>248</v>
      </c>
      <c r="F242" s="251" t="s">
        <v>93</v>
      </c>
      <c r="G242" s="251" t="s">
        <v>93</v>
      </c>
      <c r="H242" s="251" t="s">
        <v>93</v>
      </c>
      <c r="I242" s="251" t="s">
        <v>90</v>
      </c>
      <c r="J242" s="251" t="s">
        <v>1490</v>
      </c>
      <c r="K242" s="251" t="s">
        <v>486</v>
      </c>
      <c r="L242" s="251" t="s">
        <v>487</v>
      </c>
      <c r="M242" s="251" t="s">
        <v>495</v>
      </c>
      <c r="N242" s="251" t="s">
        <v>495</v>
      </c>
      <c r="O242" s="251" t="s">
        <v>663</v>
      </c>
      <c r="P242" s="251" t="s">
        <v>986</v>
      </c>
      <c r="Q242" s="252">
        <v>10034047</v>
      </c>
      <c r="R242" s="253">
        <v>42899</v>
      </c>
      <c r="S242" s="253">
        <v>42901</v>
      </c>
      <c r="T242" s="253">
        <v>42928</v>
      </c>
      <c r="U242" s="251" t="s">
        <v>2930</v>
      </c>
      <c r="V242" s="251">
        <v>2</v>
      </c>
      <c r="W242" s="251" t="s">
        <v>219</v>
      </c>
      <c r="X242" s="251">
        <v>2</v>
      </c>
      <c r="Y242" s="251">
        <v>1</v>
      </c>
      <c r="Z242" s="251">
        <v>2</v>
      </c>
      <c r="AA242" s="251">
        <v>2</v>
      </c>
      <c r="AB242" s="251" t="s">
        <v>486</v>
      </c>
      <c r="AC242" s="251">
        <v>2</v>
      </c>
      <c r="AD242" s="251" t="s">
        <v>486</v>
      </c>
      <c r="AE242" s="251" t="s">
        <v>486</v>
      </c>
      <c r="AF242" s="251" t="s">
        <v>486</v>
      </c>
      <c r="AG242" s="251" t="s">
        <v>486</v>
      </c>
      <c r="AH242" s="251" t="s">
        <v>486</v>
      </c>
      <c r="AI242" s="251" t="s">
        <v>486</v>
      </c>
      <c r="AJ242" s="251" t="s">
        <v>486</v>
      </c>
      <c r="AK242" s="251" t="s">
        <v>486</v>
      </c>
      <c r="AL242" s="251" t="s">
        <v>491</v>
      </c>
      <c r="AM242" s="251" t="s">
        <v>486</v>
      </c>
      <c r="AN242" s="251" t="s">
        <v>486</v>
      </c>
      <c r="AO242" s="253" t="s">
        <v>486</v>
      </c>
      <c r="AP242" s="252" t="s">
        <v>486</v>
      </c>
      <c r="AQ242" s="254" t="s">
        <v>486</v>
      </c>
      <c r="AR242" s="251" t="s">
        <v>486</v>
      </c>
    </row>
    <row r="243" spans="1:44" ht="15" x14ac:dyDescent="0.25">
      <c r="A243" s="245" t="str">
        <f>HYPERLINK("http://www.ofsted.gov.uk/inspection-reports/find-inspection-report/provider/ELS/135729 ","Ofsted School Webpage")</f>
        <v>Ofsted School Webpage</v>
      </c>
      <c r="B243" s="246">
        <v>135729</v>
      </c>
      <c r="C243" s="246">
        <v>2056200</v>
      </c>
      <c r="D243" s="246" t="s">
        <v>1933</v>
      </c>
      <c r="E243" s="246" t="s">
        <v>247</v>
      </c>
      <c r="F243" s="246" t="s">
        <v>93</v>
      </c>
      <c r="G243" s="246" t="s">
        <v>93</v>
      </c>
      <c r="H243" s="246" t="s">
        <v>93</v>
      </c>
      <c r="I243" s="246" t="s">
        <v>90</v>
      </c>
      <c r="J243" s="246" t="s">
        <v>1490</v>
      </c>
      <c r="K243" s="246" t="s">
        <v>486</v>
      </c>
      <c r="L243" s="246" t="s">
        <v>487</v>
      </c>
      <c r="M243" s="246" t="s">
        <v>506</v>
      </c>
      <c r="N243" s="246" t="s">
        <v>506</v>
      </c>
      <c r="O243" s="246" t="s">
        <v>862</v>
      </c>
      <c r="P243" s="246" t="s">
        <v>1934</v>
      </c>
      <c r="Q243" s="247">
        <v>10012783</v>
      </c>
      <c r="R243" s="248">
        <v>42899</v>
      </c>
      <c r="S243" s="248">
        <v>42901</v>
      </c>
      <c r="T243" s="248">
        <v>42929</v>
      </c>
      <c r="U243" s="246" t="s">
        <v>488</v>
      </c>
      <c r="V243" s="246">
        <v>1</v>
      </c>
      <c r="W243" s="246" t="s">
        <v>219</v>
      </c>
      <c r="X243" s="246">
        <v>1</v>
      </c>
      <c r="Y243" s="246">
        <v>1</v>
      </c>
      <c r="Z243" s="246">
        <v>1</v>
      </c>
      <c r="AA243" s="246">
        <v>1</v>
      </c>
      <c r="AB243" s="246" t="s">
        <v>486</v>
      </c>
      <c r="AC243" s="246" t="s">
        <v>486</v>
      </c>
      <c r="AD243" s="246" t="s">
        <v>486</v>
      </c>
      <c r="AE243" s="246" t="s">
        <v>486</v>
      </c>
      <c r="AF243" s="246" t="s">
        <v>486</v>
      </c>
      <c r="AG243" s="246" t="s">
        <v>486</v>
      </c>
      <c r="AH243" s="246" t="s">
        <v>486</v>
      </c>
      <c r="AI243" s="246" t="s">
        <v>486</v>
      </c>
      <c r="AJ243" s="246" t="s">
        <v>486</v>
      </c>
      <c r="AK243" s="246" t="s">
        <v>486</v>
      </c>
      <c r="AL243" s="246" t="s">
        <v>491</v>
      </c>
      <c r="AM243" s="246" t="s">
        <v>486</v>
      </c>
      <c r="AN243" s="246" t="s">
        <v>486</v>
      </c>
      <c r="AO243" s="248" t="s">
        <v>486</v>
      </c>
      <c r="AP243" s="247" t="s">
        <v>486</v>
      </c>
      <c r="AQ243" s="249" t="s">
        <v>486</v>
      </c>
      <c r="AR243" s="246" t="s">
        <v>486</v>
      </c>
    </row>
    <row r="244" spans="1:44" ht="15" x14ac:dyDescent="0.25">
      <c r="A244" s="250" t="str">
        <f>HYPERLINK("http://www.ofsted.gov.uk/inspection-reports/find-inspection-report/provider/ELS/136023 ","Ofsted School Webpage")</f>
        <v>Ofsted School Webpage</v>
      </c>
      <c r="B244" s="251">
        <v>136023</v>
      </c>
      <c r="C244" s="251">
        <v>8746003</v>
      </c>
      <c r="D244" s="251" t="s">
        <v>1935</v>
      </c>
      <c r="E244" s="251" t="s">
        <v>247</v>
      </c>
      <c r="F244" s="251" t="s">
        <v>83</v>
      </c>
      <c r="G244" s="251" t="s">
        <v>84</v>
      </c>
      <c r="H244" s="251" t="s">
        <v>83</v>
      </c>
      <c r="I244" s="251" t="s">
        <v>84</v>
      </c>
      <c r="J244" s="251" t="s">
        <v>1490</v>
      </c>
      <c r="K244" s="251" t="s">
        <v>486</v>
      </c>
      <c r="L244" s="251" t="s">
        <v>487</v>
      </c>
      <c r="M244" s="251" t="s">
        <v>516</v>
      </c>
      <c r="N244" s="251" t="s">
        <v>516</v>
      </c>
      <c r="O244" s="251" t="s">
        <v>1664</v>
      </c>
      <c r="P244" s="251" t="s">
        <v>1936</v>
      </c>
      <c r="Q244" s="252">
        <v>10033606</v>
      </c>
      <c r="R244" s="253">
        <v>42899</v>
      </c>
      <c r="S244" s="253">
        <v>42901</v>
      </c>
      <c r="T244" s="253">
        <v>42986</v>
      </c>
      <c r="U244" s="251" t="s">
        <v>488</v>
      </c>
      <c r="V244" s="251">
        <v>2</v>
      </c>
      <c r="W244" s="251" t="s">
        <v>219</v>
      </c>
      <c r="X244" s="251">
        <v>2</v>
      </c>
      <c r="Y244" s="251">
        <v>2</v>
      </c>
      <c r="Z244" s="251">
        <v>2</v>
      </c>
      <c r="AA244" s="251">
        <v>2</v>
      </c>
      <c r="AB244" s="251" t="s">
        <v>486</v>
      </c>
      <c r="AC244" s="251" t="s">
        <v>486</v>
      </c>
      <c r="AD244" s="251" t="s">
        <v>486</v>
      </c>
      <c r="AE244" s="251" t="s">
        <v>486</v>
      </c>
      <c r="AF244" s="251" t="s">
        <v>486</v>
      </c>
      <c r="AG244" s="251" t="s">
        <v>486</v>
      </c>
      <c r="AH244" s="251" t="s">
        <v>486</v>
      </c>
      <c r="AI244" s="251" t="s">
        <v>486</v>
      </c>
      <c r="AJ244" s="251" t="s">
        <v>486</v>
      </c>
      <c r="AK244" s="251" t="s">
        <v>486</v>
      </c>
      <c r="AL244" s="251" t="s">
        <v>491</v>
      </c>
      <c r="AM244" s="251" t="s">
        <v>486</v>
      </c>
      <c r="AN244" s="251" t="s">
        <v>486</v>
      </c>
      <c r="AO244" s="253" t="s">
        <v>486</v>
      </c>
      <c r="AP244" s="252" t="s">
        <v>486</v>
      </c>
      <c r="AQ244" s="254" t="s">
        <v>486</v>
      </c>
      <c r="AR244" s="251" t="s">
        <v>486</v>
      </c>
    </row>
    <row r="245" spans="1:44" ht="15" x14ac:dyDescent="0.25">
      <c r="A245" s="245" t="str">
        <f>HYPERLINK("http://www.ofsted.gov.uk/inspection-reports/find-inspection-report/provider/ELS/142833 ","Ofsted School Webpage")</f>
        <v>Ofsted School Webpage</v>
      </c>
      <c r="B245" s="246">
        <v>142833</v>
      </c>
      <c r="C245" s="246">
        <v>8856044</v>
      </c>
      <c r="D245" s="246" t="s">
        <v>1937</v>
      </c>
      <c r="E245" s="246" t="s">
        <v>247</v>
      </c>
      <c r="F245" s="246" t="s">
        <v>93</v>
      </c>
      <c r="G245" s="246" t="s">
        <v>1938</v>
      </c>
      <c r="H245" s="246" t="s">
        <v>1938</v>
      </c>
      <c r="I245" s="246" t="s">
        <v>71</v>
      </c>
      <c r="J245" s="246" t="s">
        <v>1490</v>
      </c>
      <c r="K245" s="246" t="s">
        <v>486</v>
      </c>
      <c r="L245" s="246" t="s">
        <v>487</v>
      </c>
      <c r="M245" s="246" t="s">
        <v>502</v>
      </c>
      <c r="N245" s="246" t="s">
        <v>502</v>
      </c>
      <c r="O245" s="246" t="s">
        <v>550</v>
      </c>
      <c r="P245" s="246" t="s">
        <v>1939</v>
      </c>
      <c r="Q245" s="247">
        <v>10033586</v>
      </c>
      <c r="R245" s="248">
        <v>42899</v>
      </c>
      <c r="S245" s="248">
        <v>42901</v>
      </c>
      <c r="T245" s="248">
        <v>42950</v>
      </c>
      <c r="U245" s="246" t="s">
        <v>499</v>
      </c>
      <c r="V245" s="246">
        <v>1</v>
      </c>
      <c r="W245" s="246" t="s">
        <v>219</v>
      </c>
      <c r="X245" s="246">
        <v>1</v>
      </c>
      <c r="Y245" s="246">
        <v>1</v>
      </c>
      <c r="Z245" s="246">
        <v>1</v>
      </c>
      <c r="AA245" s="246">
        <v>1</v>
      </c>
      <c r="AB245" s="246" t="s">
        <v>486</v>
      </c>
      <c r="AC245" s="246">
        <v>1</v>
      </c>
      <c r="AD245" s="246" t="s">
        <v>486</v>
      </c>
      <c r="AE245" s="246" t="s">
        <v>486</v>
      </c>
      <c r="AF245" s="246" t="s">
        <v>486</v>
      </c>
      <c r="AG245" s="246" t="s">
        <v>486</v>
      </c>
      <c r="AH245" s="246" t="s">
        <v>486</v>
      </c>
      <c r="AI245" s="246" t="s">
        <v>486</v>
      </c>
      <c r="AJ245" s="246" t="s">
        <v>486</v>
      </c>
      <c r="AK245" s="246" t="s">
        <v>486</v>
      </c>
      <c r="AL245" s="246" t="s">
        <v>491</v>
      </c>
      <c r="AM245" s="246" t="s">
        <v>486</v>
      </c>
      <c r="AN245" s="246" t="s">
        <v>486</v>
      </c>
      <c r="AO245" s="248" t="s">
        <v>486</v>
      </c>
      <c r="AP245" s="247" t="s">
        <v>486</v>
      </c>
      <c r="AQ245" s="249" t="s">
        <v>486</v>
      </c>
      <c r="AR245" s="246" t="s">
        <v>486</v>
      </c>
    </row>
    <row r="246" spans="1:44" ht="15" x14ac:dyDescent="0.25">
      <c r="A246" s="250" t="str">
        <f>HYPERLINK("http://www.ofsted.gov.uk/inspection-reports/find-inspection-report/provider/ELS/143081 ","Ofsted School Webpage")</f>
        <v>Ofsted School Webpage</v>
      </c>
      <c r="B246" s="251">
        <v>143081</v>
      </c>
      <c r="C246" s="251">
        <v>9356009</v>
      </c>
      <c r="D246" s="251" t="s">
        <v>1182</v>
      </c>
      <c r="E246" s="251" t="s">
        <v>247</v>
      </c>
      <c r="F246" s="251" t="s">
        <v>93</v>
      </c>
      <c r="G246" s="251" t="s">
        <v>93</v>
      </c>
      <c r="H246" s="251" t="s">
        <v>93</v>
      </c>
      <c r="I246" s="251" t="s">
        <v>90</v>
      </c>
      <c r="J246" s="251" t="s">
        <v>1490</v>
      </c>
      <c r="K246" s="251" t="s">
        <v>486</v>
      </c>
      <c r="L246" s="251" t="s">
        <v>487</v>
      </c>
      <c r="M246" s="251" t="s">
        <v>516</v>
      </c>
      <c r="N246" s="251" t="s">
        <v>516</v>
      </c>
      <c r="O246" s="251" t="s">
        <v>937</v>
      </c>
      <c r="P246" s="251" t="s">
        <v>1183</v>
      </c>
      <c r="Q246" s="252">
        <v>10033611</v>
      </c>
      <c r="R246" s="253">
        <v>42899</v>
      </c>
      <c r="S246" s="253">
        <v>42901</v>
      </c>
      <c r="T246" s="253">
        <v>42936</v>
      </c>
      <c r="U246" s="251" t="s">
        <v>499</v>
      </c>
      <c r="V246" s="251">
        <v>3</v>
      </c>
      <c r="W246" s="251" t="s">
        <v>219</v>
      </c>
      <c r="X246" s="251">
        <v>3</v>
      </c>
      <c r="Y246" s="251">
        <v>3</v>
      </c>
      <c r="Z246" s="251">
        <v>3</v>
      </c>
      <c r="AA246" s="251">
        <v>3</v>
      </c>
      <c r="AB246" s="251" t="s">
        <v>486</v>
      </c>
      <c r="AC246" s="251" t="s">
        <v>486</v>
      </c>
      <c r="AD246" s="251" t="s">
        <v>486</v>
      </c>
      <c r="AE246" s="251" t="s">
        <v>486</v>
      </c>
      <c r="AF246" s="251" t="s">
        <v>486</v>
      </c>
      <c r="AG246" s="251" t="s">
        <v>486</v>
      </c>
      <c r="AH246" s="251" t="s">
        <v>486</v>
      </c>
      <c r="AI246" s="251" t="s">
        <v>486</v>
      </c>
      <c r="AJ246" s="251" t="s">
        <v>486</v>
      </c>
      <c r="AK246" s="251" t="s">
        <v>486</v>
      </c>
      <c r="AL246" s="251" t="s">
        <v>545</v>
      </c>
      <c r="AM246" s="251">
        <v>10077728</v>
      </c>
      <c r="AN246" s="251" t="s">
        <v>1109</v>
      </c>
      <c r="AO246" s="253">
        <v>43375</v>
      </c>
      <c r="AP246" s="252" t="s">
        <v>1523</v>
      </c>
      <c r="AQ246" s="254">
        <v>43416</v>
      </c>
      <c r="AR246" s="251" t="s">
        <v>1136</v>
      </c>
    </row>
    <row r="247" spans="1:44" ht="15" x14ac:dyDescent="0.25">
      <c r="A247" s="245" t="str">
        <f>HYPERLINK("http://www.ofsted.gov.uk/inspection-reports/find-inspection-report/provider/ELS/136019 ","Ofsted School Webpage")</f>
        <v>Ofsted School Webpage</v>
      </c>
      <c r="B247" s="246">
        <v>136019</v>
      </c>
      <c r="C247" s="246">
        <v>8656043</v>
      </c>
      <c r="D247" s="246" t="s">
        <v>1940</v>
      </c>
      <c r="E247" s="246" t="s">
        <v>248</v>
      </c>
      <c r="F247" s="246" t="s">
        <v>93</v>
      </c>
      <c r="G247" s="246" t="s">
        <v>93</v>
      </c>
      <c r="H247" s="246" t="s">
        <v>93</v>
      </c>
      <c r="I247" s="246" t="s">
        <v>90</v>
      </c>
      <c r="J247" s="246" t="s">
        <v>1490</v>
      </c>
      <c r="K247" s="246" t="s">
        <v>486</v>
      </c>
      <c r="L247" s="246" t="s">
        <v>487</v>
      </c>
      <c r="M247" s="246" t="s">
        <v>483</v>
      </c>
      <c r="N247" s="246" t="s">
        <v>483</v>
      </c>
      <c r="O247" s="246" t="s">
        <v>791</v>
      </c>
      <c r="P247" s="246" t="s">
        <v>1941</v>
      </c>
      <c r="Q247" s="247">
        <v>10033893</v>
      </c>
      <c r="R247" s="248">
        <v>42900</v>
      </c>
      <c r="S247" s="248">
        <v>42902</v>
      </c>
      <c r="T247" s="248">
        <v>42929</v>
      </c>
      <c r="U247" s="246" t="s">
        <v>488</v>
      </c>
      <c r="V247" s="246">
        <v>2</v>
      </c>
      <c r="W247" s="246" t="s">
        <v>219</v>
      </c>
      <c r="X247" s="246">
        <v>2</v>
      </c>
      <c r="Y247" s="246">
        <v>2</v>
      </c>
      <c r="Z247" s="246">
        <v>2</v>
      </c>
      <c r="AA247" s="246">
        <v>2</v>
      </c>
      <c r="AB247" s="246" t="s">
        <v>486</v>
      </c>
      <c r="AC247" s="246" t="s">
        <v>486</v>
      </c>
      <c r="AD247" s="246" t="s">
        <v>486</v>
      </c>
      <c r="AE247" s="246" t="s">
        <v>486</v>
      </c>
      <c r="AF247" s="246" t="s">
        <v>486</v>
      </c>
      <c r="AG247" s="246" t="s">
        <v>486</v>
      </c>
      <c r="AH247" s="246" t="s">
        <v>486</v>
      </c>
      <c r="AI247" s="246" t="s">
        <v>486</v>
      </c>
      <c r="AJ247" s="246" t="s">
        <v>486</v>
      </c>
      <c r="AK247" s="246" t="s">
        <v>486</v>
      </c>
      <c r="AL247" s="246" t="s">
        <v>491</v>
      </c>
      <c r="AM247" s="246" t="s">
        <v>486</v>
      </c>
      <c r="AN247" s="246" t="s">
        <v>486</v>
      </c>
      <c r="AO247" s="248" t="s">
        <v>486</v>
      </c>
      <c r="AP247" s="247" t="s">
        <v>486</v>
      </c>
      <c r="AQ247" s="249" t="s">
        <v>486</v>
      </c>
      <c r="AR247" s="246" t="s">
        <v>486</v>
      </c>
    </row>
    <row r="248" spans="1:44" ht="15" x14ac:dyDescent="0.25">
      <c r="A248" s="250" t="str">
        <f>HYPERLINK("http://www.ofsted.gov.uk/inspection-reports/find-inspection-report/provider/ELS/131536 ","Ofsted School Webpage")</f>
        <v>Ofsted School Webpage</v>
      </c>
      <c r="B248" s="251">
        <v>131536</v>
      </c>
      <c r="C248" s="251">
        <v>8916026</v>
      </c>
      <c r="D248" s="251" t="s">
        <v>1942</v>
      </c>
      <c r="E248" s="251" t="s">
        <v>248</v>
      </c>
      <c r="F248" s="251" t="s">
        <v>93</v>
      </c>
      <c r="G248" s="251" t="s">
        <v>93</v>
      </c>
      <c r="H248" s="251" t="s">
        <v>93</v>
      </c>
      <c r="I248" s="251" t="s">
        <v>90</v>
      </c>
      <c r="J248" s="251" t="s">
        <v>1490</v>
      </c>
      <c r="K248" s="251" t="s">
        <v>486</v>
      </c>
      <c r="L248" s="251" t="s">
        <v>487</v>
      </c>
      <c r="M248" s="251" t="s">
        <v>572</v>
      </c>
      <c r="N248" s="251" t="s">
        <v>572</v>
      </c>
      <c r="O248" s="251" t="s">
        <v>852</v>
      </c>
      <c r="P248" s="251" t="s">
        <v>1943</v>
      </c>
      <c r="Q248" s="252">
        <v>10033624</v>
      </c>
      <c r="R248" s="253">
        <v>42906</v>
      </c>
      <c r="S248" s="253">
        <v>42907</v>
      </c>
      <c r="T248" s="253">
        <v>42933</v>
      </c>
      <c r="U248" s="251" t="s">
        <v>624</v>
      </c>
      <c r="V248" s="251">
        <v>2</v>
      </c>
      <c r="W248" s="251" t="s">
        <v>219</v>
      </c>
      <c r="X248" s="251">
        <v>2</v>
      </c>
      <c r="Y248" s="251">
        <v>2</v>
      </c>
      <c r="Z248" s="251">
        <v>2</v>
      </c>
      <c r="AA248" s="251">
        <v>2</v>
      </c>
      <c r="AB248" s="251" t="s">
        <v>486</v>
      </c>
      <c r="AC248" s="251" t="s">
        <v>486</v>
      </c>
      <c r="AD248" s="251" t="s">
        <v>486</v>
      </c>
      <c r="AE248" s="251" t="s">
        <v>486</v>
      </c>
      <c r="AF248" s="251" t="s">
        <v>486</v>
      </c>
      <c r="AG248" s="251" t="s">
        <v>486</v>
      </c>
      <c r="AH248" s="251" t="s">
        <v>486</v>
      </c>
      <c r="AI248" s="251" t="s">
        <v>486</v>
      </c>
      <c r="AJ248" s="251" t="s">
        <v>486</v>
      </c>
      <c r="AK248" s="251" t="s">
        <v>486</v>
      </c>
      <c r="AL248" s="251" t="s">
        <v>491</v>
      </c>
      <c r="AM248" s="251" t="s">
        <v>486</v>
      </c>
      <c r="AN248" s="251" t="s">
        <v>486</v>
      </c>
      <c r="AO248" s="253" t="s">
        <v>486</v>
      </c>
      <c r="AP248" s="252" t="s">
        <v>486</v>
      </c>
      <c r="AQ248" s="254" t="s">
        <v>486</v>
      </c>
      <c r="AR248" s="251" t="s">
        <v>486</v>
      </c>
    </row>
    <row r="249" spans="1:44" ht="15" x14ac:dyDescent="0.25">
      <c r="A249" s="245" t="str">
        <f>HYPERLINK("http://www.ofsted.gov.uk/inspection-reports/find-inspection-report/provider/ELS/132068 ","Ofsted School Webpage")</f>
        <v>Ofsted School Webpage</v>
      </c>
      <c r="B249" s="246">
        <v>132068</v>
      </c>
      <c r="C249" s="246">
        <v>3046078</v>
      </c>
      <c r="D249" s="246" t="s">
        <v>1944</v>
      </c>
      <c r="E249" s="246" t="s">
        <v>247</v>
      </c>
      <c r="F249" s="246" t="s">
        <v>93</v>
      </c>
      <c r="G249" s="246" t="s">
        <v>93</v>
      </c>
      <c r="H249" s="246" t="s">
        <v>93</v>
      </c>
      <c r="I249" s="246" t="s">
        <v>90</v>
      </c>
      <c r="J249" s="246" t="s">
        <v>1490</v>
      </c>
      <c r="K249" s="246" t="s">
        <v>486</v>
      </c>
      <c r="L249" s="246" t="s">
        <v>487</v>
      </c>
      <c r="M249" s="246" t="s">
        <v>506</v>
      </c>
      <c r="N249" s="246" t="s">
        <v>506</v>
      </c>
      <c r="O249" s="246" t="s">
        <v>543</v>
      </c>
      <c r="P249" s="246" t="s">
        <v>1945</v>
      </c>
      <c r="Q249" s="247">
        <v>10020770</v>
      </c>
      <c r="R249" s="248">
        <v>42906</v>
      </c>
      <c r="S249" s="248">
        <v>42907</v>
      </c>
      <c r="T249" s="248">
        <v>42930</v>
      </c>
      <c r="U249" s="246" t="s">
        <v>488</v>
      </c>
      <c r="V249" s="246">
        <v>3</v>
      </c>
      <c r="W249" s="246" t="s">
        <v>219</v>
      </c>
      <c r="X249" s="246">
        <v>3</v>
      </c>
      <c r="Y249" s="246">
        <v>2</v>
      </c>
      <c r="Z249" s="246">
        <v>3</v>
      </c>
      <c r="AA249" s="246">
        <v>3</v>
      </c>
      <c r="AB249" s="246" t="s">
        <v>486</v>
      </c>
      <c r="AC249" s="246" t="s">
        <v>486</v>
      </c>
      <c r="AD249" s="246" t="s">
        <v>486</v>
      </c>
      <c r="AE249" s="246" t="s">
        <v>486</v>
      </c>
      <c r="AF249" s="246" t="s">
        <v>486</v>
      </c>
      <c r="AG249" s="246" t="s">
        <v>486</v>
      </c>
      <c r="AH249" s="246" t="s">
        <v>486</v>
      </c>
      <c r="AI249" s="246" t="s">
        <v>486</v>
      </c>
      <c r="AJ249" s="246" t="s">
        <v>486</v>
      </c>
      <c r="AK249" s="246" t="s">
        <v>486</v>
      </c>
      <c r="AL249" s="246" t="s">
        <v>491</v>
      </c>
      <c r="AM249" s="246" t="s">
        <v>486</v>
      </c>
      <c r="AN249" s="246" t="s">
        <v>486</v>
      </c>
      <c r="AO249" s="248" t="s">
        <v>486</v>
      </c>
      <c r="AP249" s="247" t="s">
        <v>486</v>
      </c>
      <c r="AQ249" s="249" t="s">
        <v>486</v>
      </c>
      <c r="AR249" s="246" t="s">
        <v>486</v>
      </c>
    </row>
    <row r="250" spans="1:44" ht="15" x14ac:dyDescent="0.25">
      <c r="A250" s="250" t="str">
        <f>HYPERLINK("http://www.ofsted.gov.uk/inspection-reports/find-inspection-report/provider/ELS/109353 ","Ofsted School Webpage")</f>
        <v>Ofsted School Webpage</v>
      </c>
      <c r="B250" s="251">
        <v>109353</v>
      </c>
      <c r="C250" s="251">
        <v>8036000</v>
      </c>
      <c r="D250" s="251" t="s">
        <v>1946</v>
      </c>
      <c r="E250" s="251" t="s">
        <v>248</v>
      </c>
      <c r="F250" s="251" t="s">
        <v>93</v>
      </c>
      <c r="G250" s="251" t="s">
        <v>71</v>
      </c>
      <c r="H250" s="251" t="s">
        <v>71</v>
      </c>
      <c r="I250" s="251" t="s">
        <v>71</v>
      </c>
      <c r="J250" s="251" t="s">
        <v>1490</v>
      </c>
      <c r="K250" s="251" t="s">
        <v>486</v>
      </c>
      <c r="L250" s="251" t="s">
        <v>487</v>
      </c>
      <c r="M250" s="251" t="s">
        <v>483</v>
      </c>
      <c r="N250" s="251" t="s">
        <v>483</v>
      </c>
      <c r="O250" s="251" t="s">
        <v>1214</v>
      </c>
      <c r="P250" s="251" t="s">
        <v>1947</v>
      </c>
      <c r="Q250" s="252">
        <v>10026035</v>
      </c>
      <c r="R250" s="253">
        <v>42906</v>
      </c>
      <c r="S250" s="253">
        <v>42908</v>
      </c>
      <c r="T250" s="253">
        <v>42933</v>
      </c>
      <c r="U250" s="251" t="s">
        <v>488</v>
      </c>
      <c r="V250" s="251">
        <v>2</v>
      </c>
      <c r="W250" s="251" t="s">
        <v>219</v>
      </c>
      <c r="X250" s="251">
        <v>2</v>
      </c>
      <c r="Y250" s="251">
        <v>2</v>
      </c>
      <c r="Z250" s="251">
        <v>2</v>
      </c>
      <c r="AA250" s="251">
        <v>2</v>
      </c>
      <c r="AB250" s="251" t="s">
        <v>486</v>
      </c>
      <c r="AC250" s="251">
        <v>2</v>
      </c>
      <c r="AD250" s="251" t="s">
        <v>486</v>
      </c>
      <c r="AE250" s="251" t="s">
        <v>486</v>
      </c>
      <c r="AF250" s="251" t="s">
        <v>486</v>
      </c>
      <c r="AG250" s="251" t="s">
        <v>486</v>
      </c>
      <c r="AH250" s="251" t="s">
        <v>486</v>
      </c>
      <c r="AI250" s="251" t="s">
        <v>486</v>
      </c>
      <c r="AJ250" s="251" t="s">
        <v>486</v>
      </c>
      <c r="AK250" s="251" t="s">
        <v>486</v>
      </c>
      <c r="AL250" s="251" t="s">
        <v>491</v>
      </c>
      <c r="AM250" s="251" t="s">
        <v>486</v>
      </c>
      <c r="AN250" s="251" t="s">
        <v>486</v>
      </c>
      <c r="AO250" s="253" t="s">
        <v>486</v>
      </c>
      <c r="AP250" s="252" t="s">
        <v>486</v>
      </c>
      <c r="AQ250" s="254" t="s">
        <v>486</v>
      </c>
      <c r="AR250" s="251" t="s">
        <v>486</v>
      </c>
    </row>
    <row r="251" spans="1:44" ht="15" x14ac:dyDescent="0.25">
      <c r="A251" s="245" t="str">
        <f>HYPERLINK("http://www.ofsted.gov.uk/inspection-reports/find-inspection-report/provider/ELS/116565 ","Ofsted School Webpage")</f>
        <v>Ofsted School Webpage</v>
      </c>
      <c r="B251" s="246">
        <v>116565</v>
      </c>
      <c r="C251" s="246">
        <v>8506031</v>
      </c>
      <c r="D251" s="246" t="s">
        <v>1948</v>
      </c>
      <c r="E251" s="246" t="s">
        <v>248</v>
      </c>
      <c r="F251" s="246" t="s">
        <v>93</v>
      </c>
      <c r="G251" s="246" t="s">
        <v>93</v>
      </c>
      <c r="H251" s="246" t="s">
        <v>93</v>
      </c>
      <c r="I251" s="246" t="s">
        <v>90</v>
      </c>
      <c r="J251" s="246" t="s">
        <v>1490</v>
      </c>
      <c r="K251" s="246" t="s">
        <v>486</v>
      </c>
      <c r="L251" s="246" t="s">
        <v>487</v>
      </c>
      <c r="M251" s="246" t="s">
        <v>581</v>
      </c>
      <c r="N251" s="246" t="s">
        <v>581</v>
      </c>
      <c r="O251" s="246" t="s">
        <v>582</v>
      </c>
      <c r="P251" s="246" t="s">
        <v>1949</v>
      </c>
      <c r="Q251" s="247">
        <v>10008897</v>
      </c>
      <c r="R251" s="248">
        <v>42906</v>
      </c>
      <c r="S251" s="248">
        <v>42908</v>
      </c>
      <c r="T251" s="248">
        <v>42947</v>
      </c>
      <c r="U251" s="246" t="s">
        <v>488</v>
      </c>
      <c r="V251" s="246">
        <v>1</v>
      </c>
      <c r="W251" s="246" t="s">
        <v>219</v>
      </c>
      <c r="X251" s="246">
        <v>1</v>
      </c>
      <c r="Y251" s="246">
        <v>1</v>
      </c>
      <c r="Z251" s="246">
        <v>1</v>
      </c>
      <c r="AA251" s="246">
        <v>1</v>
      </c>
      <c r="AB251" s="246" t="s">
        <v>486</v>
      </c>
      <c r="AC251" s="246">
        <v>1</v>
      </c>
      <c r="AD251" s="246" t="s">
        <v>486</v>
      </c>
      <c r="AE251" s="246" t="s">
        <v>486</v>
      </c>
      <c r="AF251" s="246" t="s">
        <v>486</v>
      </c>
      <c r="AG251" s="246" t="s">
        <v>486</v>
      </c>
      <c r="AH251" s="246" t="s">
        <v>486</v>
      </c>
      <c r="AI251" s="246" t="s">
        <v>486</v>
      </c>
      <c r="AJ251" s="246" t="s">
        <v>486</v>
      </c>
      <c r="AK251" s="246" t="s">
        <v>486</v>
      </c>
      <c r="AL251" s="246" t="s">
        <v>491</v>
      </c>
      <c r="AM251" s="246" t="s">
        <v>486</v>
      </c>
      <c r="AN251" s="246" t="s">
        <v>486</v>
      </c>
      <c r="AO251" s="248" t="s">
        <v>486</v>
      </c>
      <c r="AP251" s="247" t="s">
        <v>486</v>
      </c>
      <c r="AQ251" s="249" t="s">
        <v>486</v>
      </c>
      <c r="AR251" s="246" t="s">
        <v>486</v>
      </c>
    </row>
    <row r="252" spans="1:44" ht="15" x14ac:dyDescent="0.25">
      <c r="A252" s="250" t="str">
        <f>HYPERLINK("http://www.ofsted.gov.uk/inspection-reports/find-inspection-report/provider/ELS/134000 ","Ofsted School Webpage")</f>
        <v>Ofsted School Webpage</v>
      </c>
      <c r="B252" s="251">
        <v>134000</v>
      </c>
      <c r="C252" s="251">
        <v>8936026</v>
      </c>
      <c r="D252" s="251" t="s">
        <v>1152</v>
      </c>
      <c r="E252" s="251" t="s">
        <v>248</v>
      </c>
      <c r="F252" s="251" t="s">
        <v>93</v>
      </c>
      <c r="G252" s="251" t="s">
        <v>93</v>
      </c>
      <c r="H252" s="251" t="s">
        <v>93</v>
      </c>
      <c r="I252" s="251" t="s">
        <v>90</v>
      </c>
      <c r="J252" s="251" t="s">
        <v>1490</v>
      </c>
      <c r="K252" s="251" t="s">
        <v>486</v>
      </c>
      <c r="L252" s="251" t="s">
        <v>487</v>
      </c>
      <c r="M252" s="251" t="s">
        <v>502</v>
      </c>
      <c r="N252" s="251" t="s">
        <v>502</v>
      </c>
      <c r="O252" s="251" t="s">
        <v>666</v>
      </c>
      <c r="P252" s="251" t="s">
        <v>1153</v>
      </c>
      <c r="Q252" s="252">
        <v>10012915</v>
      </c>
      <c r="R252" s="253">
        <v>42906</v>
      </c>
      <c r="S252" s="253">
        <v>42908</v>
      </c>
      <c r="T252" s="253">
        <v>42933</v>
      </c>
      <c r="U252" s="251" t="s">
        <v>488</v>
      </c>
      <c r="V252" s="251">
        <v>2</v>
      </c>
      <c r="W252" s="251" t="s">
        <v>219</v>
      </c>
      <c r="X252" s="251">
        <v>2</v>
      </c>
      <c r="Y252" s="251">
        <v>2</v>
      </c>
      <c r="Z252" s="251">
        <v>2</v>
      </c>
      <c r="AA252" s="251">
        <v>2</v>
      </c>
      <c r="AB252" s="251" t="s">
        <v>486</v>
      </c>
      <c r="AC252" s="251">
        <v>2</v>
      </c>
      <c r="AD252" s="251" t="s">
        <v>486</v>
      </c>
      <c r="AE252" s="251" t="s">
        <v>486</v>
      </c>
      <c r="AF252" s="251" t="s">
        <v>486</v>
      </c>
      <c r="AG252" s="251" t="s">
        <v>486</v>
      </c>
      <c r="AH252" s="251" t="s">
        <v>486</v>
      </c>
      <c r="AI252" s="251" t="s">
        <v>486</v>
      </c>
      <c r="AJ252" s="251" t="s">
        <v>486</v>
      </c>
      <c r="AK252" s="251" t="s">
        <v>486</v>
      </c>
      <c r="AL252" s="251" t="s">
        <v>491</v>
      </c>
      <c r="AM252" s="251" t="s">
        <v>486</v>
      </c>
      <c r="AN252" s="251" t="s">
        <v>486</v>
      </c>
      <c r="AO252" s="253" t="s">
        <v>486</v>
      </c>
      <c r="AP252" s="252" t="s">
        <v>486</v>
      </c>
      <c r="AQ252" s="254" t="s">
        <v>486</v>
      </c>
      <c r="AR252" s="251" t="s">
        <v>486</v>
      </c>
    </row>
    <row r="253" spans="1:44" ht="15" x14ac:dyDescent="0.25">
      <c r="A253" s="245" t="str">
        <f>HYPERLINK("http://www.ofsted.gov.uk/inspection-reports/find-inspection-report/provider/ELS/134575 ","Ofsted School Webpage")</f>
        <v>Ofsted School Webpage</v>
      </c>
      <c r="B253" s="246">
        <v>134575</v>
      </c>
      <c r="C253" s="246">
        <v>3546006</v>
      </c>
      <c r="D253" s="246" t="s">
        <v>1950</v>
      </c>
      <c r="E253" s="246" t="s">
        <v>247</v>
      </c>
      <c r="F253" s="246" t="s">
        <v>93</v>
      </c>
      <c r="G253" s="246" t="s">
        <v>84</v>
      </c>
      <c r="H253" s="246" t="s">
        <v>84</v>
      </c>
      <c r="I253" s="246" t="s">
        <v>84</v>
      </c>
      <c r="J253" s="246" t="s">
        <v>1490</v>
      </c>
      <c r="K253" s="246" t="s">
        <v>486</v>
      </c>
      <c r="L253" s="246" t="s">
        <v>487</v>
      </c>
      <c r="M253" s="246" t="s">
        <v>495</v>
      </c>
      <c r="N253" s="246" t="s">
        <v>495</v>
      </c>
      <c r="O253" s="246" t="s">
        <v>604</v>
      </c>
      <c r="P253" s="246" t="s">
        <v>1951</v>
      </c>
      <c r="Q253" s="247">
        <v>10034026</v>
      </c>
      <c r="R253" s="248">
        <v>42906</v>
      </c>
      <c r="S253" s="248">
        <v>42908</v>
      </c>
      <c r="T253" s="248">
        <v>42930</v>
      </c>
      <c r="U253" s="246" t="s">
        <v>488</v>
      </c>
      <c r="V253" s="246">
        <v>2</v>
      </c>
      <c r="W253" s="246" t="s">
        <v>219</v>
      </c>
      <c r="X253" s="246">
        <v>2</v>
      </c>
      <c r="Y253" s="246">
        <v>2</v>
      </c>
      <c r="Z253" s="246">
        <v>2</v>
      </c>
      <c r="AA253" s="246">
        <v>2</v>
      </c>
      <c r="AB253" s="246" t="s">
        <v>486</v>
      </c>
      <c r="AC253" s="246" t="s">
        <v>486</v>
      </c>
      <c r="AD253" s="246" t="s">
        <v>486</v>
      </c>
      <c r="AE253" s="246" t="s">
        <v>486</v>
      </c>
      <c r="AF253" s="246" t="s">
        <v>486</v>
      </c>
      <c r="AG253" s="246" t="s">
        <v>486</v>
      </c>
      <c r="AH253" s="246" t="s">
        <v>486</v>
      </c>
      <c r="AI253" s="246" t="s">
        <v>486</v>
      </c>
      <c r="AJ253" s="246" t="s">
        <v>486</v>
      </c>
      <c r="AK253" s="246" t="s">
        <v>486</v>
      </c>
      <c r="AL253" s="246" t="s">
        <v>491</v>
      </c>
      <c r="AM253" s="246" t="s">
        <v>486</v>
      </c>
      <c r="AN253" s="246" t="s">
        <v>486</v>
      </c>
      <c r="AO253" s="248" t="s">
        <v>486</v>
      </c>
      <c r="AP253" s="247" t="s">
        <v>486</v>
      </c>
      <c r="AQ253" s="249" t="s">
        <v>486</v>
      </c>
      <c r="AR253" s="246" t="s">
        <v>486</v>
      </c>
    </row>
    <row r="254" spans="1:44" ht="15" x14ac:dyDescent="0.25">
      <c r="A254" s="250" t="str">
        <f>HYPERLINK("http://www.ofsted.gov.uk/inspection-reports/find-inspection-report/provider/ELS/135198 ","Ofsted School Webpage")</f>
        <v>Ofsted School Webpage</v>
      </c>
      <c r="B254" s="251">
        <v>135198</v>
      </c>
      <c r="C254" s="251">
        <v>8866122</v>
      </c>
      <c r="D254" s="251" t="s">
        <v>1952</v>
      </c>
      <c r="E254" s="251" t="s">
        <v>248</v>
      </c>
      <c r="F254" s="251" t="s">
        <v>93</v>
      </c>
      <c r="G254" s="251" t="s">
        <v>93</v>
      </c>
      <c r="H254" s="251" t="s">
        <v>93</v>
      </c>
      <c r="I254" s="251" t="s">
        <v>90</v>
      </c>
      <c r="J254" s="251" t="s">
        <v>1490</v>
      </c>
      <c r="K254" s="251" t="s">
        <v>486</v>
      </c>
      <c r="L254" s="251" t="s">
        <v>487</v>
      </c>
      <c r="M254" s="251" t="s">
        <v>581</v>
      </c>
      <c r="N254" s="251" t="s">
        <v>581</v>
      </c>
      <c r="O254" s="251" t="s">
        <v>694</v>
      </c>
      <c r="P254" s="251" t="s">
        <v>1953</v>
      </c>
      <c r="Q254" s="252">
        <v>10026025</v>
      </c>
      <c r="R254" s="253">
        <v>42907</v>
      </c>
      <c r="S254" s="253">
        <v>42908</v>
      </c>
      <c r="T254" s="253">
        <v>42928</v>
      </c>
      <c r="U254" s="251" t="s">
        <v>488</v>
      </c>
      <c r="V254" s="251">
        <v>2</v>
      </c>
      <c r="W254" s="251" t="s">
        <v>219</v>
      </c>
      <c r="X254" s="251">
        <v>2</v>
      </c>
      <c r="Y254" s="251">
        <v>2</v>
      </c>
      <c r="Z254" s="251">
        <v>2</v>
      </c>
      <c r="AA254" s="251">
        <v>2</v>
      </c>
      <c r="AB254" s="251" t="s">
        <v>486</v>
      </c>
      <c r="AC254" s="251" t="s">
        <v>486</v>
      </c>
      <c r="AD254" s="251" t="s">
        <v>486</v>
      </c>
      <c r="AE254" s="251" t="s">
        <v>486</v>
      </c>
      <c r="AF254" s="251" t="s">
        <v>486</v>
      </c>
      <c r="AG254" s="251" t="s">
        <v>486</v>
      </c>
      <c r="AH254" s="251" t="s">
        <v>486</v>
      </c>
      <c r="AI254" s="251" t="s">
        <v>486</v>
      </c>
      <c r="AJ254" s="251" t="s">
        <v>486</v>
      </c>
      <c r="AK254" s="251" t="s">
        <v>486</v>
      </c>
      <c r="AL254" s="251" t="s">
        <v>491</v>
      </c>
      <c r="AM254" s="251" t="s">
        <v>486</v>
      </c>
      <c r="AN254" s="251" t="s">
        <v>486</v>
      </c>
      <c r="AO254" s="253" t="s">
        <v>486</v>
      </c>
      <c r="AP254" s="252" t="s">
        <v>486</v>
      </c>
      <c r="AQ254" s="254" t="s">
        <v>486</v>
      </c>
      <c r="AR254" s="251" t="s">
        <v>486</v>
      </c>
    </row>
    <row r="255" spans="1:44" ht="15" x14ac:dyDescent="0.25">
      <c r="A255" s="245" t="str">
        <f>HYPERLINK("http://www.ofsted.gov.uk/inspection-reports/find-inspection-report/provider/ELS/142115 ","Ofsted School Webpage")</f>
        <v>Ofsted School Webpage</v>
      </c>
      <c r="B255" s="246">
        <v>142115</v>
      </c>
      <c r="C255" s="246">
        <v>3306018</v>
      </c>
      <c r="D255" s="246" t="s">
        <v>1954</v>
      </c>
      <c r="E255" s="246" t="s">
        <v>247</v>
      </c>
      <c r="F255" s="246" t="s">
        <v>93</v>
      </c>
      <c r="G255" s="246" t="s">
        <v>93</v>
      </c>
      <c r="H255" s="246" t="s">
        <v>93</v>
      </c>
      <c r="I255" s="246" t="s">
        <v>90</v>
      </c>
      <c r="J255" s="246" t="s">
        <v>1490</v>
      </c>
      <c r="K255" s="246" t="s">
        <v>486</v>
      </c>
      <c r="L255" s="246" t="s">
        <v>487</v>
      </c>
      <c r="M255" s="246" t="s">
        <v>502</v>
      </c>
      <c r="N255" s="246" t="s">
        <v>502</v>
      </c>
      <c r="O255" s="246" t="s">
        <v>909</v>
      </c>
      <c r="P255" s="246" t="s">
        <v>1955</v>
      </c>
      <c r="Q255" s="247">
        <v>10012881</v>
      </c>
      <c r="R255" s="248">
        <v>42906</v>
      </c>
      <c r="S255" s="248">
        <v>42908</v>
      </c>
      <c r="T255" s="248">
        <v>42937</v>
      </c>
      <c r="U255" s="246" t="s">
        <v>499</v>
      </c>
      <c r="V255" s="246">
        <v>2</v>
      </c>
      <c r="W255" s="246" t="s">
        <v>219</v>
      </c>
      <c r="X255" s="246">
        <v>2</v>
      </c>
      <c r="Y255" s="246">
        <v>2</v>
      </c>
      <c r="Z255" s="246">
        <v>2</v>
      </c>
      <c r="AA255" s="246">
        <v>2</v>
      </c>
      <c r="AB255" s="246" t="s">
        <v>486</v>
      </c>
      <c r="AC255" s="246" t="s">
        <v>486</v>
      </c>
      <c r="AD255" s="246" t="s">
        <v>486</v>
      </c>
      <c r="AE255" s="246" t="s">
        <v>486</v>
      </c>
      <c r="AF255" s="246" t="s">
        <v>486</v>
      </c>
      <c r="AG255" s="246" t="s">
        <v>486</v>
      </c>
      <c r="AH255" s="246" t="s">
        <v>486</v>
      </c>
      <c r="AI255" s="246" t="s">
        <v>486</v>
      </c>
      <c r="AJ255" s="246" t="s">
        <v>486</v>
      </c>
      <c r="AK255" s="246" t="s">
        <v>486</v>
      </c>
      <c r="AL255" s="246" t="s">
        <v>491</v>
      </c>
      <c r="AM255" s="246" t="s">
        <v>486</v>
      </c>
      <c r="AN255" s="246" t="s">
        <v>486</v>
      </c>
      <c r="AO255" s="248" t="s">
        <v>486</v>
      </c>
      <c r="AP255" s="247" t="s">
        <v>486</v>
      </c>
      <c r="AQ255" s="249" t="s">
        <v>486</v>
      </c>
      <c r="AR255" s="246" t="s">
        <v>486</v>
      </c>
    </row>
    <row r="256" spans="1:44" ht="15" x14ac:dyDescent="0.25">
      <c r="A256" s="250" t="str">
        <f>HYPERLINK("http://www.ofsted.gov.uk/inspection-reports/find-inspection-report/provider/ELS/142675 ","Ofsted School Webpage")</f>
        <v>Ofsted School Webpage</v>
      </c>
      <c r="B256" s="251">
        <v>142675</v>
      </c>
      <c r="C256" s="251">
        <v>3516004</v>
      </c>
      <c r="D256" s="251" t="s">
        <v>1956</v>
      </c>
      <c r="E256" s="251" t="s">
        <v>248</v>
      </c>
      <c r="F256" s="251" t="s">
        <v>93</v>
      </c>
      <c r="G256" s="251" t="s">
        <v>93</v>
      </c>
      <c r="H256" s="251" t="s">
        <v>93</v>
      </c>
      <c r="I256" s="251" t="s">
        <v>90</v>
      </c>
      <c r="J256" s="251" t="s">
        <v>1490</v>
      </c>
      <c r="K256" s="251" t="s">
        <v>486</v>
      </c>
      <c r="L256" s="251" t="s">
        <v>487</v>
      </c>
      <c r="M256" s="251" t="s">
        <v>495</v>
      </c>
      <c r="N256" s="251" t="s">
        <v>495</v>
      </c>
      <c r="O256" s="251" t="s">
        <v>1045</v>
      </c>
      <c r="P256" s="251" t="s">
        <v>1957</v>
      </c>
      <c r="Q256" s="252">
        <v>10034042</v>
      </c>
      <c r="R256" s="253">
        <v>42912</v>
      </c>
      <c r="S256" s="253">
        <v>42914</v>
      </c>
      <c r="T256" s="253">
        <v>42940</v>
      </c>
      <c r="U256" s="251" t="s">
        <v>499</v>
      </c>
      <c r="V256" s="251">
        <v>2</v>
      </c>
      <c r="W256" s="251" t="s">
        <v>219</v>
      </c>
      <c r="X256" s="251">
        <v>2</v>
      </c>
      <c r="Y256" s="251">
        <v>2</v>
      </c>
      <c r="Z256" s="251">
        <v>2</v>
      </c>
      <c r="AA256" s="251">
        <v>2</v>
      </c>
      <c r="AB256" s="251" t="s">
        <v>486</v>
      </c>
      <c r="AC256" s="251">
        <v>2</v>
      </c>
      <c r="AD256" s="251" t="s">
        <v>486</v>
      </c>
      <c r="AE256" s="251" t="s">
        <v>486</v>
      </c>
      <c r="AF256" s="251" t="s">
        <v>486</v>
      </c>
      <c r="AG256" s="251" t="s">
        <v>486</v>
      </c>
      <c r="AH256" s="251" t="s">
        <v>486</v>
      </c>
      <c r="AI256" s="251" t="s">
        <v>486</v>
      </c>
      <c r="AJ256" s="251" t="s">
        <v>486</v>
      </c>
      <c r="AK256" s="251" t="s">
        <v>486</v>
      </c>
      <c r="AL256" s="251" t="s">
        <v>491</v>
      </c>
      <c r="AM256" s="251" t="s">
        <v>486</v>
      </c>
      <c r="AN256" s="251" t="s">
        <v>486</v>
      </c>
      <c r="AO256" s="253" t="s">
        <v>486</v>
      </c>
      <c r="AP256" s="252" t="s">
        <v>486</v>
      </c>
      <c r="AQ256" s="254" t="s">
        <v>486</v>
      </c>
      <c r="AR256" s="251" t="s">
        <v>486</v>
      </c>
    </row>
    <row r="257" spans="1:44" ht="15" x14ac:dyDescent="0.25">
      <c r="A257" s="245" t="str">
        <f>HYPERLINK("http://www.ofsted.gov.uk/inspection-reports/find-inspection-report/provider/ELS/142911 ","Ofsted School Webpage")</f>
        <v>Ofsted School Webpage</v>
      </c>
      <c r="B257" s="246">
        <v>142911</v>
      </c>
      <c r="C257" s="246">
        <v>8156034</v>
      </c>
      <c r="D257" s="246" t="s">
        <v>1958</v>
      </c>
      <c r="E257" s="246" t="s">
        <v>248</v>
      </c>
      <c r="F257" s="246" t="s">
        <v>93</v>
      </c>
      <c r="G257" s="246" t="s">
        <v>93</v>
      </c>
      <c r="H257" s="246" t="s">
        <v>93</v>
      </c>
      <c r="I257" s="246" t="s">
        <v>90</v>
      </c>
      <c r="J257" s="246" t="s">
        <v>1490</v>
      </c>
      <c r="K257" s="246" t="s">
        <v>486</v>
      </c>
      <c r="L257" s="246" t="s">
        <v>487</v>
      </c>
      <c r="M257" s="246" t="s">
        <v>523</v>
      </c>
      <c r="N257" s="246" t="s">
        <v>524</v>
      </c>
      <c r="O257" s="246" t="s">
        <v>846</v>
      </c>
      <c r="P257" s="246" t="s">
        <v>1959</v>
      </c>
      <c r="Q257" s="247">
        <v>10033927</v>
      </c>
      <c r="R257" s="248">
        <v>42912</v>
      </c>
      <c r="S257" s="248">
        <v>42914</v>
      </c>
      <c r="T257" s="248">
        <v>42985</v>
      </c>
      <c r="U257" s="246" t="s">
        <v>499</v>
      </c>
      <c r="V257" s="246">
        <v>2</v>
      </c>
      <c r="W257" s="246" t="s">
        <v>219</v>
      </c>
      <c r="X257" s="246">
        <v>2</v>
      </c>
      <c r="Y257" s="246">
        <v>2</v>
      </c>
      <c r="Z257" s="246">
        <v>2</v>
      </c>
      <c r="AA257" s="246">
        <v>2</v>
      </c>
      <c r="AB257" s="246" t="s">
        <v>486</v>
      </c>
      <c r="AC257" s="246" t="s">
        <v>486</v>
      </c>
      <c r="AD257" s="246" t="s">
        <v>486</v>
      </c>
      <c r="AE257" s="246" t="s">
        <v>486</v>
      </c>
      <c r="AF257" s="246" t="s">
        <v>486</v>
      </c>
      <c r="AG257" s="246" t="s">
        <v>486</v>
      </c>
      <c r="AH257" s="246" t="s">
        <v>486</v>
      </c>
      <c r="AI257" s="246" t="s">
        <v>486</v>
      </c>
      <c r="AJ257" s="246" t="s">
        <v>486</v>
      </c>
      <c r="AK257" s="246" t="s">
        <v>486</v>
      </c>
      <c r="AL257" s="246" t="s">
        <v>491</v>
      </c>
      <c r="AM257" s="246" t="s">
        <v>486</v>
      </c>
      <c r="AN257" s="246" t="s">
        <v>486</v>
      </c>
      <c r="AO257" s="248" t="s">
        <v>486</v>
      </c>
      <c r="AP257" s="247" t="s">
        <v>486</v>
      </c>
      <c r="AQ257" s="249" t="s">
        <v>486</v>
      </c>
      <c r="AR257" s="246" t="s">
        <v>486</v>
      </c>
    </row>
    <row r="258" spans="1:44" ht="15" x14ac:dyDescent="0.25">
      <c r="A258" s="250" t="str">
        <f>HYPERLINK("http://www.ofsted.gov.uk/inspection-reports/find-inspection-report/provider/ELS/123322 ","Ofsted School Webpage")</f>
        <v>Ofsted School Webpage</v>
      </c>
      <c r="B258" s="251">
        <v>123322</v>
      </c>
      <c r="C258" s="251">
        <v>9316109</v>
      </c>
      <c r="D258" s="251" t="s">
        <v>1960</v>
      </c>
      <c r="E258" s="251" t="s">
        <v>248</v>
      </c>
      <c r="F258" s="251" t="s">
        <v>93</v>
      </c>
      <c r="G258" s="251" t="s">
        <v>93</v>
      </c>
      <c r="H258" s="251" t="s">
        <v>93</v>
      </c>
      <c r="I258" s="251" t="s">
        <v>90</v>
      </c>
      <c r="J258" s="251" t="s">
        <v>1490</v>
      </c>
      <c r="K258" s="251" t="s">
        <v>486</v>
      </c>
      <c r="L258" s="251" t="s">
        <v>487</v>
      </c>
      <c r="M258" s="251" t="s">
        <v>581</v>
      </c>
      <c r="N258" s="251" t="s">
        <v>581</v>
      </c>
      <c r="O258" s="251" t="s">
        <v>1150</v>
      </c>
      <c r="P258" s="251" t="s">
        <v>1961</v>
      </c>
      <c r="Q258" s="252">
        <v>10033948</v>
      </c>
      <c r="R258" s="253">
        <v>42913</v>
      </c>
      <c r="S258" s="253">
        <v>42915</v>
      </c>
      <c r="T258" s="253">
        <v>42990</v>
      </c>
      <c r="U258" s="251" t="s">
        <v>488</v>
      </c>
      <c r="V258" s="251">
        <v>2</v>
      </c>
      <c r="W258" s="251" t="s">
        <v>219</v>
      </c>
      <c r="X258" s="251">
        <v>2</v>
      </c>
      <c r="Y258" s="251">
        <v>1</v>
      </c>
      <c r="Z258" s="251">
        <v>2</v>
      </c>
      <c r="AA258" s="251">
        <v>2</v>
      </c>
      <c r="AB258" s="251" t="s">
        <v>486</v>
      </c>
      <c r="AC258" s="251" t="s">
        <v>486</v>
      </c>
      <c r="AD258" s="251" t="s">
        <v>486</v>
      </c>
      <c r="AE258" s="251" t="s">
        <v>486</v>
      </c>
      <c r="AF258" s="251" t="s">
        <v>486</v>
      </c>
      <c r="AG258" s="251" t="s">
        <v>486</v>
      </c>
      <c r="AH258" s="251" t="s">
        <v>486</v>
      </c>
      <c r="AI258" s="251" t="s">
        <v>486</v>
      </c>
      <c r="AJ258" s="251" t="s">
        <v>486</v>
      </c>
      <c r="AK258" s="251" t="s">
        <v>486</v>
      </c>
      <c r="AL258" s="251" t="s">
        <v>491</v>
      </c>
      <c r="AM258" s="251" t="s">
        <v>486</v>
      </c>
      <c r="AN258" s="251" t="s">
        <v>486</v>
      </c>
      <c r="AO258" s="253" t="s">
        <v>486</v>
      </c>
      <c r="AP258" s="252" t="s">
        <v>486</v>
      </c>
      <c r="AQ258" s="254" t="s">
        <v>486</v>
      </c>
      <c r="AR258" s="251" t="s">
        <v>486</v>
      </c>
    </row>
    <row r="259" spans="1:44" ht="15" x14ac:dyDescent="0.25">
      <c r="A259" s="245" t="str">
        <f>HYPERLINK("http://www.ofsted.gov.uk/inspection-reports/find-inspection-report/provider/ELS/126149 ","Ofsted School Webpage")</f>
        <v>Ofsted School Webpage</v>
      </c>
      <c r="B259" s="246">
        <v>126149</v>
      </c>
      <c r="C259" s="246">
        <v>9386249</v>
      </c>
      <c r="D259" s="246" t="s">
        <v>1962</v>
      </c>
      <c r="E259" s="246" t="s">
        <v>248</v>
      </c>
      <c r="F259" s="246" t="s">
        <v>93</v>
      </c>
      <c r="G259" s="246" t="s">
        <v>93</v>
      </c>
      <c r="H259" s="246" t="s">
        <v>93</v>
      </c>
      <c r="I259" s="246" t="s">
        <v>90</v>
      </c>
      <c r="J259" s="246" t="s">
        <v>1490</v>
      </c>
      <c r="K259" s="246" t="s">
        <v>486</v>
      </c>
      <c r="L259" s="246" t="s">
        <v>487</v>
      </c>
      <c r="M259" s="246" t="s">
        <v>581</v>
      </c>
      <c r="N259" s="246" t="s">
        <v>581</v>
      </c>
      <c r="O259" s="246" t="s">
        <v>829</v>
      </c>
      <c r="P259" s="246" t="s">
        <v>1963</v>
      </c>
      <c r="Q259" s="247">
        <v>10025979</v>
      </c>
      <c r="R259" s="248">
        <v>42913</v>
      </c>
      <c r="S259" s="248">
        <v>42915</v>
      </c>
      <c r="T259" s="248">
        <v>42990</v>
      </c>
      <c r="U259" s="246" t="s">
        <v>488</v>
      </c>
      <c r="V259" s="246">
        <v>4</v>
      </c>
      <c r="W259" s="246" t="s">
        <v>220</v>
      </c>
      <c r="X259" s="246">
        <v>4</v>
      </c>
      <c r="Y259" s="246">
        <v>4</v>
      </c>
      <c r="Z259" s="246">
        <v>4</v>
      </c>
      <c r="AA259" s="246">
        <v>4</v>
      </c>
      <c r="AB259" s="246" t="s">
        <v>486</v>
      </c>
      <c r="AC259" s="246" t="s">
        <v>486</v>
      </c>
      <c r="AD259" s="246" t="s">
        <v>486</v>
      </c>
      <c r="AE259" s="246" t="s">
        <v>486</v>
      </c>
      <c r="AF259" s="246" t="s">
        <v>486</v>
      </c>
      <c r="AG259" s="246" t="s">
        <v>486</v>
      </c>
      <c r="AH259" s="246" t="s">
        <v>486</v>
      </c>
      <c r="AI259" s="246" t="s">
        <v>486</v>
      </c>
      <c r="AJ259" s="246" t="s">
        <v>486</v>
      </c>
      <c r="AK259" s="246" t="s">
        <v>486</v>
      </c>
      <c r="AL259" s="246" t="s">
        <v>545</v>
      </c>
      <c r="AM259" s="246">
        <v>10055797</v>
      </c>
      <c r="AN259" s="246" t="s">
        <v>1109</v>
      </c>
      <c r="AO259" s="248">
        <v>43299</v>
      </c>
      <c r="AP259" s="247" t="s">
        <v>1690</v>
      </c>
      <c r="AQ259" s="249">
        <v>43349</v>
      </c>
      <c r="AR259" s="246" t="s">
        <v>1136</v>
      </c>
    </row>
    <row r="260" spans="1:44" ht="15" x14ac:dyDescent="0.25">
      <c r="A260" s="250" t="str">
        <f>HYPERLINK("http://www.ofsted.gov.uk/inspection-reports/find-inspection-report/provider/ELS/131780 ","Ofsted School Webpage")</f>
        <v>Ofsted School Webpage</v>
      </c>
      <c r="B260" s="251">
        <v>131780</v>
      </c>
      <c r="C260" s="251">
        <v>8866084</v>
      </c>
      <c r="D260" s="251" t="s">
        <v>1353</v>
      </c>
      <c r="E260" s="251" t="s">
        <v>248</v>
      </c>
      <c r="F260" s="251" t="s">
        <v>93</v>
      </c>
      <c r="G260" s="251" t="s">
        <v>93</v>
      </c>
      <c r="H260" s="251" t="s">
        <v>93</v>
      </c>
      <c r="I260" s="251" t="s">
        <v>90</v>
      </c>
      <c r="J260" s="251" t="s">
        <v>1490</v>
      </c>
      <c r="K260" s="251" t="s">
        <v>486</v>
      </c>
      <c r="L260" s="251" t="s">
        <v>487</v>
      </c>
      <c r="M260" s="251" t="s">
        <v>581</v>
      </c>
      <c r="N260" s="251" t="s">
        <v>581</v>
      </c>
      <c r="O260" s="251" t="s">
        <v>694</v>
      </c>
      <c r="P260" s="251" t="s">
        <v>1354</v>
      </c>
      <c r="Q260" s="252">
        <v>10006331</v>
      </c>
      <c r="R260" s="253">
        <v>42913</v>
      </c>
      <c r="S260" s="253">
        <v>42915</v>
      </c>
      <c r="T260" s="253">
        <v>42936</v>
      </c>
      <c r="U260" s="251" t="s">
        <v>488</v>
      </c>
      <c r="V260" s="251">
        <v>2</v>
      </c>
      <c r="W260" s="251" t="s">
        <v>219</v>
      </c>
      <c r="X260" s="251">
        <v>2</v>
      </c>
      <c r="Y260" s="251">
        <v>2</v>
      </c>
      <c r="Z260" s="251">
        <v>2</v>
      </c>
      <c r="AA260" s="251">
        <v>2</v>
      </c>
      <c r="AB260" s="251" t="s">
        <v>486</v>
      </c>
      <c r="AC260" s="251" t="s">
        <v>486</v>
      </c>
      <c r="AD260" s="251" t="s">
        <v>486</v>
      </c>
      <c r="AE260" s="251" t="s">
        <v>486</v>
      </c>
      <c r="AF260" s="251" t="s">
        <v>486</v>
      </c>
      <c r="AG260" s="251" t="s">
        <v>486</v>
      </c>
      <c r="AH260" s="251" t="s">
        <v>486</v>
      </c>
      <c r="AI260" s="251" t="s">
        <v>486</v>
      </c>
      <c r="AJ260" s="251" t="s">
        <v>486</v>
      </c>
      <c r="AK260" s="251" t="s">
        <v>486</v>
      </c>
      <c r="AL260" s="251" t="s">
        <v>491</v>
      </c>
      <c r="AM260" s="251" t="s">
        <v>486</v>
      </c>
      <c r="AN260" s="251" t="s">
        <v>486</v>
      </c>
      <c r="AO260" s="253" t="s">
        <v>486</v>
      </c>
      <c r="AP260" s="252" t="s">
        <v>486</v>
      </c>
      <c r="AQ260" s="254" t="s">
        <v>486</v>
      </c>
      <c r="AR260" s="251" t="s">
        <v>486</v>
      </c>
    </row>
    <row r="261" spans="1:44" ht="15" x14ac:dyDescent="0.25">
      <c r="A261" s="245" t="str">
        <f>HYPERLINK("http://www.ofsted.gov.uk/inspection-reports/find-inspection-report/provider/ELS/132776 ","Ofsted School Webpage")</f>
        <v>Ofsted School Webpage</v>
      </c>
      <c r="B261" s="246">
        <v>132776</v>
      </c>
      <c r="C261" s="246">
        <v>3066094</v>
      </c>
      <c r="D261" s="246" t="s">
        <v>1964</v>
      </c>
      <c r="E261" s="246" t="s">
        <v>247</v>
      </c>
      <c r="F261" s="246" t="s">
        <v>93</v>
      </c>
      <c r="G261" s="246" t="s">
        <v>93</v>
      </c>
      <c r="H261" s="246" t="s">
        <v>93</v>
      </c>
      <c r="I261" s="246" t="s">
        <v>90</v>
      </c>
      <c r="J261" s="246" t="s">
        <v>1490</v>
      </c>
      <c r="K261" s="246" t="s">
        <v>486</v>
      </c>
      <c r="L261" s="246" t="s">
        <v>487</v>
      </c>
      <c r="M261" s="246" t="s">
        <v>506</v>
      </c>
      <c r="N261" s="246" t="s">
        <v>506</v>
      </c>
      <c r="O261" s="246" t="s">
        <v>826</v>
      </c>
      <c r="P261" s="246" t="s">
        <v>1965</v>
      </c>
      <c r="Q261" s="247">
        <v>10020768</v>
      </c>
      <c r="R261" s="248">
        <v>42913</v>
      </c>
      <c r="S261" s="248">
        <v>42915</v>
      </c>
      <c r="T261" s="248">
        <v>43052</v>
      </c>
      <c r="U261" s="246" t="s">
        <v>488</v>
      </c>
      <c r="V261" s="246">
        <v>4</v>
      </c>
      <c r="W261" s="246" t="s">
        <v>220</v>
      </c>
      <c r="X261" s="246">
        <v>4</v>
      </c>
      <c r="Y261" s="246">
        <v>4</v>
      </c>
      <c r="Z261" s="246">
        <v>3</v>
      </c>
      <c r="AA261" s="246">
        <v>3</v>
      </c>
      <c r="AB261" s="246" t="s">
        <v>486</v>
      </c>
      <c r="AC261" s="246" t="s">
        <v>486</v>
      </c>
      <c r="AD261" s="246" t="s">
        <v>486</v>
      </c>
      <c r="AE261" s="246" t="s">
        <v>486</v>
      </c>
      <c r="AF261" s="246" t="s">
        <v>486</v>
      </c>
      <c r="AG261" s="246" t="s">
        <v>486</v>
      </c>
      <c r="AH261" s="246" t="s">
        <v>486</v>
      </c>
      <c r="AI261" s="246" t="s">
        <v>486</v>
      </c>
      <c r="AJ261" s="246" t="s">
        <v>486</v>
      </c>
      <c r="AK261" s="246" t="s">
        <v>486</v>
      </c>
      <c r="AL261" s="246" t="s">
        <v>545</v>
      </c>
      <c r="AM261" s="246">
        <v>10048993</v>
      </c>
      <c r="AN261" s="246" t="s">
        <v>1109</v>
      </c>
      <c r="AO261" s="248">
        <v>43221</v>
      </c>
      <c r="AP261" s="247" t="s">
        <v>1690</v>
      </c>
      <c r="AQ261" s="249">
        <v>43250</v>
      </c>
      <c r="AR261" s="246" t="s">
        <v>1136</v>
      </c>
    </row>
    <row r="262" spans="1:44" ht="15" x14ac:dyDescent="0.25">
      <c r="A262" s="250" t="str">
        <f>HYPERLINK("http://www.ofsted.gov.uk/inspection-reports/find-inspection-report/provider/ELS/139963 ","Ofsted School Webpage")</f>
        <v>Ofsted School Webpage</v>
      </c>
      <c r="B262" s="251">
        <v>139963</v>
      </c>
      <c r="C262" s="251">
        <v>8696017</v>
      </c>
      <c r="D262" s="251" t="s">
        <v>1966</v>
      </c>
      <c r="E262" s="251" t="s">
        <v>248</v>
      </c>
      <c r="F262" s="251" t="s">
        <v>93</v>
      </c>
      <c r="G262" s="251" t="s">
        <v>93</v>
      </c>
      <c r="H262" s="251" t="s">
        <v>93</v>
      </c>
      <c r="I262" s="251" t="s">
        <v>90</v>
      </c>
      <c r="J262" s="251" t="s">
        <v>1490</v>
      </c>
      <c r="K262" s="251" t="s">
        <v>486</v>
      </c>
      <c r="L262" s="251" t="s">
        <v>487</v>
      </c>
      <c r="M262" s="251" t="s">
        <v>581</v>
      </c>
      <c r="N262" s="251" t="s">
        <v>581</v>
      </c>
      <c r="O262" s="251" t="s">
        <v>1519</v>
      </c>
      <c r="P262" s="251" t="s">
        <v>1967</v>
      </c>
      <c r="Q262" s="252">
        <v>10033958</v>
      </c>
      <c r="R262" s="253">
        <v>42913</v>
      </c>
      <c r="S262" s="253">
        <v>42915</v>
      </c>
      <c r="T262" s="253">
        <v>42982</v>
      </c>
      <c r="U262" s="251" t="s">
        <v>488</v>
      </c>
      <c r="V262" s="251">
        <v>2</v>
      </c>
      <c r="W262" s="251" t="s">
        <v>219</v>
      </c>
      <c r="X262" s="251">
        <v>2</v>
      </c>
      <c r="Y262" s="251">
        <v>2</v>
      </c>
      <c r="Z262" s="251">
        <v>2</v>
      </c>
      <c r="AA262" s="251">
        <v>2</v>
      </c>
      <c r="AB262" s="251" t="s">
        <v>486</v>
      </c>
      <c r="AC262" s="251">
        <v>2</v>
      </c>
      <c r="AD262" s="251" t="s">
        <v>486</v>
      </c>
      <c r="AE262" s="251" t="s">
        <v>486</v>
      </c>
      <c r="AF262" s="251" t="s">
        <v>486</v>
      </c>
      <c r="AG262" s="251" t="s">
        <v>486</v>
      </c>
      <c r="AH262" s="251" t="s">
        <v>486</v>
      </c>
      <c r="AI262" s="251" t="s">
        <v>486</v>
      </c>
      <c r="AJ262" s="251" t="s">
        <v>486</v>
      </c>
      <c r="AK262" s="251" t="s">
        <v>486</v>
      </c>
      <c r="AL262" s="251" t="s">
        <v>491</v>
      </c>
      <c r="AM262" s="251" t="s">
        <v>486</v>
      </c>
      <c r="AN262" s="251" t="s">
        <v>486</v>
      </c>
      <c r="AO262" s="253" t="s">
        <v>486</v>
      </c>
      <c r="AP262" s="252" t="s">
        <v>486</v>
      </c>
      <c r="AQ262" s="254" t="s">
        <v>486</v>
      </c>
      <c r="AR262" s="251" t="s">
        <v>486</v>
      </c>
    </row>
    <row r="263" spans="1:44" ht="15" x14ac:dyDescent="0.25">
      <c r="A263" s="245" t="str">
        <f>HYPERLINK("http://www.ofsted.gov.uk/inspection-reports/find-inspection-report/provider/ELS/140227 ","Ofsted School Webpage")</f>
        <v>Ofsted School Webpage</v>
      </c>
      <c r="B263" s="246">
        <v>140227</v>
      </c>
      <c r="C263" s="246">
        <v>8936032</v>
      </c>
      <c r="D263" s="246" t="s">
        <v>1968</v>
      </c>
      <c r="E263" s="246" t="s">
        <v>247</v>
      </c>
      <c r="F263" s="246" t="s">
        <v>93</v>
      </c>
      <c r="G263" s="246" t="s">
        <v>93</v>
      </c>
      <c r="H263" s="246" t="s">
        <v>93</v>
      </c>
      <c r="I263" s="246" t="s">
        <v>90</v>
      </c>
      <c r="J263" s="246" t="s">
        <v>1490</v>
      </c>
      <c r="K263" s="246" t="s">
        <v>486</v>
      </c>
      <c r="L263" s="246" t="s">
        <v>487</v>
      </c>
      <c r="M263" s="246" t="s">
        <v>502</v>
      </c>
      <c r="N263" s="246" t="s">
        <v>502</v>
      </c>
      <c r="O263" s="246" t="s">
        <v>666</v>
      </c>
      <c r="P263" s="246" t="s">
        <v>607</v>
      </c>
      <c r="Q263" s="247">
        <v>10033584</v>
      </c>
      <c r="R263" s="248">
        <v>42913</v>
      </c>
      <c r="S263" s="248">
        <v>42915</v>
      </c>
      <c r="T263" s="248">
        <v>42990</v>
      </c>
      <c r="U263" s="246" t="s">
        <v>488</v>
      </c>
      <c r="V263" s="246">
        <v>2</v>
      </c>
      <c r="W263" s="246" t="s">
        <v>219</v>
      </c>
      <c r="X263" s="246">
        <v>2</v>
      </c>
      <c r="Y263" s="246">
        <v>1</v>
      </c>
      <c r="Z263" s="246">
        <v>2</v>
      </c>
      <c r="AA263" s="246">
        <v>2</v>
      </c>
      <c r="AB263" s="246" t="s">
        <v>486</v>
      </c>
      <c r="AC263" s="246" t="s">
        <v>486</v>
      </c>
      <c r="AD263" s="246" t="s">
        <v>486</v>
      </c>
      <c r="AE263" s="246" t="s">
        <v>486</v>
      </c>
      <c r="AF263" s="246" t="s">
        <v>486</v>
      </c>
      <c r="AG263" s="246" t="s">
        <v>486</v>
      </c>
      <c r="AH263" s="246" t="s">
        <v>486</v>
      </c>
      <c r="AI263" s="246" t="s">
        <v>486</v>
      </c>
      <c r="AJ263" s="246" t="s">
        <v>486</v>
      </c>
      <c r="AK263" s="246" t="s">
        <v>486</v>
      </c>
      <c r="AL263" s="246" t="s">
        <v>491</v>
      </c>
      <c r="AM263" s="246" t="s">
        <v>486</v>
      </c>
      <c r="AN263" s="246" t="s">
        <v>486</v>
      </c>
      <c r="AO263" s="248" t="s">
        <v>486</v>
      </c>
      <c r="AP263" s="247" t="s">
        <v>486</v>
      </c>
      <c r="AQ263" s="249" t="s">
        <v>486</v>
      </c>
      <c r="AR263" s="246" t="s">
        <v>486</v>
      </c>
    </row>
    <row r="264" spans="1:44" ht="15" x14ac:dyDescent="0.25">
      <c r="A264" s="250" t="str">
        <f>HYPERLINK("http://www.ofsted.gov.uk/inspection-reports/find-inspection-report/provider/ELS/104839 ","Ofsted School Webpage")</f>
        <v>Ofsted School Webpage</v>
      </c>
      <c r="B264" s="251">
        <v>104839</v>
      </c>
      <c r="C264" s="251">
        <v>3426004</v>
      </c>
      <c r="D264" s="251" t="s">
        <v>1969</v>
      </c>
      <c r="E264" s="251" t="s">
        <v>248</v>
      </c>
      <c r="F264" s="251" t="s">
        <v>93</v>
      </c>
      <c r="G264" s="251" t="s">
        <v>93</v>
      </c>
      <c r="H264" s="251" t="s">
        <v>93</v>
      </c>
      <c r="I264" s="251" t="s">
        <v>90</v>
      </c>
      <c r="J264" s="251" t="s">
        <v>1490</v>
      </c>
      <c r="K264" s="251" t="s">
        <v>486</v>
      </c>
      <c r="L264" s="251" t="s">
        <v>487</v>
      </c>
      <c r="M264" s="251" t="s">
        <v>495</v>
      </c>
      <c r="N264" s="251" t="s">
        <v>495</v>
      </c>
      <c r="O264" s="251" t="s">
        <v>1970</v>
      </c>
      <c r="P264" s="251" t="s">
        <v>1971</v>
      </c>
      <c r="Q264" s="252">
        <v>10008860</v>
      </c>
      <c r="R264" s="253">
        <v>42920</v>
      </c>
      <c r="S264" s="253">
        <v>42922</v>
      </c>
      <c r="T264" s="253">
        <v>42989</v>
      </c>
      <c r="U264" s="251" t="s">
        <v>2930</v>
      </c>
      <c r="V264" s="251">
        <v>2</v>
      </c>
      <c r="W264" s="251" t="s">
        <v>219</v>
      </c>
      <c r="X264" s="251">
        <v>2</v>
      </c>
      <c r="Y264" s="251">
        <v>2</v>
      </c>
      <c r="Z264" s="251">
        <v>2</v>
      </c>
      <c r="AA264" s="251">
        <v>2</v>
      </c>
      <c r="AB264" s="251" t="s">
        <v>486</v>
      </c>
      <c r="AC264" s="251">
        <v>2</v>
      </c>
      <c r="AD264" s="251" t="s">
        <v>486</v>
      </c>
      <c r="AE264" s="251" t="s">
        <v>486</v>
      </c>
      <c r="AF264" s="251" t="s">
        <v>486</v>
      </c>
      <c r="AG264" s="251" t="s">
        <v>486</v>
      </c>
      <c r="AH264" s="251" t="s">
        <v>486</v>
      </c>
      <c r="AI264" s="251" t="s">
        <v>486</v>
      </c>
      <c r="AJ264" s="251" t="s">
        <v>486</v>
      </c>
      <c r="AK264" s="251" t="s">
        <v>486</v>
      </c>
      <c r="AL264" s="251" t="s">
        <v>491</v>
      </c>
      <c r="AM264" s="251" t="s">
        <v>486</v>
      </c>
      <c r="AN264" s="251" t="s">
        <v>486</v>
      </c>
      <c r="AO264" s="253" t="s">
        <v>486</v>
      </c>
      <c r="AP264" s="252" t="s">
        <v>486</v>
      </c>
      <c r="AQ264" s="254" t="s">
        <v>486</v>
      </c>
      <c r="AR264" s="251" t="s">
        <v>486</v>
      </c>
    </row>
    <row r="265" spans="1:44" ht="15" x14ac:dyDescent="0.25">
      <c r="A265" s="245" t="str">
        <f>HYPERLINK("http://www.ofsted.gov.uk/inspection-reports/find-inspection-report/provider/ELS/105996 ","Ofsted School Webpage")</f>
        <v>Ofsted School Webpage</v>
      </c>
      <c r="B265" s="246">
        <v>105996</v>
      </c>
      <c r="C265" s="246">
        <v>3556011</v>
      </c>
      <c r="D265" s="246" t="s">
        <v>1972</v>
      </c>
      <c r="E265" s="246" t="s">
        <v>247</v>
      </c>
      <c r="F265" s="246" t="s">
        <v>93</v>
      </c>
      <c r="G265" s="246" t="s">
        <v>81</v>
      </c>
      <c r="H265" s="246" t="s">
        <v>81</v>
      </c>
      <c r="I265" s="246" t="s">
        <v>81</v>
      </c>
      <c r="J265" s="246" t="s">
        <v>1490</v>
      </c>
      <c r="K265" s="246" t="s">
        <v>486</v>
      </c>
      <c r="L265" s="246" t="s">
        <v>487</v>
      </c>
      <c r="M265" s="246" t="s">
        <v>495</v>
      </c>
      <c r="N265" s="246" t="s">
        <v>495</v>
      </c>
      <c r="O265" s="246" t="s">
        <v>601</v>
      </c>
      <c r="P265" s="246" t="s">
        <v>1973</v>
      </c>
      <c r="Q265" s="247">
        <v>10034022</v>
      </c>
      <c r="R265" s="248">
        <v>42920</v>
      </c>
      <c r="S265" s="248">
        <v>42922</v>
      </c>
      <c r="T265" s="248">
        <v>43042</v>
      </c>
      <c r="U265" s="246" t="s">
        <v>488</v>
      </c>
      <c r="V265" s="246">
        <v>2</v>
      </c>
      <c r="W265" s="246" t="s">
        <v>219</v>
      </c>
      <c r="X265" s="246">
        <v>2</v>
      </c>
      <c r="Y265" s="246">
        <v>2</v>
      </c>
      <c r="Z265" s="246">
        <v>2</v>
      </c>
      <c r="AA265" s="246">
        <v>2</v>
      </c>
      <c r="AB265" s="246">
        <v>2</v>
      </c>
      <c r="AC265" s="246" t="s">
        <v>486</v>
      </c>
      <c r="AD265" s="246" t="s">
        <v>486</v>
      </c>
      <c r="AE265" s="246" t="s">
        <v>486</v>
      </c>
      <c r="AF265" s="246" t="s">
        <v>486</v>
      </c>
      <c r="AG265" s="246" t="s">
        <v>486</v>
      </c>
      <c r="AH265" s="246" t="s">
        <v>486</v>
      </c>
      <c r="AI265" s="246" t="s">
        <v>486</v>
      </c>
      <c r="AJ265" s="246" t="s">
        <v>486</v>
      </c>
      <c r="AK265" s="246" t="s">
        <v>486</v>
      </c>
      <c r="AL265" s="246" t="s">
        <v>491</v>
      </c>
      <c r="AM265" s="246" t="s">
        <v>486</v>
      </c>
      <c r="AN265" s="246" t="s">
        <v>486</v>
      </c>
      <c r="AO265" s="248" t="s">
        <v>486</v>
      </c>
      <c r="AP265" s="247" t="s">
        <v>486</v>
      </c>
      <c r="AQ265" s="249" t="s">
        <v>486</v>
      </c>
      <c r="AR265" s="246" t="s">
        <v>486</v>
      </c>
    </row>
    <row r="266" spans="1:44" ht="15" x14ac:dyDescent="0.25">
      <c r="A266" s="250" t="str">
        <f>HYPERLINK("http://www.ofsted.gov.uk/inspection-reports/find-inspection-report/provider/ELS/110178 ","Ofsted School Webpage")</f>
        <v>Ofsted School Webpage</v>
      </c>
      <c r="B266" s="251">
        <v>110178</v>
      </c>
      <c r="C266" s="251">
        <v>8676580</v>
      </c>
      <c r="D266" s="251" t="s">
        <v>1974</v>
      </c>
      <c r="E266" s="251" t="s">
        <v>248</v>
      </c>
      <c r="F266" s="251" t="s">
        <v>93</v>
      </c>
      <c r="G266" s="251" t="s">
        <v>93</v>
      </c>
      <c r="H266" s="251" t="s">
        <v>93</v>
      </c>
      <c r="I266" s="251" t="s">
        <v>90</v>
      </c>
      <c r="J266" s="251" t="s">
        <v>1490</v>
      </c>
      <c r="K266" s="251" t="s">
        <v>486</v>
      </c>
      <c r="L266" s="251" t="s">
        <v>487</v>
      </c>
      <c r="M266" s="251" t="s">
        <v>581</v>
      </c>
      <c r="N266" s="251" t="s">
        <v>581</v>
      </c>
      <c r="O266" s="251" t="s">
        <v>1581</v>
      </c>
      <c r="P266" s="251" t="s">
        <v>1975</v>
      </c>
      <c r="Q266" s="252">
        <v>10006109</v>
      </c>
      <c r="R266" s="253">
        <v>42920</v>
      </c>
      <c r="S266" s="253">
        <v>42922</v>
      </c>
      <c r="T266" s="253">
        <v>42985</v>
      </c>
      <c r="U266" s="251" t="s">
        <v>488</v>
      </c>
      <c r="V266" s="251">
        <v>2</v>
      </c>
      <c r="W266" s="251" t="s">
        <v>219</v>
      </c>
      <c r="X266" s="251">
        <v>2</v>
      </c>
      <c r="Y266" s="251">
        <v>2</v>
      </c>
      <c r="Z266" s="251">
        <v>2</v>
      </c>
      <c r="AA266" s="251">
        <v>2</v>
      </c>
      <c r="AB266" s="251" t="s">
        <v>486</v>
      </c>
      <c r="AC266" s="251" t="s">
        <v>486</v>
      </c>
      <c r="AD266" s="251" t="s">
        <v>486</v>
      </c>
      <c r="AE266" s="251" t="s">
        <v>486</v>
      </c>
      <c r="AF266" s="251" t="s">
        <v>486</v>
      </c>
      <c r="AG266" s="251" t="s">
        <v>486</v>
      </c>
      <c r="AH266" s="251" t="s">
        <v>486</v>
      </c>
      <c r="AI266" s="251" t="s">
        <v>486</v>
      </c>
      <c r="AJ266" s="251" t="s">
        <v>486</v>
      </c>
      <c r="AK266" s="251" t="s">
        <v>486</v>
      </c>
      <c r="AL266" s="251" t="s">
        <v>491</v>
      </c>
      <c r="AM266" s="251" t="s">
        <v>486</v>
      </c>
      <c r="AN266" s="251" t="s">
        <v>486</v>
      </c>
      <c r="AO266" s="253" t="s">
        <v>486</v>
      </c>
      <c r="AP266" s="252" t="s">
        <v>486</v>
      </c>
      <c r="AQ266" s="254" t="s">
        <v>486</v>
      </c>
      <c r="AR266" s="251" t="s">
        <v>486</v>
      </c>
    </row>
    <row r="267" spans="1:44" ht="15" x14ac:dyDescent="0.25">
      <c r="A267" s="245" t="str">
        <f>HYPERLINK("http://www.ofsted.gov.uk/inspection-reports/find-inspection-report/provider/ELS/130854 ","Ofsted School Webpage")</f>
        <v>Ofsted School Webpage</v>
      </c>
      <c r="B267" s="246">
        <v>130854</v>
      </c>
      <c r="C267" s="246">
        <v>9356084</v>
      </c>
      <c r="D267" s="246" t="s">
        <v>1976</v>
      </c>
      <c r="E267" s="246" t="s">
        <v>248</v>
      </c>
      <c r="F267" s="246" t="s">
        <v>93</v>
      </c>
      <c r="G267" s="246" t="s">
        <v>93</v>
      </c>
      <c r="H267" s="246" t="s">
        <v>93</v>
      </c>
      <c r="I267" s="246" t="s">
        <v>90</v>
      </c>
      <c r="J267" s="246" t="s">
        <v>1490</v>
      </c>
      <c r="K267" s="246" t="s">
        <v>486</v>
      </c>
      <c r="L267" s="246" t="s">
        <v>487</v>
      </c>
      <c r="M267" s="246" t="s">
        <v>516</v>
      </c>
      <c r="N267" s="246" t="s">
        <v>516</v>
      </c>
      <c r="O267" s="246" t="s">
        <v>937</v>
      </c>
      <c r="P267" s="246" t="s">
        <v>1977</v>
      </c>
      <c r="Q267" s="247">
        <v>10008942</v>
      </c>
      <c r="R267" s="248">
        <v>42920</v>
      </c>
      <c r="S267" s="248">
        <v>42922</v>
      </c>
      <c r="T267" s="248">
        <v>42969</v>
      </c>
      <c r="U267" s="246" t="s">
        <v>2930</v>
      </c>
      <c r="V267" s="246">
        <v>3</v>
      </c>
      <c r="W267" s="246" t="s">
        <v>219</v>
      </c>
      <c r="X267" s="246">
        <v>3</v>
      </c>
      <c r="Y267" s="246">
        <v>2</v>
      </c>
      <c r="Z267" s="246">
        <v>2</v>
      </c>
      <c r="AA267" s="246">
        <v>2</v>
      </c>
      <c r="AB267" s="246" t="s">
        <v>486</v>
      </c>
      <c r="AC267" s="246" t="s">
        <v>486</v>
      </c>
      <c r="AD267" s="246" t="s">
        <v>486</v>
      </c>
      <c r="AE267" s="246" t="s">
        <v>486</v>
      </c>
      <c r="AF267" s="246" t="s">
        <v>486</v>
      </c>
      <c r="AG267" s="246" t="s">
        <v>486</v>
      </c>
      <c r="AH267" s="246" t="s">
        <v>486</v>
      </c>
      <c r="AI267" s="246" t="s">
        <v>486</v>
      </c>
      <c r="AJ267" s="246" t="s">
        <v>486</v>
      </c>
      <c r="AK267" s="246" t="s">
        <v>486</v>
      </c>
      <c r="AL267" s="246" t="s">
        <v>491</v>
      </c>
      <c r="AM267" s="246" t="s">
        <v>486</v>
      </c>
      <c r="AN267" s="246" t="s">
        <v>486</v>
      </c>
      <c r="AO267" s="248" t="s">
        <v>486</v>
      </c>
      <c r="AP267" s="247" t="s">
        <v>486</v>
      </c>
      <c r="AQ267" s="249" t="s">
        <v>486</v>
      </c>
      <c r="AR267" s="246" t="s">
        <v>486</v>
      </c>
    </row>
    <row r="268" spans="1:44" ht="15" x14ac:dyDescent="0.25">
      <c r="A268" s="250" t="str">
        <f>HYPERLINK("http://www.ofsted.gov.uk/inspection-reports/find-inspection-report/provider/ELS/132190 ","Ofsted School Webpage")</f>
        <v>Ofsted School Webpage</v>
      </c>
      <c r="B268" s="251">
        <v>132190</v>
      </c>
      <c r="C268" s="251">
        <v>8926013</v>
      </c>
      <c r="D268" s="251" t="s">
        <v>1978</v>
      </c>
      <c r="E268" s="251" t="s">
        <v>247</v>
      </c>
      <c r="F268" s="251" t="s">
        <v>93</v>
      </c>
      <c r="G268" s="251" t="s">
        <v>84</v>
      </c>
      <c r="H268" s="251" t="s">
        <v>84</v>
      </c>
      <c r="I268" s="251" t="s">
        <v>84</v>
      </c>
      <c r="J268" s="251" t="s">
        <v>1490</v>
      </c>
      <c r="K268" s="251" t="s">
        <v>486</v>
      </c>
      <c r="L268" s="251" t="s">
        <v>487</v>
      </c>
      <c r="M268" s="251" t="s">
        <v>572</v>
      </c>
      <c r="N268" s="251" t="s">
        <v>572</v>
      </c>
      <c r="O268" s="251" t="s">
        <v>758</v>
      </c>
      <c r="P268" s="251" t="s">
        <v>1979</v>
      </c>
      <c r="Q268" s="252">
        <v>10033530</v>
      </c>
      <c r="R268" s="253">
        <v>42920</v>
      </c>
      <c r="S268" s="253">
        <v>42922</v>
      </c>
      <c r="T268" s="253">
        <v>43041</v>
      </c>
      <c r="U268" s="251" t="s">
        <v>488</v>
      </c>
      <c r="V268" s="251">
        <v>4</v>
      </c>
      <c r="W268" s="251" t="s">
        <v>220</v>
      </c>
      <c r="X268" s="251">
        <v>4</v>
      </c>
      <c r="Y268" s="251">
        <v>4</v>
      </c>
      <c r="Z268" s="251">
        <v>3</v>
      </c>
      <c r="AA268" s="251">
        <v>3</v>
      </c>
      <c r="AB268" s="251" t="s">
        <v>486</v>
      </c>
      <c r="AC268" s="251" t="s">
        <v>486</v>
      </c>
      <c r="AD268" s="251" t="s">
        <v>486</v>
      </c>
      <c r="AE268" s="251" t="s">
        <v>486</v>
      </c>
      <c r="AF268" s="251" t="s">
        <v>486</v>
      </c>
      <c r="AG268" s="251" t="s">
        <v>486</v>
      </c>
      <c r="AH268" s="251" t="s">
        <v>486</v>
      </c>
      <c r="AI268" s="251" t="s">
        <v>486</v>
      </c>
      <c r="AJ268" s="251" t="s">
        <v>486</v>
      </c>
      <c r="AK268" s="251" t="s">
        <v>486</v>
      </c>
      <c r="AL268" s="251" t="s">
        <v>545</v>
      </c>
      <c r="AM268" s="251">
        <v>10056183</v>
      </c>
      <c r="AN268" s="251" t="s">
        <v>1109</v>
      </c>
      <c r="AO268" s="253">
        <v>43292</v>
      </c>
      <c r="AP268" s="252" t="s">
        <v>1690</v>
      </c>
      <c r="AQ268" s="254">
        <v>43356</v>
      </c>
      <c r="AR268" s="251" t="s">
        <v>1110</v>
      </c>
    </row>
    <row r="269" spans="1:44" ht="15" x14ac:dyDescent="0.25">
      <c r="A269" s="245" t="str">
        <f>HYPERLINK("http://www.ofsted.gov.uk/inspection-reports/find-inspection-report/provider/ELS/133541 ","Ofsted School Webpage")</f>
        <v>Ofsted School Webpage</v>
      </c>
      <c r="B269" s="246">
        <v>133541</v>
      </c>
      <c r="C269" s="246">
        <v>8896009</v>
      </c>
      <c r="D269" s="246" t="s">
        <v>1980</v>
      </c>
      <c r="E269" s="246" t="s">
        <v>247</v>
      </c>
      <c r="F269" s="246" t="s">
        <v>83</v>
      </c>
      <c r="G269" s="246" t="s">
        <v>84</v>
      </c>
      <c r="H269" s="246" t="s">
        <v>83</v>
      </c>
      <c r="I269" s="246" t="s">
        <v>84</v>
      </c>
      <c r="J269" s="246" t="s">
        <v>1490</v>
      </c>
      <c r="K269" s="246" t="s">
        <v>486</v>
      </c>
      <c r="L269" s="246" t="s">
        <v>487</v>
      </c>
      <c r="M269" s="246" t="s">
        <v>495</v>
      </c>
      <c r="N269" s="246" t="s">
        <v>495</v>
      </c>
      <c r="O269" s="246" t="s">
        <v>609</v>
      </c>
      <c r="P269" s="246" t="s">
        <v>1981</v>
      </c>
      <c r="Q269" s="247">
        <v>10026008</v>
      </c>
      <c r="R269" s="248">
        <v>42920</v>
      </c>
      <c r="S269" s="248">
        <v>42922</v>
      </c>
      <c r="T269" s="248">
        <v>42944</v>
      </c>
      <c r="U269" s="246" t="s">
        <v>488</v>
      </c>
      <c r="V269" s="246">
        <v>2</v>
      </c>
      <c r="W269" s="246" t="s">
        <v>219</v>
      </c>
      <c r="X269" s="246">
        <v>2</v>
      </c>
      <c r="Y269" s="246">
        <v>1</v>
      </c>
      <c r="Z269" s="246">
        <v>2</v>
      </c>
      <c r="AA269" s="246">
        <v>2</v>
      </c>
      <c r="AB269" s="246" t="s">
        <v>486</v>
      </c>
      <c r="AC269" s="246" t="s">
        <v>486</v>
      </c>
      <c r="AD269" s="246" t="s">
        <v>486</v>
      </c>
      <c r="AE269" s="246" t="s">
        <v>486</v>
      </c>
      <c r="AF269" s="246" t="s">
        <v>486</v>
      </c>
      <c r="AG269" s="246" t="s">
        <v>486</v>
      </c>
      <c r="AH269" s="246" t="s">
        <v>486</v>
      </c>
      <c r="AI269" s="246" t="s">
        <v>486</v>
      </c>
      <c r="AJ269" s="246" t="s">
        <v>486</v>
      </c>
      <c r="AK269" s="246" t="s">
        <v>486</v>
      </c>
      <c r="AL269" s="246" t="s">
        <v>491</v>
      </c>
      <c r="AM269" s="246" t="s">
        <v>486</v>
      </c>
      <c r="AN269" s="246" t="s">
        <v>486</v>
      </c>
      <c r="AO269" s="248" t="s">
        <v>486</v>
      </c>
      <c r="AP269" s="247" t="s">
        <v>486</v>
      </c>
      <c r="AQ269" s="249" t="s">
        <v>486</v>
      </c>
      <c r="AR269" s="246" t="s">
        <v>486</v>
      </c>
    </row>
    <row r="270" spans="1:44" ht="15" x14ac:dyDescent="0.25">
      <c r="A270" s="250" t="str">
        <f>HYPERLINK("http://www.ofsted.gov.uk/inspection-reports/find-inspection-report/provider/ELS/134905 ","Ofsted School Webpage")</f>
        <v>Ofsted School Webpage</v>
      </c>
      <c r="B270" s="251">
        <v>134905</v>
      </c>
      <c r="C270" s="251">
        <v>8566019</v>
      </c>
      <c r="D270" s="251" t="s">
        <v>1982</v>
      </c>
      <c r="E270" s="251" t="s">
        <v>247</v>
      </c>
      <c r="F270" s="251" t="s">
        <v>93</v>
      </c>
      <c r="G270" s="251" t="s">
        <v>84</v>
      </c>
      <c r="H270" s="251" t="s">
        <v>84</v>
      </c>
      <c r="I270" s="251" t="s">
        <v>84</v>
      </c>
      <c r="J270" s="251" t="s">
        <v>1490</v>
      </c>
      <c r="K270" s="251" t="s">
        <v>486</v>
      </c>
      <c r="L270" s="251" t="s">
        <v>487</v>
      </c>
      <c r="M270" s="251" t="s">
        <v>572</v>
      </c>
      <c r="N270" s="251" t="s">
        <v>572</v>
      </c>
      <c r="O270" s="251" t="s">
        <v>589</v>
      </c>
      <c r="P270" s="251" t="s">
        <v>1983</v>
      </c>
      <c r="Q270" s="252">
        <v>10020836</v>
      </c>
      <c r="R270" s="253">
        <v>42920</v>
      </c>
      <c r="S270" s="253">
        <v>42922</v>
      </c>
      <c r="T270" s="253">
        <v>42998</v>
      </c>
      <c r="U270" s="251" t="s">
        <v>488</v>
      </c>
      <c r="V270" s="251">
        <v>4</v>
      </c>
      <c r="W270" s="251" t="s">
        <v>220</v>
      </c>
      <c r="X270" s="251">
        <v>4</v>
      </c>
      <c r="Y270" s="251">
        <v>4</v>
      </c>
      <c r="Z270" s="251">
        <v>3</v>
      </c>
      <c r="AA270" s="251">
        <v>3</v>
      </c>
      <c r="AB270" s="251" t="s">
        <v>486</v>
      </c>
      <c r="AC270" s="251" t="s">
        <v>486</v>
      </c>
      <c r="AD270" s="251" t="s">
        <v>486</v>
      </c>
      <c r="AE270" s="251" t="s">
        <v>486</v>
      </c>
      <c r="AF270" s="251" t="s">
        <v>486</v>
      </c>
      <c r="AG270" s="251" t="s">
        <v>486</v>
      </c>
      <c r="AH270" s="251" t="s">
        <v>486</v>
      </c>
      <c r="AI270" s="251" t="s">
        <v>486</v>
      </c>
      <c r="AJ270" s="251" t="s">
        <v>486</v>
      </c>
      <c r="AK270" s="251" t="s">
        <v>486</v>
      </c>
      <c r="AL270" s="251" t="s">
        <v>545</v>
      </c>
      <c r="AM270" s="251">
        <v>10054060</v>
      </c>
      <c r="AN270" s="251" t="s">
        <v>1109</v>
      </c>
      <c r="AO270" s="253">
        <v>43236</v>
      </c>
      <c r="AP270" s="252" t="s">
        <v>1690</v>
      </c>
      <c r="AQ270" s="254">
        <v>43285</v>
      </c>
      <c r="AR270" s="251" t="s">
        <v>1136</v>
      </c>
    </row>
    <row r="271" spans="1:44" ht="15" x14ac:dyDescent="0.25">
      <c r="A271" s="245" t="str">
        <f>HYPERLINK("http://www.ofsted.gov.uk/inspection-reports/find-inspection-report/provider/ELS/135418 ","Ofsted School Webpage")</f>
        <v>Ofsted School Webpage</v>
      </c>
      <c r="B271" s="246">
        <v>135418</v>
      </c>
      <c r="C271" s="246">
        <v>9376106</v>
      </c>
      <c r="D271" s="246" t="s">
        <v>1984</v>
      </c>
      <c r="E271" s="246" t="s">
        <v>247</v>
      </c>
      <c r="F271" s="246" t="s">
        <v>93</v>
      </c>
      <c r="G271" s="246" t="s">
        <v>93</v>
      </c>
      <c r="H271" s="246" t="s">
        <v>93</v>
      </c>
      <c r="I271" s="246" t="s">
        <v>90</v>
      </c>
      <c r="J271" s="246" t="s">
        <v>1490</v>
      </c>
      <c r="K271" s="246" t="s">
        <v>486</v>
      </c>
      <c r="L271" s="246" t="s">
        <v>487</v>
      </c>
      <c r="M271" s="246" t="s">
        <v>502</v>
      </c>
      <c r="N271" s="246" t="s">
        <v>502</v>
      </c>
      <c r="O271" s="246" t="s">
        <v>503</v>
      </c>
      <c r="P271" s="246" t="s">
        <v>1985</v>
      </c>
      <c r="Q271" s="247">
        <v>10026105</v>
      </c>
      <c r="R271" s="248">
        <v>42920</v>
      </c>
      <c r="S271" s="248">
        <v>42922</v>
      </c>
      <c r="T271" s="248">
        <v>42989</v>
      </c>
      <c r="U271" s="246" t="s">
        <v>488</v>
      </c>
      <c r="V271" s="246">
        <v>3</v>
      </c>
      <c r="W271" s="246" t="s">
        <v>219</v>
      </c>
      <c r="X271" s="246">
        <v>3</v>
      </c>
      <c r="Y271" s="246">
        <v>2</v>
      </c>
      <c r="Z271" s="246">
        <v>3</v>
      </c>
      <c r="AA271" s="246">
        <v>3</v>
      </c>
      <c r="AB271" s="246">
        <v>3</v>
      </c>
      <c r="AC271" s="246" t="s">
        <v>486</v>
      </c>
      <c r="AD271" s="246" t="s">
        <v>486</v>
      </c>
      <c r="AE271" s="246" t="s">
        <v>486</v>
      </c>
      <c r="AF271" s="246" t="s">
        <v>486</v>
      </c>
      <c r="AG271" s="246" t="s">
        <v>486</v>
      </c>
      <c r="AH271" s="246" t="s">
        <v>486</v>
      </c>
      <c r="AI271" s="246" t="s">
        <v>486</v>
      </c>
      <c r="AJ271" s="246" t="s">
        <v>486</v>
      </c>
      <c r="AK271" s="246" t="s">
        <v>486</v>
      </c>
      <c r="AL271" s="246" t="s">
        <v>545</v>
      </c>
      <c r="AM271" s="246">
        <v>10044609</v>
      </c>
      <c r="AN271" s="246" t="s">
        <v>1109</v>
      </c>
      <c r="AO271" s="248">
        <v>43111</v>
      </c>
      <c r="AP271" s="247" t="s">
        <v>1690</v>
      </c>
      <c r="AQ271" s="249">
        <v>43139</v>
      </c>
      <c r="AR271" s="246" t="s">
        <v>1110</v>
      </c>
    </row>
    <row r="272" spans="1:44" ht="15" x14ac:dyDescent="0.25">
      <c r="A272" s="250" t="str">
        <f>HYPERLINK("http://www.ofsted.gov.uk/inspection-reports/find-inspection-report/provider/ELS/136037 ","Ofsted School Webpage")</f>
        <v>Ofsted School Webpage</v>
      </c>
      <c r="B272" s="251">
        <v>136037</v>
      </c>
      <c r="C272" s="251">
        <v>3306130</v>
      </c>
      <c r="D272" s="251" t="s">
        <v>1986</v>
      </c>
      <c r="E272" s="251" t="s">
        <v>247</v>
      </c>
      <c r="F272" s="251" t="s">
        <v>93</v>
      </c>
      <c r="G272" s="251" t="s">
        <v>84</v>
      </c>
      <c r="H272" s="251" t="s">
        <v>84</v>
      </c>
      <c r="I272" s="251" t="s">
        <v>84</v>
      </c>
      <c r="J272" s="251" t="s">
        <v>1490</v>
      </c>
      <c r="K272" s="251" t="s">
        <v>486</v>
      </c>
      <c r="L272" s="251" t="s">
        <v>487</v>
      </c>
      <c r="M272" s="251" t="s">
        <v>502</v>
      </c>
      <c r="N272" s="251" t="s">
        <v>502</v>
      </c>
      <c r="O272" s="251" t="s">
        <v>909</v>
      </c>
      <c r="P272" s="251" t="s">
        <v>1987</v>
      </c>
      <c r="Q272" s="252">
        <v>10033572</v>
      </c>
      <c r="R272" s="253">
        <v>42920</v>
      </c>
      <c r="S272" s="253">
        <v>42922</v>
      </c>
      <c r="T272" s="253">
        <v>42986</v>
      </c>
      <c r="U272" s="251" t="s">
        <v>488</v>
      </c>
      <c r="V272" s="251">
        <v>2</v>
      </c>
      <c r="W272" s="251" t="s">
        <v>219</v>
      </c>
      <c r="X272" s="251">
        <v>2</v>
      </c>
      <c r="Y272" s="251">
        <v>2</v>
      </c>
      <c r="Z272" s="251">
        <v>2</v>
      </c>
      <c r="AA272" s="251">
        <v>2</v>
      </c>
      <c r="AB272" s="251" t="s">
        <v>486</v>
      </c>
      <c r="AC272" s="251" t="s">
        <v>486</v>
      </c>
      <c r="AD272" s="251" t="s">
        <v>486</v>
      </c>
      <c r="AE272" s="251" t="s">
        <v>486</v>
      </c>
      <c r="AF272" s="251" t="s">
        <v>486</v>
      </c>
      <c r="AG272" s="251" t="s">
        <v>486</v>
      </c>
      <c r="AH272" s="251" t="s">
        <v>486</v>
      </c>
      <c r="AI272" s="251" t="s">
        <v>486</v>
      </c>
      <c r="AJ272" s="251" t="s">
        <v>486</v>
      </c>
      <c r="AK272" s="251" t="s">
        <v>486</v>
      </c>
      <c r="AL272" s="251" t="s">
        <v>491</v>
      </c>
      <c r="AM272" s="251" t="s">
        <v>486</v>
      </c>
      <c r="AN272" s="251" t="s">
        <v>486</v>
      </c>
      <c r="AO272" s="253" t="s">
        <v>486</v>
      </c>
      <c r="AP272" s="252" t="s">
        <v>486</v>
      </c>
      <c r="AQ272" s="254" t="s">
        <v>486</v>
      </c>
      <c r="AR272" s="251" t="s">
        <v>486</v>
      </c>
    </row>
    <row r="273" spans="1:44" ht="15" x14ac:dyDescent="0.25">
      <c r="A273" s="245" t="str">
        <f>HYPERLINK("http://www.ofsted.gov.uk/inspection-reports/find-inspection-report/provider/ELS/140624 ","Ofsted School Webpage")</f>
        <v>Ofsted School Webpage</v>
      </c>
      <c r="B273" s="246">
        <v>140624</v>
      </c>
      <c r="C273" s="246">
        <v>8516000</v>
      </c>
      <c r="D273" s="246" t="s">
        <v>1988</v>
      </c>
      <c r="E273" s="246" t="s">
        <v>247</v>
      </c>
      <c r="F273" s="246" t="s">
        <v>93</v>
      </c>
      <c r="G273" s="246" t="s">
        <v>84</v>
      </c>
      <c r="H273" s="246" t="s">
        <v>84</v>
      </c>
      <c r="I273" s="246" t="s">
        <v>84</v>
      </c>
      <c r="J273" s="246" t="s">
        <v>1490</v>
      </c>
      <c r="K273" s="246" t="s">
        <v>486</v>
      </c>
      <c r="L273" s="246" t="s">
        <v>487</v>
      </c>
      <c r="M273" s="246" t="s">
        <v>581</v>
      </c>
      <c r="N273" s="246" t="s">
        <v>581</v>
      </c>
      <c r="O273" s="246" t="s">
        <v>1989</v>
      </c>
      <c r="P273" s="246" t="s">
        <v>1990</v>
      </c>
      <c r="Q273" s="247">
        <v>10025993</v>
      </c>
      <c r="R273" s="248">
        <v>42920</v>
      </c>
      <c r="S273" s="248">
        <v>42922</v>
      </c>
      <c r="T273" s="248">
        <v>42996</v>
      </c>
      <c r="U273" s="246" t="s">
        <v>488</v>
      </c>
      <c r="V273" s="246">
        <v>3</v>
      </c>
      <c r="W273" s="246" t="s">
        <v>219</v>
      </c>
      <c r="X273" s="246">
        <v>3</v>
      </c>
      <c r="Y273" s="246">
        <v>2</v>
      </c>
      <c r="Z273" s="246">
        <v>3</v>
      </c>
      <c r="AA273" s="246">
        <v>3</v>
      </c>
      <c r="AB273" s="246" t="s">
        <v>486</v>
      </c>
      <c r="AC273" s="246" t="s">
        <v>486</v>
      </c>
      <c r="AD273" s="246" t="s">
        <v>486</v>
      </c>
      <c r="AE273" s="246" t="s">
        <v>486</v>
      </c>
      <c r="AF273" s="246" t="s">
        <v>486</v>
      </c>
      <c r="AG273" s="246" t="s">
        <v>486</v>
      </c>
      <c r="AH273" s="246" t="s">
        <v>486</v>
      </c>
      <c r="AI273" s="246" t="s">
        <v>486</v>
      </c>
      <c r="AJ273" s="246" t="s">
        <v>486</v>
      </c>
      <c r="AK273" s="246" t="s">
        <v>486</v>
      </c>
      <c r="AL273" s="246" t="s">
        <v>491</v>
      </c>
      <c r="AM273" s="246" t="s">
        <v>486</v>
      </c>
      <c r="AN273" s="246" t="s">
        <v>486</v>
      </c>
      <c r="AO273" s="248" t="s">
        <v>486</v>
      </c>
      <c r="AP273" s="247" t="s">
        <v>486</v>
      </c>
      <c r="AQ273" s="249" t="s">
        <v>486</v>
      </c>
      <c r="AR273" s="246" t="s">
        <v>486</v>
      </c>
    </row>
    <row r="274" spans="1:44" ht="15" x14ac:dyDescent="0.25">
      <c r="A274" s="250" t="str">
        <f>HYPERLINK("http://www.ofsted.gov.uk/inspection-reports/find-inspection-report/provider/ELS/142912 ","Ofsted School Webpage")</f>
        <v>Ofsted School Webpage</v>
      </c>
      <c r="B274" s="251">
        <v>142912</v>
      </c>
      <c r="C274" s="251">
        <v>3736006</v>
      </c>
      <c r="D274" s="251" t="s">
        <v>1991</v>
      </c>
      <c r="E274" s="251" t="s">
        <v>248</v>
      </c>
      <c r="F274" s="251" t="s">
        <v>93</v>
      </c>
      <c r="G274" s="251" t="s">
        <v>93</v>
      </c>
      <c r="H274" s="251" t="s">
        <v>93</v>
      </c>
      <c r="I274" s="251" t="s">
        <v>90</v>
      </c>
      <c r="J274" s="251" t="s">
        <v>1490</v>
      </c>
      <c r="K274" s="251" t="s">
        <v>486</v>
      </c>
      <c r="L274" s="251" t="s">
        <v>487</v>
      </c>
      <c r="M274" s="251" t="s">
        <v>523</v>
      </c>
      <c r="N274" s="251" t="s">
        <v>524</v>
      </c>
      <c r="O274" s="251" t="s">
        <v>553</v>
      </c>
      <c r="P274" s="251" t="s">
        <v>1992</v>
      </c>
      <c r="Q274" s="252">
        <v>10033928</v>
      </c>
      <c r="R274" s="253">
        <v>42920</v>
      </c>
      <c r="S274" s="253">
        <v>42922</v>
      </c>
      <c r="T274" s="253">
        <v>43000</v>
      </c>
      <c r="U274" s="251" t="s">
        <v>499</v>
      </c>
      <c r="V274" s="251">
        <v>2</v>
      </c>
      <c r="W274" s="251" t="s">
        <v>219</v>
      </c>
      <c r="X274" s="251">
        <v>2</v>
      </c>
      <c r="Y274" s="251">
        <v>1</v>
      </c>
      <c r="Z274" s="251">
        <v>2</v>
      </c>
      <c r="AA274" s="251">
        <v>2</v>
      </c>
      <c r="AB274" s="251" t="s">
        <v>486</v>
      </c>
      <c r="AC274" s="251" t="s">
        <v>486</v>
      </c>
      <c r="AD274" s="251" t="s">
        <v>486</v>
      </c>
      <c r="AE274" s="251" t="s">
        <v>486</v>
      </c>
      <c r="AF274" s="251" t="s">
        <v>486</v>
      </c>
      <c r="AG274" s="251" t="s">
        <v>486</v>
      </c>
      <c r="AH274" s="251" t="s">
        <v>486</v>
      </c>
      <c r="AI274" s="251" t="s">
        <v>486</v>
      </c>
      <c r="AJ274" s="251" t="s">
        <v>486</v>
      </c>
      <c r="AK274" s="251" t="s">
        <v>486</v>
      </c>
      <c r="AL274" s="251" t="s">
        <v>491</v>
      </c>
      <c r="AM274" s="251" t="s">
        <v>486</v>
      </c>
      <c r="AN274" s="251" t="s">
        <v>486</v>
      </c>
      <c r="AO274" s="253" t="s">
        <v>486</v>
      </c>
      <c r="AP274" s="252" t="s">
        <v>486</v>
      </c>
      <c r="AQ274" s="254" t="s">
        <v>486</v>
      </c>
      <c r="AR274" s="251" t="s">
        <v>486</v>
      </c>
    </row>
    <row r="275" spans="1:44" ht="15" x14ac:dyDescent="0.25">
      <c r="A275" s="245" t="str">
        <f>HYPERLINK("http://www.ofsted.gov.uk/inspection-reports/find-inspection-report/provider/ELS/143026 ","Ofsted School Webpage")</f>
        <v>Ofsted School Webpage</v>
      </c>
      <c r="B275" s="246">
        <v>143026</v>
      </c>
      <c r="C275" s="246">
        <v>3506004</v>
      </c>
      <c r="D275" s="246" t="s">
        <v>1993</v>
      </c>
      <c r="E275" s="246" t="s">
        <v>248</v>
      </c>
      <c r="F275" s="246" t="s">
        <v>93</v>
      </c>
      <c r="G275" s="246" t="s">
        <v>93</v>
      </c>
      <c r="H275" s="246" t="s">
        <v>93</v>
      </c>
      <c r="I275" s="246" t="s">
        <v>90</v>
      </c>
      <c r="J275" s="246" t="s">
        <v>1490</v>
      </c>
      <c r="K275" s="246" t="s">
        <v>486</v>
      </c>
      <c r="L275" s="246" t="s">
        <v>487</v>
      </c>
      <c r="M275" s="246" t="s">
        <v>495</v>
      </c>
      <c r="N275" s="246" t="s">
        <v>495</v>
      </c>
      <c r="O275" s="246" t="s">
        <v>1169</v>
      </c>
      <c r="P275" s="246" t="s">
        <v>1994</v>
      </c>
      <c r="Q275" s="247">
        <v>10034043</v>
      </c>
      <c r="R275" s="248">
        <v>42920</v>
      </c>
      <c r="S275" s="248">
        <v>42922</v>
      </c>
      <c r="T275" s="248">
        <v>42940</v>
      </c>
      <c r="U275" s="246" t="s">
        <v>499</v>
      </c>
      <c r="V275" s="246">
        <v>2</v>
      </c>
      <c r="W275" s="246" t="s">
        <v>219</v>
      </c>
      <c r="X275" s="246">
        <v>2</v>
      </c>
      <c r="Y275" s="246">
        <v>1</v>
      </c>
      <c r="Z275" s="246">
        <v>2</v>
      </c>
      <c r="AA275" s="246">
        <v>2</v>
      </c>
      <c r="AB275" s="246" t="s">
        <v>486</v>
      </c>
      <c r="AC275" s="246">
        <v>2</v>
      </c>
      <c r="AD275" s="246" t="s">
        <v>486</v>
      </c>
      <c r="AE275" s="246" t="s">
        <v>486</v>
      </c>
      <c r="AF275" s="246" t="s">
        <v>486</v>
      </c>
      <c r="AG275" s="246" t="s">
        <v>486</v>
      </c>
      <c r="AH275" s="246" t="s">
        <v>486</v>
      </c>
      <c r="AI275" s="246" t="s">
        <v>486</v>
      </c>
      <c r="AJ275" s="246" t="s">
        <v>486</v>
      </c>
      <c r="AK275" s="246" t="s">
        <v>486</v>
      </c>
      <c r="AL275" s="246" t="s">
        <v>491</v>
      </c>
      <c r="AM275" s="246" t="s">
        <v>486</v>
      </c>
      <c r="AN275" s="246" t="s">
        <v>486</v>
      </c>
      <c r="AO275" s="248" t="s">
        <v>486</v>
      </c>
      <c r="AP275" s="247" t="s">
        <v>486</v>
      </c>
      <c r="AQ275" s="249" t="s">
        <v>486</v>
      </c>
      <c r="AR275" s="246" t="s">
        <v>486</v>
      </c>
    </row>
    <row r="276" spans="1:44" ht="15" x14ac:dyDescent="0.25">
      <c r="A276" s="250" t="str">
        <f>HYPERLINK("http://www.ofsted.gov.uk/inspection-reports/find-inspection-report/provider/ELS/135218 ","Ofsted School Webpage")</f>
        <v>Ofsted School Webpage</v>
      </c>
      <c r="B276" s="251">
        <v>135218</v>
      </c>
      <c r="C276" s="251">
        <v>8556025</v>
      </c>
      <c r="D276" s="251" t="s">
        <v>1995</v>
      </c>
      <c r="E276" s="251" t="s">
        <v>248</v>
      </c>
      <c r="F276" s="251" t="s">
        <v>93</v>
      </c>
      <c r="G276" s="251" t="s">
        <v>93</v>
      </c>
      <c r="H276" s="251" t="s">
        <v>93</v>
      </c>
      <c r="I276" s="251" t="s">
        <v>90</v>
      </c>
      <c r="J276" s="251" t="s">
        <v>1490</v>
      </c>
      <c r="K276" s="251" t="s">
        <v>486</v>
      </c>
      <c r="L276" s="251" t="s">
        <v>487</v>
      </c>
      <c r="M276" s="251" t="s">
        <v>572</v>
      </c>
      <c r="N276" s="251" t="s">
        <v>572</v>
      </c>
      <c r="O276" s="251" t="s">
        <v>966</v>
      </c>
      <c r="P276" s="251" t="s">
        <v>1996</v>
      </c>
      <c r="Q276" s="252">
        <v>10026050</v>
      </c>
      <c r="R276" s="253">
        <v>42926</v>
      </c>
      <c r="S276" s="253">
        <v>42928</v>
      </c>
      <c r="T276" s="253">
        <v>42991</v>
      </c>
      <c r="U276" s="251" t="s">
        <v>488</v>
      </c>
      <c r="V276" s="251">
        <v>2</v>
      </c>
      <c r="W276" s="251" t="s">
        <v>219</v>
      </c>
      <c r="X276" s="251">
        <v>2</v>
      </c>
      <c r="Y276" s="251">
        <v>2</v>
      </c>
      <c r="Z276" s="251">
        <v>2</v>
      </c>
      <c r="AA276" s="251">
        <v>2</v>
      </c>
      <c r="AB276" s="251" t="s">
        <v>486</v>
      </c>
      <c r="AC276" s="251" t="s">
        <v>486</v>
      </c>
      <c r="AD276" s="251" t="s">
        <v>486</v>
      </c>
      <c r="AE276" s="251" t="s">
        <v>486</v>
      </c>
      <c r="AF276" s="251" t="s">
        <v>486</v>
      </c>
      <c r="AG276" s="251" t="s">
        <v>486</v>
      </c>
      <c r="AH276" s="251" t="s">
        <v>486</v>
      </c>
      <c r="AI276" s="251" t="s">
        <v>486</v>
      </c>
      <c r="AJ276" s="251" t="s">
        <v>486</v>
      </c>
      <c r="AK276" s="251" t="s">
        <v>486</v>
      </c>
      <c r="AL276" s="251" t="s">
        <v>491</v>
      </c>
      <c r="AM276" s="251" t="s">
        <v>486</v>
      </c>
      <c r="AN276" s="251" t="s">
        <v>486</v>
      </c>
      <c r="AO276" s="253" t="s">
        <v>486</v>
      </c>
      <c r="AP276" s="252" t="s">
        <v>486</v>
      </c>
      <c r="AQ276" s="254" t="s">
        <v>486</v>
      </c>
      <c r="AR276" s="251" t="s">
        <v>486</v>
      </c>
    </row>
    <row r="277" spans="1:44" ht="15" x14ac:dyDescent="0.25">
      <c r="A277" s="245" t="str">
        <f>HYPERLINK("http://www.ofsted.gov.uk/inspection-reports/find-inspection-report/provider/ELS/116586 ","Ofsted School Webpage")</f>
        <v>Ofsted School Webpage</v>
      </c>
      <c r="B277" s="246">
        <v>116586</v>
      </c>
      <c r="C277" s="246">
        <v>8506017</v>
      </c>
      <c r="D277" s="246" t="s">
        <v>1997</v>
      </c>
      <c r="E277" s="246" t="s">
        <v>248</v>
      </c>
      <c r="F277" s="246" t="s">
        <v>93</v>
      </c>
      <c r="G277" s="246" t="s">
        <v>93</v>
      </c>
      <c r="H277" s="246" t="s">
        <v>93</v>
      </c>
      <c r="I277" s="246" t="s">
        <v>90</v>
      </c>
      <c r="J277" s="246" t="s">
        <v>1490</v>
      </c>
      <c r="K277" s="246" t="s">
        <v>486</v>
      </c>
      <c r="L277" s="246" t="s">
        <v>487</v>
      </c>
      <c r="M277" s="246" t="s">
        <v>581</v>
      </c>
      <c r="N277" s="246" t="s">
        <v>581</v>
      </c>
      <c r="O277" s="246" t="s">
        <v>582</v>
      </c>
      <c r="P277" s="246" t="s">
        <v>1998</v>
      </c>
      <c r="Q277" s="247">
        <v>10034635</v>
      </c>
      <c r="R277" s="248">
        <v>42927</v>
      </c>
      <c r="S277" s="248">
        <v>42929</v>
      </c>
      <c r="T277" s="248">
        <v>43005</v>
      </c>
      <c r="U277" s="246" t="s">
        <v>488</v>
      </c>
      <c r="V277" s="246">
        <v>1</v>
      </c>
      <c r="W277" s="246" t="s">
        <v>219</v>
      </c>
      <c r="X277" s="246">
        <v>1</v>
      </c>
      <c r="Y277" s="246">
        <v>1</v>
      </c>
      <c r="Z277" s="246">
        <v>1</v>
      </c>
      <c r="AA277" s="246">
        <v>1</v>
      </c>
      <c r="AB277" s="246" t="s">
        <v>486</v>
      </c>
      <c r="AC277" s="246">
        <v>1</v>
      </c>
      <c r="AD277" s="246" t="s">
        <v>486</v>
      </c>
      <c r="AE277" s="246" t="s">
        <v>486</v>
      </c>
      <c r="AF277" s="246" t="s">
        <v>486</v>
      </c>
      <c r="AG277" s="246" t="s">
        <v>486</v>
      </c>
      <c r="AH277" s="246" t="s">
        <v>486</v>
      </c>
      <c r="AI277" s="246" t="s">
        <v>486</v>
      </c>
      <c r="AJ277" s="246" t="s">
        <v>486</v>
      </c>
      <c r="AK277" s="246" t="s">
        <v>486</v>
      </c>
      <c r="AL277" s="246" t="s">
        <v>491</v>
      </c>
      <c r="AM277" s="246" t="s">
        <v>486</v>
      </c>
      <c r="AN277" s="246" t="s">
        <v>486</v>
      </c>
      <c r="AO277" s="248" t="s">
        <v>486</v>
      </c>
      <c r="AP277" s="247" t="s">
        <v>486</v>
      </c>
      <c r="AQ277" s="249" t="s">
        <v>486</v>
      </c>
      <c r="AR277" s="246" t="s">
        <v>486</v>
      </c>
    </row>
    <row r="278" spans="1:44" ht="15" x14ac:dyDescent="0.25">
      <c r="A278" s="250" t="str">
        <f>HYPERLINK("http://www.ofsted.gov.uk/inspection-reports/find-inspection-report/provider/ELS/130245 ","Ofsted School Webpage")</f>
        <v>Ofsted School Webpage</v>
      </c>
      <c r="B278" s="251">
        <v>130245</v>
      </c>
      <c r="C278" s="251">
        <v>3806119</v>
      </c>
      <c r="D278" s="251" t="s">
        <v>1218</v>
      </c>
      <c r="E278" s="251" t="s">
        <v>247</v>
      </c>
      <c r="F278" s="251" t="s">
        <v>83</v>
      </c>
      <c r="G278" s="251" t="s">
        <v>84</v>
      </c>
      <c r="H278" s="251" t="s">
        <v>83</v>
      </c>
      <c r="I278" s="251" t="s">
        <v>84</v>
      </c>
      <c r="J278" s="251" t="s">
        <v>1490</v>
      </c>
      <c r="K278" s="251" t="s">
        <v>486</v>
      </c>
      <c r="L278" s="251" t="s">
        <v>487</v>
      </c>
      <c r="M278" s="251" t="s">
        <v>523</v>
      </c>
      <c r="N278" s="251" t="s">
        <v>524</v>
      </c>
      <c r="O278" s="251" t="s">
        <v>674</v>
      </c>
      <c r="P278" s="251" t="s">
        <v>675</v>
      </c>
      <c r="Q278" s="252">
        <v>10033915</v>
      </c>
      <c r="R278" s="253">
        <v>42927</v>
      </c>
      <c r="S278" s="253">
        <v>42929</v>
      </c>
      <c r="T278" s="253">
        <v>43039</v>
      </c>
      <c r="U278" s="251" t="s">
        <v>488</v>
      </c>
      <c r="V278" s="251">
        <v>4</v>
      </c>
      <c r="W278" s="251" t="s">
        <v>219</v>
      </c>
      <c r="X278" s="251">
        <v>4</v>
      </c>
      <c r="Y278" s="251">
        <v>4</v>
      </c>
      <c r="Z278" s="251">
        <v>3</v>
      </c>
      <c r="AA278" s="251">
        <v>3</v>
      </c>
      <c r="AB278" s="251" t="s">
        <v>486</v>
      </c>
      <c r="AC278" s="251" t="s">
        <v>486</v>
      </c>
      <c r="AD278" s="251" t="s">
        <v>486</v>
      </c>
      <c r="AE278" s="251" t="s">
        <v>486</v>
      </c>
      <c r="AF278" s="251" t="s">
        <v>486</v>
      </c>
      <c r="AG278" s="251" t="s">
        <v>486</v>
      </c>
      <c r="AH278" s="251" t="s">
        <v>486</v>
      </c>
      <c r="AI278" s="251" t="s">
        <v>486</v>
      </c>
      <c r="AJ278" s="251" t="s">
        <v>486</v>
      </c>
      <c r="AK278" s="251" t="s">
        <v>486</v>
      </c>
      <c r="AL278" s="251" t="s">
        <v>545</v>
      </c>
      <c r="AM278" s="251">
        <v>10081712</v>
      </c>
      <c r="AN278" s="251" t="s">
        <v>1109</v>
      </c>
      <c r="AO278" s="253">
        <v>43404</v>
      </c>
      <c r="AP278" s="252" t="s">
        <v>1523</v>
      </c>
      <c r="AQ278" s="254">
        <v>43426</v>
      </c>
      <c r="AR278" s="251" t="s">
        <v>1136</v>
      </c>
    </row>
    <row r="279" spans="1:44" ht="15" x14ac:dyDescent="0.25">
      <c r="A279" s="245" t="str">
        <f>HYPERLINK("http://www.ofsted.gov.uk/inspection-reports/find-inspection-report/provider/ELS/134148 ","Ofsted School Webpage")</f>
        <v>Ofsted School Webpage</v>
      </c>
      <c r="B279" s="246">
        <v>134148</v>
      </c>
      <c r="C279" s="246">
        <v>8456051</v>
      </c>
      <c r="D279" s="246" t="s">
        <v>1999</v>
      </c>
      <c r="E279" s="246" t="s">
        <v>248</v>
      </c>
      <c r="F279" s="246" t="s">
        <v>93</v>
      </c>
      <c r="G279" s="246" t="s">
        <v>93</v>
      </c>
      <c r="H279" s="246" t="s">
        <v>93</v>
      </c>
      <c r="I279" s="246" t="s">
        <v>90</v>
      </c>
      <c r="J279" s="246" t="s">
        <v>1490</v>
      </c>
      <c r="K279" s="246" t="s">
        <v>486</v>
      </c>
      <c r="L279" s="246" t="s">
        <v>487</v>
      </c>
      <c r="M279" s="246" t="s">
        <v>581</v>
      </c>
      <c r="N279" s="246" t="s">
        <v>581</v>
      </c>
      <c r="O279" s="246" t="s">
        <v>761</v>
      </c>
      <c r="P279" s="246" t="s">
        <v>2000</v>
      </c>
      <c r="Q279" s="247">
        <v>10020900</v>
      </c>
      <c r="R279" s="248">
        <v>42927</v>
      </c>
      <c r="S279" s="248">
        <v>42929</v>
      </c>
      <c r="T279" s="248">
        <v>42992</v>
      </c>
      <c r="U279" s="246" t="s">
        <v>488</v>
      </c>
      <c r="V279" s="246">
        <v>2</v>
      </c>
      <c r="W279" s="246" t="s">
        <v>219</v>
      </c>
      <c r="X279" s="246">
        <v>2</v>
      </c>
      <c r="Y279" s="246">
        <v>2</v>
      </c>
      <c r="Z279" s="246">
        <v>2</v>
      </c>
      <c r="AA279" s="246">
        <v>2</v>
      </c>
      <c r="AB279" s="246" t="s">
        <v>486</v>
      </c>
      <c r="AC279" s="246">
        <v>2</v>
      </c>
      <c r="AD279" s="246" t="s">
        <v>486</v>
      </c>
      <c r="AE279" s="246" t="s">
        <v>486</v>
      </c>
      <c r="AF279" s="246" t="s">
        <v>486</v>
      </c>
      <c r="AG279" s="246" t="s">
        <v>486</v>
      </c>
      <c r="AH279" s="246" t="s">
        <v>486</v>
      </c>
      <c r="AI279" s="246" t="s">
        <v>486</v>
      </c>
      <c r="AJ279" s="246" t="s">
        <v>486</v>
      </c>
      <c r="AK279" s="246" t="s">
        <v>486</v>
      </c>
      <c r="AL279" s="246" t="s">
        <v>491</v>
      </c>
      <c r="AM279" s="246" t="s">
        <v>486</v>
      </c>
      <c r="AN279" s="246" t="s">
        <v>486</v>
      </c>
      <c r="AO279" s="248" t="s">
        <v>486</v>
      </c>
      <c r="AP279" s="247" t="s">
        <v>486</v>
      </c>
      <c r="AQ279" s="249" t="s">
        <v>486</v>
      </c>
      <c r="AR279" s="246" t="s">
        <v>486</v>
      </c>
    </row>
    <row r="280" spans="1:44" ht="15" x14ac:dyDescent="0.25">
      <c r="A280" s="250" t="str">
        <f>HYPERLINK("http://www.ofsted.gov.uk/inspection-reports/find-inspection-report/provider/ELS/134571 ","Ofsted School Webpage")</f>
        <v>Ofsted School Webpage</v>
      </c>
      <c r="B280" s="251">
        <v>134571</v>
      </c>
      <c r="C280" s="251">
        <v>3306106</v>
      </c>
      <c r="D280" s="251" t="s">
        <v>2001</v>
      </c>
      <c r="E280" s="251" t="s">
        <v>247</v>
      </c>
      <c r="F280" s="251" t="s">
        <v>93</v>
      </c>
      <c r="G280" s="251" t="s">
        <v>84</v>
      </c>
      <c r="H280" s="251" t="s">
        <v>84</v>
      </c>
      <c r="I280" s="251" t="s">
        <v>84</v>
      </c>
      <c r="J280" s="251" t="s">
        <v>1490</v>
      </c>
      <c r="K280" s="251" t="s">
        <v>486</v>
      </c>
      <c r="L280" s="251" t="s">
        <v>487</v>
      </c>
      <c r="M280" s="251" t="s">
        <v>502</v>
      </c>
      <c r="N280" s="251" t="s">
        <v>502</v>
      </c>
      <c r="O280" s="251" t="s">
        <v>909</v>
      </c>
      <c r="P280" s="251" t="s">
        <v>2002</v>
      </c>
      <c r="Q280" s="252">
        <v>10033569</v>
      </c>
      <c r="R280" s="253">
        <v>42927</v>
      </c>
      <c r="S280" s="253">
        <v>42929</v>
      </c>
      <c r="T280" s="253">
        <v>42999</v>
      </c>
      <c r="U280" s="251" t="s">
        <v>488</v>
      </c>
      <c r="V280" s="251">
        <v>3</v>
      </c>
      <c r="W280" s="251" t="s">
        <v>219</v>
      </c>
      <c r="X280" s="251">
        <v>3</v>
      </c>
      <c r="Y280" s="251">
        <v>2</v>
      </c>
      <c r="Z280" s="251">
        <v>3</v>
      </c>
      <c r="AA280" s="251">
        <v>3</v>
      </c>
      <c r="AB280" s="251" t="s">
        <v>486</v>
      </c>
      <c r="AC280" s="251">
        <v>2</v>
      </c>
      <c r="AD280" s="251" t="s">
        <v>486</v>
      </c>
      <c r="AE280" s="251" t="s">
        <v>486</v>
      </c>
      <c r="AF280" s="251" t="s">
        <v>486</v>
      </c>
      <c r="AG280" s="251" t="s">
        <v>486</v>
      </c>
      <c r="AH280" s="251" t="s">
        <v>486</v>
      </c>
      <c r="AI280" s="251" t="s">
        <v>486</v>
      </c>
      <c r="AJ280" s="251" t="s">
        <v>486</v>
      </c>
      <c r="AK280" s="251" t="s">
        <v>486</v>
      </c>
      <c r="AL280" s="251" t="s">
        <v>545</v>
      </c>
      <c r="AM280" s="251" t="s">
        <v>486</v>
      </c>
      <c r="AN280" s="251" t="s">
        <v>486</v>
      </c>
      <c r="AO280" s="253" t="s">
        <v>486</v>
      </c>
      <c r="AP280" s="252" t="s">
        <v>486</v>
      </c>
      <c r="AQ280" s="254" t="s">
        <v>486</v>
      </c>
      <c r="AR280" s="251" t="s">
        <v>486</v>
      </c>
    </row>
    <row r="281" spans="1:44" ht="15" x14ac:dyDescent="0.25">
      <c r="A281" s="245" t="str">
        <f>HYPERLINK("http://www.ofsted.gov.uk/inspection-reports/find-inspection-report/provider/ELS/134810 ","Ofsted School Webpage")</f>
        <v>Ofsted School Webpage</v>
      </c>
      <c r="B281" s="246">
        <v>134810</v>
      </c>
      <c r="C281" s="246">
        <v>2116394</v>
      </c>
      <c r="D281" s="246" t="s">
        <v>2003</v>
      </c>
      <c r="E281" s="246" t="s">
        <v>247</v>
      </c>
      <c r="F281" s="246" t="s">
        <v>93</v>
      </c>
      <c r="G281" s="246" t="s">
        <v>84</v>
      </c>
      <c r="H281" s="246" t="s">
        <v>84</v>
      </c>
      <c r="I281" s="246" t="s">
        <v>84</v>
      </c>
      <c r="J281" s="246" t="s">
        <v>1490</v>
      </c>
      <c r="K281" s="246" t="s">
        <v>486</v>
      </c>
      <c r="L281" s="246" t="s">
        <v>487</v>
      </c>
      <c r="M281" s="246" t="s">
        <v>506</v>
      </c>
      <c r="N281" s="246" t="s">
        <v>506</v>
      </c>
      <c r="O281" s="246" t="s">
        <v>849</v>
      </c>
      <c r="P281" s="246" t="s">
        <v>2004</v>
      </c>
      <c r="Q281" s="247">
        <v>10033689</v>
      </c>
      <c r="R281" s="248">
        <v>42927</v>
      </c>
      <c r="S281" s="248">
        <v>42929</v>
      </c>
      <c r="T281" s="248">
        <v>42992</v>
      </c>
      <c r="U281" s="246" t="s">
        <v>488</v>
      </c>
      <c r="V281" s="246">
        <v>2</v>
      </c>
      <c r="W281" s="246" t="s">
        <v>219</v>
      </c>
      <c r="X281" s="246">
        <v>2</v>
      </c>
      <c r="Y281" s="246">
        <v>2</v>
      </c>
      <c r="Z281" s="246">
        <v>2</v>
      </c>
      <c r="AA281" s="246">
        <v>2</v>
      </c>
      <c r="AB281" s="246" t="s">
        <v>486</v>
      </c>
      <c r="AC281" s="246" t="s">
        <v>486</v>
      </c>
      <c r="AD281" s="246" t="s">
        <v>486</v>
      </c>
      <c r="AE281" s="246" t="s">
        <v>486</v>
      </c>
      <c r="AF281" s="246" t="s">
        <v>486</v>
      </c>
      <c r="AG281" s="246" t="s">
        <v>486</v>
      </c>
      <c r="AH281" s="246" t="s">
        <v>486</v>
      </c>
      <c r="AI281" s="246" t="s">
        <v>486</v>
      </c>
      <c r="AJ281" s="246" t="s">
        <v>486</v>
      </c>
      <c r="AK281" s="246" t="s">
        <v>486</v>
      </c>
      <c r="AL281" s="246" t="s">
        <v>491</v>
      </c>
      <c r="AM281" s="246" t="s">
        <v>486</v>
      </c>
      <c r="AN281" s="246" t="s">
        <v>486</v>
      </c>
      <c r="AO281" s="248" t="s">
        <v>486</v>
      </c>
      <c r="AP281" s="247" t="s">
        <v>486</v>
      </c>
      <c r="AQ281" s="249" t="s">
        <v>486</v>
      </c>
      <c r="AR281" s="246" t="s">
        <v>486</v>
      </c>
    </row>
    <row r="282" spans="1:44" ht="15" x14ac:dyDescent="0.25">
      <c r="A282" s="250" t="str">
        <f>HYPERLINK("http://www.ofsted.gov.uk/inspection-reports/find-inspection-report/provider/ELS/136088 ","Ofsted School Webpage")</f>
        <v>Ofsted School Webpage</v>
      </c>
      <c r="B282" s="251">
        <v>136088</v>
      </c>
      <c r="C282" s="251">
        <v>3436134</v>
      </c>
      <c r="D282" s="251" t="s">
        <v>2005</v>
      </c>
      <c r="E282" s="251" t="s">
        <v>248</v>
      </c>
      <c r="F282" s="251" t="s">
        <v>93</v>
      </c>
      <c r="G282" s="251" t="s">
        <v>93</v>
      </c>
      <c r="H282" s="251" t="s">
        <v>93</v>
      </c>
      <c r="I282" s="251" t="s">
        <v>90</v>
      </c>
      <c r="J282" s="251" t="s">
        <v>1490</v>
      </c>
      <c r="K282" s="251" t="s">
        <v>486</v>
      </c>
      <c r="L282" s="251" t="s">
        <v>487</v>
      </c>
      <c r="M282" s="251" t="s">
        <v>495</v>
      </c>
      <c r="N282" s="251" t="s">
        <v>495</v>
      </c>
      <c r="O282" s="251" t="s">
        <v>1435</v>
      </c>
      <c r="P282" s="251" t="s">
        <v>2006</v>
      </c>
      <c r="Q282" s="252">
        <v>10026016</v>
      </c>
      <c r="R282" s="253">
        <v>42927</v>
      </c>
      <c r="S282" s="253">
        <v>42929</v>
      </c>
      <c r="T282" s="253">
        <v>42998</v>
      </c>
      <c r="U282" s="251" t="s">
        <v>488</v>
      </c>
      <c r="V282" s="251">
        <v>2</v>
      </c>
      <c r="W282" s="251" t="s">
        <v>219</v>
      </c>
      <c r="X282" s="251">
        <v>2</v>
      </c>
      <c r="Y282" s="251">
        <v>2</v>
      </c>
      <c r="Z282" s="251">
        <v>2</v>
      </c>
      <c r="AA282" s="251">
        <v>2</v>
      </c>
      <c r="AB282" s="251" t="s">
        <v>486</v>
      </c>
      <c r="AC282" s="251" t="s">
        <v>486</v>
      </c>
      <c r="AD282" s="251" t="s">
        <v>486</v>
      </c>
      <c r="AE282" s="251" t="s">
        <v>486</v>
      </c>
      <c r="AF282" s="251" t="s">
        <v>486</v>
      </c>
      <c r="AG282" s="251" t="s">
        <v>486</v>
      </c>
      <c r="AH282" s="251" t="s">
        <v>486</v>
      </c>
      <c r="AI282" s="251" t="s">
        <v>486</v>
      </c>
      <c r="AJ282" s="251" t="s">
        <v>486</v>
      </c>
      <c r="AK282" s="251" t="s">
        <v>486</v>
      </c>
      <c r="AL282" s="251" t="s">
        <v>491</v>
      </c>
      <c r="AM282" s="251" t="s">
        <v>486</v>
      </c>
      <c r="AN282" s="251" t="s">
        <v>486</v>
      </c>
      <c r="AO282" s="253" t="s">
        <v>486</v>
      </c>
      <c r="AP282" s="252" t="s">
        <v>486</v>
      </c>
      <c r="AQ282" s="254" t="s">
        <v>486</v>
      </c>
      <c r="AR282" s="251" t="s">
        <v>486</v>
      </c>
    </row>
    <row r="283" spans="1:44" ht="15" x14ac:dyDescent="0.25">
      <c r="A283" s="245" t="str">
        <f>HYPERLINK("http://www.ofsted.gov.uk/inspection-reports/find-inspection-report/provider/ELS/136098 ","Ofsted School Webpage")</f>
        <v>Ofsted School Webpage</v>
      </c>
      <c r="B283" s="246">
        <v>136098</v>
      </c>
      <c r="C283" s="246">
        <v>8886042</v>
      </c>
      <c r="D283" s="246" t="s">
        <v>2007</v>
      </c>
      <c r="E283" s="246" t="s">
        <v>247</v>
      </c>
      <c r="F283" s="246" t="s">
        <v>83</v>
      </c>
      <c r="G283" s="246" t="s">
        <v>84</v>
      </c>
      <c r="H283" s="246" t="s">
        <v>83</v>
      </c>
      <c r="I283" s="246" t="s">
        <v>84</v>
      </c>
      <c r="J283" s="246" t="s">
        <v>1490</v>
      </c>
      <c r="K283" s="246" t="s">
        <v>486</v>
      </c>
      <c r="L283" s="246" t="s">
        <v>487</v>
      </c>
      <c r="M283" s="246" t="s">
        <v>495</v>
      </c>
      <c r="N283" s="246" t="s">
        <v>495</v>
      </c>
      <c r="O283" s="246" t="s">
        <v>534</v>
      </c>
      <c r="P283" s="246" t="s">
        <v>2008</v>
      </c>
      <c r="Q283" s="247">
        <v>10034030</v>
      </c>
      <c r="R283" s="248">
        <v>42927</v>
      </c>
      <c r="S283" s="248">
        <v>42929</v>
      </c>
      <c r="T283" s="248">
        <v>43000</v>
      </c>
      <c r="U283" s="246" t="s">
        <v>488</v>
      </c>
      <c r="V283" s="246">
        <v>1</v>
      </c>
      <c r="W283" s="246" t="s">
        <v>219</v>
      </c>
      <c r="X283" s="246">
        <v>1</v>
      </c>
      <c r="Y283" s="246">
        <v>1</v>
      </c>
      <c r="Z283" s="246">
        <v>1</v>
      </c>
      <c r="AA283" s="246">
        <v>1</v>
      </c>
      <c r="AB283" s="246">
        <v>1</v>
      </c>
      <c r="AC283" s="246" t="s">
        <v>486</v>
      </c>
      <c r="AD283" s="246" t="s">
        <v>486</v>
      </c>
      <c r="AE283" s="246" t="s">
        <v>486</v>
      </c>
      <c r="AF283" s="246" t="s">
        <v>486</v>
      </c>
      <c r="AG283" s="246" t="s">
        <v>486</v>
      </c>
      <c r="AH283" s="246" t="s">
        <v>486</v>
      </c>
      <c r="AI283" s="246" t="s">
        <v>486</v>
      </c>
      <c r="AJ283" s="246" t="s">
        <v>486</v>
      </c>
      <c r="AK283" s="246" t="s">
        <v>486</v>
      </c>
      <c r="AL283" s="246" t="s">
        <v>491</v>
      </c>
      <c r="AM283" s="246" t="s">
        <v>486</v>
      </c>
      <c r="AN283" s="246" t="s">
        <v>486</v>
      </c>
      <c r="AO283" s="248" t="s">
        <v>486</v>
      </c>
      <c r="AP283" s="247" t="s">
        <v>486</v>
      </c>
      <c r="AQ283" s="249" t="s">
        <v>486</v>
      </c>
      <c r="AR283" s="246" t="s">
        <v>486</v>
      </c>
    </row>
    <row r="284" spans="1:44" ht="15" x14ac:dyDescent="0.25">
      <c r="A284" s="250" t="str">
        <f>HYPERLINK("http://www.ofsted.gov.uk/inspection-reports/find-inspection-report/provider/ELS/139603 ","Ofsted School Webpage")</f>
        <v>Ofsted School Webpage</v>
      </c>
      <c r="B284" s="251">
        <v>139603</v>
      </c>
      <c r="C284" s="251">
        <v>8916023</v>
      </c>
      <c r="D284" s="251" t="s">
        <v>2009</v>
      </c>
      <c r="E284" s="251" t="s">
        <v>248</v>
      </c>
      <c r="F284" s="251" t="s">
        <v>93</v>
      </c>
      <c r="G284" s="251" t="s">
        <v>93</v>
      </c>
      <c r="H284" s="251" t="s">
        <v>93</v>
      </c>
      <c r="I284" s="251" t="s">
        <v>90</v>
      </c>
      <c r="J284" s="251" t="s">
        <v>1490</v>
      </c>
      <c r="K284" s="251" t="s">
        <v>486</v>
      </c>
      <c r="L284" s="251" t="s">
        <v>487</v>
      </c>
      <c r="M284" s="251" t="s">
        <v>572</v>
      </c>
      <c r="N284" s="251" t="s">
        <v>572</v>
      </c>
      <c r="O284" s="251" t="s">
        <v>852</v>
      </c>
      <c r="P284" s="251" t="s">
        <v>2010</v>
      </c>
      <c r="Q284" s="252">
        <v>10026053</v>
      </c>
      <c r="R284" s="253">
        <v>42927</v>
      </c>
      <c r="S284" s="253">
        <v>42929</v>
      </c>
      <c r="T284" s="253">
        <v>42989</v>
      </c>
      <c r="U284" s="251" t="s">
        <v>488</v>
      </c>
      <c r="V284" s="251">
        <v>2</v>
      </c>
      <c r="W284" s="251" t="s">
        <v>219</v>
      </c>
      <c r="X284" s="251">
        <v>1</v>
      </c>
      <c r="Y284" s="251">
        <v>1</v>
      </c>
      <c r="Z284" s="251">
        <v>2</v>
      </c>
      <c r="AA284" s="251">
        <v>2</v>
      </c>
      <c r="AB284" s="251" t="s">
        <v>486</v>
      </c>
      <c r="AC284" s="251">
        <v>2</v>
      </c>
      <c r="AD284" s="251" t="s">
        <v>486</v>
      </c>
      <c r="AE284" s="251" t="s">
        <v>486</v>
      </c>
      <c r="AF284" s="251" t="s">
        <v>486</v>
      </c>
      <c r="AG284" s="251" t="s">
        <v>486</v>
      </c>
      <c r="AH284" s="251" t="s">
        <v>486</v>
      </c>
      <c r="AI284" s="251" t="s">
        <v>486</v>
      </c>
      <c r="AJ284" s="251" t="s">
        <v>486</v>
      </c>
      <c r="AK284" s="251" t="s">
        <v>486</v>
      </c>
      <c r="AL284" s="251" t="s">
        <v>491</v>
      </c>
      <c r="AM284" s="251" t="s">
        <v>486</v>
      </c>
      <c r="AN284" s="251" t="s">
        <v>486</v>
      </c>
      <c r="AO284" s="253" t="s">
        <v>486</v>
      </c>
      <c r="AP284" s="252" t="s">
        <v>486</v>
      </c>
      <c r="AQ284" s="254" t="s">
        <v>486</v>
      </c>
      <c r="AR284" s="251" t="s">
        <v>486</v>
      </c>
    </row>
    <row r="285" spans="1:44" ht="15" x14ac:dyDescent="0.25">
      <c r="A285" s="245" t="str">
        <f>HYPERLINK("http://www.ofsted.gov.uk/inspection-reports/find-inspection-report/provider/ELS/139733 ","Ofsted School Webpage")</f>
        <v>Ofsted School Webpage</v>
      </c>
      <c r="B285" s="246">
        <v>139733</v>
      </c>
      <c r="C285" s="246">
        <v>3836000</v>
      </c>
      <c r="D285" s="246" t="s">
        <v>1738</v>
      </c>
      <c r="E285" s="246" t="s">
        <v>248</v>
      </c>
      <c r="F285" s="246" t="s">
        <v>93</v>
      </c>
      <c r="G285" s="246" t="s">
        <v>93</v>
      </c>
      <c r="H285" s="246" t="s">
        <v>93</v>
      </c>
      <c r="I285" s="246" t="s">
        <v>90</v>
      </c>
      <c r="J285" s="246" t="s">
        <v>1490</v>
      </c>
      <c r="K285" s="246" t="s">
        <v>486</v>
      </c>
      <c r="L285" s="246" t="s">
        <v>487</v>
      </c>
      <c r="M285" s="246" t="s">
        <v>523</v>
      </c>
      <c r="N285" s="246" t="s">
        <v>524</v>
      </c>
      <c r="O285" s="246" t="s">
        <v>702</v>
      </c>
      <c r="P285" s="246" t="s">
        <v>2011</v>
      </c>
      <c r="Q285" s="247">
        <v>10033921</v>
      </c>
      <c r="R285" s="248">
        <v>42927</v>
      </c>
      <c r="S285" s="248">
        <v>42929</v>
      </c>
      <c r="T285" s="248">
        <v>42998</v>
      </c>
      <c r="U285" s="246" t="s">
        <v>488</v>
      </c>
      <c r="V285" s="246">
        <v>3</v>
      </c>
      <c r="W285" s="246" t="s">
        <v>219</v>
      </c>
      <c r="X285" s="246">
        <v>3</v>
      </c>
      <c r="Y285" s="246">
        <v>2</v>
      </c>
      <c r="Z285" s="246">
        <v>3</v>
      </c>
      <c r="AA285" s="246">
        <v>3</v>
      </c>
      <c r="AB285" s="246" t="s">
        <v>486</v>
      </c>
      <c r="AC285" s="246" t="s">
        <v>486</v>
      </c>
      <c r="AD285" s="246" t="s">
        <v>486</v>
      </c>
      <c r="AE285" s="246" t="s">
        <v>486</v>
      </c>
      <c r="AF285" s="246" t="s">
        <v>486</v>
      </c>
      <c r="AG285" s="246" t="s">
        <v>486</v>
      </c>
      <c r="AH285" s="246" t="s">
        <v>486</v>
      </c>
      <c r="AI285" s="246" t="s">
        <v>486</v>
      </c>
      <c r="AJ285" s="246" t="s">
        <v>486</v>
      </c>
      <c r="AK285" s="246" t="s">
        <v>486</v>
      </c>
      <c r="AL285" s="246" t="s">
        <v>545</v>
      </c>
      <c r="AM285" s="246" t="s">
        <v>486</v>
      </c>
      <c r="AN285" s="246" t="s">
        <v>486</v>
      </c>
      <c r="AO285" s="248" t="s">
        <v>486</v>
      </c>
      <c r="AP285" s="247" t="s">
        <v>486</v>
      </c>
      <c r="AQ285" s="249" t="s">
        <v>486</v>
      </c>
      <c r="AR285" s="246" t="s">
        <v>486</v>
      </c>
    </row>
    <row r="286" spans="1:44" ht="15" x14ac:dyDescent="0.25">
      <c r="A286" s="250" t="str">
        <f>HYPERLINK("http://www.ofsted.gov.uk/inspection-reports/find-inspection-report/provider/ELS/136434 ","Ofsted School Webpage")</f>
        <v>Ofsted School Webpage</v>
      </c>
      <c r="B286" s="251">
        <v>136434</v>
      </c>
      <c r="C286" s="251">
        <v>9356229</v>
      </c>
      <c r="D286" s="251" t="s">
        <v>1266</v>
      </c>
      <c r="E286" s="251" t="s">
        <v>248</v>
      </c>
      <c r="F286" s="251" t="s">
        <v>93</v>
      </c>
      <c r="G286" s="251" t="s">
        <v>93</v>
      </c>
      <c r="H286" s="251" t="s">
        <v>93</v>
      </c>
      <c r="I286" s="251" t="s">
        <v>90</v>
      </c>
      <c r="J286" s="251" t="s">
        <v>1490</v>
      </c>
      <c r="K286" s="251" t="s">
        <v>486</v>
      </c>
      <c r="L286" s="251" t="s">
        <v>487</v>
      </c>
      <c r="M286" s="251" t="s">
        <v>516</v>
      </c>
      <c r="N286" s="251" t="s">
        <v>516</v>
      </c>
      <c r="O286" s="251" t="s">
        <v>937</v>
      </c>
      <c r="P286" s="251" t="s">
        <v>1267</v>
      </c>
      <c r="Q286" s="252">
        <v>10038909</v>
      </c>
      <c r="R286" s="253">
        <v>42990</v>
      </c>
      <c r="S286" s="253">
        <v>42991</v>
      </c>
      <c r="T286" s="253">
        <v>43021</v>
      </c>
      <c r="U286" s="251" t="s">
        <v>2930</v>
      </c>
      <c r="V286" s="251">
        <v>3</v>
      </c>
      <c r="W286" s="251" t="s">
        <v>219</v>
      </c>
      <c r="X286" s="251">
        <v>3</v>
      </c>
      <c r="Y286" s="251">
        <v>3</v>
      </c>
      <c r="Z286" s="251">
        <v>3</v>
      </c>
      <c r="AA286" s="251">
        <v>3</v>
      </c>
      <c r="AB286" s="251" t="s">
        <v>486</v>
      </c>
      <c r="AC286" s="251" t="s">
        <v>486</v>
      </c>
      <c r="AD286" s="251" t="s">
        <v>486</v>
      </c>
      <c r="AE286" s="251" t="s">
        <v>486</v>
      </c>
      <c r="AF286" s="251" t="s">
        <v>486</v>
      </c>
      <c r="AG286" s="251" t="s">
        <v>486</v>
      </c>
      <c r="AH286" s="251" t="s">
        <v>486</v>
      </c>
      <c r="AI286" s="251" t="s">
        <v>486</v>
      </c>
      <c r="AJ286" s="251" t="s">
        <v>486</v>
      </c>
      <c r="AK286" s="251" t="s">
        <v>486</v>
      </c>
      <c r="AL286" s="251" t="s">
        <v>545</v>
      </c>
      <c r="AM286" s="251">
        <v>10083764</v>
      </c>
      <c r="AN286" s="251" t="s">
        <v>1109</v>
      </c>
      <c r="AO286" s="253">
        <v>43433</v>
      </c>
      <c r="AP286" s="252" t="s">
        <v>1523</v>
      </c>
      <c r="AQ286" s="254">
        <v>43478</v>
      </c>
      <c r="AR286" s="251" t="s">
        <v>1110</v>
      </c>
    </row>
    <row r="287" spans="1:44" ht="15" x14ac:dyDescent="0.25">
      <c r="A287" s="245" t="str">
        <f>HYPERLINK("http://www.ofsted.gov.uk/inspection-reports/find-inspection-report/provider/ELS/142659 ","Ofsted School Webpage")</f>
        <v>Ofsted School Webpage</v>
      </c>
      <c r="B287" s="246">
        <v>142659</v>
      </c>
      <c r="C287" s="246">
        <v>8556036</v>
      </c>
      <c r="D287" s="246" t="s">
        <v>2012</v>
      </c>
      <c r="E287" s="246" t="s">
        <v>248</v>
      </c>
      <c r="F287" s="246" t="s">
        <v>93</v>
      </c>
      <c r="G287" s="246" t="s">
        <v>93</v>
      </c>
      <c r="H287" s="246" t="s">
        <v>93</v>
      </c>
      <c r="I287" s="246" t="s">
        <v>90</v>
      </c>
      <c r="J287" s="246" t="s">
        <v>1490</v>
      </c>
      <c r="K287" s="246" t="s">
        <v>486</v>
      </c>
      <c r="L287" s="246" t="s">
        <v>487</v>
      </c>
      <c r="M287" s="246" t="s">
        <v>572</v>
      </c>
      <c r="N287" s="246" t="s">
        <v>572</v>
      </c>
      <c r="O287" s="246" t="s">
        <v>966</v>
      </c>
      <c r="P287" s="246" t="s">
        <v>2013</v>
      </c>
      <c r="Q287" s="247">
        <v>10039199</v>
      </c>
      <c r="R287" s="248">
        <v>42990</v>
      </c>
      <c r="S287" s="248">
        <v>42991</v>
      </c>
      <c r="T287" s="248">
        <v>43018</v>
      </c>
      <c r="U287" s="246" t="s">
        <v>499</v>
      </c>
      <c r="V287" s="246">
        <v>2</v>
      </c>
      <c r="W287" s="246" t="s">
        <v>219</v>
      </c>
      <c r="X287" s="246">
        <v>2</v>
      </c>
      <c r="Y287" s="246">
        <v>2</v>
      </c>
      <c r="Z287" s="246">
        <v>2</v>
      </c>
      <c r="AA287" s="246">
        <v>2</v>
      </c>
      <c r="AB287" s="246" t="s">
        <v>486</v>
      </c>
      <c r="AC287" s="246" t="s">
        <v>486</v>
      </c>
      <c r="AD287" s="246" t="s">
        <v>512</v>
      </c>
      <c r="AE287" s="246" t="s">
        <v>490</v>
      </c>
      <c r="AF287" s="246" t="s">
        <v>486</v>
      </c>
      <c r="AG287" s="246" t="s">
        <v>486</v>
      </c>
      <c r="AH287" s="246" t="s">
        <v>486</v>
      </c>
      <c r="AI287" s="246" t="s">
        <v>486</v>
      </c>
      <c r="AJ287" s="246" t="s">
        <v>486</v>
      </c>
      <c r="AK287" s="246" t="s">
        <v>486</v>
      </c>
      <c r="AL287" s="246" t="s">
        <v>491</v>
      </c>
      <c r="AM287" s="246" t="s">
        <v>486</v>
      </c>
      <c r="AN287" s="246" t="s">
        <v>486</v>
      </c>
      <c r="AO287" s="248" t="s">
        <v>486</v>
      </c>
      <c r="AP287" s="247" t="s">
        <v>486</v>
      </c>
      <c r="AQ287" s="249" t="s">
        <v>486</v>
      </c>
      <c r="AR287" s="246" t="s">
        <v>486</v>
      </c>
    </row>
    <row r="288" spans="1:44" ht="15" x14ac:dyDescent="0.25">
      <c r="A288" s="250" t="str">
        <f>HYPERLINK("http://www.ofsted.gov.uk/inspection-reports/find-inspection-report/provider/ELS/100372 ","Ofsted School Webpage")</f>
        <v>Ofsted School Webpage</v>
      </c>
      <c r="B288" s="251">
        <v>100372</v>
      </c>
      <c r="C288" s="251">
        <v>2056382</v>
      </c>
      <c r="D288" s="251" t="s">
        <v>2014</v>
      </c>
      <c r="E288" s="251" t="s">
        <v>247</v>
      </c>
      <c r="F288" s="251" t="s">
        <v>83</v>
      </c>
      <c r="G288" s="251" t="s">
        <v>84</v>
      </c>
      <c r="H288" s="251" t="s">
        <v>83</v>
      </c>
      <c r="I288" s="251" t="s">
        <v>84</v>
      </c>
      <c r="J288" s="251" t="s">
        <v>1490</v>
      </c>
      <c r="K288" s="251" t="s">
        <v>486</v>
      </c>
      <c r="L288" s="251" t="s">
        <v>487</v>
      </c>
      <c r="M288" s="251" t="s">
        <v>506</v>
      </c>
      <c r="N288" s="251" t="s">
        <v>506</v>
      </c>
      <c r="O288" s="251" t="s">
        <v>862</v>
      </c>
      <c r="P288" s="251" t="s">
        <v>2015</v>
      </c>
      <c r="Q288" s="252">
        <v>10035773</v>
      </c>
      <c r="R288" s="253">
        <v>42990</v>
      </c>
      <c r="S288" s="253">
        <v>42992</v>
      </c>
      <c r="T288" s="253">
        <v>43201</v>
      </c>
      <c r="U288" s="251" t="s">
        <v>488</v>
      </c>
      <c r="V288" s="251">
        <v>3</v>
      </c>
      <c r="W288" s="251" t="s">
        <v>219</v>
      </c>
      <c r="X288" s="251">
        <v>3</v>
      </c>
      <c r="Y288" s="251">
        <v>3</v>
      </c>
      <c r="Z288" s="251">
        <v>3</v>
      </c>
      <c r="AA288" s="251">
        <v>3</v>
      </c>
      <c r="AB288" s="251">
        <v>3</v>
      </c>
      <c r="AC288" s="251" t="s">
        <v>486</v>
      </c>
      <c r="AD288" s="251" t="s">
        <v>486</v>
      </c>
      <c r="AE288" s="251" t="s">
        <v>486</v>
      </c>
      <c r="AF288" s="251" t="s">
        <v>486</v>
      </c>
      <c r="AG288" s="251" t="s">
        <v>486</v>
      </c>
      <c r="AH288" s="251" t="s">
        <v>486</v>
      </c>
      <c r="AI288" s="251" t="s">
        <v>486</v>
      </c>
      <c r="AJ288" s="251" t="s">
        <v>486</v>
      </c>
      <c r="AK288" s="251" t="s">
        <v>486</v>
      </c>
      <c r="AL288" s="251" t="s">
        <v>491</v>
      </c>
      <c r="AM288" s="251" t="s">
        <v>486</v>
      </c>
      <c r="AN288" s="251" t="s">
        <v>486</v>
      </c>
      <c r="AO288" s="253" t="s">
        <v>486</v>
      </c>
      <c r="AP288" s="252" t="s">
        <v>486</v>
      </c>
      <c r="AQ288" s="254" t="s">
        <v>486</v>
      </c>
      <c r="AR288" s="251" t="s">
        <v>486</v>
      </c>
    </row>
    <row r="289" spans="1:44" ht="15" x14ac:dyDescent="0.25">
      <c r="A289" s="245" t="str">
        <f>HYPERLINK("http://www.ofsted.gov.uk/inspection-reports/find-inspection-report/provider/ELS/102939 ","Ofsted School Webpage")</f>
        <v>Ofsted School Webpage</v>
      </c>
      <c r="B289" s="246">
        <v>102939</v>
      </c>
      <c r="C289" s="246">
        <v>3186055</v>
      </c>
      <c r="D289" s="246" t="s">
        <v>2016</v>
      </c>
      <c r="E289" s="246" t="s">
        <v>247</v>
      </c>
      <c r="F289" s="246" t="s">
        <v>93</v>
      </c>
      <c r="G289" s="246" t="s">
        <v>71</v>
      </c>
      <c r="H289" s="246" t="s">
        <v>71</v>
      </c>
      <c r="I289" s="246" t="s">
        <v>71</v>
      </c>
      <c r="J289" s="246" t="s">
        <v>1490</v>
      </c>
      <c r="K289" s="246" t="s">
        <v>486</v>
      </c>
      <c r="L289" s="246" t="s">
        <v>487</v>
      </c>
      <c r="M289" s="246" t="s">
        <v>506</v>
      </c>
      <c r="N289" s="246" t="s">
        <v>506</v>
      </c>
      <c r="O289" s="246" t="s">
        <v>1040</v>
      </c>
      <c r="P289" s="246" t="s">
        <v>2017</v>
      </c>
      <c r="Q289" s="247">
        <v>10038158</v>
      </c>
      <c r="R289" s="248">
        <v>42990</v>
      </c>
      <c r="S289" s="248">
        <v>42992</v>
      </c>
      <c r="T289" s="248">
        <v>43020</v>
      </c>
      <c r="U289" s="246" t="s">
        <v>488</v>
      </c>
      <c r="V289" s="246">
        <v>1</v>
      </c>
      <c r="W289" s="246" t="s">
        <v>219</v>
      </c>
      <c r="X289" s="246">
        <v>1</v>
      </c>
      <c r="Y289" s="246">
        <v>1</v>
      </c>
      <c r="Z289" s="246">
        <v>1</v>
      </c>
      <c r="AA289" s="246">
        <v>1</v>
      </c>
      <c r="AB289" s="246">
        <v>1</v>
      </c>
      <c r="AC289" s="246" t="s">
        <v>486</v>
      </c>
      <c r="AD289" s="246" t="s">
        <v>486</v>
      </c>
      <c r="AE289" s="246" t="s">
        <v>486</v>
      </c>
      <c r="AF289" s="246" t="s">
        <v>486</v>
      </c>
      <c r="AG289" s="246" t="s">
        <v>486</v>
      </c>
      <c r="AH289" s="246" t="s">
        <v>486</v>
      </c>
      <c r="AI289" s="246" t="s">
        <v>486</v>
      </c>
      <c r="AJ289" s="246" t="s">
        <v>486</v>
      </c>
      <c r="AK289" s="246" t="s">
        <v>486</v>
      </c>
      <c r="AL289" s="246" t="s">
        <v>491</v>
      </c>
      <c r="AM289" s="246" t="s">
        <v>486</v>
      </c>
      <c r="AN289" s="246" t="s">
        <v>486</v>
      </c>
      <c r="AO289" s="248" t="s">
        <v>486</v>
      </c>
      <c r="AP289" s="247" t="s">
        <v>486</v>
      </c>
      <c r="AQ289" s="249" t="s">
        <v>486</v>
      </c>
      <c r="AR289" s="246" t="s">
        <v>486</v>
      </c>
    </row>
    <row r="290" spans="1:44" ht="15" x14ac:dyDescent="0.25">
      <c r="A290" s="250" t="str">
        <f>HYPERLINK("http://www.ofsted.gov.uk/inspection-reports/find-inspection-report/provider/ELS/109774 ","Ofsted School Webpage")</f>
        <v>Ofsted School Webpage</v>
      </c>
      <c r="B290" s="251">
        <v>109774</v>
      </c>
      <c r="C290" s="251">
        <v>3156588</v>
      </c>
      <c r="D290" s="251" t="s">
        <v>2018</v>
      </c>
      <c r="E290" s="251" t="s">
        <v>247</v>
      </c>
      <c r="F290" s="251" t="s">
        <v>93</v>
      </c>
      <c r="G290" s="251" t="s">
        <v>83</v>
      </c>
      <c r="H290" s="251" t="s">
        <v>83</v>
      </c>
      <c r="I290" s="251" t="s">
        <v>84</v>
      </c>
      <c r="J290" s="251" t="s">
        <v>1490</v>
      </c>
      <c r="K290" s="251" t="s">
        <v>486</v>
      </c>
      <c r="L290" s="251" t="s">
        <v>487</v>
      </c>
      <c r="M290" s="251" t="s">
        <v>506</v>
      </c>
      <c r="N290" s="251" t="s">
        <v>506</v>
      </c>
      <c r="O290" s="251" t="s">
        <v>1360</v>
      </c>
      <c r="P290" s="251" t="s">
        <v>2019</v>
      </c>
      <c r="Q290" s="252">
        <v>10034417</v>
      </c>
      <c r="R290" s="253">
        <v>42990</v>
      </c>
      <c r="S290" s="253">
        <v>42992</v>
      </c>
      <c r="T290" s="253">
        <v>43045</v>
      </c>
      <c r="U290" s="251" t="s">
        <v>488</v>
      </c>
      <c r="V290" s="251">
        <v>4</v>
      </c>
      <c r="W290" s="251" t="s">
        <v>219</v>
      </c>
      <c r="X290" s="251">
        <v>4</v>
      </c>
      <c r="Y290" s="251">
        <v>3</v>
      </c>
      <c r="Z290" s="251">
        <v>4</v>
      </c>
      <c r="AA290" s="251">
        <v>4</v>
      </c>
      <c r="AB290" s="251">
        <v>3</v>
      </c>
      <c r="AC290" s="251" t="s">
        <v>486</v>
      </c>
      <c r="AD290" s="251" t="s">
        <v>486</v>
      </c>
      <c r="AE290" s="251" t="s">
        <v>486</v>
      </c>
      <c r="AF290" s="251" t="s">
        <v>486</v>
      </c>
      <c r="AG290" s="251" t="s">
        <v>486</v>
      </c>
      <c r="AH290" s="251" t="s">
        <v>486</v>
      </c>
      <c r="AI290" s="251" t="s">
        <v>486</v>
      </c>
      <c r="AJ290" s="251" t="s">
        <v>486</v>
      </c>
      <c r="AK290" s="251" t="s">
        <v>486</v>
      </c>
      <c r="AL290" s="251" t="s">
        <v>545</v>
      </c>
      <c r="AM290" s="251">
        <v>10054990</v>
      </c>
      <c r="AN290" s="251" t="s">
        <v>1109</v>
      </c>
      <c r="AO290" s="253">
        <v>43278</v>
      </c>
      <c r="AP290" s="252" t="s">
        <v>1690</v>
      </c>
      <c r="AQ290" s="254">
        <v>43356</v>
      </c>
      <c r="AR290" s="251" t="s">
        <v>1136</v>
      </c>
    </row>
    <row r="291" spans="1:44" ht="15" x14ac:dyDescent="0.25">
      <c r="A291" s="245" t="str">
        <f>HYPERLINK("http://www.ofsted.gov.uk/inspection-reports/find-inspection-report/provider/ELS/130321 ","Ofsted School Webpage")</f>
        <v>Ofsted School Webpage</v>
      </c>
      <c r="B291" s="246">
        <v>130321</v>
      </c>
      <c r="C291" s="246">
        <v>8656027</v>
      </c>
      <c r="D291" s="246" t="s">
        <v>2020</v>
      </c>
      <c r="E291" s="246" t="s">
        <v>247</v>
      </c>
      <c r="F291" s="246" t="s">
        <v>93</v>
      </c>
      <c r="G291" s="246" t="s">
        <v>71</v>
      </c>
      <c r="H291" s="246" t="s">
        <v>71</v>
      </c>
      <c r="I291" s="246" t="s">
        <v>71</v>
      </c>
      <c r="J291" s="246" t="s">
        <v>1490</v>
      </c>
      <c r="K291" s="246" t="s">
        <v>486</v>
      </c>
      <c r="L291" s="246" t="s">
        <v>487</v>
      </c>
      <c r="M291" s="246" t="s">
        <v>483</v>
      </c>
      <c r="N291" s="246" t="s">
        <v>483</v>
      </c>
      <c r="O291" s="246" t="s">
        <v>791</v>
      </c>
      <c r="P291" s="246" t="s">
        <v>2021</v>
      </c>
      <c r="Q291" s="247">
        <v>10033888</v>
      </c>
      <c r="R291" s="248">
        <v>42990</v>
      </c>
      <c r="S291" s="248">
        <v>42992</v>
      </c>
      <c r="T291" s="248">
        <v>43027</v>
      </c>
      <c r="U291" s="246" t="s">
        <v>488</v>
      </c>
      <c r="V291" s="246">
        <v>2</v>
      </c>
      <c r="W291" s="246" t="s">
        <v>219</v>
      </c>
      <c r="X291" s="246">
        <v>2</v>
      </c>
      <c r="Y291" s="246">
        <v>2</v>
      </c>
      <c r="Z291" s="246">
        <v>2</v>
      </c>
      <c r="AA291" s="246">
        <v>2</v>
      </c>
      <c r="AB291" s="246">
        <v>2</v>
      </c>
      <c r="AC291" s="246" t="s">
        <v>486</v>
      </c>
      <c r="AD291" s="246" t="s">
        <v>486</v>
      </c>
      <c r="AE291" s="246" t="s">
        <v>486</v>
      </c>
      <c r="AF291" s="246" t="s">
        <v>486</v>
      </c>
      <c r="AG291" s="246" t="s">
        <v>486</v>
      </c>
      <c r="AH291" s="246" t="s">
        <v>486</v>
      </c>
      <c r="AI291" s="246" t="s">
        <v>486</v>
      </c>
      <c r="AJ291" s="246" t="s">
        <v>486</v>
      </c>
      <c r="AK291" s="246" t="s">
        <v>486</v>
      </c>
      <c r="AL291" s="246" t="s">
        <v>491</v>
      </c>
      <c r="AM291" s="246" t="s">
        <v>486</v>
      </c>
      <c r="AN291" s="246" t="s">
        <v>486</v>
      </c>
      <c r="AO291" s="248" t="s">
        <v>486</v>
      </c>
      <c r="AP291" s="247" t="s">
        <v>486</v>
      </c>
      <c r="AQ291" s="249" t="s">
        <v>486</v>
      </c>
      <c r="AR291" s="246" t="s">
        <v>486</v>
      </c>
    </row>
    <row r="292" spans="1:44" ht="15" x14ac:dyDescent="0.25">
      <c r="A292" s="250" t="str">
        <f>HYPERLINK("http://www.ofsted.gov.uk/inspection-reports/find-inspection-report/provider/ELS/131015 ","Ofsted School Webpage")</f>
        <v>Ofsted School Webpage</v>
      </c>
      <c r="B292" s="251">
        <v>131015</v>
      </c>
      <c r="C292" s="251">
        <v>3526053</v>
      </c>
      <c r="D292" s="251" t="s">
        <v>2022</v>
      </c>
      <c r="E292" s="251" t="s">
        <v>247</v>
      </c>
      <c r="F292" s="251" t="s">
        <v>82</v>
      </c>
      <c r="G292" s="251" t="s">
        <v>81</v>
      </c>
      <c r="H292" s="251" t="s">
        <v>82</v>
      </c>
      <c r="I292" s="251" t="s">
        <v>81</v>
      </c>
      <c r="J292" s="251" t="s">
        <v>1490</v>
      </c>
      <c r="K292" s="251" t="s">
        <v>486</v>
      </c>
      <c r="L292" s="251" t="s">
        <v>487</v>
      </c>
      <c r="M292" s="251" t="s">
        <v>495</v>
      </c>
      <c r="N292" s="251" t="s">
        <v>495</v>
      </c>
      <c r="O292" s="251" t="s">
        <v>744</v>
      </c>
      <c r="P292" s="251" t="s">
        <v>2023</v>
      </c>
      <c r="Q292" s="252">
        <v>10034025</v>
      </c>
      <c r="R292" s="253">
        <v>42990</v>
      </c>
      <c r="S292" s="253">
        <v>42992</v>
      </c>
      <c r="T292" s="253">
        <v>43032</v>
      </c>
      <c r="U292" s="251" t="s">
        <v>488</v>
      </c>
      <c r="V292" s="251">
        <v>2</v>
      </c>
      <c r="W292" s="251" t="s">
        <v>219</v>
      </c>
      <c r="X292" s="251">
        <v>2</v>
      </c>
      <c r="Y292" s="251">
        <v>2</v>
      </c>
      <c r="Z292" s="251">
        <v>2</v>
      </c>
      <c r="AA292" s="251">
        <v>2</v>
      </c>
      <c r="AB292" s="251" t="s">
        <v>486</v>
      </c>
      <c r="AC292" s="251" t="s">
        <v>486</v>
      </c>
      <c r="AD292" s="251" t="s">
        <v>486</v>
      </c>
      <c r="AE292" s="251" t="s">
        <v>486</v>
      </c>
      <c r="AF292" s="251" t="s">
        <v>486</v>
      </c>
      <c r="AG292" s="251" t="s">
        <v>486</v>
      </c>
      <c r="AH292" s="251" t="s">
        <v>486</v>
      </c>
      <c r="AI292" s="251" t="s">
        <v>486</v>
      </c>
      <c r="AJ292" s="251" t="s">
        <v>486</v>
      </c>
      <c r="AK292" s="251" t="s">
        <v>486</v>
      </c>
      <c r="AL292" s="251" t="s">
        <v>491</v>
      </c>
      <c r="AM292" s="251" t="s">
        <v>486</v>
      </c>
      <c r="AN292" s="251" t="s">
        <v>486</v>
      </c>
      <c r="AO292" s="253" t="s">
        <v>486</v>
      </c>
      <c r="AP292" s="252" t="s">
        <v>486</v>
      </c>
      <c r="AQ292" s="254" t="s">
        <v>486</v>
      </c>
      <c r="AR292" s="251" t="s">
        <v>486</v>
      </c>
    </row>
    <row r="293" spans="1:44" ht="15" x14ac:dyDescent="0.25">
      <c r="A293" s="245" t="str">
        <f>HYPERLINK("http://www.ofsted.gov.uk/inspection-reports/find-inspection-report/provider/ELS/133527 ","Ofsted School Webpage")</f>
        <v>Ofsted School Webpage</v>
      </c>
      <c r="B293" s="246">
        <v>133527</v>
      </c>
      <c r="C293" s="246">
        <v>9336203</v>
      </c>
      <c r="D293" s="246" t="s">
        <v>2024</v>
      </c>
      <c r="E293" s="246" t="s">
        <v>248</v>
      </c>
      <c r="F293" s="246" t="s">
        <v>93</v>
      </c>
      <c r="G293" s="246" t="s">
        <v>93</v>
      </c>
      <c r="H293" s="246" t="s">
        <v>93</v>
      </c>
      <c r="I293" s="246" t="s">
        <v>90</v>
      </c>
      <c r="J293" s="246" t="s">
        <v>1490</v>
      </c>
      <c r="K293" s="246" t="s">
        <v>486</v>
      </c>
      <c r="L293" s="246" t="s">
        <v>487</v>
      </c>
      <c r="M293" s="246" t="s">
        <v>483</v>
      </c>
      <c r="N293" s="246" t="s">
        <v>483</v>
      </c>
      <c r="O293" s="246" t="s">
        <v>531</v>
      </c>
      <c r="P293" s="246" t="s">
        <v>2025</v>
      </c>
      <c r="Q293" s="247">
        <v>10033891</v>
      </c>
      <c r="R293" s="248">
        <v>42990</v>
      </c>
      <c r="S293" s="248">
        <v>42992</v>
      </c>
      <c r="T293" s="248">
        <v>43019</v>
      </c>
      <c r="U293" s="246" t="s">
        <v>488</v>
      </c>
      <c r="V293" s="246">
        <v>2</v>
      </c>
      <c r="W293" s="246" t="s">
        <v>219</v>
      </c>
      <c r="X293" s="246">
        <v>2</v>
      </c>
      <c r="Y293" s="246">
        <v>2</v>
      </c>
      <c r="Z293" s="246">
        <v>2</v>
      </c>
      <c r="AA293" s="246">
        <v>2</v>
      </c>
      <c r="AB293" s="246" t="s">
        <v>486</v>
      </c>
      <c r="AC293" s="246" t="s">
        <v>486</v>
      </c>
      <c r="AD293" s="246" t="s">
        <v>486</v>
      </c>
      <c r="AE293" s="246" t="s">
        <v>486</v>
      </c>
      <c r="AF293" s="246" t="s">
        <v>486</v>
      </c>
      <c r="AG293" s="246" t="s">
        <v>486</v>
      </c>
      <c r="AH293" s="246" t="s">
        <v>486</v>
      </c>
      <c r="AI293" s="246" t="s">
        <v>486</v>
      </c>
      <c r="AJ293" s="246" t="s">
        <v>486</v>
      </c>
      <c r="AK293" s="246" t="s">
        <v>486</v>
      </c>
      <c r="AL293" s="246" t="s">
        <v>491</v>
      </c>
      <c r="AM293" s="246" t="s">
        <v>486</v>
      </c>
      <c r="AN293" s="246" t="s">
        <v>486</v>
      </c>
      <c r="AO293" s="248" t="s">
        <v>486</v>
      </c>
      <c r="AP293" s="247" t="s">
        <v>486</v>
      </c>
      <c r="AQ293" s="249" t="s">
        <v>486</v>
      </c>
      <c r="AR293" s="246" t="s">
        <v>486</v>
      </c>
    </row>
    <row r="294" spans="1:44" ht="15" x14ac:dyDescent="0.25">
      <c r="A294" s="250" t="str">
        <f>HYPERLINK("http://www.ofsted.gov.uk/inspection-reports/find-inspection-report/provider/ELS/134438 ","Ofsted School Webpage")</f>
        <v>Ofsted School Webpage</v>
      </c>
      <c r="B294" s="251">
        <v>134438</v>
      </c>
      <c r="C294" s="251">
        <v>8556020</v>
      </c>
      <c r="D294" s="251" t="s">
        <v>2026</v>
      </c>
      <c r="E294" s="251" t="s">
        <v>248</v>
      </c>
      <c r="F294" s="251" t="s">
        <v>93</v>
      </c>
      <c r="G294" s="251" t="s">
        <v>93</v>
      </c>
      <c r="H294" s="251" t="s">
        <v>93</v>
      </c>
      <c r="I294" s="251" t="s">
        <v>90</v>
      </c>
      <c r="J294" s="251" t="s">
        <v>1490</v>
      </c>
      <c r="K294" s="251" t="s">
        <v>486</v>
      </c>
      <c r="L294" s="251" t="s">
        <v>487</v>
      </c>
      <c r="M294" s="251" t="s">
        <v>572</v>
      </c>
      <c r="N294" s="251" t="s">
        <v>572</v>
      </c>
      <c r="O294" s="251" t="s">
        <v>966</v>
      </c>
      <c r="P294" s="251" t="s">
        <v>2027</v>
      </c>
      <c r="Q294" s="252">
        <v>10040612</v>
      </c>
      <c r="R294" s="253">
        <v>42990</v>
      </c>
      <c r="S294" s="253">
        <v>42992</v>
      </c>
      <c r="T294" s="253">
        <v>43020</v>
      </c>
      <c r="U294" s="251" t="s">
        <v>488</v>
      </c>
      <c r="V294" s="251">
        <v>3</v>
      </c>
      <c r="W294" s="251" t="s">
        <v>219</v>
      </c>
      <c r="X294" s="251">
        <v>3</v>
      </c>
      <c r="Y294" s="251">
        <v>2</v>
      </c>
      <c r="Z294" s="251">
        <v>3</v>
      </c>
      <c r="AA294" s="251">
        <v>3</v>
      </c>
      <c r="AB294" s="251" t="s">
        <v>486</v>
      </c>
      <c r="AC294" s="251">
        <v>2</v>
      </c>
      <c r="AD294" s="251" t="s">
        <v>486</v>
      </c>
      <c r="AE294" s="251" t="s">
        <v>486</v>
      </c>
      <c r="AF294" s="251" t="s">
        <v>486</v>
      </c>
      <c r="AG294" s="251" t="s">
        <v>486</v>
      </c>
      <c r="AH294" s="251" t="s">
        <v>486</v>
      </c>
      <c r="AI294" s="251" t="s">
        <v>486</v>
      </c>
      <c r="AJ294" s="251" t="s">
        <v>486</v>
      </c>
      <c r="AK294" s="251" t="s">
        <v>486</v>
      </c>
      <c r="AL294" s="251" t="s">
        <v>545</v>
      </c>
      <c r="AM294" s="251">
        <v>10054061</v>
      </c>
      <c r="AN294" s="251" t="s">
        <v>1109</v>
      </c>
      <c r="AO294" s="253">
        <v>43264</v>
      </c>
      <c r="AP294" s="252" t="s">
        <v>1690</v>
      </c>
      <c r="AQ294" s="254">
        <v>43300</v>
      </c>
      <c r="AR294" s="251" t="s">
        <v>1110</v>
      </c>
    </row>
    <row r="295" spans="1:44" ht="15" x14ac:dyDescent="0.25">
      <c r="A295" s="245" t="str">
        <f>HYPERLINK("http://www.ofsted.gov.uk/inspection-reports/find-inspection-report/provider/ELS/136003 ","Ofsted School Webpage")</f>
        <v>Ofsted School Webpage</v>
      </c>
      <c r="B295" s="246">
        <v>136003</v>
      </c>
      <c r="C295" s="246">
        <v>8886111</v>
      </c>
      <c r="D295" s="246" t="s">
        <v>2028</v>
      </c>
      <c r="E295" s="246" t="s">
        <v>248</v>
      </c>
      <c r="F295" s="246" t="s">
        <v>93</v>
      </c>
      <c r="G295" s="246" t="s">
        <v>93</v>
      </c>
      <c r="H295" s="246" t="s">
        <v>93</v>
      </c>
      <c r="I295" s="246" t="s">
        <v>90</v>
      </c>
      <c r="J295" s="246" t="s">
        <v>1490</v>
      </c>
      <c r="K295" s="246" t="s">
        <v>486</v>
      </c>
      <c r="L295" s="246" t="s">
        <v>487</v>
      </c>
      <c r="M295" s="246" t="s">
        <v>495</v>
      </c>
      <c r="N295" s="246" t="s">
        <v>495</v>
      </c>
      <c r="O295" s="246" t="s">
        <v>534</v>
      </c>
      <c r="P295" s="246" t="s">
        <v>2029</v>
      </c>
      <c r="Q295" s="247">
        <v>10026014</v>
      </c>
      <c r="R295" s="248">
        <v>42990</v>
      </c>
      <c r="S295" s="248">
        <v>42992</v>
      </c>
      <c r="T295" s="248">
        <v>43027</v>
      </c>
      <c r="U295" s="246" t="s">
        <v>488</v>
      </c>
      <c r="V295" s="246">
        <v>1</v>
      </c>
      <c r="W295" s="246" t="s">
        <v>219</v>
      </c>
      <c r="X295" s="246">
        <v>1</v>
      </c>
      <c r="Y295" s="246">
        <v>1</v>
      </c>
      <c r="Z295" s="246">
        <v>1</v>
      </c>
      <c r="AA295" s="246">
        <v>1</v>
      </c>
      <c r="AB295" s="246" t="s">
        <v>486</v>
      </c>
      <c r="AC295" s="246" t="s">
        <v>486</v>
      </c>
      <c r="AD295" s="246" t="s">
        <v>486</v>
      </c>
      <c r="AE295" s="246" t="s">
        <v>486</v>
      </c>
      <c r="AF295" s="246" t="s">
        <v>486</v>
      </c>
      <c r="AG295" s="246" t="s">
        <v>486</v>
      </c>
      <c r="AH295" s="246" t="s">
        <v>486</v>
      </c>
      <c r="AI295" s="246" t="s">
        <v>486</v>
      </c>
      <c r="AJ295" s="246" t="s">
        <v>486</v>
      </c>
      <c r="AK295" s="246" t="s">
        <v>486</v>
      </c>
      <c r="AL295" s="246" t="s">
        <v>491</v>
      </c>
      <c r="AM295" s="246" t="s">
        <v>486</v>
      </c>
      <c r="AN295" s="246" t="s">
        <v>486</v>
      </c>
      <c r="AO295" s="248" t="s">
        <v>486</v>
      </c>
      <c r="AP295" s="247" t="s">
        <v>486</v>
      </c>
      <c r="AQ295" s="249" t="s">
        <v>486</v>
      </c>
      <c r="AR295" s="246" t="s">
        <v>486</v>
      </c>
    </row>
    <row r="296" spans="1:44" ht="15" x14ac:dyDescent="0.25">
      <c r="A296" s="250" t="str">
        <f>HYPERLINK("http://www.ofsted.gov.uk/inspection-reports/find-inspection-report/provider/ELS/136069 ","Ofsted School Webpage")</f>
        <v>Ofsted School Webpage</v>
      </c>
      <c r="B296" s="251">
        <v>136069</v>
      </c>
      <c r="C296" s="251">
        <v>8886056</v>
      </c>
      <c r="D296" s="251" t="s">
        <v>1207</v>
      </c>
      <c r="E296" s="251" t="s">
        <v>248</v>
      </c>
      <c r="F296" s="251" t="s">
        <v>93</v>
      </c>
      <c r="G296" s="251" t="s">
        <v>93</v>
      </c>
      <c r="H296" s="251" t="s">
        <v>93</v>
      </c>
      <c r="I296" s="251" t="s">
        <v>90</v>
      </c>
      <c r="J296" s="251" t="s">
        <v>1490</v>
      </c>
      <c r="K296" s="251" t="s">
        <v>486</v>
      </c>
      <c r="L296" s="251" t="s">
        <v>487</v>
      </c>
      <c r="M296" s="251" t="s">
        <v>495</v>
      </c>
      <c r="N296" s="251" t="s">
        <v>495</v>
      </c>
      <c r="O296" s="251" t="s">
        <v>534</v>
      </c>
      <c r="P296" s="251" t="s">
        <v>1208</v>
      </c>
      <c r="Q296" s="252">
        <v>10038930</v>
      </c>
      <c r="R296" s="253">
        <v>42990</v>
      </c>
      <c r="S296" s="253">
        <v>42992</v>
      </c>
      <c r="T296" s="253">
        <v>43014</v>
      </c>
      <c r="U296" s="251" t="s">
        <v>488</v>
      </c>
      <c r="V296" s="251">
        <v>3</v>
      </c>
      <c r="W296" s="251" t="s">
        <v>219</v>
      </c>
      <c r="X296" s="251">
        <v>3</v>
      </c>
      <c r="Y296" s="251">
        <v>2</v>
      </c>
      <c r="Z296" s="251">
        <v>3</v>
      </c>
      <c r="AA296" s="251">
        <v>3</v>
      </c>
      <c r="AB296" s="251" t="s">
        <v>486</v>
      </c>
      <c r="AC296" s="251">
        <v>3</v>
      </c>
      <c r="AD296" s="251" t="s">
        <v>486</v>
      </c>
      <c r="AE296" s="251" t="s">
        <v>486</v>
      </c>
      <c r="AF296" s="251" t="s">
        <v>486</v>
      </c>
      <c r="AG296" s="251" t="s">
        <v>486</v>
      </c>
      <c r="AH296" s="251" t="s">
        <v>486</v>
      </c>
      <c r="AI296" s="251" t="s">
        <v>486</v>
      </c>
      <c r="AJ296" s="251" t="s">
        <v>486</v>
      </c>
      <c r="AK296" s="251" t="s">
        <v>486</v>
      </c>
      <c r="AL296" s="251" t="s">
        <v>491</v>
      </c>
      <c r="AM296" s="251" t="s">
        <v>486</v>
      </c>
      <c r="AN296" s="251" t="s">
        <v>486</v>
      </c>
      <c r="AO296" s="253" t="s">
        <v>486</v>
      </c>
      <c r="AP296" s="252" t="s">
        <v>486</v>
      </c>
      <c r="AQ296" s="254" t="s">
        <v>486</v>
      </c>
      <c r="AR296" s="251" t="s">
        <v>486</v>
      </c>
    </row>
    <row r="297" spans="1:44" ht="15" x14ac:dyDescent="0.25">
      <c r="A297" s="245" t="str">
        <f>HYPERLINK("http://www.ofsted.gov.uk/inspection-reports/find-inspection-report/provider/ELS/139734 ","Ofsted School Webpage")</f>
        <v>Ofsted School Webpage</v>
      </c>
      <c r="B297" s="246">
        <v>139734</v>
      </c>
      <c r="C297" s="246">
        <v>8556032</v>
      </c>
      <c r="D297" s="246" t="s">
        <v>2030</v>
      </c>
      <c r="E297" s="246" t="s">
        <v>248</v>
      </c>
      <c r="F297" s="246" t="s">
        <v>93</v>
      </c>
      <c r="G297" s="246" t="s">
        <v>93</v>
      </c>
      <c r="H297" s="246" t="s">
        <v>93</v>
      </c>
      <c r="I297" s="246" t="s">
        <v>90</v>
      </c>
      <c r="J297" s="246" t="s">
        <v>1490</v>
      </c>
      <c r="K297" s="246" t="s">
        <v>486</v>
      </c>
      <c r="L297" s="246" t="s">
        <v>487</v>
      </c>
      <c r="M297" s="246" t="s">
        <v>572</v>
      </c>
      <c r="N297" s="246" t="s">
        <v>572</v>
      </c>
      <c r="O297" s="246" t="s">
        <v>966</v>
      </c>
      <c r="P297" s="246" t="s">
        <v>2031</v>
      </c>
      <c r="Q297" s="247">
        <v>10026054</v>
      </c>
      <c r="R297" s="248">
        <v>42990</v>
      </c>
      <c r="S297" s="248">
        <v>42992</v>
      </c>
      <c r="T297" s="248">
        <v>43026</v>
      </c>
      <c r="U297" s="246" t="s">
        <v>488</v>
      </c>
      <c r="V297" s="246">
        <v>1</v>
      </c>
      <c r="W297" s="246" t="s">
        <v>219</v>
      </c>
      <c r="X297" s="246">
        <v>1</v>
      </c>
      <c r="Y297" s="246">
        <v>1</v>
      </c>
      <c r="Z297" s="246">
        <v>1</v>
      </c>
      <c r="AA297" s="246">
        <v>1</v>
      </c>
      <c r="AB297" s="246" t="s">
        <v>486</v>
      </c>
      <c r="AC297" s="246" t="s">
        <v>486</v>
      </c>
      <c r="AD297" s="246" t="s">
        <v>486</v>
      </c>
      <c r="AE297" s="246" t="s">
        <v>486</v>
      </c>
      <c r="AF297" s="246" t="s">
        <v>486</v>
      </c>
      <c r="AG297" s="246" t="s">
        <v>486</v>
      </c>
      <c r="AH297" s="246" t="s">
        <v>486</v>
      </c>
      <c r="AI297" s="246" t="s">
        <v>486</v>
      </c>
      <c r="AJ297" s="246" t="s">
        <v>486</v>
      </c>
      <c r="AK297" s="246" t="s">
        <v>486</v>
      </c>
      <c r="AL297" s="246" t="s">
        <v>491</v>
      </c>
      <c r="AM297" s="246" t="s">
        <v>486</v>
      </c>
      <c r="AN297" s="246" t="s">
        <v>486</v>
      </c>
      <c r="AO297" s="248" t="s">
        <v>486</v>
      </c>
      <c r="AP297" s="247" t="s">
        <v>486</v>
      </c>
      <c r="AQ297" s="249" t="s">
        <v>486</v>
      </c>
      <c r="AR297" s="246" t="s">
        <v>486</v>
      </c>
    </row>
    <row r="298" spans="1:44" ht="15" x14ac:dyDescent="0.25">
      <c r="A298" s="250" t="str">
        <f>HYPERLINK("http://www.ofsted.gov.uk/inspection-reports/find-inspection-report/provider/ELS/139779 ","Ofsted School Webpage")</f>
        <v>Ofsted School Webpage</v>
      </c>
      <c r="B298" s="251">
        <v>139779</v>
      </c>
      <c r="C298" s="251">
        <v>9316012</v>
      </c>
      <c r="D298" s="251" t="s">
        <v>2032</v>
      </c>
      <c r="E298" s="251" t="s">
        <v>247</v>
      </c>
      <c r="F298" s="251" t="s">
        <v>93</v>
      </c>
      <c r="G298" s="251" t="s">
        <v>93</v>
      </c>
      <c r="H298" s="251" t="s">
        <v>93</v>
      </c>
      <c r="I298" s="251" t="s">
        <v>90</v>
      </c>
      <c r="J298" s="251" t="s">
        <v>1490</v>
      </c>
      <c r="K298" s="251" t="s">
        <v>486</v>
      </c>
      <c r="L298" s="251" t="s">
        <v>487</v>
      </c>
      <c r="M298" s="251" t="s">
        <v>581</v>
      </c>
      <c r="N298" s="251" t="s">
        <v>581</v>
      </c>
      <c r="O298" s="251" t="s">
        <v>1150</v>
      </c>
      <c r="P298" s="251" t="s">
        <v>2033</v>
      </c>
      <c r="Q298" s="252">
        <v>10039166</v>
      </c>
      <c r="R298" s="253">
        <v>42990</v>
      </c>
      <c r="S298" s="253">
        <v>42992</v>
      </c>
      <c r="T298" s="253">
        <v>43018</v>
      </c>
      <c r="U298" s="251" t="s">
        <v>488</v>
      </c>
      <c r="V298" s="251">
        <v>2</v>
      </c>
      <c r="W298" s="251" t="s">
        <v>219</v>
      </c>
      <c r="X298" s="251">
        <v>2</v>
      </c>
      <c r="Y298" s="251">
        <v>2</v>
      </c>
      <c r="Z298" s="251">
        <v>2</v>
      </c>
      <c r="AA298" s="251">
        <v>2</v>
      </c>
      <c r="AB298" s="251" t="s">
        <v>486</v>
      </c>
      <c r="AC298" s="251" t="s">
        <v>486</v>
      </c>
      <c r="AD298" s="251" t="s">
        <v>486</v>
      </c>
      <c r="AE298" s="251" t="s">
        <v>486</v>
      </c>
      <c r="AF298" s="251" t="s">
        <v>486</v>
      </c>
      <c r="AG298" s="251" t="s">
        <v>486</v>
      </c>
      <c r="AH298" s="251" t="s">
        <v>486</v>
      </c>
      <c r="AI298" s="251" t="s">
        <v>486</v>
      </c>
      <c r="AJ298" s="251" t="s">
        <v>486</v>
      </c>
      <c r="AK298" s="251" t="s">
        <v>486</v>
      </c>
      <c r="AL298" s="251" t="s">
        <v>491</v>
      </c>
      <c r="AM298" s="251" t="s">
        <v>486</v>
      </c>
      <c r="AN298" s="251" t="s">
        <v>486</v>
      </c>
      <c r="AO298" s="253" t="s">
        <v>486</v>
      </c>
      <c r="AP298" s="252" t="s">
        <v>486</v>
      </c>
      <c r="AQ298" s="254" t="s">
        <v>486</v>
      </c>
      <c r="AR298" s="251" t="s">
        <v>486</v>
      </c>
    </row>
    <row r="299" spans="1:44" ht="15" x14ac:dyDescent="0.25">
      <c r="A299" s="245" t="str">
        <f>HYPERLINK("http://www.ofsted.gov.uk/inspection-reports/find-inspection-report/provider/ELS/141247 ","Ofsted School Webpage")</f>
        <v>Ofsted School Webpage</v>
      </c>
      <c r="B299" s="246">
        <v>141247</v>
      </c>
      <c r="C299" s="246">
        <v>3086003</v>
      </c>
      <c r="D299" s="246" t="s">
        <v>2034</v>
      </c>
      <c r="E299" s="246" t="s">
        <v>247</v>
      </c>
      <c r="F299" s="246" t="s">
        <v>93</v>
      </c>
      <c r="G299" s="246" t="s">
        <v>93</v>
      </c>
      <c r="H299" s="246" t="s">
        <v>93</v>
      </c>
      <c r="I299" s="246" t="s">
        <v>90</v>
      </c>
      <c r="J299" s="246" t="s">
        <v>1490</v>
      </c>
      <c r="K299" s="246" t="s">
        <v>486</v>
      </c>
      <c r="L299" s="246" t="s">
        <v>487</v>
      </c>
      <c r="M299" s="246" t="s">
        <v>506</v>
      </c>
      <c r="N299" s="246" t="s">
        <v>506</v>
      </c>
      <c r="O299" s="246" t="s">
        <v>632</v>
      </c>
      <c r="P299" s="246" t="s">
        <v>2035</v>
      </c>
      <c r="Q299" s="247">
        <v>10035814</v>
      </c>
      <c r="R299" s="248">
        <v>42990</v>
      </c>
      <c r="S299" s="248">
        <v>42992</v>
      </c>
      <c r="T299" s="248">
        <v>43021</v>
      </c>
      <c r="U299" s="246" t="s">
        <v>488</v>
      </c>
      <c r="V299" s="246">
        <v>2</v>
      </c>
      <c r="W299" s="246" t="s">
        <v>219</v>
      </c>
      <c r="X299" s="246">
        <v>2</v>
      </c>
      <c r="Y299" s="246">
        <v>2</v>
      </c>
      <c r="Z299" s="246">
        <v>2</v>
      </c>
      <c r="AA299" s="246">
        <v>2</v>
      </c>
      <c r="AB299" s="246" t="s">
        <v>486</v>
      </c>
      <c r="AC299" s="246" t="s">
        <v>486</v>
      </c>
      <c r="AD299" s="246" t="s">
        <v>486</v>
      </c>
      <c r="AE299" s="246" t="s">
        <v>486</v>
      </c>
      <c r="AF299" s="246" t="s">
        <v>486</v>
      </c>
      <c r="AG299" s="246" t="s">
        <v>486</v>
      </c>
      <c r="AH299" s="246" t="s">
        <v>486</v>
      </c>
      <c r="AI299" s="246" t="s">
        <v>486</v>
      </c>
      <c r="AJ299" s="246" t="s">
        <v>486</v>
      </c>
      <c r="AK299" s="246" t="s">
        <v>486</v>
      </c>
      <c r="AL299" s="246" t="s">
        <v>491</v>
      </c>
      <c r="AM299" s="246" t="s">
        <v>486</v>
      </c>
      <c r="AN299" s="246" t="s">
        <v>486</v>
      </c>
      <c r="AO299" s="248" t="s">
        <v>486</v>
      </c>
      <c r="AP299" s="247" t="s">
        <v>486</v>
      </c>
      <c r="AQ299" s="249" t="s">
        <v>486</v>
      </c>
      <c r="AR299" s="246" t="s">
        <v>486</v>
      </c>
    </row>
    <row r="300" spans="1:44" ht="15" x14ac:dyDescent="0.25">
      <c r="A300" s="250" t="str">
        <f>HYPERLINK("http://www.ofsted.gov.uk/inspection-reports/find-inspection-report/provider/ELS/133651 ","Ofsted School Webpage")</f>
        <v>Ofsted School Webpage</v>
      </c>
      <c r="B300" s="251">
        <v>133651</v>
      </c>
      <c r="C300" s="251">
        <v>8736032</v>
      </c>
      <c r="D300" s="251" t="s">
        <v>2036</v>
      </c>
      <c r="E300" s="251" t="s">
        <v>248</v>
      </c>
      <c r="F300" s="251" t="s">
        <v>93</v>
      </c>
      <c r="G300" s="251" t="s">
        <v>93</v>
      </c>
      <c r="H300" s="251" t="s">
        <v>93</v>
      </c>
      <c r="I300" s="251" t="s">
        <v>90</v>
      </c>
      <c r="J300" s="251" t="s">
        <v>1490</v>
      </c>
      <c r="K300" s="251" t="s">
        <v>486</v>
      </c>
      <c r="L300" s="251" t="s">
        <v>487</v>
      </c>
      <c r="M300" s="251" t="s">
        <v>516</v>
      </c>
      <c r="N300" s="251" t="s">
        <v>516</v>
      </c>
      <c r="O300" s="251" t="s">
        <v>867</v>
      </c>
      <c r="P300" s="251" t="s">
        <v>2037</v>
      </c>
      <c r="Q300" s="252">
        <v>10038904</v>
      </c>
      <c r="R300" s="253">
        <v>42997</v>
      </c>
      <c r="S300" s="253">
        <v>42998</v>
      </c>
      <c r="T300" s="253">
        <v>43027</v>
      </c>
      <c r="U300" s="251" t="s">
        <v>2930</v>
      </c>
      <c r="V300" s="251">
        <v>2</v>
      </c>
      <c r="W300" s="251" t="s">
        <v>219</v>
      </c>
      <c r="X300" s="251">
        <v>2</v>
      </c>
      <c r="Y300" s="251">
        <v>2</v>
      </c>
      <c r="Z300" s="251">
        <v>2</v>
      </c>
      <c r="AA300" s="251">
        <v>2</v>
      </c>
      <c r="AB300" s="251" t="s">
        <v>486</v>
      </c>
      <c r="AC300" s="251" t="s">
        <v>486</v>
      </c>
      <c r="AD300" s="251" t="s">
        <v>490</v>
      </c>
      <c r="AE300" s="251" t="s">
        <v>486</v>
      </c>
      <c r="AF300" s="251" t="s">
        <v>486</v>
      </c>
      <c r="AG300" s="251" t="s">
        <v>486</v>
      </c>
      <c r="AH300" s="251" t="s">
        <v>486</v>
      </c>
      <c r="AI300" s="251" t="s">
        <v>486</v>
      </c>
      <c r="AJ300" s="251" t="s">
        <v>486</v>
      </c>
      <c r="AK300" s="251" t="s">
        <v>486</v>
      </c>
      <c r="AL300" s="251" t="s">
        <v>491</v>
      </c>
      <c r="AM300" s="251" t="s">
        <v>486</v>
      </c>
      <c r="AN300" s="251" t="s">
        <v>486</v>
      </c>
      <c r="AO300" s="253" t="s">
        <v>486</v>
      </c>
      <c r="AP300" s="252" t="s">
        <v>486</v>
      </c>
      <c r="AQ300" s="254" t="s">
        <v>486</v>
      </c>
      <c r="AR300" s="251" t="s">
        <v>486</v>
      </c>
    </row>
    <row r="301" spans="1:44" ht="15" x14ac:dyDescent="0.25">
      <c r="A301" s="245" t="str">
        <f>HYPERLINK("http://www.ofsted.gov.uk/inspection-reports/find-inspection-report/provider/ELS/100078 ","Ofsted School Webpage")</f>
        <v>Ofsted School Webpage</v>
      </c>
      <c r="B301" s="246">
        <v>100078</v>
      </c>
      <c r="C301" s="246">
        <v>2026360</v>
      </c>
      <c r="D301" s="246" t="s">
        <v>1176</v>
      </c>
      <c r="E301" s="246" t="s">
        <v>247</v>
      </c>
      <c r="F301" s="246" t="s">
        <v>93</v>
      </c>
      <c r="G301" s="246" t="s">
        <v>93</v>
      </c>
      <c r="H301" s="246" t="s">
        <v>93</v>
      </c>
      <c r="I301" s="246" t="s">
        <v>90</v>
      </c>
      <c r="J301" s="246" t="s">
        <v>1490</v>
      </c>
      <c r="K301" s="246" t="s">
        <v>486</v>
      </c>
      <c r="L301" s="246" t="s">
        <v>487</v>
      </c>
      <c r="M301" s="246" t="s">
        <v>506</v>
      </c>
      <c r="N301" s="246" t="s">
        <v>506</v>
      </c>
      <c r="O301" s="246" t="s">
        <v>1177</v>
      </c>
      <c r="P301" s="246" t="s">
        <v>1178</v>
      </c>
      <c r="Q301" s="247">
        <v>10012781</v>
      </c>
      <c r="R301" s="248">
        <v>42997</v>
      </c>
      <c r="S301" s="248">
        <v>42999</v>
      </c>
      <c r="T301" s="248">
        <v>43052</v>
      </c>
      <c r="U301" s="246" t="s">
        <v>488</v>
      </c>
      <c r="V301" s="246">
        <v>1</v>
      </c>
      <c r="W301" s="246" t="s">
        <v>219</v>
      </c>
      <c r="X301" s="246">
        <v>1</v>
      </c>
      <c r="Y301" s="246">
        <v>1</v>
      </c>
      <c r="Z301" s="246">
        <v>1</v>
      </c>
      <c r="AA301" s="246">
        <v>1</v>
      </c>
      <c r="AB301" s="246">
        <v>2</v>
      </c>
      <c r="AC301" s="246" t="s">
        <v>486</v>
      </c>
      <c r="AD301" s="246" t="s">
        <v>486</v>
      </c>
      <c r="AE301" s="246" t="s">
        <v>486</v>
      </c>
      <c r="AF301" s="246" t="s">
        <v>486</v>
      </c>
      <c r="AG301" s="246" t="s">
        <v>486</v>
      </c>
      <c r="AH301" s="246" t="s">
        <v>486</v>
      </c>
      <c r="AI301" s="246" t="s">
        <v>486</v>
      </c>
      <c r="AJ301" s="246" t="s">
        <v>486</v>
      </c>
      <c r="AK301" s="246" t="s">
        <v>486</v>
      </c>
      <c r="AL301" s="246" t="s">
        <v>491</v>
      </c>
      <c r="AM301" s="246" t="s">
        <v>486</v>
      </c>
      <c r="AN301" s="246" t="s">
        <v>486</v>
      </c>
      <c r="AO301" s="248" t="s">
        <v>486</v>
      </c>
      <c r="AP301" s="247" t="s">
        <v>486</v>
      </c>
      <c r="AQ301" s="249" t="s">
        <v>486</v>
      </c>
      <c r="AR301" s="246" t="s">
        <v>486</v>
      </c>
    </row>
    <row r="302" spans="1:44" ht="15" x14ac:dyDescent="0.25">
      <c r="A302" s="250" t="str">
        <f>HYPERLINK("http://www.ofsted.gov.uk/inspection-reports/find-inspection-report/provider/ELS/102547 ","Ofsted School Webpage")</f>
        <v>Ofsted School Webpage</v>
      </c>
      <c r="B302" s="251">
        <v>102547</v>
      </c>
      <c r="C302" s="251">
        <v>3136051</v>
      </c>
      <c r="D302" s="251" t="s">
        <v>2038</v>
      </c>
      <c r="E302" s="251" t="s">
        <v>247</v>
      </c>
      <c r="F302" s="251" t="s">
        <v>93</v>
      </c>
      <c r="G302" s="251" t="s">
        <v>93</v>
      </c>
      <c r="H302" s="251" t="s">
        <v>93</v>
      </c>
      <c r="I302" s="251" t="s">
        <v>90</v>
      </c>
      <c r="J302" s="251" t="s">
        <v>1490</v>
      </c>
      <c r="K302" s="251" t="s">
        <v>486</v>
      </c>
      <c r="L302" s="251" t="s">
        <v>487</v>
      </c>
      <c r="M302" s="251" t="s">
        <v>506</v>
      </c>
      <c r="N302" s="251" t="s">
        <v>506</v>
      </c>
      <c r="O302" s="251" t="s">
        <v>813</v>
      </c>
      <c r="P302" s="251" t="s">
        <v>2039</v>
      </c>
      <c r="Q302" s="252">
        <v>10012831</v>
      </c>
      <c r="R302" s="253">
        <v>42997</v>
      </c>
      <c r="S302" s="253">
        <v>42999</v>
      </c>
      <c r="T302" s="253">
        <v>43025</v>
      </c>
      <c r="U302" s="251" t="s">
        <v>488</v>
      </c>
      <c r="V302" s="251">
        <v>2</v>
      </c>
      <c r="W302" s="251" t="s">
        <v>219</v>
      </c>
      <c r="X302" s="251">
        <v>2</v>
      </c>
      <c r="Y302" s="251">
        <v>1</v>
      </c>
      <c r="Z302" s="251">
        <v>2</v>
      </c>
      <c r="AA302" s="251">
        <v>2</v>
      </c>
      <c r="AB302" s="251">
        <v>2</v>
      </c>
      <c r="AC302" s="251" t="s">
        <v>486</v>
      </c>
      <c r="AD302" s="251" t="s">
        <v>486</v>
      </c>
      <c r="AE302" s="251" t="s">
        <v>486</v>
      </c>
      <c r="AF302" s="251" t="s">
        <v>486</v>
      </c>
      <c r="AG302" s="251" t="s">
        <v>486</v>
      </c>
      <c r="AH302" s="251" t="s">
        <v>486</v>
      </c>
      <c r="AI302" s="251" t="s">
        <v>486</v>
      </c>
      <c r="AJ302" s="251" t="s">
        <v>486</v>
      </c>
      <c r="AK302" s="251" t="s">
        <v>486</v>
      </c>
      <c r="AL302" s="251" t="s">
        <v>491</v>
      </c>
      <c r="AM302" s="251" t="s">
        <v>486</v>
      </c>
      <c r="AN302" s="251" t="s">
        <v>486</v>
      </c>
      <c r="AO302" s="253" t="s">
        <v>486</v>
      </c>
      <c r="AP302" s="252" t="s">
        <v>486</v>
      </c>
      <c r="AQ302" s="254" t="s">
        <v>486</v>
      </c>
      <c r="AR302" s="251" t="s">
        <v>486</v>
      </c>
    </row>
    <row r="303" spans="1:44" ht="15" x14ac:dyDescent="0.25">
      <c r="A303" s="245" t="str">
        <f>HYPERLINK("http://www.ofsted.gov.uk/inspection-reports/find-inspection-report/provider/ELS/103586 ","Ofsted School Webpage")</f>
        <v>Ofsted School Webpage</v>
      </c>
      <c r="B303" s="246">
        <v>103586</v>
      </c>
      <c r="C303" s="246">
        <v>3306078</v>
      </c>
      <c r="D303" s="246" t="s">
        <v>2040</v>
      </c>
      <c r="E303" s="246" t="s">
        <v>247</v>
      </c>
      <c r="F303" s="246" t="s">
        <v>93</v>
      </c>
      <c r="G303" s="246" t="s">
        <v>84</v>
      </c>
      <c r="H303" s="246" t="s">
        <v>84</v>
      </c>
      <c r="I303" s="246" t="s">
        <v>84</v>
      </c>
      <c r="J303" s="246" t="s">
        <v>1490</v>
      </c>
      <c r="K303" s="246" t="s">
        <v>486</v>
      </c>
      <c r="L303" s="246" t="s">
        <v>487</v>
      </c>
      <c r="M303" s="246" t="s">
        <v>502</v>
      </c>
      <c r="N303" s="246" t="s">
        <v>502</v>
      </c>
      <c r="O303" s="246" t="s">
        <v>909</v>
      </c>
      <c r="P303" s="246" t="s">
        <v>2041</v>
      </c>
      <c r="Q303" s="247">
        <v>10038825</v>
      </c>
      <c r="R303" s="248">
        <v>42997</v>
      </c>
      <c r="S303" s="248">
        <v>42999</v>
      </c>
      <c r="T303" s="248">
        <v>43040</v>
      </c>
      <c r="U303" s="246" t="s">
        <v>488</v>
      </c>
      <c r="V303" s="246">
        <v>2</v>
      </c>
      <c r="W303" s="246" t="s">
        <v>219</v>
      </c>
      <c r="X303" s="246">
        <v>2</v>
      </c>
      <c r="Y303" s="246">
        <v>2</v>
      </c>
      <c r="Z303" s="246">
        <v>2</v>
      </c>
      <c r="AA303" s="246">
        <v>2</v>
      </c>
      <c r="AB303" s="246" t="s">
        <v>486</v>
      </c>
      <c r="AC303" s="246" t="s">
        <v>486</v>
      </c>
      <c r="AD303" s="246" t="s">
        <v>486</v>
      </c>
      <c r="AE303" s="246" t="s">
        <v>486</v>
      </c>
      <c r="AF303" s="246" t="s">
        <v>486</v>
      </c>
      <c r="AG303" s="246" t="s">
        <v>486</v>
      </c>
      <c r="AH303" s="246" t="s">
        <v>486</v>
      </c>
      <c r="AI303" s="246" t="s">
        <v>486</v>
      </c>
      <c r="AJ303" s="246" t="s">
        <v>486</v>
      </c>
      <c r="AK303" s="246" t="s">
        <v>486</v>
      </c>
      <c r="AL303" s="246" t="s">
        <v>491</v>
      </c>
      <c r="AM303" s="246" t="s">
        <v>486</v>
      </c>
      <c r="AN303" s="246" t="s">
        <v>486</v>
      </c>
      <c r="AO303" s="248" t="s">
        <v>486</v>
      </c>
      <c r="AP303" s="247" t="s">
        <v>486</v>
      </c>
      <c r="AQ303" s="249" t="s">
        <v>486</v>
      </c>
      <c r="AR303" s="246" t="s">
        <v>486</v>
      </c>
    </row>
    <row r="304" spans="1:44" ht="15" x14ac:dyDescent="0.25">
      <c r="A304" s="250" t="str">
        <f>HYPERLINK("http://www.ofsted.gov.uk/inspection-reports/find-inspection-report/provider/ELS/113944 ","Ofsted School Webpage")</f>
        <v>Ofsted School Webpage</v>
      </c>
      <c r="B304" s="251">
        <v>113944</v>
      </c>
      <c r="C304" s="251">
        <v>8376004</v>
      </c>
      <c r="D304" s="251" t="s">
        <v>2042</v>
      </c>
      <c r="E304" s="251" t="s">
        <v>247</v>
      </c>
      <c r="F304" s="251" t="s">
        <v>79</v>
      </c>
      <c r="G304" s="251" t="s">
        <v>79</v>
      </c>
      <c r="H304" s="251" t="s">
        <v>79</v>
      </c>
      <c r="I304" s="251" t="s">
        <v>71</v>
      </c>
      <c r="J304" s="251" t="s">
        <v>1490</v>
      </c>
      <c r="K304" s="251" t="s">
        <v>486</v>
      </c>
      <c r="L304" s="251" t="s">
        <v>487</v>
      </c>
      <c r="M304" s="251" t="s">
        <v>483</v>
      </c>
      <c r="N304" s="251" t="s">
        <v>483</v>
      </c>
      <c r="O304" s="251" t="s">
        <v>484</v>
      </c>
      <c r="P304" s="251" t="s">
        <v>2043</v>
      </c>
      <c r="Q304" s="252">
        <v>10033884</v>
      </c>
      <c r="R304" s="253">
        <v>42997</v>
      </c>
      <c r="S304" s="253">
        <v>42999</v>
      </c>
      <c r="T304" s="253">
        <v>43021</v>
      </c>
      <c r="U304" s="251" t="s">
        <v>488</v>
      </c>
      <c r="V304" s="251">
        <v>2</v>
      </c>
      <c r="W304" s="251" t="s">
        <v>219</v>
      </c>
      <c r="X304" s="251">
        <v>2</v>
      </c>
      <c r="Y304" s="251">
        <v>2</v>
      </c>
      <c r="Z304" s="251">
        <v>2</v>
      </c>
      <c r="AA304" s="251">
        <v>2</v>
      </c>
      <c r="AB304" s="251">
        <v>2</v>
      </c>
      <c r="AC304" s="251" t="s">
        <v>486</v>
      </c>
      <c r="AD304" s="251" t="s">
        <v>486</v>
      </c>
      <c r="AE304" s="251" t="s">
        <v>486</v>
      </c>
      <c r="AF304" s="251" t="s">
        <v>486</v>
      </c>
      <c r="AG304" s="251" t="s">
        <v>486</v>
      </c>
      <c r="AH304" s="251" t="s">
        <v>486</v>
      </c>
      <c r="AI304" s="251" t="s">
        <v>486</v>
      </c>
      <c r="AJ304" s="251" t="s">
        <v>486</v>
      </c>
      <c r="AK304" s="251" t="s">
        <v>486</v>
      </c>
      <c r="AL304" s="251" t="s">
        <v>491</v>
      </c>
      <c r="AM304" s="251" t="s">
        <v>486</v>
      </c>
      <c r="AN304" s="251" t="s">
        <v>486</v>
      </c>
      <c r="AO304" s="253" t="s">
        <v>486</v>
      </c>
      <c r="AP304" s="252" t="s">
        <v>486</v>
      </c>
      <c r="AQ304" s="254" t="s">
        <v>486</v>
      </c>
      <c r="AR304" s="251" t="s">
        <v>486</v>
      </c>
    </row>
    <row r="305" spans="1:44" ht="15" x14ac:dyDescent="0.25">
      <c r="A305" s="245" t="str">
        <f>HYPERLINK("http://www.ofsted.gov.uk/inspection-reports/find-inspection-report/provider/ELS/126141 ","Ofsted School Webpage")</f>
        <v>Ofsted School Webpage</v>
      </c>
      <c r="B305" s="246">
        <v>126141</v>
      </c>
      <c r="C305" s="246">
        <v>9386219</v>
      </c>
      <c r="D305" s="246" t="s">
        <v>2044</v>
      </c>
      <c r="E305" s="246" t="s">
        <v>248</v>
      </c>
      <c r="F305" s="246" t="s">
        <v>93</v>
      </c>
      <c r="G305" s="246" t="s">
        <v>71</v>
      </c>
      <c r="H305" s="246" t="s">
        <v>71</v>
      </c>
      <c r="I305" s="246" t="s">
        <v>71</v>
      </c>
      <c r="J305" s="246" t="s">
        <v>1490</v>
      </c>
      <c r="K305" s="246" t="s">
        <v>486</v>
      </c>
      <c r="L305" s="246" t="s">
        <v>487</v>
      </c>
      <c r="M305" s="246" t="s">
        <v>581</v>
      </c>
      <c r="N305" s="246" t="s">
        <v>581</v>
      </c>
      <c r="O305" s="246" t="s">
        <v>829</v>
      </c>
      <c r="P305" s="246" t="s">
        <v>2045</v>
      </c>
      <c r="Q305" s="247">
        <v>10039159</v>
      </c>
      <c r="R305" s="248">
        <v>42997</v>
      </c>
      <c r="S305" s="248">
        <v>42999</v>
      </c>
      <c r="T305" s="248">
        <v>43025</v>
      </c>
      <c r="U305" s="246" t="s">
        <v>488</v>
      </c>
      <c r="V305" s="246">
        <v>3</v>
      </c>
      <c r="W305" s="246" t="s">
        <v>219</v>
      </c>
      <c r="X305" s="246">
        <v>2</v>
      </c>
      <c r="Y305" s="246">
        <v>2</v>
      </c>
      <c r="Z305" s="246">
        <v>3</v>
      </c>
      <c r="AA305" s="246">
        <v>3</v>
      </c>
      <c r="AB305" s="246" t="s">
        <v>486</v>
      </c>
      <c r="AC305" s="246">
        <v>1</v>
      </c>
      <c r="AD305" s="246" t="s">
        <v>490</v>
      </c>
      <c r="AE305" s="246" t="s">
        <v>486</v>
      </c>
      <c r="AF305" s="246" t="s">
        <v>486</v>
      </c>
      <c r="AG305" s="246" t="s">
        <v>486</v>
      </c>
      <c r="AH305" s="246" t="s">
        <v>486</v>
      </c>
      <c r="AI305" s="246" t="s">
        <v>486</v>
      </c>
      <c r="AJ305" s="246" t="s">
        <v>486</v>
      </c>
      <c r="AK305" s="246" t="s">
        <v>486</v>
      </c>
      <c r="AL305" s="246" t="s">
        <v>491</v>
      </c>
      <c r="AM305" s="246" t="s">
        <v>486</v>
      </c>
      <c r="AN305" s="246" t="s">
        <v>486</v>
      </c>
      <c r="AO305" s="248" t="s">
        <v>486</v>
      </c>
      <c r="AP305" s="247" t="s">
        <v>486</v>
      </c>
      <c r="AQ305" s="249" t="s">
        <v>486</v>
      </c>
      <c r="AR305" s="246" t="s">
        <v>486</v>
      </c>
    </row>
    <row r="306" spans="1:44" ht="15" x14ac:dyDescent="0.25">
      <c r="A306" s="250" t="str">
        <f>HYPERLINK("http://www.ofsted.gov.uk/inspection-reports/find-inspection-report/provider/ELS/131165 ","Ofsted School Webpage")</f>
        <v>Ofsted School Webpage</v>
      </c>
      <c r="B306" s="251">
        <v>131165</v>
      </c>
      <c r="C306" s="251">
        <v>2056390</v>
      </c>
      <c r="D306" s="251" t="s">
        <v>2046</v>
      </c>
      <c r="E306" s="251" t="s">
        <v>247</v>
      </c>
      <c r="F306" s="251" t="s">
        <v>93</v>
      </c>
      <c r="G306" s="251" t="s">
        <v>92</v>
      </c>
      <c r="H306" s="251" t="s">
        <v>92</v>
      </c>
      <c r="I306" s="251" t="s">
        <v>90</v>
      </c>
      <c r="J306" s="251" t="s">
        <v>1490</v>
      </c>
      <c r="K306" s="251" t="s">
        <v>486</v>
      </c>
      <c r="L306" s="251" t="s">
        <v>487</v>
      </c>
      <c r="M306" s="251" t="s">
        <v>506</v>
      </c>
      <c r="N306" s="251" t="s">
        <v>506</v>
      </c>
      <c r="O306" s="251" t="s">
        <v>862</v>
      </c>
      <c r="P306" s="251" t="s">
        <v>2047</v>
      </c>
      <c r="Q306" s="252">
        <v>10035790</v>
      </c>
      <c r="R306" s="253">
        <v>42997</v>
      </c>
      <c r="S306" s="253">
        <v>42999</v>
      </c>
      <c r="T306" s="253">
        <v>43026</v>
      </c>
      <c r="U306" s="251" t="s">
        <v>488</v>
      </c>
      <c r="V306" s="251">
        <v>2</v>
      </c>
      <c r="W306" s="251" t="s">
        <v>219</v>
      </c>
      <c r="X306" s="251">
        <v>2</v>
      </c>
      <c r="Y306" s="251">
        <v>1</v>
      </c>
      <c r="Z306" s="251">
        <v>2</v>
      </c>
      <c r="AA306" s="251">
        <v>2</v>
      </c>
      <c r="AB306" s="251">
        <v>2</v>
      </c>
      <c r="AC306" s="251" t="s">
        <v>486</v>
      </c>
      <c r="AD306" s="251" t="s">
        <v>490</v>
      </c>
      <c r="AE306" s="251" t="s">
        <v>486</v>
      </c>
      <c r="AF306" s="251" t="s">
        <v>486</v>
      </c>
      <c r="AG306" s="251" t="s">
        <v>486</v>
      </c>
      <c r="AH306" s="251" t="s">
        <v>486</v>
      </c>
      <c r="AI306" s="251" t="s">
        <v>486</v>
      </c>
      <c r="AJ306" s="251" t="s">
        <v>486</v>
      </c>
      <c r="AK306" s="251" t="s">
        <v>486</v>
      </c>
      <c r="AL306" s="251" t="s">
        <v>491</v>
      </c>
      <c r="AM306" s="251" t="s">
        <v>486</v>
      </c>
      <c r="AN306" s="251" t="s">
        <v>486</v>
      </c>
      <c r="AO306" s="253" t="s">
        <v>486</v>
      </c>
      <c r="AP306" s="252" t="s">
        <v>486</v>
      </c>
      <c r="AQ306" s="254" t="s">
        <v>486</v>
      </c>
      <c r="AR306" s="251" t="s">
        <v>486</v>
      </c>
    </row>
    <row r="307" spans="1:44" ht="15" x14ac:dyDescent="0.25">
      <c r="A307" s="245" t="str">
        <f>HYPERLINK("http://www.ofsted.gov.uk/inspection-reports/find-inspection-report/provider/ELS/135111 ","Ofsted School Webpage")</f>
        <v>Ofsted School Webpage</v>
      </c>
      <c r="B307" s="246">
        <v>135111</v>
      </c>
      <c r="C307" s="246">
        <v>9386272</v>
      </c>
      <c r="D307" s="246" t="s">
        <v>2048</v>
      </c>
      <c r="E307" s="246" t="s">
        <v>248</v>
      </c>
      <c r="F307" s="246" t="s">
        <v>93</v>
      </c>
      <c r="G307" s="246" t="s">
        <v>93</v>
      </c>
      <c r="H307" s="246" t="s">
        <v>93</v>
      </c>
      <c r="I307" s="246" t="s">
        <v>90</v>
      </c>
      <c r="J307" s="246" t="s">
        <v>1490</v>
      </c>
      <c r="K307" s="246" t="s">
        <v>486</v>
      </c>
      <c r="L307" s="246" t="s">
        <v>487</v>
      </c>
      <c r="M307" s="246" t="s">
        <v>581</v>
      </c>
      <c r="N307" s="246" t="s">
        <v>581</v>
      </c>
      <c r="O307" s="246" t="s">
        <v>829</v>
      </c>
      <c r="P307" s="246" t="s">
        <v>2049</v>
      </c>
      <c r="Q307" s="247">
        <v>10026024</v>
      </c>
      <c r="R307" s="248">
        <v>42997</v>
      </c>
      <c r="S307" s="248">
        <v>42999</v>
      </c>
      <c r="T307" s="248">
        <v>43020</v>
      </c>
      <c r="U307" s="246" t="s">
        <v>488</v>
      </c>
      <c r="V307" s="246">
        <v>2</v>
      </c>
      <c r="W307" s="246" t="s">
        <v>219</v>
      </c>
      <c r="X307" s="246">
        <v>2</v>
      </c>
      <c r="Y307" s="246">
        <v>2</v>
      </c>
      <c r="Z307" s="246">
        <v>2</v>
      </c>
      <c r="AA307" s="246">
        <v>2</v>
      </c>
      <c r="AB307" s="246" t="s">
        <v>486</v>
      </c>
      <c r="AC307" s="246" t="s">
        <v>486</v>
      </c>
      <c r="AD307" s="246" t="s">
        <v>490</v>
      </c>
      <c r="AE307" s="246" t="s">
        <v>486</v>
      </c>
      <c r="AF307" s="246" t="s">
        <v>486</v>
      </c>
      <c r="AG307" s="246" t="s">
        <v>486</v>
      </c>
      <c r="AH307" s="246" t="s">
        <v>486</v>
      </c>
      <c r="AI307" s="246" t="s">
        <v>486</v>
      </c>
      <c r="AJ307" s="246" t="s">
        <v>486</v>
      </c>
      <c r="AK307" s="246" t="s">
        <v>486</v>
      </c>
      <c r="AL307" s="246" t="s">
        <v>491</v>
      </c>
      <c r="AM307" s="246" t="s">
        <v>486</v>
      </c>
      <c r="AN307" s="246" t="s">
        <v>486</v>
      </c>
      <c r="AO307" s="248" t="s">
        <v>486</v>
      </c>
      <c r="AP307" s="247" t="s">
        <v>486</v>
      </c>
      <c r="AQ307" s="249" t="s">
        <v>486</v>
      </c>
      <c r="AR307" s="246" t="s">
        <v>486</v>
      </c>
    </row>
    <row r="308" spans="1:44" ht="15" x14ac:dyDescent="0.25">
      <c r="A308" s="250" t="str">
        <f>HYPERLINK("http://www.ofsted.gov.uk/inspection-reports/find-inspection-report/provider/ELS/136947 ","Ofsted School Webpage")</f>
        <v>Ofsted School Webpage</v>
      </c>
      <c r="B308" s="251">
        <v>136947</v>
      </c>
      <c r="C308" s="251">
        <v>8466018</v>
      </c>
      <c r="D308" s="251" t="s">
        <v>2050</v>
      </c>
      <c r="E308" s="251" t="s">
        <v>247</v>
      </c>
      <c r="F308" s="251" t="s">
        <v>93</v>
      </c>
      <c r="G308" s="251" t="s">
        <v>93</v>
      </c>
      <c r="H308" s="251" t="s">
        <v>93</v>
      </c>
      <c r="I308" s="251" t="s">
        <v>90</v>
      </c>
      <c r="J308" s="251" t="s">
        <v>1490</v>
      </c>
      <c r="K308" s="251" t="s">
        <v>486</v>
      </c>
      <c r="L308" s="251" t="s">
        <v>487</v>
      </c>
      <c r="M308" s="251" t="s">
        <v>581</v>
      </c>
      <c r="N308" s="251" t="s">
        <v>581</v>
      </c>
      <c r="O308" s="251" t="s">
        <v>924</v>
      </c>
      <c r="P308" s="251" t="s">
        <v>2051</v>
      </c>
      <c r="Q308" s="252">
        <v>10012927</v>
      </c>
      <c r="R308" s="253">
        <v>42997</v>
      </c>
      <c r="S308" s="253">
        <v>42999</v>
      </c>
      <c r="T308" s="253">
        <v>43042</v>
      </c>
      <c r="U308" s="251" t="s">
        <v>488</v>
      </c>
      <c r="V308" s="251">
        <v>1</v>
      </c>
      <c r="W308" s="251" t="s">
        <v>219</v>
      </c>
      <c r="X308" s="251">
        <v>1</v>
      </c>
      <c r="Y308" s="251">
        <v>1</v>
      </c>
      <c r="Z308" s="251">
        <v>1</v>
      </c>
      <c r="AA308" s="251">
        <v>1</v>
      </c>
      <c r="AB308" s="251">
        <v>1</v>
      </c>
      <c r="AC308" s="251" t="s">
        <v>486</v>
      </c>
      <c r="AD308" s="251" t="s">
        <v>486</v>
      </c>
      <c r="AE308" s="251" t="s">
        <v>486</v>
      </c>
      <c r="AF308" s="251" t="s">
        <v>486</v>
      </c>
      <c r="AG308" s="251" t="s">
        <v>486</v>
      </c>
      <c r="AH308" s="251" t="s">
        <v>486</v>
      </c>
      <c r="AI308" s="251" t="s">
        <v>486</v>
      </c>
      <c r="AJ308" s="251" t="s">
        <v>486</v>
      </c>
      <c r="AK308" s="251" t="s">
        <v>486</v>
      </c>
      <c r="AL308" s="251" t="s">
        <v>491</v>
      </c>
      <c r="AM308" s="251" t="s">
        <v>486</v>
      </c>
      <c r="AN308" s="251" t="s">
        <v>486</v>
      </c>
      <c r="AO308" s="253" t="s">
        <v>486</v>
      </c>
      <c r="AP308" s="252" t="s">
        <v>486</v>
      </c>
      <c r="AQ308" s="254" t="s">
        <v>486</v>
      </c>
      <c r="AR308" s="251" t="s">
        <v>486</v>
      </c>
    </row>
    <row r="309" spans="1:44" ht="15" x14ac:dyDescent="0.25">
      <c r="A309" s="245" t="str">
        <f>HYPERLINK("http://www.ofsted.gov.uk/inspection-reports/find-inspection-report/provider/ELS/138119 ","Ofsted School Webpage")</f>
        <v>Ofsted School Webpage</v>
      </c>
      <c r="B309" s="246">
        <v>138119</v>
      </c>
      <c r="C309" s="246">
        <v>9316006</v>
      </c>
      <c r="D309" s="246" t="s">
        <v>1149</v>
      </c>
      <c r="E309" s="246" t="s">
        <v>247</v>
      </c>
      <c r="F309" s="246" t="s">
        <v>93</v>
      </c>
      <c r="G309" s="246" t="s">
        <v>93</v>
      </c>
      <c r="H309" s="246" t="s">
        <v>93</v>
      </c>
      <c r="I309" s="246" t="s">
        <v>90</v>
      </c>
      <c r="J309" s="246" t="s">
        <v>1490</v>
      </c>
      <c r="K309" s="246" t="s">
        <v>486</v>
      </c>
      <c r="L309" s="246" t="s">
        <v>487</v>
      </c>
      <c r="M309" s="246" t="s">
        <v>581</v>
      </c>
      <c r="N309" s="246" t="s">
        <v>581</v>
      </c>
      <c r="O309" s="246" t="s">
        <v>1150</v>
      </c>
      <c r="P309" s="246" t="s">
        <v>1151</v>
      </c>
      <c r="Q309" s="247">
        <v>10033956</v>
      </c>
      <c r="R309" s="248">
        <v>42997</v>
      </c>
      <c r="S309" s="248">
        <v>42999</v>
      </c>
      <c r="T309" s="248">
        <v>43026</v>
      </c>
      <c r="U309" s="246" t="s">
        <v>488</v>
      </c>
      <c r="V309" s="246">
        <v>3</v>
      </c>
      <c r="W309" s="246" t="s">
        <v>219</v>
      </c>
      <c r="X309" s="246">
        <v>2</v>
      </c>
      <c r="Y309" s="246">
        <v>2</v>
      </c>
      <c r="Z309" s="246">
        <v>3</v>
      </c>
      <c r="AA309" s="246">
        <v>3</v>
      </c>
      <c r="AB309" s="246" t="s">
        <v>486</v>
      </c>
      <c r="AC309" s="246" t="s">
        <v>486</v>
      </c>
      <c r="AD309" s="246" t="s">
        <v>486</v>
      </c>
      <c r="AE309" s="246" t="s">
        <v>486</v>
      </c>
      <c r="AF309" s="246" t="s">
        <v>486</v>
      </c>
      <c r="AG309" s="246" t="s">
        <v>486</v>
      </c>
      <c r="AH309" s="246" t="s">
        <v>486</v>
      </c>
      <c r="AI309" s="246" t="s">
        <v>486</v>
      </c>
      <c r="AJ309" s="246" t="s">
        <v>486</v>
      </c>
      <c r="AK309" s="246" t="s">
        <v>486</v>
      </c>
      <c r="AL309" s="246" t="s">
        <v>545</v>
      </c>
      <c r="AM309" s="246" t="s">
        <v>486</v>
      </c>
      <c r="AN309" s="246" t="s">
        <v>486</v>
      </c>
      <c r="AO309" s="248" t="s">
        <v>486</v>
      </c>
      <c r="AP309" s="247" t="s">
        <v>486</v>
      </c>
      <c r="AQ309" s="249" t="s">
        <v>486</v>
      </c>
      <c r="AR309" s="246" t="s">
        <v>486</v>
      </c>
    </row>
    <row r="310" spans="1:44" ht="15" x14ac:dyDescent="0.25">
      <c r="A310" s="250" t="str">
        <f>HYPERLINK("http://www.ofsted.gov.uk/inspection-reports/find-inspection-report/provider/ELS/140272 ","Ofsted School Webpage")</f>
        <v>Ofsted School Webpage</v>
      </c>
      <c r="B310" s="251">
        <v>140272</v>
      </c>
      <c r="C310" s="251">
        <v>8086004</v>
      </c>
      <c r="D310" s="251" t="s">
        <v>1350</v>
      </c>
      <c r="E310" s="251" t="s">
        <v>248</v>
      </c>
      <c r="F310" s="251" t="s">
        <v>93</v>
      </c>
      <c r="G310" s="251" t="s">
        <v>93</v>
      </c>
      <c r="H310" s="251" t="s">
        <v>93</v>
      </c>
      <c r="I310" s="251" t="s">
        <v>90</v>
      </c>
      <c r="J310" s="251" t="s">
        <v>1490</v>
      </c>
      <c r="K310" s="251" t="s">
        <v>486</v>
      </c>
      <c r="L310" s="251" t="s">
        <v>487</v>
      </c>
      <c r="M310" s="251" t="s">
        <v>523</v>
      </c>
      <c r="N310" s="251" t="s">
        <v>539</v>
      </c>
      <c r="O310" s="251" t="s">
        <v>1351</v>
      </c>
      <c r="P310" s="251" t="s">
        <v>1352</v>
      </c>
      <c r="Q310" s="252">
        <v>10040144</v>
      </c>
      <c r="R310" s="253">
        <v>42997</v>
      </c>
      <c r="S310" s="253">
        <v>42999</v>
      </c>
      <c r="T310" s="253">
        <v>43025</v>
      </c>
      <c r="U310" s="251" t="s">
        <v>488</v>
      </c>
      <c r="V310" s="251">
        <v>3</v>
      </c>
      <c r="W310" s="251" t="s">
        <v>219</v>
      </c>
      <c r="X310" s="251">
        <v>3</v>
      </c>
      <c r="Y310" s="251">
        <v>2</v>
      </c>
      <c r="Z310" s="251">
        <v>3</v>
      </c>
      <c r="AA310" s="251">
        <v>3</v>
      </c>
      <c r="AB310" s="251" t="s">
        <v>486</v>
      </c>
      <c r="AC310" s="251" t="s">
        <v>486</v>
      </c>
      <c r="AD310" s="251" t="s">
        <v>490</v>
      </c>
      <c r="AE310" s="251" t="s">
        <v>486</v>
      </c>
      <c r="AF310" s="251" t="s">
        <v>486</v>
      </c>
      <c r="AG310" s="251" t="s">
        <v>486</v>
      </c>
      <c r="AH310" s="251" t="s">
        <v>486</v>
      </c>
      <c r="AI310" s="251" t="s">
        <v>486</v>
      </c>
      <c r="AJ310" s="251" t="s">
        <v>486</v>
      </c>
      <c r="AK310" s="251" t="s">
        <v>486</v>
      </c>
      <c r="AL310" s="251" t="s">
        <v>545</v>
      </c>
      <c r="AM310" s="251" t="s">
        <v>486</v>
      </c>
      <c r="AN310" s="251" t="s">
        <v>486</v>
      </c>
      <c r="AO310" s="253" t="s">
        <v>486</v>
      </c>
      <c r="AP310" s="252" t="s">
        <v>486</v>
      </c>
      <c r="AQ310" s="254" t="s">
        <v>486</v>
      </c>
      <c r="AR310" s="251" t="s">
        <v>486</v>
      </c>
    </row>
    <row r="311" spans="1:44" ht="15" x14ac:dyDescent="0.25">
      <c r="A311" s="245" t="str">
        <f>HYPERLINK("http://www.ofsted.gov.uk/inspection-reports/find-inspection-report/provider/ELS/142623 ","Ofsted School Webpage")</f>
        <v>Ofsted School Webpage</v>
      </c>
      <c r="B311" s="246">
        <v>142623</v>
      </c>
      <c r="C311" s="246">
        <v>3306025</v>
      </c>
      <c r="D311" s="246" t="s">
        <v>2052</v>
      </c>
      <c r="E311" s="246" t="s">
        <v>247</v>
      </c>
      <c r="F311" s="246" t="s">
        <v>93</v>
      </c>
      <c r="G311" s="246" t="s">
        <v>93</v>
      </c>
      <c r="H311" s="246" t="s">
        <v>93</v>
      </c>
      <c r="I311" s="246" t="s">
        <v>90</v>
      </c>
      <c r="J311" s="246" t="s">
        <v>1490</v>
      </c>
      <c r="K311" s="246" t="s">
        <v>486</v>
      </c>
      <c r="L311" s="246" t="s">
        <v>487</v>
      </c>
      <c r="M311" s="246" t="s">
        <v>502</v>
      </c>
      <c r="N311" s="246" t="s">
        <v>502</v>
      </c>
      <c r="O311" s="246" t="s">
        <v>909</v>
      </c>
      <c r="P311" s="246" t="s">
        <v>2053</v>
      </c>
      <c r="Q311" s="247">
        <v>10020883</v>
      </c>
      <c r="R311" s="248">
        <v>42997</v>
      </c>
      <c r="S311" s="248">
        <v>42999</v>
      </c>
      <c r="T311" s="248">
        <v>43028</v>
      </c>
      <c r="U311" s="246" t="s">
        <v>499</v>
      </c>
      <c r="V311" s="246">
        <v>2</v>
      </c>
      <c r="W311" s="246" t="s">
        <v>219</v>
      </c>
      <c r="X311" s="246">
        <v>2</v>
      </c>
      <c r="Y311" s="246">
        <v>2</v>
      </c>
      <c r="Z311" s="246">
        <v>2</v>
      </c>
      <c r="AA311" s="246">
        <v>2</v>
      </c>
      <c r="AB311" s="246" t="s">
        <v>486</v>
      </c>
      <c r="AC311" s="246">
        <v>2</v>
      </c>
      <c r="AD311" s="246" t="s">
        <v>486</v>
      </c>
      <c r="AE311" s="246" t="s">
        <v>486</v>
      </c>
      <c r="AF311" s="246" t="s">
        <v>486</v>
      </c>
      <c r="AG311" s="246" t="s">
        <v>486</v>
      </c>
      <c r="AH311" s="246" t="s">
        <v>486</v>
      </c>
      <c r="AI311" s="246" t="s">
        <v>486</v>
      </c>
      <c r="AJ311" s="246" t="s">
        <v>486</v>
      </c>
      <c r="AK311" s="246" t="s">
        <v>486</v>
      </c>
      <c r="AL311" s="246" t="s">
        <v>491</v>
      </c>
      <c r="AM311" s="246" t="s">
        <v>486</v>
      </c>
      <c r="AN311" s="246" t="s">
        <v>486</v>
      </c>
      <c r="AO311" s="248" t="s">
        <v>486</v>
      </c>
      <c r="AP311" s="247" t="s">
        <v>486</v>
      </c>
      <c r="AQ311" s="249" t="s">
        <v>486</v>
      </c>
      <c r="AR311" s="246" t="s">
        <v>486</v>
      </c>
    </row>
    <row r="312" spans="1:44" ht="15" x14ac:dyDescent="0.25">
      <c r="A312" s="250" t="str">
        <f>HYPERLINK("http://www.ofsted.gov.uk/inspection-reports/find-inspection-report/provider/ELS/143539 ","Ofsted School Webpage")</f>
        <v>Ofsted School Webpage</v>
      </c>
      <c r="B312" s="251">
        <v>143539</v>
      </c>
      <c r="C312" s="251">
        <v>8786067</v>
      </c>
      <c r="D312" s="251" t="s">
        <v>2054</v>
      </c>
      <c r="E312" s="251" t="s">
        <v>248</v>
      </c>
      <c r="F312" s="251" t="s">
        <v>93</v>
      </c>
      <c r="G312" s="251" t="s">
        <v>93</v>
      </c>
      <c r="H312" s="251" t="s">
        <v>93</v>
      </c>
      <c r="I312" s="251" t="s">
        <v>90</v>
      </c>
      <c r="J312" s="251" t="s">
        <v>1490</v>
      </c>
      <c r="K312" s="251" t="s">
        <v>486</v>
      </c>
      <c r="L312" s="251" t="s">
        <v>487</v>
      </c>
      <c r="M312" s="251" t="s">
        <v>483</v>
      </c>
      <c r="N312" s="251" t="s">
        <v>483</v>
      </c>
      <c r="O312" s="251" t="s">
        <v>747</v>
      </c>
      <c r="P312" s="251" t="s">
        <v>2055</v>
      </c>
      <c r="Q312" s="252">
        <v>10033897</v>
      </c>
      <c r="R312" s="253">
        <v>42997</v>
      </c>
      <c r="S312" s="253">
        <v>42999</v>
      </c>
      <c r="T312" s="253">
        <v>43045</v>
      </c>
      <c r="U312" s="251" t="s">
        <v>499</v>
      </c>
      <c r="V312" s="251">
        <v>4</v>
      </c>
      <c r="W312" s="251" t="s">
        <v>220</v>
      </c>
      <c r="X312" s="251">
        <v>4</v>
      </c>
      <c r="Y312" s="251">
        <v>3</v>
      </c>
      <c r="Z312" s="251">
        <v>3</v>
      </c>
      <c r="AA312" s="251">
        <v>3</v>
      </c>
      <c r="AB312" s="251" t="s">
        <v>486</v>
      </c>
      <c r="AC312" s="251" t="s">
        <v>486</v>
      </c>
      <c r="AD312" s="251" t="s">
        <v>486</v>
      </c>
      <c r="AE312" s="251" t="s">
        <v>486</v>
      </c>
      <c r="AF312" s="251" t="s">
        <v>486</v>
      </c>
      <c r="AG312" s="251" t="s">
        <v>486</v>
      </c>
      <c r="AH312" s="251" t="s">
        <v>486</v>
      </c>
      <c r="AI312" s="251" t="s">
        <v>486</v>
      </c>
      <c r="AJ312" s="251" t="s">
        <v>486</v>
      </c>
      <c r="AK312" s="251" t="s">
        <v>486</v>
      </c>
      <c r="AL312" s="251" t="s">
        <v>545</v>
      </c>
      <c r="AM312" s="251">
        <v>10049140</v>
      </c>
      <c r="AN312" s="251" t="s">
        <v>1109</v>
      </c>
      <c r="AO312" s="253">
        <v>43258</v>
      </c>
      <c r="AP312" s="252" t="s">
        <v>1690</v>
      </c>
      <c r="AQ312" s="254">
        <v>43280</v>
      </c>
      <c r="AR312" s="251" t="s">
        <v>1110</v>
      </c>
    </row>
    <row r="313" spans="1:44" ht="15" x14ac:dyDescent="0.25">
      <c r="A313" s="245" t="str">
        <f>HYPERLINK("http://www.ofsted.gov.uk/inspection-reports/find-inspection-report/provider/ELS/137890 ","Ofsted School Webpage")</f>
        <v>Ofsted School Webpage</v>
      </c>
      <c r="B313" s="246">
        <v>137890</v>
      </c>
      <c r="C313" s="246">
        <v>3026003</v>
      </c>
      <c r="D313" s="246" t="s">
        <v>2056</v>
      </c>
      <c r="E313" s="246" t="s">
        <v>248</v>
      </c>
      <c r="F313" s="246" t="s">
        <v>93</v>
      </c>
      <c r="G313" s="246" t="s">
        <v>93</v>
      </c>
      <c r="H313" s="246" t="s">
        <v>93</v>
      </c>
      <c r="I313" s="246" t="s">
        <v>90</v>
      </c>
      <c r="J313" s="246" t="s">
        <v>1490</v>
      </c>
      <c r="K313" s="246" t="s">
        <v>486</v>
      </c>
      <c r="L313" s="246" t="s">
        <v>487</v>
      </c>
      <c r="M313" s="246" t="s">
        <v>506</v>
      </c>
      <c r="N313" s="246" t="s">
        <v>506</v>
      </c>
      <c r="O313" s="246" t="s">
        <v>614</v>
      </c>
      <c r="P313" s="246" t="s">
        <v>2057</v>
      </c>
      <c r="Q313" s="247">
        <v>10008526</v>
      </c>
      <c r="R313" s="248">
        <v>42998</v>
      </c>
      <c r="S313" s="248">
        <v>43000</v>
      </c>
      <c r="T313" s="248">
        <v>43052</v>
      </c>
      <c r="U313" s="246" t="s">
        <v>488</v>
      </c>
      <c r="V313" s="246">
        <v>3</v>
      </c>
      <c r="W313" s="246" t="s">
        <v>219</v>
      </c>
      <c r="X313" s="246">
        <v>3</v>
      </c>
      <c r="Y313" s="246">
        <v>1</v>
      </c>
      <c r="Z313" s="246">
        <v>3</v>
      </c>
      <c r="AA313" s="246">
        <v>3</v>
      </c>
      <c r="AB313" s="246" t="s">
        <v>486</v>
      </c>
      <c r="AC313" s="246" t="s">
        <v>486</v>
      </c>
      <c r="AD313" s="246" t="s">
        <v>486</v>
      </c>
      <c r="AE313" s="246" t="s">
        <v>486</v>
      </c>
      <c r="AF313" s="246" t="s">
        <v>486</v>
      </c>
      <c r="AG313" s="246" t="s">
        <v>486</v>
      </c>
      <c r="AH313" s="246" t="s">
        <v>486</v>
      </c>
      <c r="AI313" s="246" t="s">
        <v>486</v>
      </c>
      <c r="AJ313" s="246" t="s">
        <v>486</v>
      </c>
      <c r="AK313" s="246" t="s">
        <v>486</v>
      </c>
      <c r="AL313" s="246" t="s">
        <v>491</v>
      </c>
      <c r="AM313" s="246" t="s">
        <v>486</v>
      </c>
      <c r="AN313" s="246" t="s">
        <v>486</v>
      </c>
      <c r="AO313" s="248" t="s">
        <v>486</v>
      </c>
      <c r="AP313" s="247" t="s">
        <v>486</v>
      </c>
      <c r="AQ313" s="249" t="s">
        <v>486</v>
      </c>
      <c r="AR313" s="246" t="s">
        <v>486</v>
      </c>
    </row>
    <row r="314" spans="1:44" ht="15" x14ac:dyDescent="0.25">
      <c r="A314" s="250" t="str">
        <f>HYPERLINK("http://www.ofsted.gov.uk/inspection-reports/find-inspection-report/provider/ELS/143041 ","Ofsted School Webpage")</f>
        <v>Ofsted School Webpage</v>
      </c>
      <c r="B314" s="251">
        <v>143041</v>
      </c>
      <c r="C314" s="251">
        <v>8886064</v>
      </c>
      <c r="D314" s="251" t="s">
        <v>1853</v>
      </c>
      <c r="E314" s="251" t="s">
        <v>247</v>
      </c>
      <c r="F314" s="251" t="s">
        <v>93</v>
      </c>
      <c r="G314" s="251" t="s">
        <v>93</v>
      </c>
      <c r="H314" s="251" t="s">
        <v>93</v>
      </c>
      <c r="I314" s="251" t="s">
        <v>90</v>
      </c>
      <c r="J314" s="251" t="s">
        <v>1490</v>
      </c>
      <c r="K314" s="251" t="s">
        <v>486</v>
      </c>
      <c r="L314" s="251" t="s">
        <v>487</v>
      </c>
      <c r="M314" s="251" t="s">
        <v>495</v>
      </c>
      <c r="N314" s="251" t="s">
        <v>495</v>
      </c>
      <c r="O314" s="251" t="s">
        <v>534</v>
      </c>
      <c r="P314" s="251" t="s">
        <v>1062</v>
      </c>
      <c r="Q314" s="252">
        <v>10038937</v>
      </c>
      <c r="R314" s="253">
        <v>43004</v>
      </c>
      <c r="S314" s="253">
        <v>43005</v>
      </c>
      <c r="T314" s="253">
        <v>43027</v>
      </c>
      <c r="U314" s="251" t="s">
        <v>488</v>
      </c>
      <c r="V314" s="251">
        <v>2</v>
      </c>
      <c r="W314" s="251" t="s">
        <v>219</v>
      </c>
      <c r="X314" s="251">
        <v>2</v>
      </c>
      <c r="Y314" s="251">
        <v>2</v>
      </c>
      <c r="Z314" s="251">
        <v>2</v>
      </c>
      <c r="AA314" s="251">
        <v>2</v>
      </c>
      <c r="AB314" s="251" t="s">
        <v>486</v>
      </c>
      <c r="AC314" s="251" t="s">
        <v>486</v>
      </c>
      <c r="AD314" s="251" t="s">
        <v>490</v>
      </c>
      <c r="AE314" s="251" t="s">
        <v>486</v>
      </c>
      <c r="AF314" s="251" t="s">
        <v>486</v>
      </c>
      <c r="AG314" s="251" t="s">
        <v>486</v>
      </c>
      <c r="AH314" s="251" t="s">
        <v>486</v>
      </c>
      <c r="AI314" s="251" t="s">
        <v>486</v>
      </c>
      <c r="AJ314" s="251" t="s">
        <v>486</v>
      </c>
      <c r="AK314" s="251" t="s">
        <v>486</v>
      </c>
      <c r="AL314" s="251" t="s">
        <v>491</v>
      </c>
      <c r="AM314" s="251" t="s">
        <v>486</v>
      </c>
      <c r="AN314" s="251" t="s">
        <v>486</v>
      </c>
      <c r="AO314" s="253" t="s">
        <v>486</v>
      </c>
      <c r="AP314" s="252" t="s">
        <v>486</v>
      </c>
      <c r="AQ314" s="254" t="s">
        <v>486</v>
      </c>
      <c r="AR314" s="251" t="s">
        <v>486</v>
      </c>
    </row>
    <row r="315" spans="1:44" ht="15" x14ac:dyDescent="0.25">
      <c r="A315" s="245" t="str">
        <f>HYPERLINK("http://www.ofsted.gov.uk/inspection-reports/find-inspection-report/provider/ELS/105747 ","Ofsted School Webpage")</f>
        <v>Ofsted School Webpage</v>
      </c>
      <c r="B315" s="246">
        <v>105747</v>
      </c>
      <c r="C315" s="246">
        <v>3536014</v>
      </c>
      <c r="D315" s="246" t="s">
        <v>2058</v>
      </c>
      <c r="E315" s="246" t="s">
        <v>247</v>
      </c>
      <c r="F315" s="246" t="s">
        <v>93</v>
      </c>
      <c r="G315" s="246" t="s">
        <v>93</v>
      </c>
      <c r="H315" s="246" t="s">
        <v>93</v>
      </c>
      <c r="I315" s="246" t="s">
        <v>90</v>
      </c>
      <c r="J315" s="246" t="s">
        <v>1490</v>
      </c>
      <c r="K315" s="246" t="s">
        <v>486</v>
      </c>
      <c r="L315" s="246" t="s">
        <v>487</v>
      </c>
      <c r="M315" s="246" t="s">
        <v>495</v>
      </c>
      <c r="N315" s="246" t="s">
        <v>495</v>
      </c>
      <c r="O315" s="246" t="s">
        <v>880</v>
      </c>
      <c r="P315" s="246" t="s">
        <v>2059</v>
      </c>
      <c r="Q315" s="247">
        <v>10034020</v>
      </c>
      <c r="R315" s="248">
        <v>43004</v>
      </c>
      <c r="S315" s="248">
        <v>43006</v>
      </c>
      <c r="T315" s="248">
        <v>43025</v>
      </c>
      <c r="U315" s="246" t="s">
        <v>488</v>
      </c>
      <c r="V315" s="246">
        <v>2</v>
      </c>
      <c r="W315" s="246" t="s">
        <v>219</v>
      </c>
      <c r="X315" s="246">
        <v>2</v>
      </c>
      <c r="Y315" s="246">
        <v>1</v>
      </c>
      <c r="Z315" s="246">
        <v>2</v>
      </c>
      <c r="AA315" s="246">
        <v>2</v>
      </c>
      <c r="AB315" s="246">
        <v>3</v>
      </c>
      <c r="AC315" s="246" t="s">
        <v>486</v>
      </c>
      <c r="AD315" s="246" t="s">
        <v>490</v>
      </c>
      <c r="AE315" s="246" t="s">
        <v>486</v>
      </c>
      <c r="AF315" s="246" t="s">
        <v>486</v>
      </c>
      <c r="AG315" s="246" t="s">
        <v>486</v>
      </c>
      <c r="AH315" s="246" t="s">
        <v>486</v>
      </c>
      <c r="AI315" s="246" t="s">
        <v>486</v>
      </c>
      <c r="AJ315" s="246" t="s">
        <v>486</v>
      </c>
      <c r="AK315" s="246" t="s">
        <v>486</v>
      </c>
      <c r="AL315" s="246" t="s">
        <v>491</v>
      </c>
      <c r="AM315" s="246" t="s">
        <v>486</v>
      </c>
      <c r="AN315" s="246" t="s">
        <v>486</v>
      </c>
      <c r="AO315" s="248" t="s">
        <v>486</v>
      </c>
      <c r="AP315" s="247" t="s">
        <v>486</v>
      </c>
      <c r="AQ315" s="249" t="s">
        <v>486</v>
      </c>
      <c r="AR315" s="246" t="s">
        <v>486</v>
      </c>
    </row>
    <row r="316" spans="1:44" ht="15" x14ac:dyDescent="0.25">
      <c r="A316" s="250" t="str">
        <f>HYPERLINK("http://www.ofsted.gov.uk/inspection-reports/find-inspection-report/provider/ELS/115437 ","Ofsted School Webpage")</f>
        <v>Ofsted School Webpage</v>
      </c>
      <c r="B316" s="251">
        <v>115437</v>
      </c>
      <c r="C316" s="251">
        <v>8816042</v>
      </c>
      <c r="D316" s="251" t="s">
        <v>1313</v>
      </c>
      <c r="E316" s="251" t="s">
        <v>247</v>
      </c>
      <c r="F316" s="251" t="s">
        <v>93</v>
      </c>
      <c r="G316" s="251" t="s">
        <v>88</v>
      </c>
      <c r="H316" s="251" t="s">
        <v>88</v>
      </c>
      <c r="I316" s="251" t="s">
        <v>226</v>
      </c>
      <c r="J316" s="251" t="s">
        <v>1490</v>
      </c>
      <c r="K316" s="251" t="s">
        <v>486</v>
      </c>
      <c r="L316" s="251" t="s">
        <v>487</v>
      </c>
      <c r="M316" s="251" t="s">
        <v>516</v>
      </c>
      <c r="N316" s="251" t="s">
        <v>516</v>
      </c>
      <c r="O316" s="251" t="s">
        <v>764</v>
      </c>
      <c r="P316" s="251" t="s">
        <v>1314</v>
      </c>
      <c r="Q316" s="252">
        <v>10033601</v>
      </c>
      <c r="R316" s="253">
        <v>43004</v>
      </c>
      <c r="S316" s="253">
        <v>43006</v>
      </c>
      <c r="T316" s="253">
        <v>43109</v>
      </c>
      <c r="U316" s="251" t="s">
        <v>488</v>
      </c>
      <c r="V316" s="251">
        <v>4</v>
      </c>
      <c r="W316" s="251" t="s">
        <v>220</v>
      </c>
      <c r="X316" s="251">
        <v>4</v>
      </c>
      <c r="Y316" s="251">
        <v>4</v>
      </c>
      <c r="Z316" s="251">
        <v>2</v>
      </c>
      <c r="AA316" s="251">
        <v>2</v>
      </c>
      <c r="AB316" s="251">
        <v>4</v>
      </c>
      <c r="AC316" s="251">
        <v>4</v>
      </c>
      <c r="AD316" s="251" t="s">
        <v>486</v>
      </c>
      <c r="AE316" s="251" t="s">
        <v>486</v>
      </c>
      <c r="AF316" s="251" t="s">
        <v>486</v>
      </c>
      <c r="AG316" s="251" t="s">
        <v>486</v>
      </c>
      <c r="AH316" s="251" t="s">
        <v>486</v>
      </c>
      <c r="AI316" s="251" t="s">
        <v>486</v>
      </c>
      <c r="AJ316" s="251" t="s">
        <v>486</v>
      </c>
      <c r="AK316" s="251" t="s">
        <v>486</v>
      </c>
      <c r="AL316" s="251" t="s">
        <v>545</v>
      </c>
      <c r="AM316" s="251">
        <v>10080602</v>
      </c>
      <c r="AN316" s="251" t="s">
        <v>1109</v>
      </c>
      <c r="AO316" s="253">
        <v>43481</v>
      </c>
      <c r="AP316" s="252" t="s">
        <v>1523</v>
      </c>
      <c r="AQ316" s="254">
        <v>43508</v>
      </c>
      <c r="AR316" s="251" t="s">
        <v>1136</v>
      </c>
    </row>
    <row r="317" spans="1:44" ht="15" x14ac:dyDescent="0.25">
      <c r="A317" s="245" t="str">
        <f>HYPERLINK("http://www.ofsted.gov.uk/inspection-reports/find-inspection-report/provider/ELS/115802 ","Ofsted School Webpage")</f>
        <v>Ofsted School Webpage</v>
      </c>
      <c r="B317" s="246">
        <v>115802</v>
      </c>
      <c r="C317" s="246">
        <v>9166040</v>
      </c>
      <c r="D317" s="246" t="s">
        <v>2060</v>
      </c>
      <c r="E317" s="246" t="s">
        <v>248</v>
      </c>
      <c r="F317" s="246" t="s">
        <v>93</v>
      </c>
      <c r="G317" s="246" t="s">
        <v>71</v>
      </c>
      <c r="H317" s="246" t="s">
        <v>71</v>
      </c>
      <c r="I317" s="246" t="s">
        <v>71</v>
      </c>
      <c r="J317" s="246" t="s">
        <v>1490</v>
      </c>
      <c r="K317" s="246" t="s">
        <v>486</v>
      </c>
      <c r="L317" s="246" t="s">
        <v>487</v>
      </c>
      <c r="M317" s="246" t="s">
        <v>483</v>
      </c>
      <c r="N317" s="246" t="s">
        <v>483</v>
      </c>
      <c r="O317" s="246" t="s">
        <v>948</v>
      </c>
      <c r="P317" s="246" t="s">
        <v>2061</v>
      </c>
      <c r="Q317" s="247">
        <v>10035561</v>
      </c>
      <c r="R317" s="248">
        <v>43004</v>
      </c>
      <c r="S317" s="248">
        <v>43006</v>
      </c>
      <c r="T317" s="248">
        <v>43045</v>
      </c>
      <c r="U317" s="246" t="s">
        <v>624</v>
      </c>
      <c r="V317" s="246">
        <v>2</v>
      </c>
      <c r="W317" s="246" t="s">
        <v>219</v>
      </c>
      <c r="X317" s="246">
        <v>2</v>
      </c>
      <c r="Y317" s="246">
        <v>2</v>
      </c>
      <c r="Z317" s="246">
        <v>2</v>
      </c>
      <c r="AA317" s="246">
        <v>2</v>
      </c>
      <c r="AB317" s="246" t="s">
        <v>486</v>
      </c>
      <c r="AC317" s="246">
        <v>2</v>
      </c>
      <c r="AD317" s="246" t="s">
        <v>490</v>
      </c>
      <c r="AE317" s="246" t="s">
        <v>486</v>
      </c>
      <c r="AF317" s="246" t="s">
        <v>486</v>
      </c>
      <c r="AG317" s="246" t="s">
        <v>486</v>
      </c>
      <c r="AH317" s="246" t="s">
        <v>486</v>
      </c>
      <c r="AI317" s="246" t="s">
        <v>486</v>
      </c>
      <c r="AJ317" s="246" t="s">
        <v>486</v>
      </c>
      <c r="AK317" s="246" t="s">
        <v>486</v>
      </c>
      <c r="AL317" s="246" t="s">
        <v>491</v>
      </c>
      <c r="AM317" s="246" t="s">
        <v>486</v>
      </c>
      <c r="AN317" s="246" t="s">
        <v>486</v>
      </c>
      <c r="AO317" s="248" t="s">
        <v>486</v>
      </c>
      <c r="AP317" s="247" t="s">
        <v>486</v>
      </c>
      <c r="AQ317" s="249" t="s">
        <v>486</v>
      </c>
      <c r="AR317" s="246" t="s">
        <v>486</v>
      </c>
    </row>
    <row r="318" spans="1:44" ht="15" x14ac:dyDescent="0.25">
      <c r="A318" s="250" t="str">
        <f>HYPERLINK("http://www.ofsted.gov.uk/inspection-reports/find-inspection-report/provider/ELS/122926 ","Ofsted School Webpage")</f>
        <v>Ofsted School Webpage</v>
      </c>
      <c r="B318" s="251">
        <v>122926</v>
      </c>
      <c r="C318" s="251">
        <v>8916008</v>
      </c>
      <c r="D318" s="251" t="s">
        <v>2062</v>
      </c>
      <c r="E318" s="251" t="s">
        <v>247</v>
      </c>
      <c r="F318" s="251" t="s">
        <v>93</v>
      </c>
      <c r="G318" s="251" t="s">
        <v>93</v>
      </c>
      <c r="H318" s="251" t="s">
        <v>93</v>
      </c>
      <c r="I318" s="251" t="s">
        <v>90</v>
      </c>
      <c r="J318" s="251" t="s">
        <v>1490</v>
      </c>
      <c r="K318" s="251" t="s">
        <v>486</v>
      </c>
      <c r="L318" s="251" t="s">
        <v>487</v>
      </c>
      <c r="M318" s="251" t="s">
        <v>572</v>
      </c>
      <c r="N318" s="251" t="s">
        <v>572</v>
      </c>
      <c r="O318" s="251" t="s">
        <v>852</v>
      </c>
      <c r="P318" s="251" t="s">
        <v>2063</v>
      </c>
      <c r="Q318" s="252">
        <v>10033528</v>
      </c>
      <c r="R318" s="253">
        <v>43004</v>
      </c>
      <c r="S318" s="253">
        <v>43006</v>
      </c>
      <c r="T318" s="253">
        <v>43027</v>
      </c>
      <c r="U318" s="251" t="s">
        <v>488</v>
      </c>
      <c r="V318" s="251">
        <v>3</v>
      </c>
      <c r="W318" s="251" t="s">
        <v>219</v>
      </c>
      <c r="X318" s="251">
        <v>3</v>
      </c>
      <c r="Y318" s="251">
        <v>2</v>
      </c>
      <c r="Z318" s="251">
        <v>3</v>
      </c>
      <c r="AA318" s="251">
        <v>3</v>
      </c>
      <c r="AB318" s="251">
        <v>2</v>
      </c>
      <c r="AC318" s="251" t="s">
        <v>486</v>
      </c>
      <c r="AD318" s="251" t="s">
        <v>486</v>
      </c>
      <c r="AE318" s="251" t="s">
        <v>486</v>
      </c>
      <c r="AF318" s="251" t="s">
        <v>486</v>
      </c>
      <c r="AG318" s="251" t="s">
        <v>486</v>
      </c>
      <c r="AH318" s="251" t="s">
        <v>486</v>
      </c>
      <c r="AI318" s="251" t="s">
        <v>486</v>
      </c>
      <c r="AJ318" s="251" t="s">
        <v>486</v>
      </c>
      <c r="AK318" s="251" t="s">
        <v>486</v>
      </c>
      <c r="AL318" s="251" t="s">
        <v>545</v>
      </c>
      <c r="AM318" s="251" t="s">
        <v>486</v>
      </c>
      <c r="AN318" s="251" t="s">
        <v>486</v>
      </c>
      <c r="AO318" s="253" t="s">
        <v>486</v>
      </c>
      <c r="AP318" s="252" t="s">
        <v>486</v>
      </c>
      <c r="AQ318" s="254" t="s">
        <v>486</v>
      </c>
      <c r="AR318" s="251" t="s">
        <v>486</v>
      </c>
    </row>
    <row r="319" spans="1:44" ht="15" x14ac:dyDescent="0.25">
      <c r="A319" s="245" t="str">
        <f>HYPERLINK("http://www.ofsted.gov.uk/inspection-reports/find-inspection-report/provider/ELS/131026 ","Ofsted School Webpage")</f>
        <v>Ofsted School Webpage</v>
      </c>
      <c r="B319" s="246">
        <v>131026</v>
      </c>
      <c r="C319" s="246">
        <v>3026104</v>
      </c>
      <c r="D319" s="246" t="s">
        <v>2064</v>
      </c>
      <c r="E319" s="246" t="s">
        <v>247</v>
      </c>
      <c r="F319" s="246" t="s">
        <v>93</v>
      </c>
      <c r="G319" s="246" t="s">
        <v>81</v>
      </c>
      <c r="H319" s="246" t="s">
        <v>81</v>
      </c>
      <c r="I319" s="246" t="s">
        <v>81</v>
      </c>
      <c r="J319" s="246" t="s">
        <v>1490</v>
      </c>
      <c r="K319" s="246" t="s">
        <v>486</v>
      </c>
      <c r="L319" s="246" t="s">
        <v>487</v>
      </c>
      <c r="M319" s="246" t="s">
        <v>506</v>
      </c>
      <c r="N319" s="246" t="s">
        <v>506</v>
      </c>
      <c r="O319" s="246" t="s">
        <v>614</v>
      </c>
      <c r="P319" s="246" t="s">
        <v>2065</v>
      </c>
      <c r="Q319" s="247">
        <v>10008541</v>
      </c>
      <c r="R319" s="248">
        <v>43004</v>
      </c>
      <c r="S319" s="248">
        <v>43006</v>
      </c>
      <c r="T319" s="248">
        <v>43046</v>
      </c>
      <c r="U319" s="246" t="s">
        <v>488</v>
      </c>
      <c r="V319" s="246">
        <v>3</v>
      </c>
      <c r="W319" s="246" t="s">
        <v>219</v>
      </c>
      <c r="X319" s="246">
        <v>3</v>
      </c>
      <c r="Y319" s="246">
        <v>2</v>
      </c>
      <c r="Z319" s="246">
        <v>3</v>
      </c>
      <c r="AA319" s="246">
        <v>3</v>
      </c>
      <c r="AB319" s="246">
        <v>2</v>
      </c>
      <c r="AC319" s="246" t="s">
        <v>486</v>
      </c>
      <c r="AD319" s="246" t="s">
        <v>486</v>
      </c>
      <c r="AE319" s="246" t="s">
        <v>486</v>
      </c>
      <c r="AF319" s="246" t="s">
        <v>486</v>
      </c>
      <c r="AG319" s="246" t="s">
        <v>486</v>
      </c>
      <c r="AH319" s="246" t="s">
        <v>486</v>
      </c>
      <c r="AI319" s="246" t="s">
        <v>486</v>
      </c>
      <c r="AJ319" s="246" t="s">
        <v>486</v>
      </c>
      <c r="AK319" s="246" t="s">
        <v>486</v>
      </c>
      <c r="AL319" s="246" t="s">
        <v>545</v>
      </c>
      <c r="AM319" s="246">
        <v>10049185</v>
      </c>
      <c r="AN319" s="246" t="s">
        <v>1109</v>
      </c>
      <c r="AO319" s="248">
        <v>43258</v>
      </c>
      <c r="AP319" s="247" t="s">
        <v>1690</v>
      </c>
      <c r="AQ319" s="249">
        <v>43353</v>
      </c>
      <c r="AR319" s="246" t="s">
        <v>1136</v>
      </c>
    </row>
    <row r="320" spans="1:44" ht="15" x14ac:dyDescent="0.25">
      <c r="A320" s="250" t="str">
        <f>HYPERLINK("http://www.ofsted.gov.uk/inspection-reports/find-inspection-report/provider/ELS/135105 ","Ofsted School Webpage")</f>
        <v>Ofsted School Webpage</v>
      </c>
      <c r="B320" s="251">
        <v>135105</v>
      </c>
      <c r="C320" s="251">
        <v>8506086</v>
      </c>
      <c r="D320" s="251" t="s">
        <v>2066</v>
      </c>
      <c r="E320" s="251" t="s">
        <v>248</v>
      </c>
      <c r="F320" s="251" t="s">
        <v>93</v>
      </c>
      <c r="G320" s="251" t="s">
        <v>93</v>
      </c>
      <c r="H320" s="251" t="s">
        <v>93</v>
      </c>
      <c r="I320" s="251" t="s">
        <v>90</v>
      </c>
      <c r="J320" s="251" t="s">
        <v>1490</v>
      </c>
      <c r="K320" s="251" t="s">
        <v>486</v>
      </c>
      <c r="L320" s="251" t="s">
        <v>487</v>
      </c>
      <c r="M320" s="251" t="s">
        <v>581</v>
      </c>
      <c r="N320" s="251" t="s">
        <v>581</v>
      </c>
      <c r="O320" s="251" t="s">
        <v>582</v>
      </c>
      <c r="P320" s="251" t="s">
        <v>2067</v>
      </c>
      <c r="Q320" s="252">
        <v>10033961</v>
      </c>
      <c r="R320" s="253">
        <v>43004</v>
      </c>
      <c r="S320" s="253">
        <v>43006</v>
      </c>
      <c r="T320" s="253">
        <v>43052</v>
      </c>
      <c r="U320" s="251" t="s">
        <v>488</v>
      </c>
      <c r="V320" s="251">
        <v>1</v>
      </c>
      <c r="W320" s="251" t="s">
        <v>219</v>
      </c>
      <c r="X320" s="251">
        <v>1</v>
      </c>
      <c r="Y320" s="251">
        <v>1</v>
      </c>
      <c r="Z320" s="251">
        <v>1</v>
      </c>
      <c r="AA320" s="251">
        <v>1</v>
      </c>
      <c r="AB320" s="251" t="s">
        <v>486</v>
      </c>
      <c r="AC320" s="251" t="s">
        <v>486</v>
      </c>
      <c r="AD320" s="251" t="s">
        <v>490</v>
      </c>
      <c r="AE320" s="251" t="s">
        <v>486</v>
      </c>
      <c r="AF320" s="251" t="s">
        <v>486</v>
      </c>
      <c r="AG320" s="251" t="s">
        <v>486</v>
      </c>
      <c r="AH320" s="251" t="s">
        <v>486</v>
      </c>
      <c r="AI320" s="251" t="s">
        <v>486</v>
      </c>
      <c r="AJ320" s="251" t="s">
        <v>486</v>
      </c>
      <c r="AK320" s="251" t="s">
        <v>486</v>
      </c>
      <c r="AL320" s="251" t="s">
        <v>491</v>
      </c>
      <c r="AM320" s="251" t="s">
        <v>486</v>
      </c>
      <c r="AN320" s="251" t="s">
        <v>486</v>
      </c>
      <c r="AO320" s="253" t="s">
        <v>486</v>
      </c>
      <c r="AP320" s="252" t="s">
        <v>486</v>
      </c>
      <c r="AQ320" s="254" t="s">
        <v>486</v>
      </c>
      <c r="AR320" s="251" t="s">
        <v>486</v>
      </c>
    </row>
    <row r="321" spans="1:44" ht="15" x14ac:dyDescent="0.25">
      <c r="A321" s="245" t="str">
        <f>HYPERLINK("http://www.ofsted.gov.uk/inspection-reports/find-inspection-report/provider/ELS/136122 ","Ofsted School Webpage")</f>
        <v>Ofsted School Webpage</v>
      </c>
      <c r="B321" s="246">
        <v>136122</v>
      </c>
      <c r="C321" s="246">
        <v>8226015</v>
      </c>
      <c r="D321" s="246" t="s">
        <v>2068</v>
      </c>
      <c r="E321" s="246" t="s">
        <v>247</v>
      </c>
      <c r="F321" s="246" t="s">
        <v>93</v>
      </c>
      <c r="G321" s="246" t="s">
        <v>93</v>
      </c>
      <c r="H321" s="246" t="s">
        <v>93</v>
      </c>
      <c r="I321" s="246" t="s">
        <v>90</v>
      </c>
      <c r="J321" s="246" t="s">
        <v>1490</v>
      </c>
      <c r="K321" s="246" t="s">
        <v>486</v>
      </c>
      <c r="L321" s="246" t="s">
        <v>487</v>
      </c>
      <c r="M321" s="246" t="s">
        <v>516</v>
      </c>
      <c r="N321" s="246" t="s">
        <v>516</v>
      </c>
      <c r="O321" s="246" t="s">
        <v>1161</v>
      </c>
      <c r="P321" s="246" t="s">
        <v>2069</v>
      </c>
      <c r="Q321" s="247">
        <v>10038907</v>
      </c>
      <c r="R321" s="248">
        <v>43004</v>
      </c>
      <c r="S321" s="248">
        <v>43006</v>
      </c>
      <c r="T321" s="248">
        <v>43046</v>
      </c>
      <c r="U321" s="246" t="s">
        <v>488</v>
      </c>
      <c r="V321" s="246">
        <v>3</v>
      </c>
      <c r="W321" s="246" t="s">
        <v>219</v>
      </c>
      <c r="X321" s="246">
        <v>3</v>
      </c>
      <c r="Y321" s="246">
        <v>2</v>
      </c>
      <c r="Z321" s="246">
        <v>3</v>
      </c>
      <c r="AA321" s="246">
        <v>3</v>
      </c>
      <c r="AB321" s="246" t="s">
        <v>486</v>
      </c>
      <c r="AC321" s="246" t="s">
        <v>486</v>
      </c>
      <c r="AD321" s="246" t="s">
        <v>490</v>
      </c>
      <c r="AE321" s="246" t="s">
        <v>486</v>
      </c>
      <c r="AF321" s="246" t="s">
        <v>486</v>
      </c>
      <c r="AG321" s="246" t="s">
        <v>486</v>
      </c>
      <c r="AH321" s="246" t="s">
        <v>486</v>
      </c>
      <c r="AI321" s="246" t="s">
        <v>486</v>
      </c>
      <c r="AJ321" s="246" t="s">
        <v>486</v>
      </c>
      <c r="AK321" s="246" t="s">
        <v>486</v>
      </c>
      <c r="AL321" s="246" t="s">
        <v>491</v>
      </c>
      <c r="AM321" s="246" t="s">
        <v>486</v>
      </c>
      <c r="AN321" s="246" t="s">
        <v>486</v>
      </c>
      <c r="AO321" s="248" t="s">
        <v>486</v>
      </c>
      <c r="AP321" s="247" t="s">
        <v>486</v>
      </c>
      <c r="AQ321" s="249" t="s">
        <v>486</v>
      </c>
      <c r="AR321" s="246" t="s">
        <v>486</v>
      </c>
    </row>
    <row r="322" spans="1:44" ht="15" x14ac:dyDescent="0.25">
      <c r="A322" s="250" t="str">
        <f>HYPERLINK("http://www.ofsted.gov.uk/inspection-reports/find-inspection-report/provider/ELS/136236 ","Ofsted School Webpage")</f>
        <v>Ofsted School Webpage</v>
      </c>
      <c r="B322" s="251">
        <v>136236</v>
      </c>
      <c r="C322" s="251">
        <v>8736028</v>
      </c>
      <c r="D322" s="251" t="s">
        <v>2070</v>
      </c>
      <c r="E322" s="251" t="s">
        <v>248</v>
      </c>
      <c r="F322" s="251" t="s">
        <v>93</v>
      </c>
      <c r="G322" s="251" t="s">
        <v>93</v>
      </c>
      <c r="H322" s="251" t="s">
        <v>93</v>
      </c>
      <c r="I322" s="251" t="s">
        <v>90</v>
      </c>
      <c r="J322" s="251" t="s">
        <v>1490</v>
      </c>
      <c r="K322" s="251" t="s">
        <v>486</v>
      </c>
      <c r="L322" s="251" t="s">
        <v>487</v>
      </c>
      <c r="M322" s="251" t="s">
        <v>516</v>
      </c>
      <c r="N322" s="251" t="s">
        <v>516</v>
      </c>
      <c r="O322" s="251" t="s">
        <v>867</v>
      </c>
      <c r="P322" s="251" t="s">
        <v>2071</v>
      </c>
      <c r="Q322" s="252">
        <v>10038908</v>
      </c>
      <c r="R322" s="253">
        <v>43004</v>
      </c>
      <c r="S322" s="253">
        <v>43006</v>
      </c>
      <c r="T322" s="253">
        <v>43049</v>
      </c>
      <c r="U322" s="251" t="s">
        <v>2930</v>
      </c>
      <c r="V322" s="251">
        <v>3</v>
      </c>
      <c r="W322" s="251" t="s">
        <v>219</v>
      </c>
      <c r="X322" s="251">
        <v>3</v>
      </c>
      <c r="Y322" s="251">
        <v>3</v>
      </c>
      <c r="Z322" s="251">
        <v>3</v>
      </c>
      <c r="AA322" s="251">
        <v>3</v>
      </c>
      <c r="AB322" s="251" t="s">
        <v>486</v>
      </c>
      <c r="AC322" s="251" t="s">
        <v>486</v>
      </c>
      <c r="AD322" s="251" t="s">
        <v>490</v>
      </c>
      <c r="AE322" s="251" t="s">
        <v>486</v>
      </c>
      <c r="AF322" s="251" t="s">
        <v>486</v>
      </c>
      <c r="AG322" s="251" t="s">
        <v>486</v>
      </c>
      <c r="AH322" s="251" t="s">
        <v>486</v>
      </c>
      <c r="AI322" s="251" t="s">
        <v>486</v>
      </c>
      <c r="AJ322" s="251" t="s">
        <v>486</v>
      </c>
      <c r="AK322" s="251" t="s">
        <v>486</v>
      </c>
      <c r="AL322" s="251" t="s">
        <v>545</v>
      </c>
      <c r="AM322" s="251" t="s">
        <v>486</v>
      </c>
      <c r="AN322" s="251" t="s">
        <v>486</v>
      </c>
      <c r="AO322" s="253" t="s">
        <v>486</v>
      </c>
      <c r="AP322" s="252" t="s">
        <v>486</v>
      </c>
      <c r="AQ322" s="254" t="s">
        <v>486</v>
      </c>
      <c r="AR322" s="251" t="s">
        <v>486</v>
      </c>
    </row>
    <row r="323" spans="1:44" ht="15" x14ac:dyDescent="0.25">
      <c r="A323" s="245" t="str">
        <f>HYPERLINK("http://www.ofsted.gov.uk/inspection-reports/find-inspection-report/provider/ELS/136373 ","Ofsted School Webpage")</f>
        <v>Ofsted School Webpage</v>
      </c>
      <c r="B323" s="246">
        <v>136373</v>
      </c>
      <c r="C323" s="246">
        <v>8256043</v>
      </c>
      <c r="D323" s="246" t="s">
        <v>2072</v>
      </c>
      <c r="E323" s="246" t="s">
        <v>248</v>
      </c>
      <c r="F323" s="246" t="s">
        <v>93</v>
      </c>
      <c r="G323" s="246" t="s">
        <v>93</v>
      </c>
      <c r="H323" s="246" t="s">
        <v>93</v>
      </c>
      <c r="I323" s="246" t="s">
        <v>90</v>
      </c>
      <c r="J323" s="246" t="s">
        <v>1490</v>
      </c>
      <c r="K323" s="246" t="s">
        <v>486</v>
      </c>
      <c r="L323" s="246" t="s">
        <v>487</v>
      </c>
      <c r="M323" s="246" t="s">
        <v>581</v>
      </c>
      <c r="N323" s="246" t="s">
        <v>581</v>
      </c>
      <c r="O323" s="246" t="s">
        <v>714</v>
      </c>
      <c r="P323" s="246" t="s">
        <v>2073</v>
      </c>
      <c r="Q323" s="247">
        <v>10035875</v>
      </c>
      <c r="R323" s="248">
        <v>43004</v>
      </c>
      <c r="S323" s="248">
        <v>43006</v>
      </c>
      <c r="T323" s="248">
        <v>43038</v>
      </c>
      <c r="U323" s="246" t="s">
        <v>488</v>
      </c>
      <c r="V323" s="246">
        <v>2</v>
      </c>
      <c r="W323" s="246" t="s">
        <v>219</v>
      </c>
      <c r="X323" s="246">
        <v>1</v>
      </c>
      <c r="Y323" s="246">
        <v>1</v>
      </c>
      <c r="Z323" s="246">
        <v>2</v>
      </c>
      <c r="AA323" s="246">
        <v>2</v>
      </c>
      <c r="AB323" s="246" t="s">
        <v>486</v>
      </c>
      <c r="AC323" s="246" t="s">
        <v>486</v>
      </c>
      <c r="AD323" s="246" t="s">
        <v>490</v>
      </c>
      <c r="AE323" s="246" t="s">
        <v>486</v>
      </c>
      <c r="AF323" s="246" t="s">
        <v>486</v>
      </c>
      <c r="AG323" s="246" t="s">
        <v>486</v>
      </c>
      <c r="AH323" s="246" t="s">
        <v>486</v>
      </c>
      <c r="AI323" s="246" t="s">
        <v>486</v>
      </c>
      <c r="AJ323" s="246" t="s">
        <v>486</v>
      </c>
      <c r="AK323" s="246" t="s">
        <v>486</v>
      </c>
      <c r="AL323" s="246" t="s">
        <v>491</v>
      </c>
      <c r="AM323" s="246" t="s">
        <v>486</v>
      </c>
      <c r="AN323" s="246" t="s">
        <v>486</v>
      </c>
      <c r="AO323" s="248" t="s">
        <v>486</v>
      </c>
      <c r="AP323" s="247" t="s">
        <v>486</v>
      </c>
      <c r="AQ323" s="249" t="s">
        <v>486</v>
      </c>
      <c r="AR323" s="246" t="s">
        <v>486</v>
      </c>
    </row>
    <row r="324" spans="1:44" ht="15" x14ac:dyDescent="0.25">
      <c r="A324" s="250" t="str">
        <f>HYPERLINK("http://www.ofsted.gov.uk/inspection-reports/find-inspection-report/provider/ELS/137279 ","Ofsted School Webpage")</f>
        <v>Ofsted School Webpage</v>
      </c>
      <c r="B324" s="251">
        <v>137279</v>
      </c>
      <c r="C324" s="251">
        <v>8506089</v>
      </c>
      <c r="D324" s="251" t="s">
        <v>2074</v>
      </c>
      <c r="E324" s="251" t="s">
        <v>248</v>
      </c>
      <c r="F324" s="251" t="s">
        <v>93</v>
      </c>
      <c r="G324" s="251" t="s">
        <v>93</v>
      </c>
      <c r="H324" s="251" t="s">
        <v>93</v>
      </c>
      <c r="I324" s="251" t="s">
        <v>90</v>
      </c>
      <c r="J324" s="251" t="s">
        <v>1490</v>
      </c>
      <c r="K324" s="251" t="s">
        <v>486</v>
      </c>
      <c r="L324" s="251" t="s">
        <v>487</v>
      </c>
      <c r="M324" s="251" t="s">
        <v>581</v>
      </c>
      <c r="N324" s="251" t="s">
        <v>581</v>
      </c>
      <c r="O324" s="251" t="s">
        <v>582</v>
      </c>
      <c r="P324" s="251" t="s">
        <v>2075</v>
      </c>
      <c r="Q324" s="252">
        <v>10008605</v>
      </c>
      <c r="R324" s="253">
        <v>43004</v>
      </c>
      <c r="S324" s="253">
        <v>43006</v>
      </c>
      <c r="T324" s="253">
        <v>43045</v>
      </c>
      <c r="U324" s="251" t="s">
        <v>488</v>
      </c>
      <c r="V324" s="251">
        <v>1</v>
      </c>
      <c r="W324" s="251" t="s">
        <v>219</v>
      </c>
      <c r="X324" s="251">
        <v>1</v>
      </c>
      <c r="Y324" s="251">
        <v>1</v>
      </c>
      <c r="Z324" s="251">
        <v>1</v>
      </c>
      <c r="AA324" s="251">
        <v>1</v>
      </c>
      <c r="AB324" s="251" t="s">
        <v>486</v>
      </c>
      <c r="AC324" s="251" t="s">
        <v>486</v>
      </c>
      <c r="AD324" s="251" t="s">
        <v>486</v>
      </c>
      <c r="AE324" s="251" t="s">
        <v>486</v>
      </c>
      <c r="AF324" s="251" t="s">
        <v>486</v>
      </c>
      <c r="AG324" s="251" t="s">
        <v>486</v>
      </c>
      <c r="AH324" s="251" t="s">
        <v>486</v>
      </c>
      <c r="AI324" s="251" t="s">
        <v>486</v>
      </c>
      <c r="AJ324" s="251" t="s">
        <v>486</v>
      </c>
      <c r="AK324" s="251" t="s">
        <v>486</v>
      </c>
      <c r="AL324" s="251" t="s">
        <v>491</v>
      </c>
      <c r="AM324" s="251" t="s">
        <v>486</v>
      </c>
      <c r="AN324" s="251" t="s">
        <v>486</v>
      </c>
      <c r="AO324" s="253" t="s">
        <v>486</v>
      </c>
      <c r="AP324" s="252" t="s">
        <v>486</v>
      </c>
      <c r="AQ324" s="254" t="s">
        <v>486</v>
      </c>
      <c r="AR324" s="251" t="s">
        <v>486</v>
      </c>
    </row>
    <row r="325" spans="1:44" ht="15" x14ac:dyDescent="0.25">
      <c r="A325" s="245" t="str">
        <f>HYPERLINK("http://www.ofsted.gov.uk/inspection-reports/find-inspection-report/provider/ELS/136050 ","Ofsted School Webpage")</f>
        <v>Ofsted School Webpage</v>
      </c>
      <c r="B325" s="246">
        <v>136050</v>
      </c>
      <c r="C325" s="246">
        <v>8886112</v>
      </c>
      <c r="D325" s="246" t="s">
        <v>2076</v>
      </c>
      <c r="E325" s="246" t="s">
        <v>248</v>
      </c>
      <c r="F325" s="246" t="s">
        <v>93</v>
      </c>
      <c r="G325" s="246" t="s">
        <v>93</v>
      </c>
      <c r="H325" s="246" t="s">
        <v>93</v>
      </c>
      <c r="I325" s="246" t="s">
        <v>90</v>
      </c>
      <c r="J325" s="246" t="s">
        <v>1490</v>
      </c>
      <c r="K325" s="246" t="s">
        <v>486</v>
      </c>
      <c r="L325" s="246" t="s">
        <v>487</v>
      </c>
      <c r="M325" s="246" t="s">
        <v>495</v>
      </c>
      <c r="N325" s="246" t="s">
        <v>495</v>
      </c>
      <c r="O325" s="246" t="s">
        <v>534</v>
      </c>
      <c r="P325" s="246" t="s">
        <v>2077</v>
      </c>
      <c r="Q325" s="247">
        <v>10026015</v>
      </c>
      <c r="R325" s="248">
        <v>43011</v>
      </c>
      <c r="S325" s="248">
        <v>43012</v>
      </c>
      <c r="T325" s="248">
        <v>43031</v>
      </c>
      <c r="U325" s="246" t="s">
        <v>488</v>
      </c>
      <c r="V325" s="246">
        <v>2</v>
      </c>
      <c r="W325" s="246" t="s">
        <v>219</v>
      </c>
      <c r="X325" s="246">
        <v>2</v>
      </c>
      <c r="Y325" s="246">
        <v>1</v>
      </c>
      <c r="Z325" s="246">
        <v>2</v>
      </c>
      <c r="AA325" s="246">
        <v>2</v>
      </c>
      <c r="AB325" s="246" t="s">
        <v>486</v>
      </c>
      <c r="AC325" s="246" t="s">
        <v>486</v>
      </c>
      <c r="AD325" s="246" t="s">
        <v>486</v>
      </c>
      <c r="AE325" s="246" t="s">
        <v>486</v>
      </c>
      <c r="AF325" s="246" t="s">
        <v>486</v>
      </c>
      <c r="AG325" s="246" t="s">
        <v>486</v>
      </c>
      <c r="AH325" s="246" t="s">
        <v>486</v>
      </c>
      <c r="AI325" s="246" t="s">
        <v>486</v>
      </c>
      <c r="AJ325" s="246" t="s">
        <v>486</v>
      </c>
      <c r="AK325" s="246" t="s">
        <v>486</v>
      </c>
      <c r="AL325" s="246" t="s">
        <v>491</v>
      </c>
      <c r="AM325" s="246" t="s">
        <v>486</v>
      </c>
      <c r="AN325" s="246" t="s">
        <v>486</v>
      </c>
      <c r="AO325" s="248" t="s">
        <v>486</v>
      </c>
      <c r="AP325" s="247" t="s">
        <v>486</v>
      </c>
      <c r="AQ325" s="249" t="s">
        <v>486</v>
      </c>
      <c r="AR325" s="246" t="s">
        <v>486</v>
      </c>
    </row>
    <row r="326" spans="1:44" ht="15" x14ac:dyDescent="0.25">
      <c r="A326" s="250" t="str">
        <f>HYPERLINK("http://www.ofsted.gov.uk/inspection-reports/find-inspection-report/provider/ELS/101383 ","Ofsted School Webpage")</f>
        <v>Ofsted School Webpage</v>
      </c>
      <c r="B326" s="251">
        <v>101383</v>
      </c>
      <c r="C326" s="251">
        <v>3026077</v>
      </c>
      <c r="D326" s="251" t="s">
        <v>2078</v>
      </c>
      <c r="E326" s="251" t="s">
        <v>247</v>
      </c>
      <c r="F326" s="251" t="s">
        <v>93</v>
      </c>
      <c r="G326" s="251" t="s">
        <v>92</v>
      </c>
      <c r="H326" s="251" t="s">
        <v>92</v>
      </c>
      <c r="I326" s="251" t="s">
        <v>90</v>
      </c>
      <c r="J326" s="251" t="s">
        <v>1490</v>
      </c>
      <c r="K326" s="251" t="s">
        <v>486</v>
      </c>
      <c r="L326" s="251" t="s">
        <v>487</v>
      </c>
      <c r="M326" s="251" t="s">
        <v>506</v>
      </c>
      <c r="N326" s="251" t="s">
        <v>506</v>
      </c>
      <c r="O326" s="251" t="s">
        <v>614</v>
      </c>
      <c r="P326" s="251" t="s">
        <v>2079</v>
      </c>
      <c r="Q326" s="252">
        <v>10035780</v>
      </c>
      <c r="R326" s="253">
        <v>43011</v>
      </c>
      <c r="S326" s="253">
        <v>43013</v>
      </c>
      <c r="T326" s="253">
        <v>43048</v>
      </c>
      <c r="U326" s="251" t="s">
        <v>488</v>
      </c>
      <c r="V326" s="251">
        <v>2</v>
      </c>
      <c r="W326" s="251" t="s">
        <v>219</v>
      </c>
      <c r="X326" s="251">
        <v>2</v>
      </c>
      <c r="Y326" s="251">
        <v>1</v>
      </c>
      <c r="Z326" s="251">
        <v>2</v>
      </c>
      <c r="AA326" s="251">
        <v>2</v>
      </c>
      <c r="AB326" s="251">
        <v>2</v>
      </c>
      <c r="AC326" s="251" t="s">
        <v>486</v>
      </c>
      <c r="AD326" s="251" t="s">
        <v>490</v>
      </c>
      <c r="AE326" s="251" t="s">
        <v>486</v>
      </c>
      <c r="AF326" s="251" t="s">
        <v>486</v>
      </c>
      <c r="AG326" s="251" t="s">
        <v>486</v>
      </c>
      <c r="AH326" s="251" t="s">
        <v>486</v>
      </c>
      <c r="AI326" s="251" t="s">
        <v>486</v>
      </c>
      <c r="AJ326" s="251" t="s">
        <v>486</v>
      </c>
      <c r="AK326" s="251" t="s">
        <v>486</v>
      </c>
      <c r="AL326" s="251" t="s">
        <v>491</v>
      </c>
      <c r="AM326" s="251" t="s">
        <v>486</v>
      </c>
      <c r="AN326" s="251" t="s">
        <v>486</v>
      </c>
      <c r="AO326" s="253" t="s">
        <v>486</v>
      </c>
      <c r="AP326" s="252" t="s">
        <v>486</v>
      </c>
      <c r="AQ326" s="254" t="s">
        <v>486</v>
      </c>
      <c r="AR326" s="251" t="s">
        <v>486</v>
      </c>
    </row>
    <row r="327" spans="1:44" ht="15" x14ac:dyDescent="0.25">
      <c r="A327" s="245" t="str">
        <f>HYPERLINK("http://www.ofsted.gov.uk/inspection-reports/find-inspection-report/provider/ELS/109723 ","Ofsted School Webpage")</f>
        <v>Ofsted School Webpage</v>
      </c>
      <c r="B327" s="246">
        <v>109723</v>
      </c>
      <c r="C327" s="246">
        <v>8236007</v>
      </c>
      <c r="D327" s="246" t="s">
        <v>2080</v>
      </c>
      <c r="E327" s="246" t="s">
        <v>247</v>
      </c>
      <c r="F327" s="246" t="s">
        <v>93</v>
      </c>
      <c r="G327" s="246" t="s">
        <v>93</v>
      </c>
      <c r="H327" s="246" t="s">
        <v>93</v>
      </c>
      <c r="I327" s="246" t="s">
        <v>90</v>
      </c>
      <c r="J327" s="246" t="s">
        <v>1490</v>
      </c>
      <c r="K327" s="246" t="s">
        <v>486</v>
      </c>
      <c r="L327" s="246" t="s">
        <v>487</v>
      </c>
      <c r="M327" s="246" t="s">
        <v>516</v>
      </c>
      <c r="N327" s="246" t="s">
        <v>516</v>
      </c>
      <c r="O327" s="246" t="s">
        <v>2081</v>
      </c>
      <c r="P327" s="246" t="s">
        <v>2082</v>
      </c>
      <c r="Q327" s="247">
        <v>10026060</v>
      </c>
      <c r="R327" s="248">
        <v>43011</v>
      </c>
      <c r="S327" s="248">
        <v>43013</v>
      </c>
      <c r="T327" s="248">
        <v>43055</v>
      </c>
      <c r="U327" s="246" t="s">
        <v>488</v>
      </c>
      <c r="V327" s="246">
        <v>2</v>
      </c>
      <c r="W327" s="246" t="s">
        <v>219</v>
      </c>
      <c r="X327" s="246">
        <v>2</v>
      </c>
      <c r="Y327" s="246">
        <v>2</v>
      </c>
      <c r="Z327" s="246">
        <v>2</v>
      </c>
      <c r="AA327" s="246">
        <v>2</v>
      </c>
      <c r="AB327" s="246">
        <v>2</v>
      </c>
      <c r="AC327" s="246" t="s">
        <v>486</v>
      </c>
      <c r="AD327" s="246" t="s">
        <v>490</v>
      </c>
      <c r="AE327" s="246" t="s">
        <v>486</v>
      </c>
      <c r="AF327" s="246" t="s">
        <v>486</v>
      </c>
      <c r="AG327" s="246" t="s">
        <v>486</v>
      </c>
      <c r="AH327" s="246" t="s">
        <v>486</v>
      </c>
      <c r="AI327" s="246" t="s">
        <v>486</v>
      </c>
      <c r="AJ327" s="246" t="s">
        <v>486</v>
      </c>
      <c r="AK327" s="246" t="s">
        <v>486</v>
      </c>
      <c r="AL327" s="246" t="s">
        <v>491</v>
      </c>
      <c r="AM327" s="246" t="s">
        <v>486</v>
      </c>
      <c r="AN327" s="246" t="s">
        <v>486</v>
      </c>
      <c r="AO327" s="248" t="s">
        <v>486</v>
      </c>
      <c r="AP327" s="247" t="s">
        <v>486</v>
      </c>
      <c r="AQ327" s="249" t="s">
        <v>486</v>
      </c>
      <c r="AR327" s="246" t="s">
        <v>486</v>
      </c>
    </row>
    <row r="328" spans="1:44" ht="15" x14ac:dyDescent="0.25">
      <c r="A328" s="250" t="str">
        <f>HYPERLINK("http://www.ofsted.gov.uk/inspection-reports/find-inspection-report/provider/ELS/116564 ","Ofsted School Webpage")</f>
        <v>Ofsted School Webpage</v>
      </c>
      <c r="B328" s="251">
        <v>116564</v>
      </c>
      <c r="C328" s="251">
        <v>8506030</v>
      </c>
      <c r="D328" s="251" t="s">
        <v>2083</v>
      </c>
      <c r="E328" s="251" t="s">
        <v>248</v>
      </c>
      <c r="F328" s="251" t="s">
        <v>93</v>
      </c>
      <c r="G328" s="251" t="s">
        <v>93</v>
      </c>
      <c r="H328" s="251" t="s">
        <v>93</v>
      </c>
      <c r="I328" s="251" t="s">
        <v>90</v>
      </c>
      <c r="J328" s="251" t="s">
        <v>1490</v>
      </c>
      <c r="K328" s="251" t="s">
        <v>486</v>
      </c>
      <c r="L328" s="251" t="s">
        <v>487</v>
      </c>
      <c r="M328" s="251" t="s">
        <v>581</v>
      </c>
      <c r="N328" s="251" t="s">
        <v>581</v>
      </c>
      <c r="O328" s="251" t="s">
        <v>582</v>
      </c>
      <c r="P328" s="251" t="s">
        <v>2084</v>
      </c>
      <c r="Q328" s="252">
        <v>10035876</v>
      </c>
      <c r="R328" s="253">
        <v>43011</v>
      </c>
      <c r="S328" s="253">
        <v>43013</v>
      </c>
      <c r="T328" s="253">
        <v>43053</v>
      </c>
      <c r="U328" s="251" t="s">
        <v>2930</v>
      </c>
      <c r="V328" s="251">
        <v>2</v>
      </c>
      <c r="W328" s="251" t="s">
        <v>219</v>
      </c>
      <c r="X328" s="251">
        <v>2</v>
      </c>
      <c r="Y328" s="251">
        <v>2</v>
      </c>
      <c r="Z328" s="251">
        <v>2</v>
      </c>
      <c r="AA328" s="251">
        <v>2</v>
      </c>
      <c r="AB328" s="251" t="s">
        <v>486</v>
      </c>
      <c r="AC328" s="251" t="s">
        <v>486</v>
      </c>
      <c r="AD328" s="251" t="s">
        <v>490</v>
      </c>
      <c r="AE328" s="251" t="s">
        <v>486</v>
      </c>
      <c r="AF328" s="251" t="s">
        <v>486</v>
      </c>
      <c r="AG328" s="251" t="s">
        <v>486</v>
      </c>
      <c r="AH328" s="251" t="s">
        <v>486</v>
      </c>
      <c r="AI328" s="251" t="s">
        <v>486</v>
      </c>
      <c r="AJ328" s="251" t="s">
        <v>486</v>
      </c>
      <c r="AK328" s="251" t="s">
        <v>486</v>
      </c>
      <c r="AL328" s="251" t="s">
        <v>491</v>
      </c>
      <c r="AM328" s="251" t="s">
        <v>486</v>
      </c>
      <c r="AN328" s="251" t="s">
        <v>486</v>
      </c>
      <c r="AO328" s="253" t="s">
        <v>486</v>
      </c>
      <c r="AP328" s="252" t="s">
        <v>486</v>
      </c>
      <c r="AQ328" s="254" t="s">
        <v>486</v>
      </c>
      <c r="AR328" s="251" t="s">
        <v>486</v>
      </c>
    </row>
    <row r="329" spans="1:44" ht="15" x14ac:dyDescent="0.25">
      <c r="A329" s="245" t="str">
        <f>HYPERLINK("http://www.ofsted.gov.uk/inspection-reports/find-inspection-report/provider/ELS/124899 ","Ofsted School Webpage")</f>
        <v>Ofsted School Webpage</v>
      </c>
      <c r="B329" s="246">
        <v>124899</v>
      </c>
      <c r="C329" s="246">
        <v>9356076</v>
      </c>
      <c r="D329" s="246" t="s">
        <v>1224</v>
      </c>
      <c r="E329" s="246" t="s">
        <v>247</v>
      </c>
      <c r="F329" s="246" t="s">
        <v>93</v>
      </c>
      <c r="G329" s="246" t="s">
        <v>74</v>
      </c>
      <c r="H329" s="246" t="s">
        <v>74</v>
      </c>
      <c r="I329" s="246" t="s">
        <v>71</v>
      </c>
      <c r="J329" s="246" t="s">
        <v>1490</v>
      </c>
      <c r="K329" s="246" t="s">
        <v>486</v>
      </c>
      <c r="L329" s="246" t="s">
        <v>487</v>
      </c>
      <c r="M329" s="246" t="s">
        <v>516</v>
      </c>
      <c r="N329" s="246" t="s">
        <v>516</v>
      </c>
      <c r="O329" s="246" t="s">
        <v>937</v>
      </c>
      <c r="P329" s="246" t="s">
        <v>1225</v>
      </c>
      <c r="Q329" s="247">
        <v>10026063</v>
      </c>
      <c r="R329" s="248">
        <v>43011</v>
      </c>
      <c r="S329" s="248">
        <v>43013</v>
      </c>
      <c r="T329" s="248">
        <v>43052</v>
      </c>
      <c r="U329" s="246" t="s">
        <v>488</v>
      </c>
      <c r="V329" s="246">
        <v>3</v>
      </c>
      <c r="W329" s="246" t="s">
        <v>219</v>
      </c>
      <c r="X329" s="246">
        <v>3</v>
      </c>
      <c r="Y329" s="246">
        <v>2</v>
      </c>
      <c r="Z329" s="246">
        <v>3</v>
      </c>
      <c r="AA329" s="246">
        <v>3</v>
      </c>
      <c r="AB329" s="246" t="s">
        <v>486</v>
      </c>
      <c r="AC329" s="246">
        <v>3</v>
      </c>
      <c r="AD329" s="246" t="s">
        <v>486</v>
      </c>
      <c r="AE329" s="246" t="s">
        <v>486</v>
      </c>
      <c r="AF329" s="246" t="s">
        <v>486</v>
      </c>
      <c r="AG329" s="246" t="s">
        <v>486</v>
      </c>
      <c r="AH329" s="246" t="s">
        <v>486</v>
      </c>
      <c r="AI329" s="246" t="s">
        <v>486</v>
      </c>
      <c r="AJ329" s="246" t="s">
        <v>486</v>
      </c>
      <c r="AK329" s="246" t="s">
        <v>486</v>
      </c>
      <c r="AL329" s="246" t="s">
        <v>545</v>
      </c>
      <c r="AM329" s="246" t="s">
        <v>486</v>
      </c>
      <c r="AN329" s="246" t="s">
        <v>486</v>
      </c>
      <c r="AO329" s="248" t="s">
        <v>486</v>
      </c>
      <c r="AP329" s="247" t="s">
        <v>486</v>
      </c>
      <c r="AQ329" s="249" t="s">
        <v>486</v>
      </c>
      <c r="AR329" s="246" t="s">
        <v>486</v>
      </c>
    </row>
    <row r="330" spans="1:44" ht="15" x14ac:dyDescent="0.25">
      <c r="A330" s="250" t="str">
        <f>HYPERLINK("http://www.ofsted.gov.uk/inspection-reports/find-inspection-report/provider/ELS/131128 ","Ofsted School Webpage")</f>
        <v>Ofsted School Webpage</v>
      </c>
      <c r="B330" s="251">
        <v>131128</v>
      </c>
      <c r="C330" s="251">
        <v>3026107</v>
      </c>
      <c r="D330" s="251" t="s">
        <v>2085</v>
      </c>
      <c r="E330" s="251" t="s">
        <v>247</v>
      </c>
      <c r="F330" s="251" t="s">
        <v>93</v>
      </c>
      <c r="G330" s="251" t="s">
        <v>93</v>
      </c>
      <c r="H330" s="251" t="s">
        <v>93</v>
      </c>
      <c r="I330" s="251" t="s">
        <v>90</v>
      </c>
      <c r="J330" s="251" t="s">
        <v>1490</v>
      </c>
      <c r="K330" s="251" t="s">
        <v>486</v>
      </c>
      <c r="L330" s="251" t="s">
        <v>487</v>
      </c>
      <c r="M330" s="251" t="s">
        <v>506</v>
      </c>
      <c r="N330" s="251" t="s">
        <v>506</v>
      </c>
      <c r="O330" s="251" t="s">
        <v>614</v>
      </c>
      <c r="P330" s="251" t="s">
        <v>2086</v>
      </c>
      <c r="Q330" s="252">
        <v>10035789</v>
      </c>
      <c r="R330" s="253">
        <v>43011</v>
      </c>
      <c r="S330" s="253">
        <v>43013</v>
      </c>
      <c r="T330" s="253">
        <v>43082</v>
      </c>
      <c r="U330" s="251" t="s">
        <v>488</v>
      </c>
      <c r="V330" s="251">
        <v>3</v>
      </c>
      <c r="W330" s="251" t="s">
        <v>219</v>
      </c>
      <c r="X330" s="251">
        <v>3</v>
      </c>
      <c r="Y330" s="251">
        <v>2</v>
      </c>
      <c r="Z330" s="251">
        <v>3</v>
      </c>
      <c r="AA330" s="251">
        <v>3</v>
      </c>
      <c r="AB330" s="251">
        <v>3</v>
      </c>
      <c r="AC330" s="251" t="s">
        <v>486</v>
      </c>
      <c r="AD330" s="251" t="s">
        <v>490</v>
      </c>
      <c r="AE330" s="251" t="s">
        <v>486</v>
      </c>
      <c r="AF330" s="251" t="s">
        <v>486</v>
      </c>
      <c r="AG330" s="251" t="s">
        <v>486</v>
      </c>
      <c r="AH330" s="251" t="s">
        <v>486</v>
      </c>
      <c r="AI330" s="251" t="s">
        <v>486</v>
      </c>
      <c r="AJ330" s="251" t="s">
        <v>486</v>
      </c>
      <c r="AK330" s="251" t="s">
        <v>486</v>
      </c>
      <c r="AL330" s="251" t="s">
        <v>545</v>
      </c>
      <c r="AM330" s="251" t="s">
        <v>486</v>
      </c>
      <c r="AN330" s="251" t="s">
        <v>486</v>
      </c>
      <c r="AO330" s="253" t="s">
        <v>486</v>
      </c>
      <c r="AP330" s="252" t="s">
        <v>486</v>
      </c>
      <c r="AQ330" s="254" t="s">
        <v>486</v>
      </c>
      <c r="AR330" s="251" t="s">
        <v>486</v>
      </c>
    </row>
    <row r="331" spans="1:44" ht="15" x14ac:dyDescent="0.25">
      <c r="A331" s="245" t="str">
        <f>HYPERLINK("http://www.ofsted.gov.uk/inspection-reports/find-inspection-report/provider/ELS/135259 ","Ofsted School Webpage")</f>
        <v>Ofsted School Webpage</v>
      </c>
      <c r="B331" s="246">
        <v>135259</v>
      </c>
      <c r="C331" s="246">
        <v>9376105</v>
      </c>
      <c r="D331" s="246" t="s">
        <v>2087</v>
      </c>
      <c r="E331" s="246" t="s">
        <v>248</v>
      </c>
      <c r="F331" s="246" t="s">
        <v>93</v>
      </c>
      <c r="G331" s="246" t="s">
        <v>93</v>
      </c>
      <c r="H331" s="246" t="s">
        <v>93</v>
      </c>
      <c r="I331" s="246" t="s">
        <v>90</v>
      </c>
      <c r="J331" s="246" t="s">
        <v>1490</v>
      </c>
      <c r="K331" s="246" t="s">
        <v>486</v>
      </c>
      <c r="L331" s="246" t="s">
        <v>487</v>
      </c>
      <c r="M331" s="246" t="s">
        <v>502</v>
      </c>
      <c r="N331" s="246" t="s">
        <v>502</v>
      </c>
      <c r="O331" s="246" t="s">
        <v>503</v>
      </c>
      <c r="P331" s="246" t="s">
        <v>1237</v>
      </c>
      <c r="Q331" s="247">
        <v>10006087</v>
      </c>
      <c r="R331" s="248">
        <v>43011</v>
      </c>
      <c r="S331" s="248">
        <v>43013</v>
      </c>
      <c r="T331" s="248">
        <v>43052</v>
      </c>
      <c r="U331" s="246" t="s">
        <v>488</v>
      </c>
      <c r="V331" s="246">
        <v>2</v>
      </c>
      <c r="W331" s="246" t="s">
        <v>219</v>
      </c>
      <c r="X331" s="246">
        <v>2</v>
      </c>
      <c r="Y331" s="246">
        <v>1</v>
      </c>
      <c r="Z331" s="246">
        <v>2</v>
      </c>
      <c r="AA331" s="246">
        <v>2</v>
      </c>
      <c r="AB331" s="246" t="s">
        <v>486</v>
      </c>
      <c r="AC331" s="246">
        <v>2</v>
      </c>
      <c r="AD331" s="246" t="s">
        <v>486</v>
      </c>
      <c r="AE331" s="246" t="s">
        <v>486</v>
      </c>
      <c r="AF331" s="246" t="s">
        <v>486</v>
      </c>
      <c r="AG331" s="246" t="s">
        <v>486</v>
      </c>
      <c r="AH331" s="246" t="s">
        <v>486</v>
      </c>
      <c r="AI331" s="246" t="s">
        <v>486</v>
      </c>
      <c r="AJ331" s="246" t="s">
        <v>486</v>
      </c>
      <c r="AK331" s="246" t="s">
        <v>486</v>
      </c>
      <c r="AL331" s="246" t="s">
        <v>491</v>
      </c>
      <c r="AM331" s="246" t="s">
        <v>486</v>
      </c>
      <c r="AN331" s="246" t="s">
        <v>486</v>
      </c>
      <c r="AO331" s="248" t="s">
        <v>486</v>
      </c>
      <c r="AP331" s="247" t="s">
        <v>486</v>
      </c>
      <c r="AQ331" s="249" t="s">
        <v>486</v>
      </c>
      <c r="AR331" s="246" t="s">
        <v>486</v>
      </c>
    </row>
    <row r="332" spans="1:44" ht="15" x14ac:dyDescent="0.25">
      <c r="A332" s="250" t="str">
        <f>HYPERLINK("http://www.ofsted.gov.uk/inspection-reports/find-inspection-report/provider/ELS/135608 ","Ofsted School Webpage")</f>
        <v>Ofsted School Webpage</v>
      </c>
      <c r="B332" s="251">
        <v>135608</v>
      </c>
      <c r="C332" s="251">
        <v>3306129</v>
      </c>
      <c r="D332" s="251" t="s">
        <v>1268</v>
      </c>
      <c r="E332" s="251" t="s">
        <v>247</v>
      </c>
      <c r="F332" s="251" t="s">
        <v>93</v>
      </c>
      <c r="G332" s="251" t="s">
        <v>71</v>
      </c>
      <c r="H332" s="251" t="s">
        <v>71</v>
      </c>
      <c r="I332" s="251" t="s">
        <v>71</v>
      </c>
      <c r="J332" s="251" t="s">
        <v>1490</v>
      </c>
      <c r="K332" s="251" t="s">
        <v>486</v>
      </c>
      <c r="L332" s="251" t="s">
        <v>487</v>
      </c>
      <c r="M332" s="251" t="s">
        <v>502</v>
      </c>
      <c r="N332" s="251" t="s">
        <v>502</v>
      </c>
      <c r="O332" s="251" t="s">
        <v>909</v>
      </c>
      <c r="P332" s="251" t="s">
        <v>1269</v>
      </c>
      <c r="Q332" s="252">
        <v>10006093</v>
      </c>
      <c r="R332" s="253">
        <v>43011</v>
      </c>
      <c r="S332" s="253">
        <v>43013</v>
      </c>
      <c r="T332" s="253">
        <v>43045</v>
      </c>
      <c r="U332" s="251" t="s">
        <v>488</v>
      </c>
      <c r="V332" s="251">
        <v>2</v>
      </c>
      <c r="W332" s="251" t="s">
        <v>219</v>
      </c>
      <c r="X332" s="251">
        <v>2</v>
      </c>
      <c r="Y332" s="251">
        <v>2</v>
      </c>
      <c r="Z332" s="251">
        <v>2</v>
      </c>
      <c r="AA332" s="251">
        <v>2</v>
      </c>
      <c r="AB332" s="251" t="s">
        <v>486</v>
      </c>
      <c r="AC332" s="251" t="s">
        <v>486</v>
      </c>
      <c r="AD332" s="251" t="s">
        <v>486</v>
      </c>
      <c r="AE332" s="251" t="s">
        <v>486</v>
      </c>
      <c r="AF332" s="251" t="s">
        <v>486</v>
      </c>
      <c r="AG332" s="251" t="s">
        <v>486</v>
      </c>
      <c r="AH332" s="251" t="s">
        <v>486</v>
      </c>
      <c r="AI332" s="251" t="s">
        <v>486</v>
      </c>
      <c r="AJ332" s="251" t="s">
        <v>486</v>
      </c>
      <c r="AK332" s="251" t="s">
        <v>486</v>
      </c>
      <c r="AL332" s="251" t="s">
        <v>491</v>
      </c>
      <c r="AM332" s="251" t="s">
        <v>486</v>
      </c>
      <c r="AN332" s="251" t="s">
        <v>486</v>
      </c>
      <c r="AO332" s="253" t="s">
        <v>486</v>
      </c>
      <c r="AP332" s="252" t="s">
        <v>486</v>
      </c>
      <c r="AQ332" s="254" t="s">
        <v>486</v>
      </c>
      <c r="AR332" s="251" t="s">
        <v>486</v>
      </c>
    </row>
    <row r="333" spans="1:44" ht="15" x14ac:dyDescent="0.25">
      <c r="A333" s="245" t="str">
        <f>HYPERLINK("http://www.ofsted.gov.uk/inspection-reports/find-inspection-report/provider/ELS/136823 ","Ofsted School Webpage")</f>
        <v>Ofsted School Webpage</v>
      </c>
      <c r="B333" s="246">
        <v>136823</v>
      </c>
      <c r="C333" s="246">
        <v>8566006</v>
      </c>
      <c r="D333" s="246" t="s">
        <v>1346</v>
      </c>
      <c r="E333" s="246" t="s">
        <v>247</v>
      </c>
      <c r="F333" s="246" t="s">
        <v>93</v>
      </c>
      <c r="G333" s="246" t="s">
        <v>84</v>
      </c>
      <c r="H333" s="246" t="s">
        <v>84</v>
      </c>
      <c r="I333" s="246" t="s">
        <v>84</v>
      </c>
      <c r="J333" s="246" t="s">
        <v>1490</v>
      </c>
      <c r="K333" s="246" t="s">
        <v>486</v>
      </c>
      <c r="L333" s="246" t="s">
        <v>487</v>
      </c>
      <c r="M333" s="246" t="s">
        <v>572</v>
      </c>
      <c r="N333" s="246" t="s">
        <v>572</v>
      </c>
      <c r="O333" s="246" t="s">
        <v>589</v>
      </c>
      <c r="P333" s="246" t="s">
        <v>1347</v>
      </c>
      <c r="Q333" s="247">
        <v>10012981</v>
      </c>
      <c r="R333" s="248">
        <v>43011</v>
      </c>
      <c r="S333" s="248">
        <v>43013</v>
      </c>
      <c r="T333" s="248">
        <v>43042</v>
      </c>
      <c r="U333" s="246" t="s">
        <v>488</v>
      </c>
      <c r="V333" s="246">
        <v>3</v>
      </c>
      <c r="W333" s="246" t="s">
        <v>219</v>
      </c>
      <c r="X333" s="246">
        <v>3</v>
      </c>
      <c r="Y333" s="246">
        <v>3</v>
      </c>
      <c r="Z333" s="246">
        <v>3</v>
      </c>
      <c r="AA333" s="246">
        <v>3</v>
      </c>
      <c r="AB333" s="246" t="s">
        <v>486</v>
      </c>
      <c r="AC333" s="246" t="s">
        <v>486</v>
      </c>
      <c r="AD333" s="246" t="s">
        <v>486</v>
      </c>
      <c r="AE333" s="246" t="s">
        <v>486</v>
      </c>
      <c r="AF333" s="246" t="s">
        <v>486</v>
      </c>
      <c r="AG333" s="246" t="s">
        <v>486</v>
      </c>
      <c r="AH333" s="246" t="s">
        <v>486</v>
      </c>
      <c r="AI333" s="246" t="s">
        <v>486</v>
      </c>
      <c r="AJ333" s="246" t="s">
        <v>486</v>
      </c>
      <c r="AK333" s="246" t="s">
        <v>486</v>
      </c>
      <c r="AL333" s="246" t="s">
        <v>545</v>
      </c>
      <c r="AM333" s="246">
        <v>10086010</v>
      </c>
      <c r="AN333" s="246" t="s">
        <v>1109</v>
      </c>
      <c r="AO333" s="248">
        <v>43501</v>
      </c>
      <c r="AP333" s="247" t="s">
        <v>1523</v>
      </c>
      <c r="AQ333" s="249">
        <v>43534</v>
      </c>
      <c r="AR333" s="246" t="s">
        <v>1136</v>
      </c>
    </row>
    <row r="334" spans="1:44" ht="15" x14ac:dyDescent="0.25">
      <c r="A334" s="250" t="str">
        <f>HYPERLINK("http://www.ofsted.gov.uk/inspection-reports/find-inspection-report/provider/ELS/138875 ","Ofsted School Webpage")</f>
        <v>Ofsted School Webpage</v>
      </c>
      <c r="B334" s="251">
        <v>138875</v>
      </c>
      <c r="C334" s="251">
        <v>8936030</v>
      </c>
      <c r="D334" s="251" t="s">
        <v>1209</v>
      </c>
      <c r="E334" s="251" t="s">
        <v>248</v>
      </c>
      <c r="F334" s="251" t="s">
        <v>93</v>
      </c>
      <c r="G334" s="251" t="s">
        <v>93</v>
      </c>
      <c r="H334" s="251" t="s">
        <v>93</v>
      </c>
      <c r="I334" s="251" t="s">
        <v>90</v>
      </c>
      <c r="J334" s="251" t="s">
        <v>1490</v>
      </c>
      <c r="K334" s="251" t="s">
        <v>486</v>
      </c>
      <c r="L334" s="251" t="s">
        <v>487</v>
      </c>
      <c r="M334" s="251" t="s">
        <v>502</v>
      </c>
      <c r="N334" s="251" t="s">
        <v>502</v>
      </c>
      <c r="O334" s="251" t="s">
        <v>666</v>
      </c>
      <c r="P334" s="251" t="s">
        <v>1210</v>
      </c>
      <c r="Q334" s="252">
        <v>10012924</v>
      </c>
      <c r="R334" s="253">
        <v>43011</v>
      </c>
      <c r="S334" s="253">
        <v>43013</v>
      </c>
      <c r="T334" s="253">
        <v>43060</v>
      </c>
      <c r="U334" s="251" t="s">
        <v>488</v>
      </c>
      <c r="V334" s="251">
        <v>4</v>
      </c>
      <c r="W334" s="251" t="s">
        <v>219</v>
      </c>
      <c r="X334" s="251">
        <v>4</v>
      </c>
      <c r="Y334" s="251">
        <v>3</v>
      </c>
      <c r="Z334" s="251">
        <v>3</v>
      </c>
      <c r="AA334" s="251">
        <v>3</v>
      </c>
      <c r="AB334" s="251" t="s">
        <v>486</v>
      </c>
      <c r="AC334" s="251" t="s">
        <v>486</v>
      </c>
      <c r="AD334" s="251" t="s">
        <v>486</v>
      </c>
      <c r="AE334" s="251" t="s">
        <v>486</v>
      </c>
      <c r="AF334" s="251" t="s">
        <v>486</v>
      </c>
      <c r="AG334" s="251" t="s">
        <v>486</v>
      </c>
      <c r="AH334" s="251" t="s">
        <v>486</v>
      </c>
      <c r="AI334" s="251" t="s">
        <v>486</v>
      </c>
      <c r="AJ334" s="251" t="s">
        <v>486</v>
      </c>
      <c r="AK334" s="251" t="s">
        <v>486</v>
      </c>
      <c r="AL334" s="251" t="s">
        <v>545</v>
      </c>
      <c r="AM334" s="251">
        <v>10070773</v>
      </c>
      <c r="AN334" s="251" t="s">
        <v>1109</v>
      </c>
      <c r="AO334" s="253">
        <v>43391</v>
      </c>
      <c r="AP334" s="252" t="s">
        <v>1523</v>
      </c>
      <c r="AQ334" s="254">
        <v>43436</v>
      </c>
      <c r="AR334" s="251" t="s">
        <v>1110</v>
      </c>
    </row>
    <row r="335" spans="1:44" ht="15" x14ac:dyDescent="0.25">
      <c r="A335" s="245" t="str">
        <f>HYPERLINK("http://www.ofsted.gov.uk/inspection-reports/find-inspection-report/provider/ELS/138884 ","Ofsted School Webpage")</f>
        <v>Ofsted School Webpage</v>
      </c>
      <c r="B335" s="246">
        <v>138884</v>
      </c>
      <c r="C335" s="246">
        <v>8896013</v>
      </c>
      <c r="D335" s="246" t="s">
        <v>2088</v>
      </c>
      <c r="E335" s="246" t="s">
        <v>248</v>
      </c>
      <c r="F335" s="246" t="s">
        <v>93</v>
      </c>
      <c r="G335" s="246" t="s">
        <v>93</v>
      </c>
      <c r="H335" s="246" t="s">
        <v>93</v>
      </c>
      <c r="I335" s="246" t="s">
        <v>90</v>
      </c>
      <c r="J335" s="246" t="s">
        <v>1490</v>
      </c>
      <c r="K335" s="246" t="s">
        <v>486</v>
      </c>
      <c r="L335" s="246" t="s">
        <v>487</v>
      </c>
      <c r="M335" s="246" t="s">
        <v>495</v>
      </c>
      <c r="N335" s="246" t="s">
        <v>495</v>
      </c>
      <c r="O335" s="246" t="s">
        <v>609</v>
      </c>
      <c r="P335" s="246" t="s">
        <v>2089</v>
      </c>
      <c r="Q335" s="247">
        <v>10020807</v>
      </c>
      <c r="R335" s="248">
        <v>43011</v>
      </c>
      <c r="S335" s="248">
        <v>43013</v>
      </c>
      <c r="T335" s="248">
        <v>43033</v>
      </c>
      <c r="U335" s="246" t="s">
        <v>488</v>
      </c>
      <c r="V335" s="246">
        <v>2</v>
      </c>
      <c r="W335" s="246" t="s">
        <v>219</v>
      </c>
      <c r="X335" s="246">
        <v>2</v>
      </c>
      <c r="Y335" s="246">
        <v>2</v>
      </c>
      <c r="Z335" s="246">
        <v>2</v>
      </c>
      <c r="AA335" s="246">
        <v>2</v>
      </c>
      <c r="AB335" s="246" t="s">
        <v>486</v>
      </c>
      <c r="AC335" s="246" t="s">
        <v>486</v>
      </c>
      <c r="AD335" s="246" t="s">
        <v>486</v>
      </c>
      <c r="AE335" s="246" t="s">
        <v>486</v>
      </c>
      <c r="AF335" s="246" t="s">
        <v>486</v>
      </c>
      <c r="AG335" s="246" t="s">
        <v>486</v>
      </c>
      <c r="AH335" s="246" t="s">
        <v>486</v>
      </c>
      <c r="AI335" s="246" t="s">
        <v>486</v>
      </c>
      <c r="AJ335" s="246" t="s">
        <v>486</v>
      </c>
      <c r="AK335" s="246" t="s">
        <v>486</v>
      </c>
      <c r="AL335" s="246" t="s">
        <v>491</v>
      </c>
      <c r="AM335" s="246" t="s">
        <v>486</v>
      </c>
      <c r="AN335" s="246" t="s">
        <v>486</v>
      </c>
      <c r="AO335" s="248" t="s">
        <v>486</v>
      </c>
      <c r="AP335" s="247" t="s">
        <v>486</v>
      </c>
      <c r="AQ335" s="249" t="s">
        <v>486</v>
      </c>
      <c r="AR335" s="246" t="s">
        <v>486</v>
      </c>
    </row>
    <row r="336" spans="1:44" ht="15" x14ac:dyDescent="0.25">
      <c r="A336" s="250" t="str">
        <f>HYPERLINK("http://www.ofsted.gov.uk/inspection-reports/find-inspection-report/provider/ELS/141315 ","Ofsted School Webpage")</f>
        <v>Ofsted School Webpage</v>
      </c>
      <c r="B336" s="251">
        <v>141315</v>
      </c>
      <c r="C336" s="251">
        <v>2036004</v>
      </c>
      <c r="D336" s="251" t="s">
        <v>2090</v>
      </c>
      <c r="E336" s="251" t="s">
        <v>247</v>
      </c>
      <c r="F336" s="251" t="s">
        <v>93</v>
      </c>
      <c r="G336" s="251" t="s">
        <v>93</v>
      </c>
      <c r="H336" s="251" t="s">
        <v>93</v>
      </c>
      <c r="I336" s="251" t="s">
        <v>90</v>
      </c>
      <c r="J336" s="251" t="s">
        <v>1490</v>
      </c>
      <c r="K336" s="251" t="s">
        <v>486</v>
      </c>
      <c r="L336" s="251" t="s">
        <v>487</v>
      </c>
      <c r="M336" s="251" t="s">
        <v>506</v>
      </c>
      <c r="N336" s="251" t="s">
        <v>506</v>
      </c>
      <c r="O336" s="251" t="s">
        <v>823</v>
      </c>
      <c r="P336" s="251" t="s">
        <v>2091</v>
      </c>
      <c r="Q336" s="252">
        <v>10035815</v>
      </c>
      <c r="R336" s="253">
        <v>43011</v>
      </c>
      <c r="S336" s="253">
        <v>43013</v>
      </c>
      <c r="T336" s="253">
        <v>43061</v>
      </c>
      <c r="U336" s="251" t="s">
        <v>488</v>
      </c>
      <c r="V336" s="251">
        <v>3</v>
      </c>
      <c r="W336" s="251" t="s">
        <v>219</v>
      </c>
      <c r="X336" s="251">
        <v>3</v>
      </c>
      <c r="Y336" s="251">
        <v>2</v>
      </c>
      <c r="Z336" s="251">
        <v>3</v>
      </c>
      <c r="AA336" s="251">
        <v>3</v>
      </c>
      <c r="AB336" s="251" t="s">
        <v>486</v>
      </c>
      <c r="AC336" s="251" t="s">
        <v>486</v>
      </c>
      <c r="AD336" s="251" t="s">
        <v>490</v>
      </c>
      <c r="AE336" s="251" t="s">
        <v>486</v>
      </c>
      <c r="AF336" s="251" t="s">
        <v>486</v>
      </c>
      <c r="AG336" s="251" t="s">
        <v>486</v>
      </c>
      <c r="AH336" s="251" t="s">
        <v>486</v>
      </c>
      <c r="AI336" s="251" t="s">
        <v>486</v>
      </c>
      <c r="AJ336" s="251" t="s">
        <v>486</v>
      </c>
      <c r="AK336" s="251" t="s">
        <v>486</v>
      </c>
      <c r="AL336" s="251" t="s">
        <v>491</v>
      </c>
      <c r="AM336" s="251" t="s">
        <v>486</v>
      </c>
      <c r="AN336" s="251" t="s">
        <v>486</v>
      </c>
      <c r="AO336" s="253" t="s">
        <v>486</v>
      </c>
      <c r="AP336" s="252" t="s">
        <v>486</v>
      </c>
      <c r="AQ336" s="254" t="s">
        <v>486</v>
      </c>
      <c r="AR336" s="251" t="s">
        <v>486</v>
      </c>
    </row>
    <row r="337" spans="1:44" ht="15" x14ac:dyDescent="0.25">
      <c r="A337" s="245" t="str">
        <f>HYPERLINK("http://www.ofsted.gov.uk/inspection-reports/find-inspection-report/provider/ELS/142625 ","Ofsted School Webpage")</f>
        <v>Ofsted School Webpage</v>
      </c>
      <c r="B337" s="246">
        <v>142625</v>
      </c>
      <c r="C337" s="246">
        <v>8736053</v>
      </c>
      <c r="D337" s="246" t="s">
        <v>1258</v>
      </c>
      <c r="E337" s="246" t="s">
        <v>247</v>
      </c>
      <c r="F337" s="246" t="s">
        <v>93</v>
      </c>
      <c r="G337" s="246" t="s">
        <v>93</v>
      </c>
      <c r="H337" s="246" t="s">
        <v>93</v>
      </c>
      <c r="I337" s="246" t="s">
        <v>90</v>
      </c>
      <c r="J337" s="246" t="s">
        <v>1490</v>
      </c>
      <c r="K337" s="246" t="s">
        <v>486</v>
      </c>
      <c r="L337" s="246" t="s">
        <v>487</v>
      </c>
      <c r="M337" s="246" t="s">
        <v>516</v>
      </c>
      <c r="N337" s="246" t="s">
        <v>516</v>
      </c>
      <c r="O337" s="246" t="s">
        <v>867</v>
      </c>
      <c r="P337" s="246" t="s">
        <v>1259</v>
      </c>
      <c r="Q337" s="247">
        <v>10033609</v>
      </c>
      <c r="R337" s="248">
        <v>43011</v>
      </c>
      <c r="S337" s="248">
        <v>43013</v>
      </c>
      <c r="T337" s="248">
        <v>43052</v>
      </c>
      <c r="U337" s="246" t="s">
        <v>499</v>
      </c>
      <c r="V337" s="246">
        <v>3</v>
      </c>
      <c r="W337" s="246" t="s">
        <v>219</v>
      </c>
      <c r="X337" s="246">
        <v>3</v>
      </c>
      <c r="Y337" s="246">
        <v>2</v>
      </c>
      <c r="Z337" s="246">
        <v>3</v>
      </c>
      <c r="AA337" s="246">
        <v>3</v>
      </c>
      <c r="AB337" s="246" t="s">
        <v>486</v>
      </c>
      <c r="AC337" s="246">
        <v>3</v>
      </c>
      <c r="AD337" s="246" t="s">
        <v>486</v>
      </c>
      <c r="AE337" s="246" t="s">
        <v>486</v>
      </c>
      <c r="AF337" s="246" t="s">
        <v>486</v>
      </c>
      <c r="AG337" s="246" t="s">
        <v>486</v>
      </c>
      <c r="AH337" s="246" t="s">
        <v>486</v>
      </c>
      <c r="AI337" s="246" t="s">
        <v>486</v>
      </c>
      <c r="AJ337" s="246" t="s">
        <v>486</v>
      </c>
      <c r="AK337" s="246" t="s">
        <v>486</v>
      </c>
      <c r="AL337" s="246" t="s">
        <v>545</v>
      </c>
      <c r="AM337" s="246">
        <v>10080593</v>
      </c>
      <c r="AN337" s="246" t="s">
        <v>1109</v>
      </c>
      <c r="AO337" s="248">
        <v>43426</v>
      </c>
      <c r="AP337" s="247" t="s">
        <v>1523</v>
      </c>
      <c r="AQ337" s="249">
        <v>43454</v>
      </c>
      <c r="AR337" s="246" t="s">
        <v>1136</v>
      </c>
    </row>
    <row r="338" spans="1:44" ht="15" x14ac:dyDescent="0.25">
      <c r="A338" s="250" t="str">
        <f>HYPERLINK("http://www.ofsted.gov.uk/inspection-reports/find-inspection-report/provider/ELS/142828 ","Ofsted School Webpage")</f>
        <v>Ofsted School Webpage</v>
      </c>
      <c r="B338" s="251">
        <v>142828</v>
      </c>
      <c r="C338" s="251">
        <v>8126004</v>
      </c>
      <c r="D338" s="251" t="s">
        <v>1348</v>
      </c>
      <c r="E338" s="251" t="s">
        <v>248</v>
      </c>
      <c r="F338" s="251" t="s">
        <v>93</v>
      </c>
      <c r="G338" s="251" t="s">
        <v>93</v>
      </c>
      <c r="H338" s="251" t="s">
        <v>93</v>
      </c>
      <c r="I338" s="251" t="s">
        <v>90</v>
      </c>
      <c r="J338" s="251" t="s">
        <v>1490</v>
      </c>
      <c r="K338" s="251" t="s">
        <v>486</v>
      </c>
      <c r="L338" s="251" t="s">
        <v>487</v>
      </c>
      <c r="M338" s="251" t="s">
        <v>523</v>
      </c>
      <c r="N338" s="251" t="s">
        <v>524</v>
      </c>
      <c r="O338" s="251" t="s">
        <v>1220</v>
      </c>
      <c r="P338" s="251" t="s">
        <v>1349</v>
      </c>
      <c r="Q338" s="252">
        <v>10040148</v>
      </c>
      <c r="R338" s="253">
        <v>43018</v>
      </c>
      <c r="S338" s="253">
        <v>43019</v>
      </c>
      <c r="T338" s="253">
        <v>43063</v>
      </c>
      <c r="U338" s="251" t="s">
        <v>499</v>
      </c>
      <c r="V338" s="251">
        <v>3</v>
      </c>
      <c r="W338" s="251" t="s">
        <v>219</v>
      </c>
      <c r="X338" s="251">
        <v>3</v>
      </c>
      <c r="Y338" s="251">
        <v>3</v>
      </c>
      <c r="Z338" s="251">
        <v>3</v>
      </c>
      <c r="AA338" s="251">
        <v>3</v>
      </c>
      <c r="AB338" s="251" t="s">
        <v>486</v>
      </c>
      <c r="AC338" s="251" t="s">
        <v>486</v>
      </c>
      <c r="AD338" s="251" t="s">
        <v>490</v>
      </c>
      <c r="AE338" s="251" t="s">
        <v>486</v>
      </c>
      <c r="AF338" s="251" t="s">
        <v>486</v>
      </c>
      <c r="AG338" s="251" t="s">
        <v>486</v>
      </c>
      <c r="AH338" s="251" t="s">
        <v>486</v>
      </c>
      <c r="AI338" s="251" t="s">
        <v>486</v>
      </c>
      <c r="AJ338" s="251" t="s">
        <v>486</v>
      </c>
      <c r="AK338" s="251" t="s">
        <v>486</v>
      </c>
      <c r="AL338" s="251" t="s">
        <v>545</v>
      </c>
      <c r="AM338" s="251" t="s">
        <v>486</v>
      </c>
      <c r="AN338" s="251" t="s">
        <v>486</v>
      </c>
      <c r="AO338" s="253" t="s">
        <v>486</v>
      </c>
      <c r="AP338" s="252" t="s">
        <v>486</v>
      </c>
      <c r="AQ338" s="254" t="s">
        <v>486</v>
      </c>
      <c r="AR338" s="251" t="s">
        <v>486</v>
      </c>
    </row>
    <row r="339" spans="1:44" ht="15" x14ac:dyDescent="0.25">
      <c r="A339" s="245" t="str">
        <f>HYPERLINK("http://www.ofsted.gov.uk/inspection-reports/find-inspection-report/provider/ELS/101080 ","Ofsted School Webpage")</f>
        <v>Ofsted School Webpage</v>
      </c>
      <c r="B339" s="246">
        <v>101080</v>
      </c>
      <c r="C339" s="246">
        <v>2126383</v>
      </c>
      <c r="D339" s="246" t="s">
        <v>2092</v>
      </c>
      <c r="E339" s="246" t="s">
        <v>247</v>
      </c>
      <c r="F339" s="246" t="s">
        <v>93</v>
      </c>
      <c r="G339" s="246" t="s">
        <v>93</v>
      </c>
      <c r="H339" s="246" t="s">
        <v>93</v>
      </c>
      <c r="I339" s="246" t="s">
        <v>90</v>
      </c>
      <c r="J339" s="246" t="s">
        <v>1490</v>
      </c>
      <c r="K339" s="246" t="s">
        <v>486</v>
      </c>
      <c r="L339" s="246" t="s">
        <v>487</v>
      </c>
      <c r="M339" s="246" t="s">
        <v>506</v>
      </c>
      <c r="N339" s="246" t="s">
        <v>506</v>
      </c>
      <c r="O339" s="246" t="s">
        <v>837</v>
      </c>
      <c r="P339" s="246" t="s">
        <v>2093</v>
      </c>
      <c r="Q339" s="247">
        <v>10008538</v>
      </c>
      <c r="R339" s="248">
        <v>43018</v>
      </c>
      <c r="S339" s="248">
        <v>43020</v>
      </c>
      <c r="T339" s="248">
        <v>43055</v>
      </c>
      <c r="U339" s="246" t="s">
        <v>488</v>
      </c>
      <c r="V339" s="246">
        <v>2</v>
      </c>
      <c r="W339" s="246" t="s">
        <v>219</v>
      </c>
      <c r="X339" s="246">
        <v>2</v>
      </c>
      <c r="Y339" s="246">
        <v>1</v>
      </c>
      <c r="Z339" s="246">
        <v>2</v>
      </c>
      <c r="AA339" s="246">
        <v>2</v>
      </c>
      <c r="AB339" s="246">
        <v>2</v>
      </c>
      <c r="AC339" s="246" t="s">
        <v>486</v>
      </c>
      <c r="AD339" s="246" t="s">
        <v>486</v>
      </c>
      <c r="AE339" s="246" t="s">
        <v>486</v>
      </c>
      <c r="AF339" s="246" t="s">
        <v>486</v>
      </c>
      <c r="AG339" s="246" t="s">
        <v>486</v>
      </c>
      <c r="AH339" s="246" t="s">
        <v>486</v>
      </c>
      <c r="AI339" s="246" t="s">
        <v>486</v>
      </c>
      <c r="AJ339" s="246" t="s">
        <v>486</v>
      </c>
      <c r="AK339" s="246" t="s">
        <v>486</v>
      </c>
      <c r="AL339" s="246" t="s">
        <v>491</v>
      </c>
      <c r="AM339" s="246" t="s">
        <v>486</v>
      </c>
      <c r="AN339" s="246" t="s">
        <v>486</v>
      </c>
      <c r="AO339" s="248" t="s">
        <v>486</v>
      </c>
      <c r="AP339" s="247" t="s">
        <v>486</v>
      </c>
      <c r="AQ339" s="249" t="s">
        <v>486</v>
      </c>
      <c r="AR339" s="246" t="s">
        <v>486</v>
      </c>
    </row>
    <row r="340" spans="1:44" ht="15" x14ac:dyDescent="0.25">
      <c r="A340" s="250" t="str">
        <f>HYPERLINK("http://www.ofsted.gov.uk/inspection-reports/find-inspection-report/provider/ELS/103753 ","Ofsted School Webpage")</f>
        <v>Ofsted School Webpage</v>
      </c>
      <c r="B340" s="251">
        <v>103753</v>
      </c>
      <c r="C340" s="251">
        <v>3316022</v>
      </c>
      <c r="D340" s="251" t="s">
        <v>2094</v>
      </c>
      <c r="E340" s="251" t="s">
        <v>247</v>
      </c>
      <c r="F340" s="251" t="s">
        <v>83</v>
      </c>
      <c r="G340" s="251" t="s">
        <v>84</v>
      </c>
      <c r="H340" s="251" t="s">
        <v>83</v>
      </c>
      <c r="I340" s="251" t="s">
        <v>84</v>
      </c>
      <c r="J340" s="251" t="s">
        <v>1490</v>
      </c>
      <c r="K340" s="251" t="s">
        <v>486</v>
      </c>
      <c r="L340" s="251" t="s">
        <v>487</v>
      </c>
      <c r="M340" s="251" t="s">
        <v>502</v>
      </c>
      <c r="N340" s="251" t="s">
        <v>502</v>
      </c>
      <c r="O340" s="251" t="s">
        <v>2095</v>
      </c>
      <c r="P340" s="251" t="s">
        <v>2096</v>
      </c>
      <c r="Q340" s="252">
        <v>10038826</v>
      </c>
      <c r="R340" s="253">
        <v>43018</v>
      </c>
      <c r="S340" s="253">
        <v>43020</v>
      </c>
      <c r="T340" s="253">
        <v>43059</v>
      </c>
      <c r="U340" s="251" t="s">
        <v>488</v>
      </c>
      <c r="V340" s="251">
        <v>3</v>
      </c>
      <c r="W340" s="251" t="s">
        <v>219</v>
      </c>
      <c r="X340" s="251">
        <v>2</v>
      </c>
      <c r="Y340" s="251">
        <v>2</v>
      </c>
      <c r="Z340" s="251">
        <v>3</v>
      </c>
      <c r="AA340" s="251">
        <v>3</v>
      </c>
      <c r="AB340" s="251">
        <v>2</v>
      </c>
      <c r="AC340" s="251" t="s">
        <v>486</v>
      </c>
      <c r="AD340" s="251" t="s">
        <v>490</v>
      </c>
      <c r="AE340" s="251" t="s">
        <v>486</v>
      </c>
      <c r="AF340" s="251" t="s">
        <v>486</v>
      </c>
      <c r="AG340" s="251" t="s">
        <v>486</v>
      </c>
      <c r="AH340" s="251" t="s">
        <v>486</v>
      </c>
      <c r="AI340" s="251" t="s">
        <v>486</v>
      </c>
      <c r="AJ340" s="251" t="s">
        <v>486</v>
      </c>
      <c r="AK340" s="251" t="s">
        <v>486</v>
      </c>
      <c r="AL340" s="251" t="s">
        <v>491</v>
      </c>
      <c r="AM340" s="251" t="s">
        <v>486</v>
      </c>
      <c r="AN340" s="251" t="s">
        <v>486</v>
      </c>
      <c r="AO340" s="253" t="s">
        <v>486</v>
      </c>
      <c r="AP340" s="252" t="s">
        <v>486</v>
      </c>
      <c r="AQ340" s="254" t="s">
        <v>486</v>
      </c>
      <c r="AR340" s="251" t="s">
        <v>486</v>
      </c>
    </row>
    <row r="341" spans="1:44" ht="15" x14ac:dyDescent="0.25">
      <c r="A341" s="245" t="str">
        <f>HYPERLINK("http://www.ofsted.gov.uk/inspection-reports/find-inspection-report/provider/ELS/116594 ","Ofsted School Webpage")</f>
        <v>Ofsted School Webpage</v>
      </c>
      <c r="B341" s="246">
        <v>116594</v>
      </c>
      <c r="C341" s="246">
        <v>8506062</v>
      </c>
      <c r="D341" s="246" t="s">
        <v>1200</v>
      </c>
      <c r="E341" s="246" t="s">
        <v>247</v>
      </c>
      <c r="F341" s="246" t="s">
        <v>79</v>
      </c>
      <c r="G341" s="246" t="s">
        <v>79</v>
      </c>
      <c r="H341" s="246" t="s">
        <v>79</v>
      </c>
      <c r="I341" s="246" t="s">
        <v>71</v>
      </c>
      <c r="J341" s="246" t="s">
        <v>1490</v>
      </c>
      <c r="K341" s="246" t="s">
        <v>486</v>
      </c>
      <c r="L341" s="246" t="s">
        <v>487</v>
      </c>
      <c r="M341" s="246" t="s">
        <v>581</v>
      </c>
      <c r="N341" s="246" t="s">
        <v>581</v>
      </c>
      <c r="O341" s="246" t="s">
        <v>582</v>
      </c>
      <c r="P341" s="246" t="s">
        <v>1201</v>
      </c>
      <c r="Q341" s="247">
        <v>10006334</v>
      </c>
      <c r="R341" s="248">
        <v>43018</v>
      </c>
      <c r="S341" s="248">
        <v>43020</v>
      </c>
      <c r="T341" s="248">
        <v>43060</v>
      </c>
      <c r="U341" s="246" t="s">
        <v>624</v>
      </c>
      <c r="V341" s="246">
        <v>4</v>
      </c>
      <c r="W341" s="246" t="s">
        <v>220</v>
      </c>
      <c r="X341" s="246">
        <v>4</v>
      </c>
      <c r="Y341" s="246">
        <v>4</v>
      </c>
      <c r="Z341" s="246">
        <v>2</v>
      </c>
      <c r="AA341" s="246">
        <v>2</v>
      </c>
      <c r="AB341" s="246" t="s">
        <v>486</v>
      </c>
      <c r="AC341" s="246">
        <v>4</v>
      </c>
      <c r="AD341" s="246" t="s">
        <v>486</v>
      </c>
      <c r="AE341" s="246" t="s">
        <v>486</v>
      </c>
      <c r="AF341" s="246" t="s">
        <v>486</v>
      </c>
      <c r="AG341" s="246" t="s">
        <v>486</v>
      </c>
      <c r="AH341" s="246" t="s">
        <v>486</v>
      </c>
      <c r="AI341" s="246" t="s">
        <v>486</v>
      </c>
      <c r="AJ341" s="246" t="s">
        <v>486</v>
      </c>
      <c r="AK341" s="246" t="s">
        <v>486</v>
      </c>
      <c r="AL341" s="246" t="s">
        <v>545</v>
      </c>
      <c r="AM341" s="246">
        <v>10056882</v>
      </c>
      <c r="AN341" s="246" t="s">
        <v>1202</v>
      </c>
      <c r="AO341" s="248">
        <v>43384</v>
      </c>
      <c r="AP341" s="247" t="s">
        <v>1523</v>
      </c>
      <c r="AQ341" s="249">
        <v>43417</v>
      </c>
      <c r="AR341" s="246" t="s">
        <v>1110</v>
      </c>
    </row>
    <row r="342" spans="1:44" ht="15" x14ac:dyDescent="0.25">
      <c r="A342" s="250" t="str">
        <f>HYPERLINK("http://www.ofsted.gov.uk/inspection-reports/find-inspection-report/provider/ELS/119845 ","Ofsted School Webpage")</f>
        <v>Ofsted School Webpage</v>
      </c>
      <c r="B342" s="251">
        <v>119845</v>
      </c>
      <c r="C342" s="251">
        <v>8886020</v>
      </c>
      <c r="D342" s="251" t="s">
        <v>2097</v>
      </c>
      <c r="E342" s="251" t="s">
        <v>248</v>
      </c>
      <c r="F342" s="251" t="s">
        <v>93</v>
      </c>
      <c r="G342" s="251" t="s">
        <v>93</v>
      </c>
      <c r="H342" s="251" t="s">
        <v>93</v>
      </c>
      <c r="I342" s="251" t="s">
        <v>90</v>
      </c>
      <c r="J342" s="251" t="s">
        <v>1490</v>
      </c>
      <c r="K342" s="251" t="s">
        <v>486</v>
      </c>
      <c r="L342" s="251" t="s">
        <v>487</v>
      </c>
      <c r="M342" s="251" t="s">
        <v>495</v>
      </c>
      <c r="N342" s="251" t="s">
        <v>495</v>
      </c>
      <c r="O342" s="251" t="s">
        <v>534</v>
      </c>
      <c r="P342" s="251" t="s">
        <v>2098</v>
      </c>
      <c r="Q342" s="252">
        <v>10038838</v>
      </c>
      <c r="R342" s="253">
        <v>43018</v>
      </c>
      <c r="S342" s="253">
        <v>43020</v>
      </c>
      <c r="T342" s="253">
        <v>43068</v>
      </c>
      <c r="U342" s="251" t="s">
        <v>624</v>
      </c>
      <c r="V342" s="251">
        <v>1</v>
      </c>
      <c r="W342" s="251" t="s">
        <v>219</v>
      </c>
      <c r="X342" s="251">
        <v>1</v>
      </c>
      <c r="Y342" s="251">
        <v>1</v>
      </c>
      <c r="Z342" s="251">
        <v>1</v>
      </c>
      <c r="AA342" s="251">
        <v>1</v>
      </c>
      <c r="AB342" s="251" t="s">
        <v>486</v>
      </c>
      <c r="AC342" s="251">
        <v>1</v>
      </c>
      <c r="AD342" s="251" t="s">
        <v>490</v>
      </c>
      <c r="AE342" s="251" t="s">
        <v>486</v>
      </c>
      <c r="AF342" s="251" t="s">
        <v>486</v>
      </c>
      <c r="AG342" s="251" t="s">
        <v>486</v>
      </c>
      <c r="AH342" s="251" t="s">
        <v>486</v>
      </c>
      <c r="AI342" s="251" t="s">
        <v>486</v>
      </c>
      <c r="AJ342" s="251" t="s">
        <v>486</v>
      </c>
      <c r="AK342" s="251" t="s">
        <v>486</v>
      </c>
      <c r="AL342" s="251" t="s">
        <v>491</v>
      </c>
      <c r="AM342" s="251" t="s">
        <v>486</v>
      </c>
      <c r="AN342" s="251" t="s">
        <v>486</v>
      </c>
      <c r="AO342" s="253" t="s">
        <v>486</v>
      </c>
      <c r="AP342" s="252" t="s">
        <v>486</v>
      </c>
      <c r="AQ342" s="254" t="s">
        <v>486</v>
      </c>
      <c r="AR342" s="251" t="s">
        <v>486</v>
      </c>
    </row>
    <row r="343" spans="1:44" ht="15" x14ac:dyDescent="0.25">
      <c r="A343" s="245" t="str">
        <f>HYPERLINK("http://www.ofsted.gov.uk/inspection-reports/find-inspection-report/provider/ELS/132735 ","Ofsted School Webpage")</f>
        <v>Ofsted School Webpage</v>
      </c>
      <c r="B343" s="246">
        <v>132735</v>
      </c>
      <c r="C343" s="246">
        <v>8606024</v>
      </c>
      <c r="D343" s="246" t="s">
        <v>2099</v>
      </c>
      <c r="E343" s="246" t="s">
        <v>248</v>
      </c>
      <c r="F343" s="246" t="s">
        <v>93</v>
      </c>
      <c r="G343" s="246" t="s">
        <v>93</v>
      </c>
      <c r="H343" s="246" t="s">
        <v>93</v>
      </c>
      <c r="I343" s="246" t="s">
        <v>90</v>
      </c>
      <c r="J343" s="246" t="s">
        <v>1490</v>
      </c>
      <c r="K343" s="246" t="s">
        <v>486</v>
      </c>
      <c r="L343" s="246" t="s">
        <v>487</v>
      </c>
      <c r="M343" s="246" t="s">
        <v>502</v>
      </c>
      <c r="N343" s="246" t="s">
        <v>502</v>
      </c>
      <c r="O343" s="246" t="s">
        <v>652</v>
      </c>
      <c r="P343" s="246" t="s">
        <v>2100</v>
      </c>
      <c r="Q343" s="247">
        <v>10040663</v>
      </c>
      <c r="R343" s="248">
        <v>43018</v>
      </c>
      <c r="S343" s="248">
        <v>43020</v>
      </c>
      <c r="T343" s="248">
        <v>43048</v>
      </c>
      <c r="U343" s="246" t="s">
        <v>488</v>
      </c>
      <c r="V343" s="246">
        <v>3</v>
      </c>
      <c r="W343" s="246" t="s">
        <v>219</v>
      </c>
      <c r="X343" s="246">
        <v>3</v>
      </c>
      <c r="Y343" s="246">
        <v>2</v>
      </c>
      <c r="Z343" s="246">
        <v>3</v>
      </c>
      <c r="AA343" s="246">
        <v>3</v>
      </c>
      <c r="AB343" s="246" t="s">
        <v>486</v>
      </c>
      <c r="AC343" s="246">
        <v>3</v>
      </c>
      <c r="AD343" s="246" t="s">
        <v>490</v>
      </c>
      <c r="AE343" s="246" t="s">
        <v>486</v>
      </c>
      <c r="AF343" s="246" t="s">
        <v>486</v>
      </c>
      <c r="AG343" s="246" t="s">
        <v>486</v>
      </c>
      <c r="AH343" s="246" t="s">
        <v>486</v>
      </c>
      <c r="AI343" s="246" t="s">
        <v>486</v>
      </c>
      <c r="AJ343" s="246" t="s">
        <v>486</v>
      </c>
      <c r="AK343" s="246" t="s">
        <v>486</v>
      </c>
      <c r="AL343" s="246" t="s">
        <v>491</v>
      </c>
      <c r="AM343" s="246" t="s">
        <v>486</v>
      </c>
      <c r="AN343" s="246" t="s">
        <v>486</v>
      </c>
      <c r="AO343" s="248" t="s">
        <v>486</v>
      </c>
      <c r="AP343" s="247" t="s">
        <v>486</v>
      </c>
      <c r="AQ343" s="249" t="s">
        <v>486</v>
      </c>
      <c r="AR343" s="246" t="s">
        <v>486</v>
      </c>
    </row>
    <row r="344" spans="1:44" ht="15" x14ac:dyDescent="0.25">
      <c r="A344" s="250" t="str">
        <f>HYPERLINK("http://www.ofsted.gov.uk/inspection-reports/find-inspection-report/provider/ELS/133349 ","Ofsted School Webpage")</f>
        <v>Ofsted School Webpage</v>
      </c>
      <c r="B344" s="251">
        <v>133349</v>
      </c>
      <c r="C344" s="251">
        <v>8566015</v>
      </c>
      <c r="D344" s="251" t="s">
        <v>2101</v>
      </c>
      <c r="E344" s="251" t="s">
        <v>247</v>
      </c>
      <c r="F344" s="251" t="s">
        <v>84</v>
      </c>
      <c r="G344" s="251" t="s">
        <v>84</v>
      </c>
      <c r="H344" s="251" t="s">
        <v>84</v>
      </c>
      <c r="I344" s="251" t="s">
        <v>84</v>
      </c>
      <c r="J344" s="251" t="s">
        <v>1490</v>
      </c>
      <c r="K344" s="251" t="s">
        <v>486</v>
      </c>
      <c r="L344" s="251" t="s">
        <v>487</v>
      </c>
      <c r="M344" s="251" t="s">
        <v>572</v>
      </c>
      <c r="N344" s="251" t="s">
        <v>572</v>
      </c>
      <c r="O344" s="251" t="s">
        <v>589</v>
      </c>
      <c r="P344" s="251" t="s">
        <v>2102</v>
      </c>
      <c r="Q344" s="252">
        <v>10039184</v>
      </c>
      <c r="R344" s="253">
        <v>43018</v>
      </c>
      <c r="S344" s="253">
        <v>43020</v>
      </c>
      <c r="T344" s="253">
        <v>43052</v>
      </c>
      <c r="U344" s="251" t="s">
        <v>488</v>
      </c>
      <c r="V344" s="251">
        <v>2</v>
      </c>
      <c r="W344" s="251" t="s">
        <v>219</v>
      </c>
      <c r="X344" s="251">
        <v>2</v>
      </c>
      <c r="Y344" s="251">
        <v>1</v>
      </c>
      <c r="Z344" s="251">
        <v>2</v>
      </c>
      <c r="AA344" s="251">
        <v>2</v>
      </c>
      <c r="AB344" s="251" t="s">
        <v>486</v>
      </c>
      <c r="AC344" s="251" t="s">
        <v>486</v>
      </c>
      <c r="AD344" s="251" t="s">
        <v>490</v>
      </c>
      <c r="AE344" s="251" t="s">
        <v>486</v>
      </c>
      <c r="AF344" s="251" t="s">
        <v>486</v>
      </c>
      <c r="AG344" s="251" t="s">
        <v>486</v>
      </c>
      <c r="AH344" s="251" t="s">
        <v>486</v>
      </c>
      <c r="AI344" s="251" t="s">
        <v>486</v>
      </c>
      <c r="AJ344" s="251" t="s">
        <v>486</v>
      </c>
      <c r="AK344" s="251" t="s">
        <v>486</v>
      </c>
      <c r="AL344" s="251" t="s">
        <v>491</v>
      </c>
      <c r="AM344" s="251" t="s">
        <v>486</v>
      </c>
      <c r="AN344" s="251" t="s">
        <v>486</v>
      </c>
      <c r="AO344" s="253" t="s">
        <v>486</v>
      </c>
      <c r="AP344" s="252" t="s">
        <v>486</v>
      </c>
      <c r="AQ344" s="254" t="s">
        <v>486</v>
      </c>
      <c r="AR344" s="251" t="s">
        <v>486</v>
      </c>
    </row>
    <row r="345" spans="1:44" ht="15" x14ac:dyDescent="0.25">
      <c r="A345" s="245" t="str">
        <f>HYPERLINK("http://www.ofsted.gov.uk/inspection-reports/find-inspection-report/provider/ELS/134085 ","Ofsted School Webpage")</f>
        <v>Ofsted School Webpage</v>
      </c>
      <c r="B345" s="246">
        <v>134085</v>
      </c>
      <c r="C345" s="246">
        <v>8716003</v>
      </c>
      <c r="D345" s="246" t="s">
        <v>2103</v>
      </c>
      <c r="E345" s="246" t="s">
        <v>247</v>
      </c>
      <c r="F345" s="246" t="s">
        <v>93</v>
      </c>
      <c r="G345" s="246" t="s">
        <v>84</v>
      </c>
      <c r="H345" s="246" t="s">
        <v>84</v>
      </c>
      <c r="I345" s="246" t="s">
        <v>84</v>
      </c>
      <c r="J345" s="246" t="s">
        <v>1490</v>
      </c>
      <c r="K345" s="246" t="s">
        <v>486</v>
      </c>
      <c r="L345" s="246" t="s">
        <v>487</v>
      </c>
      <c r="M345" s="246" t="s">
        <v>581</v>
      </c>
      <c r="N345" s="246" t="s">
        <v>581</v>
      </c>
      <c r="O345" s="246" t="s">
        <v>707</v>
      </c>
      <c r="P345" s="246" t="s">
        <v>2104</v>
      </c>
      <c r="Q345" s="247">
        <v>10039160</v>
      </c>
      <c r="R345" s="248">
        <v>43018</v>
      </c>
      <c r="S345" s="248">
        <v>43020</v>
      </c>
      <c r="T345" s="248">
        <v>43045</v>
      </c>
      <c r="U345" s="246" t="s">
        <v>488</v>
      </c>
      <c r="V345" s="246">
        <v>2</v>
      </c>
      <c r="W345" s="246" t="s">
        <v>219</v>
      </c>
      <c r="X345" s="246">
        <v>1</v>
      </c>
      <c r="Y345" s="246">
        <v>1</v>
      </c>
      <c r="Z345" s="246">
        <v>2</v>
      </c>
      <c r="AA345" s="246">
        <v>2</v>
      </c>
      <c r="AB345" s="246">
        <v>1</v>
      </c>
      <c r="AC345" s="246" t="s">
        <v>486</v>
      </c>
      <c r="AD345" s="246" t="s">
        <v>490</v>
      </c>
      <c r="AE345" s="246" t="s">
        <v>486</v>
      </c>
      <c r="AF345" s="246" t="s">
        <v>486</v>
      </c>
      <c r="AG345" s="246" t="s">
        <v>486</v>
      </c>
      <c r="AH345" s="246" t="s">
        <v>486</v>
      </c>
      <c r="AI345" s="246" t="s">
        <v>486</v>
      </c>
      <c r="AJ345" s="246" t="s">
        <v>486</v>
      </c>
      <c r="AK345" s="246" t="s">
        <v>486</v>
      </c>
      <c r="AL345" s="246" t="s">
        <v>491</v>
      </c>
      <c r="AM345" s="246" t="s">
        <v>486</v>
      </c>
      <c r="AN345" s="246" t="s">
        <v>486</v>
      </c>
      <c r="AO345" s="248" t="s">
        <v>486</v>
      </c>
      <c r="AP345" s="247" t="s">
        <v>486</v>
      </c>
      <c r="AQ345" s="249" t="s">
        <v>486</v>
      </c>
      <c r="AR345" s="246" t="s">
        <v>486</v>
      </c>
    </row>
    <row r="346" spans="1:44" ht="15" x14ac:dyDescent="0.25">
      <c r="A346" s="250" t="str">
        <f>HYPERLINK("http://www.ofsted.gov.uk/inspection-reports/find-inspection-report/provider/ELS/134186 ","Ofsted School Webpage")</f>
        <v>Ofsted School Webpage</v>
      </c>
      <c r="B346" s="251">
        <v>134186</v>
      </c>
      <c r="C346" s="251">
        <v>8776001</v>
      </c>
      <c r="D346" s="251" t="s">
        <v>2105</v>
      </c>
      <c r="E346" s="251" t="s">
        <v>248</v>
      </c>
      <c r="F346" s="251" t="s">
        <v>93</v>
      </c>
      <c r="G346" s="251" t="s">
        <v>93</v>
      </c>
      <c r="H346" s="251" t="s">
        <v>93</v>
      </c>
      <c r="I346" s="251" t="s">
        <v>90</v>
      </c>
      <c r="J346" s="251" t="s">
        <v>1490</v>
      </c>
      <c r="K346" s="251" t="s">
        <v>486</v>
      </c>
      <c r="L346" s="251" t="s">
        <v>487</v>
      </c>
      <c r="M346" s="251" t="s">
        <v>495</v>
      </c>
      <c r="N346" s="251" t="s">
        <v>495</v>
      </c>
      <c r="O346" s="251" t="s">
        <v>2106</v>
      </c>
      <c r="P346" s="251" t="s">
        <v>2107</v>
      </c>
      <c r="Q346" s="252">
        <v>10026010</v>
      </c>
      <c r="R346" s="253">
        <v>43018</v>
      </c>
      <c r="S346" s="253">
        <v>43020</v>
      </c>
      <c r="T346" s="253">
        <v>43061</v>
      </c>
      <c r="U346" s="251" t="s">
        <v>2930</v>
      </c>
      <c r="V346" s="251">
        <v>1</v>
      </c>
      <c r="W346" s="251" t="s">
        <v>219</v>
      </c>
      <c r="X346" s="251">
        <v>1</v>
      </c>
      <c r="Y346" s="251">
        <v>1</v>
      </c>
      <c r="Z346" s="251">
        <v>1</v>
      </c>
      <c r="AA346" s="251">
        <v>1</v>
      </c>
      <c r="AB346" s="251" t="s">
        <v>486</v>
      </c>
      <c r="AC346" s="251">
        <v>1</v>
      </c>
      <c r="AD346" s="251" t="s">
        <v>490</v>
      </c>
      <c r="AE346" s="251" t="s">
        <v>486</v>
      </c>
      <c r="AF346" s="251" t="s">
        <v>486</v>
      </c>
      <c r="AG346" s="251" t="s">
        <v>486</v>
      </c>
      <c r="AH346" s="251" t="s">
        <v>486</v>
      </c>
      <c r="AI346" s="251" t="s">
        <v>486</v>
      </c>
      <c r="AJ346" s="251" t="s">
        <v>486</v>
      </c>
      <c r="AK346" s="251" t="s">
        <v>486</v>
      </c>
      <c r="AL346" s="251" t="s">
        <v>491</v>
      </c>
      <c r="AM346" s="251" t="s">
        <v>486</v>
      </c>
      <c r="AN346" s="251" t="s">
        <v>486</v>
      </c>
      <c r="AO346" s="253" t="s">
        <v>486</v>
      </c>
      <c r="AP346" s="252" t="s">
        <v>486</v>
      </c>
      <c r="AQ346" s="254" t="s">
        <v>486</v>
      </c>
      <c r="AR346" s="251" t="s">
        <v>486</v>
      </c>
    </row>
    <row r="347" spans="1:44" ht="15" x14ac:dyDescent="0.25">
      <c r="A347" s="245" t="str">
        <f>HYPERLINK("http://www.ofsted.gov.uk/inspection-reports/find-inspection-report/provider/ELS/134805 ","Ofsted School Webpage")</f>
        <v>Ofsted School Webpage</v>
      </c>
      <c r="B347" s="246">
        <v>134805</v>
      </c>
      <c r="C347" s="246">
        <v>8216006</v>
      </c>
      <c r="D347" s="246" t="s">
        <v>2108</v>
      </c>
      <c r="E347" s="246" t="s">
        <v>247</v>
      </c>
      <c r="F347" s="246" t="s">
        <v>93</v>
      </c>
      <c r="G347" s="246" t="s">
        <v>84</v>
      </c>
      <c r="H347" s="246" t="s">
        <v>84</v>
      </c>
      <c r="I347" s="246" t="s">
        <v>84</v>
      </c>
      <c r="J347" s="246" t="s">
        <v>1490</v>
      </c>
      <c r="K347" s="246" t="s">
        <v>486</v>
      </c>
      <c r="L347" s="246" t="s">
        <v>487</v>
      </c>
      <c r="M347" s="246" t="s">
        <v>516</v>
      </c>
      <c r="N347" s="246" t="s">
        <v>516</v>
      </c>
      <c r="O347" s="246" t="s">
        <v>517</v>
      </c>
      <c r="P347" s="246" t="s">
        <v>2109</v>
      </c>
      <c r="Q347" s="247">
        <v>10039334</v>
      </c>
      <c r="R347" s="248">
        <v>43018</v>
      </c>
      <c r="S347" s="248">
        <v>43020</v>
      </c>
      <c r="T347" s="248">
        <v>43055</v>
      </c>
      <c r="U347" s="246" t="s">
        <v>488</v>
      </c>
      <c r="V347" s="246">
        <v>2</v>
      </c>
      <c r="W347" s="246" t="s">
        <v>219</v>
      </c>
      <c r="X347" s="246">
        <v>2</v>
      </c>
      <c r="Y347" s="246">
        <v>2</v>
      </c>
      <c r="Z347" s="246">
        <v>2</v>
      </c>
      <c r="AA347" s="246">
        <v>2</v>
      </c>
      <c r="AB347" s="246" t="s">
        <v>486</v>
      </c>
      <c r="AC347" s="246" t="s">
        <v>486</v>
      </c>
      <c r="AD347" s="246" t="s">
        <v>490</v>
      </c>
      <c r="AE347" s="246" t="s">
        <v>486</v>
      </c>
      <c r="AF347" s="246" t="s">
        <v>486</v>
      </c>
      <c r="AG347" s="246" t="s">
        <v>486</v>
      </c>
      <c r="AH347" s="246" t="s">
        <v>486</v>
      </c>
      <c r="AI347" s="246" t="s">
        <v>486</v>
      </c>
      <c r="AJ347" s="246" t="s">
        <v>486</v>
      </c>
      <c r="AK347" s="246" t="s">
        <v>486</v>
      </c>
      <c r="AL347" s="246" t="s">
        <v>491</v>
      </c>
      <c r="AM347" s="246" t="s">
        <v>486</v>
      </c>
      <c r="AN347" s="246" t="s">
        <v>486</v>
      </c>
      <c r="AO347" s="248" t="s">
        <v>486</v>
      </c>
      <c r="AP347" s="247" t="s">
        <v>486</v>
      </c>
      <c r="AQ347" s="249" t="s">
        <v>486</v>
      </c>
      <c r="AR347" s="246" t="s">
        <v>486</v>
      </c>
    </row>
    <row r="348" spans="1:44" ht="15" x14ac:dyDescent="0.25">
      <c r="A348" s="250" t="str">
        <f>HYPERLINK("http://www.ofsted.gov.uk/inspection-reports/find-inspection-report/provider/ELS/135792 ","Ofsted School Webpage")</f>
        <v>Ofsted School Webpage</v>
      </c>
      <c r="B348" s="251">
        <v>135792</v>
      </c>
      <c r="C348" s="251">
        <v>3336005</v>
      </c>
      <c r="D348" s="251" t="s">
        <v>2110</v>
      </c>
      <c r="E348" s="251" t="s">
        <v>247</v>
      </c>
      <c r="F348" s="251" t="s">
        <v>93</v>
      </c>
      <c r="G348" s="251" t="s">
        <v>84</v>
      </c>
      <c r="H348" s="251" t="s">
        <v>84</v>
      </c>
      <c r="I348" s="251" t="s">
        <v>84</v>
      </c>
      <c r="J348" s="251" t="s">
        <v>1490</v>
      </c>
      <c r="K348" s="251" t="s">
        <v>486</v>
      </c>
      <c r="L348" s="251" t="s">
        <v>487</v>
      </c>
      <c r="M348" s="251" t="s">
        <v>502</v>
      </c>
      <c r="N348" s="251" t="s">
        <v>502</v>
      </c>
      <c r="O348" s="251" t="s">
        <v>720</v>
      </c>
      <c r="P348" s="251" t="s">
        <v>2111</v>
      </c>
      <c r="Q348" s="252">
        <v>10026107</v>
      </c>
      <c r="R348" s="253">
        <v>43018</v>
      </c>
      <c r="S348" s="253">
        <v>43020</v>
      </c>
      <c r="T348" s="253">
        <v>43056</v>
      </c>
      <c r="U348" s="251" t="s">
        <v>488</v>
      </c>
      <c r="V348" s="251">
        <v>2</v>
      </c>
      <c r="W348" s="251" t="s">
        <v>219</v>
      </c>
      <c r="X348" s="251">
        <v>2</v>
      </c>
      <c r="Y348" s="251">
        <v>2</v>
      </c>
      <c r="Z348" s="251">
        <v>2</v>
      </c>
      <c r="AA348" s="251">
        <v>2</v>
      </c>
      <c r="AB348" s="251" t="s">
        <v>486</v>
      </c>
      <c r="AC348" s="251" t="s">
        <v>486</v>
      </c>
      <c r="AD348" s="251" t="s">
        <v>490</v>
      </c>
      <c r="AE348" s="251" t="s">
        <v>486</v>
      </c>
      <c r="AF348" s="251" t="s">
        <v>486</v>
      </c>
      <c r="AG348" s="251" t="s">
        <v>486</v>
      </c>
      <c r="AH348" s="251" t="s">
        <v>486</v>
      </c>
      <c r="AI348" s="251" t="s">
        <v>486</v>
      </c>
      <c r="AJ348" s="251" t="s">
        <v>486</v>
      </c>
      <c r="AK348" s="251" t="s">
        <v>486</v>
      </c>
      <c r="AL348" s="251" t="s">
        <v>491</v>
      </c>
      <c r="AM348" s="251" t="s">
        <v>486</v>
      </c>
      <c r="AN348" s="251" t="s">
        <v>486</v>
      </c>
      <c r="AO348" s="253" t="s">
        <v>486</v>
      </c>
      <c r="AP348" s="252" t="s">
        <v>486</v>
      </c>
      <c r="AQ348" s="254" t="s">
        <v>486</v>
      </c>
      <c r="AR348" s="251" t="s">
        <v>486</v>
      </c>
    </row>
    <row r="349" spans="1:44" ht="15" x14ac:dyDescent="0.25">
      <c r="A349" s="245" t="str">
        <f>HYPERLINK("http://www.ofsted.gov.uk/inspection-reports/find-inspection-report/provider/ELS/137574 ","Ofsted School Webpage")</f>
        <v>Ofsted School Webpage</v>
      </c>
      <c r="B349" s="246">
        <v>137574</v>
      </c>
      <c r="C349" s="246">
        <v>8616006</v>
      </c>
      <c r="D349" s="246" t="s">
        <v>2112</v>
      </c>
      <c r="E349" s="246" t="s">
        <v>247</v>
      </c>
      <c r="F349" s="246" t="s">
        <v>93</v>
      </c>
      <c r="G349" s="246" t="s">
        <v>93</v>
      </c>
      <c r="H349" s="246" t="s">
        <v>93</v>
      </c>
      <c r="I349" s="246" t="s">
        <v>90</v>
      </c>
      <c r="J349" s="246" t="s">
        <v>1490</v>
      </c>
      <c r="K349" s="246" t="s">
        <v>486</v>
      </c>
      <c r="L349" s="246" t="s">
        <v>487</v>
      </c>
      <c r="M349" s="246" t="s">
        <v>502</v>
      </c>
      <c r="N349" s="246" t="s">
        <v>502</v>
      </c>
      <c r="O349" s="246" t="s">
        <v>655</v>
      </c>
      <c r="P349" s="246" t="s">
        <v>2113</v>
      </c>
      <c r="Q349" s="247">
        <v>10006068</v>
      </c>
      <c r="R349" s="248">
        <v>43018</v>
      </c>
      <c r="S349" s="248">
        <v>43020</v>
      </c>
      <c r="T349" s="248">
        <v>43047</v>
      </c>
      <c r="U349" s="246" t="s">
        <v>488</v>
      </c>
      <c r="V349" s="246">
        <v>2</v>
      </c>
      <c r="W349" s="246" t="s">
        <v>219</v>
      </c>
      <c r="X349" s="246">
        <v>2</v>
      </c>
      <c r="Y349" s="246">
        <v>2</v>
      </c>
      <c r="Z349" s="246">
        <v>2</v>
      </c>
      <c r="AA349" s="246">
        <v>2</v>
      </c>
      <c r="AB349" s="246" t="s">
        <v>486</v>
      </c>
      <c r="AC349" s="246" t="s">
        <v>486</v>
      </c>
      <c r="AD349" s="246" t="s">
        <v>486</v>
      </c>
      <c r="AE349" s="246" t="s">
        <v>486</v>
      </c>
      <c r="AF349" s="246" t="s">
        <v>486</v>
      </c>
      <c r="AG349" s="246" t="s">
        <v>486</v>
      </c>
      <c r="AH349" s="246" t="s">
        <v>486</v>
      </c>
      <c r="AI349" s="246" t="s">
        <v>486</v>
      </c>
      <c r="AJ349" s="246" t="s">
        <v>486</v>
      </c>
      <c r="AK349" s="246" t="s">
        <v>486</v>
      </c>
      <c r="AL349" s="246" t="s">
        <v>491</v>
      </c>
      <c r="AM349" s="246" t="s">
        <v>486</v>
      </c>
      <c r="AN349" s="246" t="s">
        <v>486</v>
      </c>
      <c r="AO349" s="248" t="s">
        <v>486</v>
      </c>
      <c r="AP349" s="247" t="s">
        <v>486</v>
      </c>
      <c r="AQ349" s="249" t="s">
        <v>486</v>
      </c>
      <c r="AR349" s="246" t="s">
        <v>486</v>
      </c>
    </row>
    <row r="350" spans="1:44" ht="15" x14ac:dyDescent="0.25">
      <c r="A350" s="250" t="str">
        <f>HYPERLINK("http://www.ofsted.gov.uk/inspection-reports/find-inspection-report/provider/ELS/139784 ","Ofsted School Webpage")</f>
        <v>Ofsted School Webpage</v>
      </c>
      <c r="B350" s="251">
        <v>139784</v>
      </c>
      <c r="C350" s="251">
        <v>8616010</v>
      </c>
      <c r="D350" s="251" t="s">
        <v>1234</v>
      </c>
      <c r="E350" s="251" t="s">
        <v>247</v>
      </c>
      <c r="F350" s="251" t="s">
        <v>93</v>
      </c>
      <c r="G350" s="251" t="s">
        <v>84</v>
      </c>
      <c r="H350" s="251" t="s">
        <v>84</v>
      </c>
      <c r="I350" s="251" t="s">
        <v>84</v>
      </c>
      <c r="J350" s="251" t="s">
        <v>1490</v>
      </c>
      <c r="K350" s="251" t="s">
        <v>486</v>
      </c>
      <c r="L350" s="251" t="s">
        <v>487</v>
      </c>
      <c r="M350" s="251" t="s">
        <v>502</v>
      </c>
      <c r="N350" s="251" t="s">
        <v>502</v>
      </c>
      <c r="O350" s="251" t="s">
        <v>655</v>
      </c>
      <c r="P350" s="251" t="s">
        <v>1235</v>
      </c>
      <c r="Q350" s="252">
        <v>10033576</v>
      </c>
      <c r="R350" s="253">
        <v>43018</v>
      </c>
      <c r="S350" s="253">
        <v>43020</v>
      </c>
      <c r="T350" s="253">
        <v>43115</v>
      </c>
      <c r="U350" s="251" t="s">
        <v>488</v>
      </c>
      <c r="V350" s="251">
        <v>4</v>
      </c>
      <c r="W350" s="251" t="s">
        <v>220</v>
      </c>
      <c r="X350" s="251">
        <v>4</v>
      </c>
      <c r="Y350" s="251">
        <v>4</v>
      </c>
      <c r="Z350" s="251">
        <v>3</v>
      </c>
      <c r="AA350" s="251">
        <v>3</v>
      </c>
      <c r="AB350" s="251" t="s">
        <v>486</v>
      </c>
      <c r="AC350" s="251" t="s">
        <v>486</v>
      </c>
      <c r="AD350" s="251" t="s">
        <v>512</v>
      </c>
      <c r="AE350" s="251" t="s">
        <v>486</v>
      </c>
      <c r="AF350" s="251" t="s">
        <v>490</v>
      </c>
      <c r="AG350" s="251" t="s">
        <v>486</v>
      </c>
      <c r="AH350" s="251" t="s">
        <v>486</v>
      </c>
      <c r="AI350" s="251" t="s">
        <v>486</v>
      </c>
      <c r="AJ350" s="251" t="s">
        <v>486</v>
      </c>
      <c r="AK350" s="251" t="s">
        <v>486</v>
      </c>
      <c r="AL350" s="251" t="s">
        <v>545</v>
      </c>
      <c r="AM350" s="251" t="s">
        <v>486</v>
      </c>
      <c r="AN350" s="251" t="s">
        <v>486</v>
      </c>
      <c r="AO350" s="253" t="s">
        <v>486</v>
      </c>
      <c r="AP350" s="252" t="s">
        <v>486</v>
      </c>
      <c r="AQ350" s="254" t="s">
        <v>486</v>
      </c>
      <c r="AR350" s="251" t="s">
        <v>486</v>
      </c>
    </row>
    <row r="351" spans="1:44" ht="15" x14ac:dyDescent="0.25">
      <c r="A351" s="245" t="str">
        <f>HYPERLINK("http://www.ofsted.gov.uk/inspection-reports/find-inspection-report/provider/ELS/143038 ","Ofsted School Webpage")</f>
        <v>Ofsted School Webpage</v>
      </c>
      <c r="B351" s="246">
        <v>143038</v>
      </c>
      <c r="C351" s="246">
        <v>3336011</v>
      </c>
      <c r="D351" s="246" t="s">
        <v>1281</v>
      </c>
      <c r="E351" s="246" t="s">
        <v>247</v>
      </c>
      <c r="F351" s="246" t="s">
        <v>93</v>
      </c>
      <c r="G351" s="246" t="s">
        <v>93</v>
      </c>
      <c r="H351" s="246" t="s">
        <v>93</v>
      </c>
      <c r="I351" s="246" t="s">
        <v>90</v>
      </c>
      <c r="J351" s="246" t="s">
        <v>1490</v>
      </c>
      <c r="K351" s="246" t="s">
        <v>486</v>
      </c>
      <c r="L351" s="246" t="s">
        <v>487</v>
      </c>
      <c r="M351" s="246" t="s">
        <v>502</v>
      </c>
      <c r="N351" s="246" t="s">
        <v>502</v>
      </c>
      <c r="O351" s="246" t="s">
        <v>720</v>
      </c>
      <c r="P351" s="246" t="s">
        <v>1282</v>
      </c>
      <c r="Q351" s="247">
        <v>10033587</v>
      </c>
      <c r="R351" s="248">
        <v>43018</v>
      </c>
      <c r="S351" s="248">
        <v>43020</v>
      </c>
      <c r="T351" s="248">
        <v>43060</v>
      </c>
      <c r="U351" s="246" t="s">
        <v>499</v>
      </c>
      <c r="V351" s="246">
        <v>2</v>
      </c>
      <c r="W351" s="246" t="s">
        <v>219</v>
      </c>
      <c r="X351" s="246">
        <v>2</v>
      </c>
      <c r="Y351" s="246">
        <v>2</v>
      </c>
      <c r="Z351" s="246">
        <v>2</v>
      </c>
      <c r="AA351" s="246">
        <v>2</v>
      </c>
      <c r="AB351" s="246" t="s">
        <v>486</v>
      </c>
      <c r="AC351" s="246">
        <v>2</v>
      </c>
      <c r="AD351" s="246" t="s">
        <v>490</v>
      </c>
      <c r="AE351" s="246" t="s">
        <v>486</v>
      </c>
      <c r="AF351" s="246" t="s">
        <v>486</v>
      </c>
      <c r="AG351" s="246" t="s">
        <v>486</v>
      </c>
      <c r="AH351" s="246" t="s">
        <v>486</v>
      </c>
      <c r="AI351" s="246" t="s">
        <v>486</v>
      </c>
      <c r="AJ351" s="246" t="s">
        <v>486</v>
      </c>
      <c r="AK351" s="246" t="s">
        <v>486</v>
      </c>
      <c r="AL351" s="246" t="s">
        <v>491</v>
      </c>
      <c r="AM351" s="246" t="s">
        <v>486</v>
      </c>
      <c r="AN351" s="246" t="s">
        <v>486</v>
      </c>
      <c r="AO351" s="248" t="s">
        <v>486</v>
      </c>
      <c r="AP351" s="247" t="s">
        <v>486</v>
      </c>
      <c r="AQ351" s="249" t="s">
        <v>486</v>
      </c>
      <c r="AR351" s="246" t="s">
        <v>486</v>
      </c>
    </row>
    <row r="352" spans="1:44" ht="15" x14ac:dyDescent="0.25">
      <c r="A352" s="250" t="str">
        <f>HYPERLINK("http://www.ofsted.gov.uk/inspection-reports/find-inspection-report/provider/ELS/143406 ","Ofsted School Webpage")</f>
        <v>Ofsted School Webpage</v>
      </c>
      <c r="B352" s="251">
        <v>143406</v>
      </c>
      <c r="C352" s="251">
        <v>3176005</v>
      </c>
      <c r="D352" s="251" t="s">
        <v>2114</v>
      </c>
      <c r="E352" s="251" t="s">
        <v>248</v>
      </c>
      <c r="F352" s="251" t="s">
        <v>93</v>
      </c>
      <c r="G352" s="251" t="s">
        <v>93</v>
      </c>
      <c r="H352" s="251" t="s">
        <v>93</v>
      </c>
      <c r="I352" s="251" t="s">
        <v>90</v>
      </c>
      <c r="J352" s="251" t="s">
        <v>1490</v>
      </c>
      <c r="K352" s="251" t="s">
        <v>486</v>
      </c>
      <c r="L352" s="251" t="s">
        <v>487</v>
      </c>
      <c r="M352" s="251" t="s">
        <v>506</v>
      </c>
      <c r="N352" s="251" t="s">
        <v>506</v>
      </c>
      <c r="O352" s="251" t="s">
        <v>731</v>
      </c>
      <c r="P352" s="251" t="s">
        <v>2115</v>
      </c>
      <c r="Q352" s="252">
        <v>10035820</v>
      </c>
      <c r="R352" s="253">
        <v>43018</v>
      </c>
      <c r="S352" s="253">
        <v>43020</v>
      </c>
      <c r="T352" s="253">
        <v>43077</v>
      </c>
      <c r="U352" s="251" t="s">
        <v>499</v>
      </c>
      <c r="V352" s="251">
        <v>4</v>
      </c>
      <c r="W352" s="251" t="s">
        <v>220</v>
      </c>
      <c r="X352" s="251">
        <v>4</v>
      </c>
      <c r="Y352" s="251">
        <v>4</v>
      </c>
      <c r="Z352" s="251">
        <v>0</v>
      </c>
      <c r="AA352" s="251">
        <v>0</v>
      </c>
      <c r="AB352" s="251" t="s">
        <v>486</v>
      </c>
      <c r="AC352" s="251" t="s">
        <v>486</v>
      </c>
      <c r="AD352" s="251" t="s">
        <v>490</v>
      </c>
      <c r="AE352" s="251" t="s">
        <v>486</v>
      </c>
      <c r="AF352" s="251" t="s">
        <v>486</v>
      </c>
      <c r="AG352" s="251" t="s">
        <v>486</v>
      </c>
      <c r="AH352" s="251" t="s">
        <v>486</v>
      </c>
      <c r="AI352" s="251" t="s">
        <v>486</v>
      </c>
      <c r="AJ352" s="251" t="s">
        <v>486</v>
      </c>
      <c r="AK352" s="251" t="s">
        <v>486</v>
      </c>
      <c r="AL352" s="251" t="s">
        <v>545</v>
      </c>
      <c r="AM352" s="251">
        <v>10054979</v>
      </c>
      <c r="AN352" s="251" t="s">
        <v>1109</v>
      </c>
      <c r="AO352" s="253">
        <v>43273</v>
      </c>
      <c r="AP352" s="252" t="s">
        <v>1690</v>
      </c>
      <c r="AQ352" s="254">
        <v>43297</v>
      </c>
      <c r="AR352" s="251" t="s">
        <v>1110</v>
      </c>
    </row>
    <row r="353" spans="1:44" ht="15" x14ac:dyDescent="0.25">
      <c r="A353" s="245" t="str">
        <f>HYPERLINK("http://www.ofsted.gov.uk/inspection-reports/find-inspection-report/provider/ELS/113567 ","Ofsted School Webpage")</f>
        <v>Ofsted School Webpage</v>
      </c>
      <c r="B353" s="246">
        <v>113567</v>
      </c>
      <c r="C353" s="246">
        <v>8786004</v>
      </c>
      <c r="D353" s="246" t="s">
        <v>2116</v>
      </c>
      <c r="E353" s="246" t="s">
        <v>247</v>
      </c>
      <c r="F353" s="246" t="s">
        <v>93</v>
      </c>
      <c r="G353" s="246" t="s">
        <v>74</v>
      </c>
      <c r="H353" s="246" t="s">
        <v>74</v>
      </c>
      <c r="I353" s="246" t="s">
        <v>71</v>
      </c>
      <c r="J353" s="246" t="s">
        <v>1490</v>
      </c>
      <c r="K353" s="246" t="s">
        <v>486</v>
      </c>
      <c r="L353" s="246" t="s">
        <v>487</v>
      </c>
      <c r="M353" s="246" t="s">
        <v>483</v>
      </c>
      <c r="N353" s="246" t="s">
        <v>483</v>
      </c>
      <c r="O353" s="246" t="s">
        <v>747</v>
      </c>
      <c r="P353" s="246" t="s">
        <v>2117</v>
      </c>
      <c r="Q353" s="247">
        <v>10033881</v>
      </c>
      <c r="R353" s="248">
        <v>43025</v>
      </c>
      <c r="S353" s="248">
        <v>43027</v>
      </c>
      <c r="T353" s="248">
        <v>43059</v>
      </c>
      <c r="U353" s="246" t="s">
        <v>488</v>
      </c>
      <c r="V353" s="246">
        <v>2</v>
      </c>
      <c r="W353" s="246" t="s">
        <v>219</v>
      </c>
      <c r="X353" s="246">
        <v>2</v>
      </c>
      <c r="Y353" s="246">
        <v>2</v>
      </c>
      <c r="Z353" s="246">
        <v>2</v>
      </c>
      <c r="AA353" s="246">
        <v>2</v>
      </c>
      <c r="AB353" s="246">
        <v>2</v>
      </c>
      <c r="AC353" s="246" t="s">
        <v>486</v>
      </c>
      <c r="AD353" s="246" t="s">
        <v>490</v>
      </c>
      <c r="AE353" s="246" t="s">
        <v>486</v>
      </c>
      <c r="AF353" s="246" t="s">
        <v>486</v>
      </c>
      <c r="AG353" s="246" t="s">
        <v>486</v>
      </c>
      <c r="AH353" s="246" t="s">
        <v>486</v>
      </c>
      <c r="AI353" s="246" t="s">
        <v>486</v>
      </c>
      <c r="AJ353" s="246" t="s">
        <v>486</v>
      </c>
      <c r="AK353" s="246" t="s">
        <v>486</v>
      </c>
      <c r="AL353" s="246" t="s">
        <v>491</v>
      </c>
      <c r="AM353" s="246" t="s">
        <v>486</v>
      </c>
      <c r="AN353" s="246" t="s">
        <v>486</v>
      </c>
      <c r="AO353" s="248" t="s">
        <v>486</v>
      </c>
      <c r="AP353" s="247" t="s">
        <v>486</v>
      </c>
      <c r="AQ353" s="249" t="s">
        <v>486</v>
      </c>
      <c r="AR353" s="246" t="s">
        <v>486</v>
      </c>
    </row>
    <row r="354" spans="1:44" ht="15" x14ac:dyDescent="0.25">
      <c r="A354" s="250" t="str">
        <f>HYPERLINK("http://www.ofsted.gov.uk/inspection-reports/find-inspection-report/provider/ELS/131351 ","Ofsted School Webpage")</f>
        <v>Ofsted School Webpage</v>
      </c>
      <c r="B354" s="251">
        <v>131351</v>
      </c>
      <c r="C354" s="251">
        <v>3146070</v>
      </c>
      <c r="D354" s="251" t="s">
        <v>2118</v>
      </c>
      <c r="E354" s="251" t="s">
        <v>247</v>
      </c>
      <c r="F354" s="251" t="s">
        <v>93</v>
      </c>
      <c r="G354" s="251" t="s">
        <v>93</v>
      </c>
      <c r="H354" s="251" t="s">
        <v>93</v>
      </c>
      <c r="I354" s="251" t="s">
        <v>90</v>
      </c>
      <c r="J354" s="251" t="s">
        <v>1490</v>
      </c>
      <c r="K354" s="251" t="s">
        <v>486</v>
      </c>
      <c r="L354" s="251" t="s">
        <v>487</v>
      </c>
      <c r="M354" s="251" t="s">
        <v>506</v>
      </c>
      <c r="N354" s="251" t="s">
        <v>506</v>
      </c>
      <c r="O354" s="251" t="s">
        <v>1415</v>
      </c>
      <c r="P354" s="251" t="s">
        <v>2119</v>
      </c>
      <c r="Q354" s="252">
        <v>10012830</v>
      </c>
      <c r="R354" s="253">
        <v>43025</v>
      </c>
      <c r="S354" s="253">
        <v>43027</v>
      </c>
      <c r="T354" s="253">
        <v>43054</v>
      </c>
      <c r="U354" s="251" t="s">
        <v>488</v>
      </c>
      <c r="V354" s="251">
        <v>2</v>
      </c>
      <c r="W354" s="251" t="s">
        <v>219</v>
      </c>
      <c r="X354" s="251">
        <v>2</v>
      </c>
      <c r="Y354" s="251">
        <v>2</v>
      </c>
      <c r="Z354" s="251">
        <v>2</v>
      </c>
      <c r="AA354" s="251">
        <v>2</v>
      </c>
      <c r="AB354" s="251">
        <v>2</v>
      </c>
      <c r="AC354" s="251" t="s">
        <v>486</v>
      </c>
      <c r="AD354" s="251" t="s">
        <v>486</v>
      </c>
      <c r="AE354" s="251" t="s">
        <v>486</v>
      </c>
      <c r="AF354" s="251" t="s">
        <v>486</v>
      </c>
      <c r="AG354" s="251" t="s">
        <v>486</v>
      </c>
      <c r="AH354" s="251" t="s">
        <v>486</v>
      </c>
      <c r="AI354" s="251" t="s">
        <v>486</v>
      </c>
      <c r="AJ354" s="251" t="s">
        <v>486</v>
      </c>
      <c r="AK354" s="251" t="s">
        <v>486</v>
      </c>
      <c r="AL354" s="251" t="s">
        <v>491</v>
      </c>
      <c r="AM354" s="251" t="s">
        <v>486</v>
      </c>
      <c r="AN354" s="251" t="s">
        <v>486</v>
      </c>
      <c r="AO354" s="253" t="s">
        <v>486</v>
      </c>
      <c r="AP354" s="252" t="s">
        <v>486</v>
      </c>
      <c r="AQ354" s="254" t="s">
        <v>486</v>
      </c>
      <c r="AR354" s="251" t="s">
        <v>486</v>
      </c>
    </row>
    <row r="355" spans="1:44" ht="15" x14ac:dyDescent="0.25">
      <c r="A355" s="245" t="str">
        <f>HYPERLINK("http://www.ofsted.gov.uk/inspection-reports/find-inspection-report/provider/ELS/131563 ","Ofsted School Webpage")</f>
        <v>Ofsted School Webpage</v>
      </c>
      <c r="B355" s="246">
        <v>131563</v>
      </c>
      <c r="C355" s="246">
        <v>8886093</v>
      </c>
      <c r="D355" s="246" t="s">
        <v>2120</v>
      </c>
      <c r="E355" s="246" t="s">
        <v>248</v>
      </c>
      <c r="F355" s="246" t="s">
        <v>93</v>
      </c>
      <c r="G355" s="246" t="s">
        <v>93</v>
      </c>
      <c r="H355" s="246" t="s">
        <v>93</v>
      </c>
      <c r="I355" s="246" t="s">
        <v>90</v>
      </c>
      <c r="J355" s="246" t="s">
        <v>1490</v>
      </c>
      <c r="K355" s="246" t="s">
        <v>486</v>
      </c>
      <c r="L355" s="246" t="s">
        <v>487</v>
      </c>
      <c r="M355" s="246" t="s">
        <v>495</v>
      </c>
      <c r="N355" s="246" t="s">
        <v>495</v>
      </c>
      <c r="O355" s="246" t="s">
        <v>534</v>
      </c>
      <c r="P355" s="246" t="s">
        <v>2121</v>
      </c>
      <c r="Q355" s="247">
        <v>10020824</v>
      </c>
      <c r="R355" s="248">
        <v>43025</v>
      </c>
      <c r="S355" s="248">
        <v>43027</v>
      </c>
      <c r="T355" s="248">
        <v>43048</v>
      </c>
      <c r="U355" s="246" t="s">
        <v>488</v>
      </c>
      <c r="V355" s="246">
        <v>2</v>
      </c>
      <c r="W355" s="246" t="s">
        <v>219</v>
      </c>
      <c r="X355" s="246">
        <v>2</v>
      </c>
      <c r="Y355" s="246">
        <v>2</v>
      </c>
      <c r="Z355" s="246">
        <v>2</v>
      </c>
      <c r="AA355" s="246">
        <v>2</v>
      </c>
      <c r="AB355" s="246" t="s">
        <v>486</v>
      </c>
      <c r="AC355" s="246" t="s">
        <v>486</v>
      </c>
      <c r="AD355" s="246" t="s">
        <v>486</v>
      </c>
      <c r="AE355" s="246" t="s">
        <v>486</v>
      </c>
      <c r="AF355" s="246" t="s">
        <v>486</v>
      </c>
      <c r="AG355" s="246" t="s">
        <v>486</v>
      </c>
      <c r="AH355" s="246" t="s">
        <v>486</v>
      </c>
      <c r="AI355" s="246" t="s">
        <v>486</v>
      </c>
      <c r="AJ355" s="246" t="s">
        <v>486</v>
      </c>
      <c r="AK355" s="246" t="s">
        <v>486</v>
      </c>
      <c r="AL355" s="246" t="s">
        <v>491</v>
      </c>
      <c r="AM355" s="246" t="s">
        <v>486</v>
      </c>
      <c r="AN355" s="246" t="s">
        <v>486</v>
      </c>
      <c r="AO355" s="248" t="s">
        <v>486</v>
      </c>
      <c r="AP355" s="247" t="s">
        <v>486</v>
      </c>
      <c r="AQ355" s="249" t="s">
        <v>486</v>
      </c>
      <c r="AR355" s="246" t="s">
        <v>486</v>
      </c>
    </row>
    <row r="356" spans="1:44" ht="15" x14ac:dyDescent="0.25">
      <c r="A356" s="250" t="str">
        <f>HYPERLINK("http://www.ofsted.gov.uk/inspection-reports/find-inspection-report/provider/ELS/131778 ","Ofsted School Webpage")</f>
        <v>Ofsted School Webpage</v>
      </c>
      <c r="B356" s="251">
        <v>131778</v>
      </c>
      <c r="C356" s="251">
        <v>2076396</v>
      </c>
      <c r="D356" s="251" t="s">
        <v>2122</v>
      </c>
      <c r="E356" s="251" t="s">
        <v>247</v>
      </c>
      <c r="F356" s="251" t="s">
        <v>71</v>
      </c>
      <c r="G356" s="251" t="s">
        <v>71</v>
      </c>
      <c r="H356" s="251" t="s">
        <v>71</v>
      </c>
      <c r="I356" s="251" t="s">
        <v>71</v>
      </c>
      <c r="J356" s="251" t="s">
        <v>1490</v>
      </c>
      <c r="K356" s="251" t="s">
        <v>486</v>
      </c>
      <c r="L356" s="251" t="s">
        <v>487</v>
      </c>
      <c r="M356" s="251" t="s">
        <v>506</v>
      </c>
      <c r="N356" s="251" t="s">
        <v>506</v>
      </c>
      <c r="O356" s="251" t="s">
        <v>640</v>
      </c>
      <c r="P356" s="251" t="s">
        <v>2123</v>
      </c>
      <c r="Q356" s="252">
        <v>10020864</v>
      </c>
      <c r="R356" s="253">
        <v>43025</v>
      </c>
      <c r="S356" s="253">
        <v>43027</v>
      </c>
      <c r="T356" s="253">
        <v>43067</v>
      </c>
      <c r="U356" s="251" t="s">
        <v>488</v>
      </c>
      <c r="V356" s="251">
        <v>3</v>
      </c>
      <c r="W356" s="251" t="s">
        <v>219</v>
      </c>
      <c r="X356" s="251">
        <v>3</v>
      </c>
      <c r="Y356" s="251">
        <v>2</v>
      </c>
      <c r="Z356" s="251">
        <v>2</v>
      </c>
      <c r="AA356" s="251">
        <v>2</v>
      </c>
      <c r="AB356" s="251">
        <v>2</v>
      </c>
      <c r="AC356" s="251" t="s">
        <v>486</v>
      </c>
      <c r="AD356" s="251" t="s">
        <v>486</v>
      </c>
      <c r="AE356" s="251" t="s">
        <v>486</v>
      </c>
      <c r="AF356" s="251" t="s">
        <v>486</v>
      </c>
      <c r="AG356" s="251" t="s">
        <v>486</v>
      </c>
      <c r="AH356" s="251" t="s">
        <v>486</v>
      </c>
      <c r="AI356" s="251" t="s">
        <v>486</v>
      </c>
      <c r="AJ356" s="251" t="s">
        <v>486</v>
      </c>
      <c r="AK356" s="251" t="s">
        <v>486</v>
      </c>
      <c r="AL356" s="251" t="s">
        <v>545</v>
      </c>
      <c r="AM356" s="251" t="s">
        <v>486</v>
      </c>
      <c r="AN356" s="251" t="s">
        <v>486</v>
      </c>
      <c r="AO356" s="253" t="s">
        <v>486</v>
      </c>
      <c r="AP356" s="252" t="s">
        <v>486</v>
      </c>
      <c r="AQ356" s="254" t="s">
        <v>486</v>
      </c>
      <c r="AR356" s="251" t="s">
        <v>486</v>
      </c>
    </row>
    <row r="357" spans="1:44" ht="15" x14ac:dyDescent="0.25">
      <c r="A357" s="245" t="str">
        <f>HYPERLINK("http://www.ofsted.gov.uk/inspection-reports/find-inspection-report/provider/ELS/133521 ","Ofsted School Webpage")</f>
        <v>Ofsted School Webpage</v>
      </c>
      <c r="B357" s="246">
        <v>133521</v>
      </c>
      <c r="C357" s="246">
        <v>3306102</v>
      </c>
      <c r="D357" s="246" t="s">
        <v>1166</v>
      </c>
      <c r="E357" s="246" t="s">
        <v>247</v>
      </c>
      <c r="F357" s="246" t="s">
        <v>93</v>
      </c>
      <c r="G357" s="246" t="s">
        <v>84</v>
      </c>
      <c r="H357" s="246" t="s">
        <v>84</v>
      </c>
      <c r="I357" s="246" t="s">
        <v>84</v>
      </c>
      <c r="J357" s="246" t="s">
        <v>1490</v>
      </c>
      <c r="K357" s="246" t="s">
        <v>486</v>
      </c>
      <c r="L357" s="246" t="s">
        <v>487</v>
      </c>
      <c r="M357" s="246" t="s">
        <v>502</v>
      </c>
      <c r="N357" s="246" t="s">
        <v>502</v>
      </c>
      <c r="O357" s="246" t="s">
        <v>909</v>
      </c>
      <c r="P357" s="246" t="s">
        <v>1167</v>
      </c>
      <c r="Q357" s="247">
        <v>10040956</v>
      </c>
      <c r="R357" s="248">
        <v>43025</v>
      </c>
      <c r="S357" s="248">
        <v>43027</v>
      </c>
      <c r="T357" s="248">
        <v>43062</v>
      </c>
      <c r="U357" s="246" t="s">
        <v>488</v>
      </c>
      <c r="V357" s="246">
        <v>4</v>
      </c>
      <c r="W357" s="246" t="s">
        <v>219</v>
      </c>
      <c r="X357" s="246">
        <v>4</v>
      </c>
      <c r="Y357" s="246">
        <v>2</v>
      </c>
      <c r="Z357" s="246">
        <v>3</v>
      </c>
      <c r="AA357" s="246">
        <v>3</v>
      </c>
      <c r="AB357" s="246">
        <v>2</v>
      </c>
      <c r="AC357" s="246" t="s">
        <v>486</v>
      </c>
      <c r="AD357" s="246" t="s">
        <v>490</v>
      </c>
      <c r="AE357" s="246" t="s">
        <v>486</v>
      </c>
      <c r="AF357" s="246" t="s">
        <v>486</v>
      </c>
      <c r="AG357" s="246" t="s">
        <v>486</v>
      </c>
      <c r="AH357" s="246" t="s">
        <v>486</v>
      </c>
      <c r="AI357" s="246" t="s">
        <v>486</v>
      </c>
      <c r="AJ357" s="246" t="s">
        <v>486</v>
      </c>
      <c r="AK357" s="246" t="s">
        <v>486</v>
      </c>
      <c r="AL357" s="246" t="s">
        <v>545</v>
      </c>
      <c r="AM357" s="246">
        <v>10055385</v>
      </c>
      <c r="AN357" s="246" t="s">
        <v>1109</v>
      </c>
      <c r="AO357" s="248">
        <v>43368</v>
      </c>
      <c r="AP357" s="247" t="s">
        <v>1523</v>
      </c>
      <c r="AQ357" s="249">
        <v>43390</v>
      </c>
      <c r="AR357" s="246" t="s">
        <v>1136</v>
      </c>
    </row>
    <row r="358" spans="1:44" ht="15" x14ac:dyDescent="0.25">
      <c r="A358" s="250" t="str">
        <f>HYPERLINK("http://www.ofsted.gov.uk/inspection-reports/find-inspection-report/provider/ELS/133533 ","Ofsted School Webpage")</f>
        <v>Ofsted School Webpage</v>
      </c>
      <c r="B358" s="251">
        <v>133533</v>
      </c>
      <c r="C358" s="251">
        <v>3026114</v>
      </c>
      <c r="D358" s="251" t="s">
        <v>2124</v>
      </c>
      <c r="E358" s="251" t="s">
        <v>247</v>
      </c>
      <c r="F358" s="251" t="s">
        <v>93</v>
      </c>
      <c r="G358" s="251" t="s">
        <v>81</v>
      </c>
      <c r="H358" s="251" t="s">
        <v>81</v>
      </c>
      <c r="I358" s="251" t="s">
        <v>81</v>
      </c>
      <c r="J358" s="251" t="s">
        <v>1490</v>
      </c>
      <c r="K358" s="251" t="s">
        <v>486</v>
      </c>
      <c r="L358" s="251" t="s">
        <v>487</v>
      </c>
      <c r="M358" s="251" t="s">
        <v>506</v>
      </c>
      <c r="N358" s="251" t="s">
        <v>506</v>
      </c>
      <c r="O358" s="251" t="s">
        <v>614</v>
      </c>
      <c r="P358" s="251" t="s">
        <v>2125</v>
      </c>
      <c r="Q358" s="252">
        <v>10038166</v>
      </c>
      <c r="R358" s="253">
        <v>43025</v>
      </c>
      <c r="S358" s="253">
        <v>43027</v>
      </c>
      <c r="T358" s="253">
        <v>43066</v>
      </c>
      <c r="U358" s="251" t="s">
        <v>488</v>
      </c>
      <c r="V358" s="251">
        <v>2</v>
      </c>
      <c r="W358" s="251" t="s">
        <v>219</v>
      </c>
      <c r="X358" s="251">
        <v>2</v>
      </c>
      <c r="Y358" s="251">
        <v>2</v>
      </c>
      <c r="Z358" s="251">
        <v>2</v>
      </c>
      <c r="AA358" s="251">
        <v>2</v>
      </c>
      <c r="AB358" s="251">
        <v>3</v>
      </c>
      <c r="AC358" s="251" t="s">
        <v>486</v>
      </c>
      <c r="AD358" s="251" t="s">
        <v>490</v>
      </c>
      <c r="AE358" s="251" t="s">
        <v>486</v>
      </c>
      <c r="AF358" s="251" t="s">
        <v>486</v>
      </c>
      <c r="AG358" s="251" t="s">
        <v>486</v>
      </c>
      <c r="AH358" s="251" t="s">
        <v>486</v>
      </c>
      <c r="AI358" s="251" t="s">
        <v>486</v>
      </c>
      <c r="AJ358" s="251" t="s">
        <v>486</v>
      </c>
      <c r="AK358" s="251" t="s">
        <v>486</v>
      </c>
      <c r="AL358" s="251" t="s">
        <v>491</v>
      </c>
      <c r="AM358" s="251" t="s">
        <v>486</v>
      </c>
      <c r="AN358" s="251" t="s">
        <v>486</v>
      </c>
      <c r="AO358" s="253" t="s">
        <v>486</v>
      </c>
      <c r="AP358" s="252" t="s">
        <v>486</v>
      </c>
      <c r="AQ358" s="254" t="s">
        <v>486</v>
      </c>
      <c r="AR358" s="251" t="s">
        <v>486</v>
      </c>
    </row>
    <row r="359" spans="1:44" ht="15" x14ac:dyDescent="0.25">
      <c r="A359" s="245" t="str">
        <f>HYPERLINK("http://www.ofsted.gov.uk/inspection-reports/find-inspection-report/provider/ELS/134294 ","Ofsted School Webpage")</f>
        <v>Ofsted School Webpage</v>
      </c>
      <c r="B359" s="246">
        <v>134294</v>
      </c>
      <c r="C359" s="246">
        <v>8316006</v>
      </c>
      <c r="D359" s="246" t="s">
        <v>2126</v>
      </c>
      <c r="E359" s="246" t="s">
        <v>247</v>
      </c>
      <c r="F359" s="246" t="s">
        <v>83</v>
      </c>
      <c r="G359" s="246" t="s">
        <v>84</v>
      </c>
      <c r="H359" s="246" t="s">
        <v>83</v>
      </c>
      <c r="I359" s="246" t="s">
        <v>84</v>
      </c>
      <c r="J359" s="246" t="s">
        <v>1490</v>
      </c>
      <c r="K359" s="246" t="s">
        <v>486</v>
      </c>
      <c r="L359" s="246" t="s">
        <v>487</v>
      </c>
      <c r="M359" s="246" t="s">
        <v>572</v>
      </c>
      <c r="N359" s="246" t="s">
        <v>572</v>
      </c>
      <c r="O359" s="246" t="s">
        <v>2127</v>
      </c>
      <c r="P359" s="246" t="s">
        <v>2128</v>
      </c>
      <c r="Q359" s="247">
        <v>10033532</v>
      </c>
      <c r="R359" s="248">
        <v>43025</v>
      </c>
      <c r="S359" s="248">
        <v>43027</v>
      </c>
      <c r="T359" s="248">
        <v>43052</v>
      </c>
      <c r="U359" s="246" t="s">
        <v>488</v>
      </c>
      <c r="V359" s="246">
        <v>3</v>
      </c>
      <c r="W359" s="246" t="s">
        <v>219</v>
      </c>
      <c r="X359" s="246">
        <v>3</v>
      </c>
      <c r="Y359" s="246">
        <v>2</v>
      </c>
      <c r="Z359" s="246">
        <v>3</v>
      </c>
      <c r="AA359" s="246">
        <v>3</v>
      </c>
      <c r="AB359" s="246">
        <v>3</v>
      </c>
      <c r="AC359" s="246" t="s">
        <v>486</v>
      </c>
      <c r="AD359" s="246" t="s">
        <v>490</v>
      </c>
      <c r="AE359" s="246" t="s">
        <v>486</v>
      </c>
      <c r="AF359" s="246" t="s">
        <v>486</v>
      </c>
      <c r="AG359" s="246" t="s">
        <v>486</v>
      </c>
      <c r="AH359" s="246" t="s">
        <v>486</v>
      </c>
      <c r="AI359" s="246" t="s">
        <v>486</v>
      </c>
      <c r="AJ359" s="246" t="s">
        <v>486</v>
      </c>
      <c r="AK359" s="246" t="s">
        <v>486</v>
      </c>
      <c r="AL359" s="246" t="s">
        <v>491</v>
      </c>
      <c r="AM359" s="246" t="s">
        <v>486</v>
      </c>
      <c r="AN359" s="246" t="s">
        <v>486</v>
      </c>
      <c r="AO359" s="248" t="s">
        <v>486</v>
      </c>
      <c r="AP359" s="247" t="s">
        <v>486</v>
      </c>
      <c r="AQ359" s="249" t="s">
        <v>486</v>
      </c>
      <c r="AR359" s="246" t="s">
        <v>486</v>
      </c>
    </row>
    <row r="360" spans="1:44" ht="15" x14ac:dyDescent="0.25">
      <c r="A360" s="250" t="str">
        <f>HYPERLINK("http://www.ofsted.gov.uk/inspection-reports/find-inspection-report/provider/ELS/134424 ","Ofsted School Webpage")</f>
        <v>Ofsted School Webpage</v>
      </c>
      <c r="B360" s="251">
        <v>134424</v>
      </c>
      <c r="C360" s="251">
        <v>8726013</v>
      </c>
      <c r="D360" s="251" t="s">
        <v>2129</v>
      </c>
      <c r="E360" s="251" t="s">
        <v>247</v>
      </c>
      <c r="F360" s="251" t="s">
        <v>71</v>
      </c>
      <c r="G360" s="251" t="s">
        <v>71</v>
      </c>
      <c r="H360" s="251" t="s">
        <v>71</v>
      </c>
      <c r="I360" s="251" t="s">
        <v>71</v>
      </c>
      <c r="J360" s="251" t="s">
        <v>1490</v>
      </c>
      <c r="K360" s="251" t="s">
        <v>486</v>
      </c>
      <c r="L360" s="251" t="s">
        <v>487</v>
      </c>
      <c r="M360" s="251" t="s">
        <v>581</v>
      </c>
      <c r="N360" s="251" t="s">
        <v>581</v>
      </c>
      <c r="O360" s="251" t="s">
        <v>2130</v>
      </c>
      <c r="P360" s="251" t="s">
        <v>2131</v>
      </c>
      <c r="Q360" s="252">
        <v>10033951</v>
      </c>
      <c r="R360" s="253">
        <v>43025</v>
      </c>
      <c r="S360" s="253">
        <v>43027</v>
      </c>
      <c r="T360" s="253">
        <v>43053</v>
      </c>
      <c r="U360" s="251" t="s">
        <v>488</v>
      </c>
      <c r="V360" s="251">
        <v>3</v>
      </c>
      <c r="W360" s="251" t="s">
        <v>219</v>
      </c>
      <c r="X360" s="251">
        <v>3</v>
      </c>
      <c r="Y360" s="251">
        <v>2</v>
      </c>
      <c r="Z360" s="251">
        <v>3</v>
      </c>
      <c r="AA360" s="251">
        <v>3</v>
      </c>
      <c r="AB360" s="251">
        <v>2</v>
      </c>
      <c r="AC360" s="251" t="s">
        <v>486</v>
      </c>
      <c r="AD360" s="251" t="s">
        <v>490</v>
      </c>
      <c r="AE360" s="251" t="s">
        <v>486</v>
      </c>
      <c r="AF360" s="251" t="s">
        <v>486</v>
      </c>
      <c r="AG360" s="251" t="s">
        <v>486</v>
      </c>
      <c r="AH360" s="251" t="s">
        <v>486</v>
      </c>
      <c r="AI360" s="251" t="s">
        <v>486</v>
      </c>
      <c r="AJ360" s="251" t="s">
        <v>486</v>
      </c>
      <c r="AK360" s="251" t="s">
        <v>486</v>
      </c>
      <c r="AL360" s="251" t="s">
        <v>491</v>
      </c>
      <c r="AM360" s="251" t="s">
        <v>486</v>
      </c>
      <c r="AN360" s="251" t="s">
        <v>486</v>
      </c>
      <c r="AO360" s="253" t="s">
        <v>486</v>
      </c>
      <c r="AP360" s="252" t="s">
        <v>486</v>
      </c>
      <c r="AQ360" s="254" t="s">
        <v>486</v>
      </c>
      <c r="AR360" s="251" t="s">
        <v>486</v>
      </c>
    </row>
    <row r="361" spans="1:44" ht="15" x14ac:dyDescent="0.25">
      <c r="A361" s="245" t="str">
        <f>HYPERLINK("http://www.ofsted.gov.uk/inspection-reports/find-inspection-report/provider/ELS/135406 ","Ofsted School Webpage")</f>
        <v>Ofsted School Webpage</v>
      </c>
      <c r="B361" s="246">
        <v>135406</v>
      </c>
      <c r="C361" s="246">
        <v>3306120</v>
      </c>
      <c r="D361" s="246" t="s">
        <v>1195</v>
      </c>
      <c r="E361" s="246" t="s">
        <v>247</v>
      </c>
      <c r="F361" s="246" t="s">
        <v>93</v>
      </c>
      <c r="G361" s="246" t="s">
        <v>93</v>
      </c>
      <c r="H361" s="246" t="s">
        <v>93</v>
      </c>
      <c r="I361" s="246" t="s">
        <v>90</v>
      </c>
      <c r="J361" s="246" t="s">
        <v>1490</v>
      </c>
      <c r="K361" s="246" t="s">
        <v>486</v>
      </c>
      <c r="L361" s="246" t="s">
        <v>487</v>
      </c>
      <c r="M361" s="246" t="s">
        <v>502</v>
      </c>
      <c r="N361" s="246" t="s">
        <v>502</v>
      </c>
      <c r="O361" s="246" t="s">
        <v>909</v>
      </c>
      <c r="P361" s="246" t="s">
        <v>1196</v>
      </c>
      <c r="Q361" s="247">
        <v>10020748</v>
      </c>
      <c r="R361" s="248">
        <v>43025</v>
      </c>
      <c r="S361" s="248">
        <v>43027</v>
      </c>
      <c r="T361" s="248">
        <v>43070</v>
      </c>
      <c r="U361" s="246" t="s">
        <v>488</v>
      </c>
      <c r="V361" s="246">
        <v>4</v>
      </c>
      <c r="W361" s="246" t="s">
        <v>220</v>
      </c>
      <c r="X361" s="246">
        <v>4</v>
      </c>
      <c r="Y361" s="246">
        <v>4</v>
      </c>
      <c r="Z361" s="246">
        <v>4</v>
      </c>
      <c r="AA361" s="246">
        <v>3</v>
      </c>
      <c r="AB361" s="246" t="s">
        <v>486</v>
      </c>
      <c r="AC361" s="246" t="s">
        <v>486</v>
      </c>
      <c r="AD361" s="246" t="s">
        <v>486</v>
      </c>
      <c r="AE361" s="246" t="s">
        <v>486</v>
      </c>
      <c r="AF361" s="246" t="s">
        <v>486</v>
      </c>
      <c r="AG361" s="246" t="s">
        <v>486</v>
      </c>
      <c r="AH361" s="246" t="s">
        <v>486</v>
      </c>
      <c r="AI361" s="246" t="s">
        <v>486</v>
      </c>
      <c r="AJ361" s="246" t="s">
        <v>486</v>
      </c>
      <c r="AK361" s="246" t="s">
        <v>486</v>
      </c>
      <c r="AL361" s="246" t="s">
        <v>545</v>
      </c>
      <c r="AM361" s="246">
        <v>10055384</v>
      </c>
      <c r="AN361" s="246" t="s">
        <v>1109</v>
      </c>
      <c r="AO361" s="248">
        <v>43382</v>
      </c>
      <c r="AP361" s="247" t="s">
        <v>1523</v>
      </c>
      <c r="AQ361" s="249">
        <v>43405</v>
      </c>
      <c r="AR361" s="246" t="s">
        <v>1136</v>
      </c>
    </row>
    <row r="362" spans="1:44" ht="15" x14ac:dyDescent="0.25">
      <c r="A362" s="250" t="str">
        <f>HYPERLINK("http://www.ofsted.gov.uk/inspection-reports/find-inspection-report/provider/ELS/136092 ","Ofsted School Webpage")</f>
        <v>Ofsted School Webpage</v>
      </c>
      <c r="B362" s="251">
        <v>136092</v>
      </c>
      <c r="C362" s="251">
        <v>2036040</v>
      </c>
      <c r="D362" s="251" t="s">
        <v>2132</v>
      </c>
      <c r="E362" s="251" t="s">
        <v>248</v>
      </c>
      <c r="F362" s="251" t="s">
        <v>93</v>
      </c>
      <c r="G362" s="251" t="s">
        <v>93</v>
      </c>
      <c r="H362" s="251" t="s">
        <v>93</v>
      </c>
      <c r="I362" s="251" t="s">
        <v>90</v>
      </c>
      <c r="J362" s="251" t="s">
        <v>1490</v>
      </c>
      <c r="K362" s="251" t="s">
        <v>486</v>
      </c>
      <c r="L362" s="251" t="s">
        <v>487</v>
      </c>
      <c r="M362" s="251" t="s">
        <v>506</v>
      </c>
      <c r="N362" s="251" t="s">
        <v>506</v>
      </c>
      <c r="O362" s="251" t="s">
        <v>823</v>
      </c>
      <c r="P362" s="251" t="s">
        <v>2133</v>
      </c>
      <c r="Q362" s="252">
        <v>10035808</v>
      </c>
      <c r="R362" s="253">
        <v>43025</v>
      </c>
      <c r="S362" s="253">
        <v>43027</v>
      </c>
      <c r="T362" s="253">
        <v>43063</v>
      </c>
      <c r="U362" s="251" t="s">
        <v>488</v>
      </c>
      <c r="V362" s="251">
        <v>2</v>
      </c>
      <c r="W362" s="251" t="s">
        <v>219</v>
      </c>
      <c r="X362" s="251">
        <v>2</v>
      </c>
      <c r="Y362" s="251">
        <v>2</v>
      </c>
      <c r="Z362" s="251">
        <v>2</v>
      </c>
      <c r="AA362" s="251">
        <v>2</v>
      </c>
      <c r="AB362" s="251" t="s">
        <v>486</v>
      </c>
      <c r="AC362" s="251" t="s">
        <v>486</v>
      </c>
      <c r="AD362" s="251" t="s">
        <v>490</v>
      </c>
      <c r="AE362" s="251" t="s">
        <v>486</v>
      </c>
      <c r="AF362" s="251" t="s">
        <v>486</v>
      </c>
      <c r="AG362" s="251" t="s">
        <v>486</v>
      </c>
      <c r="AH362" s="251" t="s">
        <v>486</v>
      </c>
      <c r="AI362" s="251" t="s">
        <v>486</v>
      </c>
      <c r="AJ362" s="251" t="s">
        <v>486</v>
      </c>
      <c r="AK362" s="251" t="s">
        <v>486</v>
      </c>
      <c r="AL362" s="251" t="s">
        <v>491</v>
      </c>
      <c r="AM362" s="251" t="s">
        <v>486</v>
      </c>
      <c r="AN362" s="251" t="s">
        <v>486</v>
      </c>
      <c r="AO362" s="253" t="s">
        <v>486</v>
      </c>
      <c r="AP362" s="252" t="s">
        <v>486</v>
      </c>
      <c r="AQ362" s="254" t="s">
        <v>486</v>
      </c>
      <c r="AR362" s="251" t="s">
        <v>486</v>
      </c>
    </row>
    <row r="363" spans="1:44" ht="15" x14ac:dyDescent="0.25">
      <c r="A363" s="245" t="str">
        <f>HYPERLINK("http://www.ofsted.gov.uk/inspection-reports/find-inspection-report/provider/ELS/136230 ","Ofsted School Webpage")</f>
        <v>Ofsted School Webpage</v>
      </c>
      <c r="B363" s="246">
        <v>136230</v>
      </c>
      <c r="C363" s="246">
        <v>3566035</v>
      </c>
      <c r="D363" s="246" t="s">
        <v>2134</v>
      </c>
      <c r="E363" s="246" t="s">
        <v>248</v>
      </c>
      <c r="F363" s="246" t="s">
        <v>93</v>
      </c>
      <c r="G363" s="246" t="s">
        <v>93</v>
      </c>
      <c r="H363" s="246" t="s">
        <v>93</v>
      </c>
      <c r="I363" s="246" t="s">
        <v>90</v>
      </c>
      <c r="J363" s="246" t="s">
        <v>1490</v>
      </c>
      <c r="K363" s="246" t="s">
        <v>486</v>
      </c>
      <c r="L363" s="246" t="s">
        <v>487</v>
      </c>
      <c r="M363" s="246" t="s">
        <v>495</v>
      </c>
      <c r="N363" s="246" t="s">
        <v>495</v>
      </c>
      <c r="O363" s="246" t="s">
        <v>934</v>
      </c>
      <c r="P363" s="246" t="s">
        <v>2135</v>
      </c>
      <c r="Q363" s="247">
        <v>10038932</v>
      </c>
      <c r="R363" s="248">
        <v>43025</v>
      </c>
      <c r="S363" s="248">
        <v>43027</v>
      </c>
      <c r="T363" s="248">
        <v>43053</v>
      </c>
      <c r="U363" s="246" t="s">
        <v>488</v>
      </c>
      <c r="V363" s="246">
        <v>2</v>
      </c>
      <c r="W363" s="246" t="s">
        <v>219</v>
      </c>
      <c r="X363" s="246">
        <v>2</v>
      </c>
      <c r="Y363" s="246">
        <v>2</v>
      </c>
      <c r="Z363" s="246">
        <v>2</v>
      </c>
      <c r="AA363" s="246">
        <v>2</v>
      </c>
      <c r="AB363" s="246" t="s">
        <v>486</v>
      </c>
      <c r="AC363" s="246" t="s">
        <v>486</v>
      </c>
      <c r="AD363" s="246" t="s">
        <v>490</v>
      </c>
      <c r="AE363" s="246" t="s">
        <v>486</v>
      </c>
      <c r="AF363" s="246" t="s">
        <v>486</v>
      </c>
      <c r="AG363" s="246" t="s">
        <v>486</v>
      </c>
      <c r="AH363" s="246" t="s">
        <v>486</v>
      </c>
      <c r="AI363" s="246" t="s">
        <v>486</v>
      </c>
      <c r="AJ363" s="246" t="s">
        <v>486</v>
      </c>
      <c r="AK363" s="246" t="s">
        <v>486</v>
      </c>
      <c r="AL363" s="246" t="s">
        <v>491</v>
      </c>
      <c r="AM363" s="246" t="s">
        <v>486</v>
      </c>
      <c r="AN363" s="246" t="s">
        <v>486</v>
      </c>
      <c r="AO363" s="248" t="s">
        <v>486</v>
      </c>
      <c r="AP363" s="247" t="s">
        <v>486</v>
      </c>
      <c r="AQ363" s="249" t="s">
        <v>486</v>
      </c>
      <c r="AR363" s="246" t="s">
        <v>486</v>
      </c>
    </row>
    <row r="364" spans="1:44" ht="15" x14ac:dyDescent="0.25">
      <c r="A364" s="250" t="str">
        <f>HYPERLINK("http://www.ofsted.gov.uk/inspection-reports/find-inspection-report/provider/ELS/140205 ","Ofsted School Webpage")</f>
        <v>Ofsted School Webpage</v>
      </c>
      <c r="B364" s="251">
        <v>140205</v>
      </c>
      <c r="C364" s="251">
        <v>3516002</v>
      </c>
      <c r="D364" s="251" t="s">
        <v>2136</v>
      </c>
      <c r="E364" s="251" t="s">
        <v>248</v>
      </c>
      <c r="F364" s="251" t="s">
        <v>93</v>
      </c>
      <c r="G364" s="251" t="s">
        <v>93</v>
      </c>
      <c r="H364" s="251" t="s">
        <v>93</v>
      </c>
      <c r="I364" s="251" t="s">
        <v>90</v>
      </c>
      <c r="J364" s="251" t="s">
        <v>1490</v>
      </c>
      <c r="K364" s="251" t="s">
        <v>486</v>
      </c>
      <c r="L364" s="251" t="s">
        <v>487</v>
      </c>
      <c r="M364" s="251" t="s">
        <v>495</v>
      </c>
      <c r="N364" s="251" t="s">
        <v>495</v>
      </c>
      <c r="O364" s="251" t="s">
        <v>1045</v>
      </c>
      <c r="P364" s="251" t="s">
        <v>2137</v>
      </c>
      <c r="Q364" s="252">
        <v>10034033</v>
      </c>
      <c r="R364" s="253">
        <v>43025</v>
      </c>
      <c r="S364" s="253">
        <v>43027</v>
      </c>
      <c r="T364" s="253">
        <v>43052</v>
      </c>
      <c r="U364" s="251" t="s">
        <v>488</v>
      </c>
      <c r="V364" s="251">
        <v>2</v>
      </c>
      <c r="W364" s="251" t="s">
        <v>219</v>
      </c>
      <c r="X364" s="251">
        <v>2</v>
      </c>
      <c r="Y364" s="251">
        <v>2</v>
      </c>
      <c r="Z364" s="251">
        <v>2</v>
      </c>
      <c r="AA364" s="251">
        <v>2</v>
      </c>
      <c r="AB364" s="251" t="s">
        <v>486</v>
      </c>
      <c r="AC364" s="251" t="s">
        <v>486</v>
      </c>
      <c r="AD364" s="251" t="s">
        <v>490</v>
      </c>
      <c r="AE364" s="251" t="s">
        <v>486</v>
      </c>
      <c r="AF364" s="251" t="s">
        <v>486</v>
      </c>
      <c r="AG364" s="251" t="s">
        <v>486</v>
      </c>
      <c r="AH364" s="251" t="s">
        <v>486</v>
      </c>
      <c r="AI364" s="251" t="s">
        <v>486</v>
      </c>
      <c r="AJ364" s="251" t="s">
        <v>486</v>
      </c>
      <c r="AK364" s="251" t="s">
        <v>486</v>
      </c>
      <c r="AL364" s="251" t="s">
        <v>491</v>
      </c>
      <c r="AM364" s="251" t="s">
        <v>486</v>
      </c>
      <c r="AN364" s="251" t="s">
        <v>486</v>
      </c>
      <c r="AO364" s="253" t="s">
        <v>486</v>
      </c>
      <c r="AP364" s="252" t="s">
        <v>486</v>
      </c>
      <c r="AQ364" s="254" t="s">
        <v>486</v>
      </c>
      <c r="AR364" s="251" t="s">
        <v>486</v>
      </c>
    </row>
    <row r="365" spans="1:44" ht="15" x14ac:dyDescent="0.25">
      <c r="A365" s="245" t="str">
        <f>HYPERLINK("http://www.ofsted.gov.uk/inspection-reports/find-inspection-report/provider/ELS/100534 ","Ofsted School Webpage")</f>
        <v>Ofsted School Webpage</v>
      </c>
      <c r="B365" s="246">
        <v>100534</v>
      </c>
      <c r="C365" s="246">
        <v>2076317</v>
      </c>
      <c r="D365" s="246" t="s">
        <v>2138</v>
      </c>
      <c r="E365" s="246" t="s">
        <v>247</v>
      </c>
      <c r="F365" s="246" t="s">
        <v>93</v>
      </c>
      <c r="G365" s="246" t="s">
        <v>93</v>
      </c>
      <c r="H365" s="246" t="s">
        <v>93</v>
      </c>
      <c r="I365" s="246" t="s">
        <v>90</v>
      </c>
      <c r="J365" s="246" t="s">
        <v>1490</v>
      </c>
      <c r="K365" s="246" t="s">
        <v>486</v>
      </c>
      <c r="L365" s="246" t="s">
        <v>487</v>
      </c>
      <c r="M365" s="246" t="s">
        <v>506</v>
      </c>
      <c r="N365" s="246" t="s">
        <v>506</v>
      </c>
      <c r="O365" s="246" t="s">
        <v>640</v>
      </c>
      <c r="P365" s="246" t="s">
        <v>2139</v>
      </c>
      <c r="Q365" s="247">
        <v>10012796</v>
      </c>
      <c r="R365" s="248">
        <v>43039</v>
      </c>
      <c r="S365" s="248">
        <v>43041</v>
      </c>
      <c r="T365" s="248">
        <v>43068</v>
      </c>
      <c r="U365" s="246" t="s">
        <v>488</v>
      </c>
      <c r="V365" s="246">
        <v>1</v>
      </c>
      <c r="W365" s="246" t="s">
        <v>219</v>
      </c>
      <c r="X365" s="246">
        <v>1</v>
      </c>
      <c r="Y365" s="246">
        <v>1</v>
      </c>
      <c r="Z365" s="246">
        <v>1</v>
      </c>
      <c r="AA365" s="246">
        <v>1</v>
      </c>
      <c r="AB365" s="246">
        <v>1</v>
      </c>
      <c r="AC365" s="246" t="s">
        <v>486</v>
      </c>
      <c r="AD365" s="246" t="s">
        <v>486</v>
      </c>
      <c r="AE365" s="246" t="s">
        <v>486</v>
      </c>
      <c r="AF365" s="246" t="s">
        <v>486</v>
      </c>
      <c r="AG365" s="246" t="s">
        <v>486</v>
      </c>
      <c r="AH365" s="246" t="s">
        <v>486</v>
      </c>
      <c r="AI365" s="246" t="s">
        <v>486</v>
      </c>
      <c r="AJ365" s="246" t="s">
        <v>486</v>
      </c>
      <c r="AK365" s="246" t="s">
        <v>486</v>
      </c>
      <c r="AL365" s="246" t="s">
        <v>491</v>
      </c>
      <c r="AM365" s="246" t="s">
        <v>486</v>
      </c>
      <c r="AN365" s="246" t="s">
        <v>486</v>
      </c>
      <c r="AO365" s="248" t="s">
        <v>486</v>
      </c>
      <c r="AP365" s="247" t="s">
        <v>486</v>
      </c>
      <c r="AQ365" s="249" t="s">
        <v>486</v>
      </c>
      <c r="AR365" s="246" t="s">
        <v>486</v>
      </c>
    </row>
    <row r="366" spans="1:44" ht="15" x14ac:dyDescent="0.25">
      <c r="A366" s="250" t="str">
        <f>HYPERLINK("http://www.ofsted.gov.uk/inspection-reports/find-inspection-report/provider/ELS/124488 ","Ofsted School Webpage")</f>
        <v>Ofsted School Webpage</v>
      </c>
      <c r="B366" s="251">
        <v>124488</v>
      </c>
      <c r="C366" s="251">
        <v>8606022</v>
      </c>
      <c r="D366" s="251" t="s">
        <v>2140</v>
      </c>
      <c r="E366" s="251" t="s">
        <v>248</v>
      </c>
      <c r="F366" s="251" t="s">
        <v>93</v>
      </c>
      <c r="G366" s="251" t="s">
        <v>93</v>
      </c>
      <c r="H366" s="251" t="s">
        <v>93</v>
      </c>
      <c r="I366" s="251" t="s">
        <v>90</v>
      </c>
      <c r="J366" s="251" t="s">
        <v>1490</v>
      </c>
      <c r="K366" s="251" t="s">
        <v>486</v>
      </c>
      <c r="L366" s="251" t="s">
        <v>487</v>
      </c>
      <c r="M366" s="251" t="s">
        <v>502</v>
      </c>
      <c r="N366" s="251" t="s">
        <v>502</v>
      </c>
      <c r="O366" s="251" t="s">
        <v>652</v>
      </c>
      <c r="P366" s="251" t="s">
        <v>2141</v>
      </c>
      <c r="Q366" s="252">
        <v>10026104</v>
      </c>
      <c r="R366" s="253">
        <v>43039</v>
      </c>
      <c r="S366" s="253">
        <v>43041</v>
      </c>
      <c r="T366" s="253">
        <v>43063</v>
      </c>
      <c r="U366" s="251" t="s">
        <v>488</v>
      </c>
      <c r="V366" s="251">
        <v>1</v>
      </c>
      <c r="W366" s="251" t="s">
        <v>219</v>
      </c>
      <c r="X366" s="251">
        <v>1</v>
      </c>
      <c r="Y366" s="251">
        <v>1</v>
      </c>
      <c r="Z366" s="251">
        <v>1</v>
      </c>
      <c r="AA366" s="251">
        <v>1</v>
      </c>
      <c r="AB366" s="251" t="s">
        <v>486</v>
      </c>
      <c r="AC366" s="251" t="s">
        <v>486</v>
      </c>
      <c r="AD366" s="251" t="s">
        <v>490</v>
      </c>
      <c r="AE366" s="251" t="s">
        <v>486</v>
      </c>
      <c r="AF366" s="251" t="s">
        <v>486</v>
      </c>
      <c r="AG366" s="251" t="s">
        <v>486</v>
      </c>
      <c r="AH366" s="251" t="s">
        <v>486</v>
      </c>
      <c r="AI366" s="251" t="s">
        <v>486</v>
      </c>
      <c r="AJ366" s="251" t="s">
        <v>486</v>
      </c>
      <c r="AK366" s="251" t="s">
        <v>486</v>
      </c>
      <c r="AL366" s="251" t="s">
        <v>491</v>
      </c>
      <c r="AM366" s="251" t="s">
        <v>486</v>
      </c>
      <c r="AN366" s="251" t="s">
        <v>486</v>
      </c>
      <c r="AO366" s="253" t="s">
        <v>486</v>
      </c>
      <c r="AP366" s="252" t="s">
        <v>486</v>
      </c>
      <c r="AQ366" s="254" t="s">
        <v>486</v>
      </c>
      <c r="AR366" s="251" t="s">
        <v>486</v>
      </c>
    </row>
    <row r="367" spans="1:44" ht="15" x14ac:dyDescent="0.25">
      <c r="A367" s="245" t="str">
        <f>HYPERLINK("http://www.ofsted.gov.uk/inspection-reports/find-inspection-report/provider/ELS/131121 ","Ofsted School Webpage")</f>
        <v>Ofsted School Webpage</v>
      </c>
      <c r="B367" s="246">
        <v>131121</v>
      </c>
      <c r="C367" s="246">
        <v>3026106</v>
      </c>
      <c r="D367" s="246" t="s">
        <v>2142</v>
      </c>
      <c r="E367" s="246" t="s">
        <v>247</v>
      </c>
      <c r="F367" s="246" t="s">
        <v>82</v>
      </c>
      <c r="G367" s="246" t="s">
        <v>81</v>
      </c>
      <c r="H367" s="246" t="s">
        <v>82</v>
      </c>
      <c r="I367" s="246" t="s">
        <v>81</v>
      </c>
      <c r="J367" s="246" t="s">
        <v>1490</v>
      </c>
      <c r="K367" s="246" t="s">
        <v>486</v>
      </c>
      <c r="L367" s="246" t="s">
        <v>487</v>
      </c>
      <c r="M367" s="246" t="s">
        <v>506</v>
      </c>
      <c r="N367" s="246" t="s">
        <v>506</v>
      </c>
      <c r="O367" s="246" t="s">
        <v>614</v>
      </c>
      <c r="P367" s="246" t="s">
        <v>2143</v>
      </c>
      <c r="Q367" s="247">
        <v>10026283</v>
      </c>
      <c r="R367" s="248">
        <v>43039</v>
      </c>
      <c r="S367" s="248">
        <v>43041</v>
      </c>
      <c r="T367" s="248">
        <v>43109</v>
      </c>
      <c r="U367" s="246" t="s">
        <v>488</v>
      </c>
      <c r="V367" s="246">
        <v>4</v>
      </c>
      <c r="W367" s="246" t="s">
        <v>219</v>
      </c>
      <c r="X367" s="246">
        <v>4</v>
      </c>
      <c r="Y367" s="246">
        <v>3</v>
      </c>
      <c r="Z367" s="246">
        <v>4</v>
      </c>
      <c r="AA367" s="246">
        <v>4</v>
      </c>
      <c r="AB367" s="246">
        <v>2</v>
      </c>
      <c r="AC367" s="246" t="s">
        <v>486</v>
      </c>
      <c r="AD367" s="246" t="s">
        <v>490</v>
      </c>
      <c r="AE367" s="246" t="s">
        <v>486</v>
      </c>
      <c r="AF367" s="246" t="s">
        <v>486</v>
      </c>
      <c r="AG367" s="246" t="s">
        <v>486</v>
      </c>
      <c r="AH367" s="246" t="s">
        <v>486</v>
      </c>
      <c r="AI367" s="246" t="s">
        <v>486</v>
      </c>
      <c r="AJ367" s="246" t="s">
        <v>486</v>
      </c>
      <c r="AK367" s="246" t="s">
        <v>486</v>
      </c>
      <c r="AL367" s="246" t="s">
        <v>545</v>
      </c>
      <c r="AM367" s="246" t="s">
        <v>486</v>
      </c>
      <c r="AN367" s="246" t="s">
        <v>486</v>
      </c>
      <c r="AO367" s="248" t="s">
        <v>486</v>
      </c>
      <c r="AP367" s="247" t="s">
        <v>486</v>
      </c>
      <c r="AQ367" s="249" t="s">
        <v>486</v>
      </c>
      <c r="AR367" s="246" t="s">
        <v>486</v>
      </c>
    </row>
    <row r="368" spans="1:44" ht="15" x14ac:dyDescent="0.25">
      <c r="A368" s="250" t="str">
        <f>HYPERLINK("http://www.ofsted.gov.uk/inspection-reports/find-inspection-report/provider/ELS/132788 ","Ofsted School Webpage")</f>
        <v>Ofsted School Webpage</v>
      </c>
      <c r="B368" s="251">
        <v>132788</v>
      </c>
      <c r="C368" s="251">
        <v>2076399</v>
      </c>
      <c r="D368" s="251" t="s">
        <v>2144</v>
      </c>
      <c r="E368" s="251" t="s">
        <v>247</v>
      </c>
      <c r="F368" s="251" t="s">
        <v>93</v>
      </c>
      <c r="G368" s="251" t="s">
        <v>93</v>
      </c>
      <c r="H368" s="251" t="s">
        <v>93</v>
      </c>
      <c r="I368" s="251" t="s">
        <v>90</v>
      </c>
      <c r="J368" s="251" t="s">
        <v>1490</v>
      </c>
      <c r="K368" s="251" t="s">
        <v>486</v>
      </c>
      <c r="L368" s="251" t="s">
        <v>487</v>
      </c>
      <c r="M368" s="251" t="s">
        <v>506</v>
      </c>
      <c r="N368" s="251" t="s">
        <v>506</v>
      </c>
      <c r="O368" s="251" t="s">
        <v>640</v>
      </c>
      <c r="P368" s="251" t="s">
        <v>2145</v>
      </c>
      <c r="Q368" s="252">
        <v>10026288</v>
      </c>
      <c r="R368" s="253">
        <v>43039</v>
      </c>
      <c r="S368" s="253">
        <v>43041</v>
      </c>
      <c r="T368" s="253">
        <v>43067</v>
      </c>
      <c r="U368" s="251" t="s">
        <v>488</v>
      </c>
      <c r="V368" s="251">
        <v>2</v>
      </c>
      <c r="W368" s="251" t="s">
        <v>219</v>
      </c>
      <c r="X368" s="251">
        <v>2</v>
      </c>
      <c r="Y368" s="251">
        <v>2</v>
      </c>
      <c r="Z368" s="251">
        <v>2</v>
      </c>
      <c r="AA368" s="251">
        <v>2</v>
      </c>
      <c r="AB368" s="251" t="s">
        <v>486</v>
      </c>
      <c r="AC368" s="251" t="s">
        <v>486</v>
      </c>
      <c r="AD368" s="251" t="s">
        <v>490</v>
      </c>
      <c r="AE368" s="251" t="s">
        <v>486</v>
      </c>
      <c r="AF368" s="251" t="s">
        <v>486</v>
      </c>
      <c r="AG368" s="251" t="s">
        <v>486</v>
      </c>
      <c r="AH368" s="251" t="s">
        <v>486</v>
      </c>
      <c r="AI368" s="251" t="s">
        <v>486</v>
      </c>
      <c r="AJ368" s="251" t="s">
        <v>486</v>
      </c>
      <c r="AK368" s="251" t="s">
        <v>486</v>
      </c>
      <c r="AL368" s="251" t="s">
        <v>491</v>
      </c>
      <c r="AM368" s="251" t="s">
        <v>486</v>
      </c>
      <c r="AN368" s="251" t="s">
        <v>486</v>
      </c>
      <c r="AO368" s="253" t="s">
        <v>486</v>
      </c>
      <c r="AP368" s="252" t="s">
        <v>486</v>
      </c>
      <c r="AQ368" s="254" t="s">
        <v>486</v>
      </c>
      <c r="AR368" s="251" t="s">
        <v>486</v>
      </c>
    </row>
    <row r="369" spans="1:44" ht="15" x14ac:dyDescent="0.25">
      <c r="A369" s="245" t="str">
        <f>HYPERLINK("http://www.ofsted.gov.uk/inspection-reports/find-inspection-report/provider/ELS/135526 ","Ofsted School Webpage")</f>
        <v>Ofsted School Webpage</v>
      </c>
      <c r="B369" s="246">
        <v>135526</v>
      </c>
      <c r="C369" s="246">
        <v>3566031</v>
      </c>
      <c r="D369" s="246" t="s">
        <v>2146</v>
      </c>
      <c r="E369" s="246" t="s">
        <v>247</v>
      </c>
      <c r="F369" s="246" t="s">
        <v>93</v>
      </c>
      <c r="G369" s="246" t="s">
        <v>93</v>
      </c>
      <c r="H369" s="246" t="s">
        <v>93</v>
      </c>
      <c r="I369" s="246" t="s">
        <v>90</v>
      </c>
      <c r="J369" s="246" t="s">
        <v>1490</v>
      </c>
      <c r="K369" s="246" t="s">
        <v>486</v>
      </c>
      <c r="L369" s="246" t="s">
        <v>487</v>
      </c>
      <c r="M369" s="246" t="s">
        <v>495</v>
      </c>
      <c r="N369" s="246" t="s">
        <v>495</v>
      </c>
      <c r="O369" s="246" t="s">
        <v>934</v>
      </c>
      <c r="P369" s="246" t="s">
        <v>2147</v>
      </c>
      <c r="Q369" s="247">
        <v>10040275</v>
      </c>
      <c r="R369" s="248">
        <v>43039</v>
      </c>
      <c r="S369" s="248">
        <v>43041</v>
      </c>
      <c r="T369" s="248">
        <v>43066</v>
      </c>
      <c r="U369" s="246" t="s">
        <v>488</v>
      </c>
      <c r="V369" s="246">
        <v>3</v>
      </c>
      <c r="W369" s="246" t="s">
        <v>219</v>
      </c>
      <c r="X369" s="246">
        <v>3</v>
      </c>
      <c r="Y369" s="246">
        <v>2</v>
      </c>
      <c r="Z369" s="246">
        <v>3</v>
      </c>
      <c r="AA369" s="246">
        <v>3</v>
      </c>
      <c r="AB369" s="246" t="s">
        <v>486</v>
      </c>
      <c r="AC369" s="246">
        <v>2</v>
      </c>
      <c r="AD369" s="246" t="s">
        <v>490</v>
      </c>
      <c r="AE369" s="246" t="s">
        <v>486</v>
      </c>
      <c r="AF369" s="246" t="s">
        <v>486</v>
      </c>
      <c r="AG369" s="246" t="s">
        <v>486</v>
      </c>
      <c r="AH369" s="246" t="s">
        <v>486</v>
      </c>
      <c r="AI369" s="246" t="s">
        <v>486</v>
      </c>
      <c r="AJ369" s="246" t="s">
        <v>486</v>
      </c>
      <c r="AK369" s="246" t="s">
        <v>486</v>
      </c>
      <c r="AL369" s="246" t="s">
        <v>491</v>
      </c>
      <c r="AM369" s="246" t="s">
        <v>486</v>
      </c>
      <c r="AN369" s="246" t="s">
        <v>486</v>
      </c>
      <c r="AO369" s="248" t="s">
        <v>486</v>
      </c>
      <c r="AP369" s="247" t="s">
        <v>486</v>
      </c>
      <c r="AQ369" s="249" t="s">
        <v>486</v>
      </c>
      <c r="AR369" s="246" t="s">
        <v>486</v>
      </c>
    </row>
    <row r="370" spans="1:44" ht="15" x14ac:dyDescent="0.25">
      <c r="A370" s="250" t="str">
        <f>HYPERLINK("http://www.ofsted.gov.uk/inspection-reports/find-inspection-report/provider/ELS/135839 ","Ofsted School Webpage")</f>
        <v>Ofsted School Webpage</v>
      </c>
      <c r="B370" s="251">
        <v>135839</v>
      </c>
      <c r="C370" s="251">
        <v>3086305</v>
      </c>
      <c r="D370" s="251" t="s">
        <v>2148</v>
      </c>
      <c r="E370" s="251" t="s">
        <v>247</v>
      </c>
      <c r="F370" s="251" t="s">
        <v>93</v>
      </c>
      <c r="G370" s="251" t="s">
        <v>93</v>
      </c>
      <c r="H370" s="251" t="s">
        <v>93</v>
      </c>
      <c r="I370" s="251" t="s">
        <v>90</v>
      </c>
      <c r="J370" s="251" t="s">
        <v>1490</v>
      </c>
      <c r="K370" s="251" t="s">
        <v>486</v>
      </c>
      <c r="L370" s="251" t="s">
        <v>487</v>
      </c>
      <c r="M370" s="251" t="s">
        <v>506</v>
      </c>
      <c r="N370" s="251" t="s">
        <v>506</v>
      </c>
      <c r="O370" s="251" t="s">
        <v>632</v>
      </c>
      <c r="P370" s="251" t="s">
        <v>2149</v>
      </c>
      <c r="Q370" s="252">
        <v>10026296</v>
      </c>
      <c r="R370" s="253">
        <v>43039</v>
      </c>
      <c r="S370" s="253">
        <v>43041</v>
      </c>
      <c r="T370" s="253">
        <v>43066</v>
      </c>
      <c r="U370" s="251" t="s">
        <v>488</v>
      </c>
      <c r="V370" s="251">
        <v>1</v>
      </c>
      <c r="W370" s="251" t="s">
        <v>219</v>
      </c>
      <c r="X370" s="251">
        <v>1</v>
      </c>
      <c r="Y370" s="251">
        <v>1</v>
      </c>
      <c r="Z370" s="251">
        <v>1</v>
      </c>
      <c r="AA370" s="251">
        <v>1</v>
      </c>
      <c r="AB370" s="251" t="s">
        <v>486</v>
      </c>
      <c r="AC370" s="251" t="s">
        <v>486</v>
      </c>
      <c r="AD370" s="251" t="s">
        <v>486</v>
      </c>
      <c r="AE370" s="251" t="s">
        <v>486</v>
      </c>
      <c r="AF370" s="251" t="s">
        <v>486</v>
      </c>
      <c r="AG370" s="251" t="s">
        <v>486</v>
      </c>
      <c r="AH370" s="251" t="s">
        <v>486</v>
      </c>
      <c r="AI370" s="251" t="s">
        <v>486</v>
      </c>
      <c r="AJ370" s="251" t="s">
        <v>486</v>
      </c>
      <c r="AK370" s="251" t="s">
        <v>486</v>
      </c>
      <c r="AL370" s="251" t="s">
        <v>491</v>
      </c>
      <c r="AM370" s="251" t="s">
        <v>486</v>
      </c>
      <c r="AN370" s="251" t="s">
        <v>486</v>
      </c>
      <c r="AO370" s="253" t="s">
        <v>486</v>
      </c>
      <c r="AP370" s="252" t="s">
        <v>486</v>
      </c>
      <c r="AQ370" s="254" t="s">
        <v>486</v>
      </c>
      <c r="AR370" s="251" t="s">
        <v>486</v>
      </c>
    </row>
    <row r="371" spans="1:44" ht="15" x14ac:dyDescent="0.25">
      <c r="A371" s="245" t="str">
        <f>HYPERLINK("http://www.ofsted.gov.uk/inspection-reports/find-inspection-report/provider/ELS/136123 ","Ofsted School Webpage")</f>
        <v>Ofsted School Webpage</v>
      </c>
      <c r="B371" s="246">
        <v>136123</v>
      </c>
      <c r="C371" s="246">
        <v>3306170</v>
      </c>
      <c r="D371" s="246" t="s">
        <v>1211</v>
      </c>
      <c r="E371" s="246" t="s">
        <v>247</v>
      </c>
      <c r="F371" s="246" t="s">
        <v>83</v>
      </c>
      <c r="G371" s="246" t="s">
        <v>84</v>
      </c>
      <c r="H371" s="246" t="s">
        <v>83</v>
      </c>
      <c r="I371" s="246" t="s">
        <v>84</v>
      </c>
      <c r="J371" s="246" t="s">
        <v>1490</v>
      </c>
      <c r="K371" s="246" t="s">
        <v>486</v>
      </c>
      <c r="L371" s="246" t="s">
        <v>487</v>
      </c>
      <c r="M371" s="246" t="s">
        <v>502</v>
      </c>
      <c r="N371" s="246" t="s">
        <v>502</v>
      </c>
      <c r="O371" s="246" t="s">
        <v>909</v>
      </c>
      <c r="P371" s="246" t="s">
        <v>1212</v>
      </c>
      <c r="Q371" s="247">
        <v>10038841</v>
      </c>
      <c r="R371" s="248">
        <v>43039</v>
      </c>
      <c r="S371" s="248">
        <v>43041</v>
      </c>
      <c r="T371" s="248">
        <v>43067</v>
      </c>
      <c r="U371" s="246" t="s">
        <v>488</v>
      </c>
      <c r="V371" s="246">
        <v>3</v>
      </c>
      <c r="W371" s="246" t="s">
        <v>219</v>
      </c>
      <c r="X371" s="246">
        <v>3</v>
      </c>
      <c r="Y371" s="246">
        <v>2</v>
      </c>
      <c r="Z371" s="246">
        <v>3</v>
      </c>
      <c r="AA371" s="246">
        <v>3</v>
      </c>
      <c r="AB371" s="246" t="s">
        <v>486</v>
      </c>
      <c r="AC371" s="246" t="s">
        <v>486</v>
      </c>
      <c r="AD371" s="246" t="s">
        <v>490</v>
      </c>
      <c r="AE371" s="246" t="s">
        <v>486</v>
      </c>
      <c r="AF371" s="246" t="s">
        <v>486</v>
      </c>
      <c r="AG371" s="246" t="s">
        <v>486</v>
      </c>
      <c r="AH371" s="246" t="s">
        <v>486</v>
      </c>
      <c r="AI371" s="246" t="s">
        <v>486</v>
      </c>
      <c r="AJ371" s="246" t="s">
        <v>486</v>
      </c>
      <c r="AK371" s="246" t="s">
        <v>486</v>
      </c>
      <c r="AL371" s="246" t="s">
        <v>545</v>
      </c>
      <c r="AM371" s="246">
        <v>10081475</v>
      </c>
      <c r="AN371" s="246" t="s">
        <v>1109</v>
      </c>
      <c r="AO371" s="248">
        <v>43396</v>
      </c>
      <c r="AP371" s="247" t="s">
        <v>1523</v>
      </c>
      <c r="AQ371" s="249">
        <v>43426</v>
      </c>
      <c r="AR371" s="246" t="s">
        <v>1110</v>
      </c>
    </row>
    <row r="372" spans="1:44" ht="15" x14ac:dyDescent="0.25">
      <c r="A372" s="250" t="str">
        <f>HYPERLINK("http://www.ofsted.gov.uk/inspection-reports/find-inspection-report/provider/ELS/136955 ","Ofsted School Webpage")</f>
        <v>Ofsted School Webpage</v>
      </c>
      <c r="B372" s="251">
        <v>136955</v>
      </c>
      <c r="C372" s="251">
        <v>8716002</v>
      </c>
      <c r="D372" s="251" t="s">
        <v>2150</v>
      </c>
      <c r="E372" s="251" t="s">
        <v>247</v>
      </c>
      <c r="F372" s="251" t="s">
        <v>84</v>
      </c>
      <c r="G372" s="251" t="s">
        <v>83</v>
      </c>
      <c r="H372" s="251" t="s">
        <v>84</v>
      </c>
      <c r="I372" s="251" t="s">
        <v>84</v>
      </c>
      <c r="J372" s="251" t="s">
        <v>1490</v>
      </c>
      <c r="K372" s="251" t="s">
        <v>486</v>
      </c>
      <c r="L372" s="251" t="s">
        <v>487</v>
      </c>
      <c r="M372" s="251" t="s">
        <v>581</v>
      </c>
      <c r="N372" s="251" t="s">
        <v>581</v>
      </c>
      <c r="O372" s="251" t="s">
        <v>707</v>
      </c>
      <c r="P372" s="251" t="s">
        <v>2151</v>
      </c>
      <c r="Q372" s="252">
        <v>10039165</v>
      </c>
      <c r="R372" s="253">
        <v>43039</v>
      </c>
      <c r="S372" s="253">
        <v>43041</v>
      </c>
      <c r="T372" s="253">
        <v>43068</v>
      </c>
      <c r="U372" s="251" t="s">
        <v>488</v>
      </c>
      <c r="V372" s="251">
        <v>2</v>
      </c>
      <c r="W372" s="251" t="s">
        <v>219</v>
      </c>
      <c r="X372" s="251">
        <v>2</v>
      </c>
      <c r="Y372" s="251">
        <v>2</v>
      </c>
      <c r="Z372" s="251">
        <v>2</v>
      </c>
      <c r="AA372" s="251">
        <v>2</v>
      </c>
      <c r="AB372" s="251" t="s">
        <v>486</v>
      </c>
      <c r="AC372" s="251" t="s">
        <v>486</v>
      </c>
      <c r="AD372" s="251" t="s">
        <v>490</v>
      </c>
      <c r="AE372" s="251" t="s">
        <v>486</v>
      </c>
      <c r="AF372" s="251" t="s">
        <v>486</v>
      </c>
      <c r="AG372" s="251" t="s">
        <v>486</v>
      </c>
      <c r="AH372" s="251" t="s">
        <v>486</v>
      </c>
      <c r="AI372" s="251" t="s">
        <v>486</v>
      </c>
      <c r="AJ372" s="251" t="s">
        <v>486</v>
      </c>
      <c r="AK372" s="251" t="s">
        <v>486</v>
      </c>
      <c r="AL372" s="251" t="s">
        <v>491</v>
      </c>
      <c r="AM372" s="251" t="s">
        <v>486</v>
      </c>
      <c r="AN372" s="251" t="s">
        <v>486</v>
      </c>
      <c r="AO372" s="253" t="s">
        <v>486</v>
      </c>
      <c r="AP372" s="252" t="s">
        <v>486</v>
      </c>
      <c r="AQ372" s="254" t="s">
        <v>486</v>
      </c>
      <c r="AR372" s="251" t="s">
        <v>486</v>
      </c>
    </row>
    <row r="373" spans="1:44" ht="15" x14ac:dyDescent="0.25">
      <c r="A373" s="245" t="str">
        <f>HYPERLINK("http://www.ofsted.gov.uk/inspection-reports/find-inspection-report/provider/ELS/140330 ","Ofsted School Webpage")</f>
        <v>Ofsted School Webpage</v>
      </c>
      <c r="B373" s="246">
        <v>140330</v>
      </c>
      <c r="C373" s="246">
        <v>8616011</v>
      </c>
      <c r="D373" s="246" t="s">
        <v>2152</v>
      </c>
      <c r="E373" s="246" t="s">
        <v>247</v>
      </c>
      <c r="F373" s="246" t="s">
        <v>93</v>
      </c>
      <c r="G373" s="246" t="s">
        <v>93</v>
      </c>
      <c r="H373" s="246" t="s">
        <v>93</v>
      </c>
      <c r="I373" s="246" t="s">
        <v>90</v>
      </c>
      <c r="J373" s="246" t="s">
        <v>1490</v>
      </c>
      <c r="K373" s="246" t="s">
        <v>486</v>
      </c>
      <c r="L373" s="246" t="s">
        <v>487</v>
      </c>
      <c r="M373" s="246" t="s">
        <v>502</v>
      </c>
      <c r="N373" s="246" t="s">
        <v>502</v>
      </c>
      <c r="O373" s="246" t="s">
        <v>655</v>
      </c>
      <c r="P373" s="246" t="s">
        <v>2153</v>
      </c>
      <c r="Q373" s="247">
        <v>10038847</v>
      </c>
      <c r="R373" s="248">
        <v>43039</v>
      </c>
      <c r="S373" s="248">
        <v>43041</v>
      </c>
      <c r="T373" s="248">
        <v>43059</v>
      </c>
      <c r="U373" s="246" t="s">
        <v>488</v>
      </c>
      <c r="V373" s="246">
        <v>2</v>
      </c>
      <c r="W373" s="246" t="s">
        <v>219</v>
      </c>
      <c r="X373" s="246">
        <v>1</v>
      </c>
      <c r="Y373" s="246">
        <v>2</v>
      </c>
      <c r="Z373" s="246">
        <v>2</v>
      </c>
      <c r="AA373" s="246">
        <v>2</v>
      </c>
      <c r="AB373" s="246" t="s">
        <v>486</v>
      </c>
      <c r="AC373" s="246" t="s">
        <v>486</v>
      </c>
      <c r="AD373" s="246" t="s">
        <v>512</v>
      </c>
      <c r="AE373" s="246" t="s">
        <v>486</v>
      </c>
      <c r="AF373" s="246" t="s">
        <v>486</v>
      </c>
      <c r="AG373" s="246" t="s">
        <v>490</v>
      </c>
      <c r="AH373" s="246" t="s">
        <v>486</v>
      </c>
      <c r="AI373" s="246" t="s">
        <v>486</v>
      </c>
      <c r="AJ373" s="246" t="s">
        <v>486</v>
      </c>
      <c r="AK373" s="246" t="s">
        <v>486</v>
      </c>
      <c r="AL373" s="246" t="s">
        <v>491</v>
      </c>
      <c r="AM373" s="246" t="s">
        <v>486</v>
      </c>
      <c r="AN373" s="246" t="s">
        <v>486</v>
      </c>
      <c r="AO373" s="248" t="s">
        <v>486</v>
      </c>
      <c r="AP373" s="247" t="s">
        <v>486</v>
      </c>
      <c r="AQ373" s="249" t="s">
        <v>486</v>
      </c>
      <c r="AR373" s="246" t="s">
        <v>486</v>
      </c>
    </row>
    <row r="374" spans="1:44" ht="15" x14ac:dyDescent="0.25">
      <c r="A374" s="250" t="str">
        <f>HYPERLINK("http://www.ofsted.gov.uk/inspection-reports/find-inspection-report/provider/ELS/143019 ","Ofsted School Webpage")</f>
        <v>Ofsted School Webpage</v>
      </c>
      <c r="B374" s="251">
        <v>143019</v>
      </c>
      <c r="C374" s="251">
        <v>3016005</v>
      </c>
      <c r="D374" s="251" t="s">
        <v>2154</v>
      </c>
      <c r="E374" s="251" t="s">
        <v>247</v>
      </c>
      <c r="F374" s="251" t="s">
        <v>93</v>
      </c>
      <c r="G374" s="251" t="s">
        <v>93</v>
      </c>
      <c r="H374" s="251" t="s">
        <v>93</v>
      </c>
      <c r="I374" s="251" t="s">
        <v>90</v>
      </c>
      <c r="J374" s="251" t="s">
        <v>1490</v>
      </c>
      <c r="K374" s="251" t="s">
        <v>486</v>
      </c>
      <c r="L374" s="251" t="s">
        <v>487</v>
      </c>
      <c r="M374" s="251" t="s">
        <v>506</v>
      </c>
      <c r="N374" s="251" t="s">
        <v>506</v>
      </c>
      <c r="O374" s="251" t="s">
        <v>683</v>
      </c>
      <c r="P374" s="251" t="s">
        <v>2155</v>
      </c>
      <c r="Q374" s="252">
        <v>10035817</v>
      </c>
      <c r="R374" s="253">
        <v>43039</v>
      </c>
      <c r="S374" s="253">
        <v>43041</v>
      </c>
      <c r="T374" s="253">
        <v>43070</v>
      </c>
      <c r="U374" s="251" t="s">
        <v>499</v>
      </c>
      <c r="V374" s="251">
        <v>2</v>
      </c>
      <c r="W374" s="251" t="s">
        <v>219</v>
      </c>
      <c r="X374" s="251">
        <v>2</v>
      </c>
      <c r="Y374" s="251">
        <v>2</v>
      </c>
      <c r="Z374" s="251">
        <v>2</v>
      </c>
      <c r="AA374" s="251">
        <v>2</v>
      </c>
      <c r="AB374" s="251" t="s">
        <v>486</v>
      </c>
      <c r="AC374" s="251" t="s">
        <v>486</v>
      </c>
      <c r="AD374" s="251" t="s">
        <v>490</v>
      </c>
      <c r="AE374" s="251" t="s">
        <v>486</v>
      </c>
      <c r="AF374" s="251" t="s">
        <v>486</v>
      </c>
      <c r="AG374" s="251" t="s">
        <v>486</v>
      </c>
      <c r="AH374" s="251" t="s">
        <v>486</v>
      </c>
      <c r="AI374" s="251" t="s">
        <v>486</v>
      </c>
      <c r="AJ374" s="251" t="s">
        <v>486</v>
      </c>
      <c r="AK374" s="251" t="s">
        <v>486</v>
      </c>
      <c r="AL374" s="251" t="s">
        <v>491</v>
      </c>
      <c r="AM374" s="251" t="s">
        <v>486</v>
      </c>
      <c r="AN374" s="251" t="s">
        <v>486</v>
      </c>
      <c r="AO374" s="253" t="s">
        <v>486</v>
      </c>
      <c r="AP374" s="252" t="s">
        <v>486</v>
      </c>
      <c r="AQ374" s="254" t="s">
        <v>486</v>
      </c>
      <c r="AR374" s="251" t="s">
        <v>486</v>
      </c>
    </row>
    <row r="375" spans="1:44" ht="15" x14ac:dyDescent="0.25">
      <c r="A375" s="245" t="str">
        <f>HYPERLINK("http://www.ofsted.gov.uk/inspection-reports/find-inspection-report/provider/ELS/143036 ","Ofsted School Webpage")</f>
        <v>Ofsted School Webpage</v>
      </c>
      <c r="B375" s="246">
        <v>143036</v>
      </c>
      <c r="C375" s="246">
        <v>3086006</v>
      </c>
      <c r="D375" s="246" t="s">
        <v>2156</v>
      </c>
      <c r="E375" s="246" t="s">
        <v>247</v>
      </c>
      <c r="F375" s="246" t="s">
        <v>93</v>
      </c>
      <c r="G375" s="246" t="s">
        <v>93</v>
      </c>
      <c r="H375" s="246" t="s">
        <v>93</v>
      </c>
      <c r="I375" s="246" t="s">
        <v>90</v>
      </c>
      <c r="J375" s="246" t="s">
        <v>1490</v>
      </c>
      <c r="K375" s="246" t="s">
        <v>486</v>
      </c>
      <c r="L375" s="246" t="s">
        <v>487</v>
      </c>
      <c r="M375" s="246" t="s">
        <v>506</v>
      </c>
      <c r="N375" s="246" t="s">
        <v>506</v>
      </c>
      <c r="O375" s="246" t="s">
        <v>632</v>
      </c>
      <c r="P375" s="246" t="s">
        <v>2157</v>
      </c>
      <c r="Q375" s="247">
        <v>10035818</v>
      </c>
      <c r="R375" s="248">
        <v>43039</v>
      </c>
      <c r="S375" s="248">
        <v>43041</v>
      </c>
      <c r="T375" s="248">
        <v>43069</v>
      </c>
      <c r="U375" s="246" t="s">
        <v>499</v>
      </c>
      <c r="V375" s="246">
        <v>2</v>
      </c>
      <c r="W375" s="246" t="s">
        <v>219</v>
      </c>
      <c r="X375" s="246">
        <v>2</v>
      </c>
      <c r="Y375" s="246">
        <v>2</v>
      </c>
      <c r="Z375" s="246">
        <v>2</v>
      </c>
      <c r="AA375" s="246">
        <v>2</v>
      </c>
      <c r="AB375" s="246" t="s">
        <v>486</v>
      </c>
      <c r="AC375" s="246" t="s">
        <v>486</v>
      </c>
      <c r="AD375" s="246" t="s">
        <v>490</v>
      </c>
      <c r="AE375" s="246" t="s">
        <v>486</v>
      </c>
      <c r="AF375" s="246" t="s">
        <v>486</v>
      </c>
      <c r="AG375" s="246" t="s">
        <v>486</v>
      </c>
      <c r="AH375" s="246" t="s">
        <v>486</v>
      </c>
      <c r="AI375" s="246" t="s">
        <v>486</v>
      </c>
      <c r="AJ375" s="246" t="s">
        <v>486</v>
      </c>
      <c r="AK375" s="246" t="s">
        <v>486</v>
      </c>
      <c r="AL375" s="246" t="s">
        <v>491</v>
      </c>
      <c r="AM375" s="246" t="s">
        <v>486</v>
      </c>
      <c r="AN375" s="246" t="s">
        <v>486</v>
      </c>
      <c r="AO375" s="248" t="s">
        <v>486</v>
      </c>
      <c r="AP375" s="247" t="s">
        <v>486</v>
      </c>
      <c r="AQ375" s="249" t="s">
        <v>486</v>
      </c>
      <c r="AR375" s="246" t="s">
        <v>486</v>
      </c>
    </row>
    <row r="376" spans="1:44" ht="15" x14ac:dyDescent="0.25">
      <c r="A376" s="250" t="str">
        <f>HYPERLINK("http://www.ofsted.gov.uk/inspection-reports/find-inspection-report/provider/ELS/101065 ","Ofsted School Webpage")</f>
        <v>Ofsted School Webpage</v>
      </c>
      <c r="B376" s="251">
        <v>101065</v>
      </c>
      <c r="C376" s="251">
        <v>2126144</v>
      </c>
      <c r="D376" s="251" t="s">
        <v>2158</v>
      </c>
      <c r="E376" s="251" t="s">
        <v>247</v>
      </c>
      <c r="F376" s="251" t="s">
        <v>93</v>
      </c>
      <c r="G376" s="251" t="s">
        <v>93</v>
      </c>
      <c r="H376" s="251" t="s">
        <v>93</v>
      </c>
      <c r="I376" s="251" t="s">
        <v>90</v>
      </c>
      <c r="J376" s="251" t="s">
        <v>1490</v>
      </c>
      <c r="K376" s="251" t="s">
        <v>486</v>
      </c>
      <c r="L376" s="251" t="s">
        <v>487</v>
      </c>
      <c r="M376" s="251" t="s">
        <v>506</v>
      </c>
      <c r="N376" s="251" t="s">
        <v>506</v>
      </c>
      <c r="O376" s="251" t="s">
        <v>837</v>
      </c>
      <c r="P376" s="251" t="s">
        <v>2159</v>
      </c>
      <c r="Q376" s="252">
        <v>10008537</v>
      </c>
      <c r="R376" s="253">
        <v>43046</v>
      </c>
      <c r="S376" s="253">
        <v>43048</v>
      </c>
      <c r="T376" s="253">
        <v>43066</v>
      </c>
      <c r="U376" s="251" t="s">
        <v>488</v>
      </c>
      <c r="V376" s="251">
        <v>1</v>
      </c>
      <c r="W376" s="251" t="s">
        <v>219</v>
      </c>
      <c r="X376" s="251">
        <v>1</v>
      </c>
      <c r="Y376" s="251">
        <v>1</v>
      </c>
      <c r="Z376" s="251">
        <v>1</v>
      </c>
      <c r="AA376" s="251">
        <v>1</v>
      </c>
      <c r="AB376" s="251">
        <v>1</v>
      </c>
      <c r="AC376" s="251" t="s">
        <v>486</v>
      </c>
      <c r="AD376" s="251" t="s">
        <v>486</v>
      </c>
      <c r="AE376" s="251" t="s">
        <v>486</v>
      </c>
      <c r="AF376" s="251" t="s">
        <v>486</v>
      </c>
      <c r="AG376" s="251" t="s">
        <v>486</v>
      </c>
      <c r="AH376" s="251" t="s">
        <v>486</v>
      </c>
      <c r="AI376" s="251" t="s">
        <v>486</v>
      </c>
      <c r="AJ376" s="251" t="s">
        <v>486</v>
      </c>
      <c r="AK376" s="251" t="s">
        <v>486</v>
      </c>
      <c r="AL376" s="251" t="s">
        <v>491</v>
      </c>
      <c r="AM376" s="251" t="s">
        <v>486</v>
      </c>
      <c r="AN376" s="251" t="s">
        <v>486</v>
      </c>
      <c r="AO376" s="253" t="s">
        <v>486</v>
      </c>
      <c r="AP376" s="252" t="s">
        <v>486</v>
      </c>
      <c r="AQ376" s="254" t="s">
        <v>486</v>
      </c>
      <c r="AR376" s="251" t="s">
        <v>486</v>
      </c>
    </row>
    <row r="377" spans="1:44" ht="15" x14ac:dyDescent="0.25">
      <c r="A377" s="245" t="str">
        <f>HYPERLINK("http://www.ofsted.gov.uk/inspection-reports/find-inspection-report/provider/ELS/101484 ","Ofsted School Webpage")</f>
        <v>Ofsted School Webpage</v>
      </c>
      <c r="B377" s="246">
        <v>101484</v>
      </c>
      <c r="C377" s="246">
        <v>3036060</v>
      </c>
      <c r="D377" s="246" t="s">
        <v>2160</v>
      </c>
      <c r="E377" s="246" t="s">
        <v>247</v>
      </c>
      <c r="F377" s="246" t="s">
        <v>93</v>
      </c>
      <c r="G377" s="246" t="s">
        <v>93</v>
      </c>
      <c r="H377" s="246" t="s">
        <v>93</v>
      </c>
      <c r="I377" s="246" t="s">
        <v>90</v>
      </c>
      <c r="J377" s="246" t="s">
        <v>1490</v>
      </c>
      <c r="K377" s="246" t="s">
        <v>486</v>
      </c>
      <c r="L377" s="246" t="s">
        <v>487</v>
      </c>
      <c r="M377" s="246" t="s">
        <v>506</v>
      </c>
      <c r="N377" s="246" t="s">
        <v>506</v>
      </c>
      <c r="O377" s="246" t="s">
        <v>1330</v>
      </c>
      <c r="P377" s="246" t="s">
        <v>2161</v>
      </c>
      <c r="Q377" s="247">
        <v>10008542</v>
      </c>
      <c r="R377" s="248">
        <v>43046</v>
      </c>
      <c r="S377" s="248">
        <v>43048</v>
      </c>
      <c r="T377" s="248">
        <v>43087</v>
      </c>
      <c r="U377" s="246" t="s">
        <v>488</v>
      </c>
      <c r="V377" s="246">
        <v>2</v>
      </c>
      <c r="W377" s="246" t="s">
        <v>219</v>
      </c>
      <c r="X377" s="246">
        <v>2</v>
      </c>
      <c r="Y377" s="246">
        <v>2</v>
      </c>
      <c r="Z377" s="246">
        <v>2</v>
      </c>
      <c r="AA377" s="246">
        <v>2</v>
      </c>
      <c r="AB377" s="246">
        <v>2</v>
      </c>
      <c r="AC377" s="246" t="s">
        <v>486</v>
      </c>
      <c r="AD377" s="246" t="s">
        <v>486</v>
      </c>
      <c r="AE377" s="246" t="s">
        <v>486</v>
      </c>
      <c r="AF377" s="246" t="s">
        <v>486</v>
      </c>
      <c r="AG377" s="246" t="s">
        <v>486</v>
      </c>
      <c r="AH377" s="246" t="s">
        <v>486</v>
      </c>
      <c r="AI377" s="246" t="s">
        <v>486</v>
      </c>
      <c r="AJ377" s="246" t="s">
        <v>486</v>
      </c>
      <c r="AK377" s="246" t="s">
        <v>486</v>
      </c>
      <c r="AL377" s="246" t="s">
        <v>491</v>
      </c>
      <c r="AM377" s="246" t="s">
        <v>486</v>
      </c>
      <c r="AN377" s="246" t="s">
        <v>486</v>
      </c>
      <c r="AO377" s="248" t="s">
        <v>486</v>
      </c>
      <c r="AP377" s="247" t="s">
        <v>486</v>
      </c>
      <c r="AQ377" s="249" t="s">
        <v>486</v>
      </c>
      <c r="AR377" s="246" t="s">
        <v>486</v>
      </c>
    </row>
    <row r="378" spans="1:44" ht="15" x14ac:dyDescent="0.25">
      <c r="A378" s="250" t="str">
        <f>HYPERLINK("http://www.ofsted.gov.uk/inspection-reports/find-inspection-report/provider/ELS/101948 ","Ofsted School Webpage")</f>
        <v>Ofsted School Webpage</v>
      </c>
      <c r="B378" s="251">
        <v>101948</v>
      </c>
      <c r="C378" s="251">
        <v>3076050</v>
      </c>
      <c r="D378" s="251" t="s">
        <v>1275</v>
      </c>
      <c r="E378" s="251" t="s">
        <v>247</v>
      </c>
      <c r="F378" s="251" t="s">
        <v>93</v>
      </c>
      <c r="G378" s="251" t="s">
        <v>93</v>
      </c>
      <c r="H378" s="251" t="s">
        <v>93</v>
      </c>
      <c r="I378" s="251" t="s">
        <v>90</v>
      </c>
      <c r="J378" s="251" t="s">
        <v>1490</v>
      </c>
      <c r="K378" s="251" t="s">
        <v>486</v>
      </c>
      <c r="L378" s="251" t="s">
        <v>487</v>
      </c>
      <c r="M378" s="251" t="s">
        <v>506</v>
      </c>
      <c r="N378" s="251" t="s">
        <v>506</v>
      </c>
      <c r="O378" s="251" t="s">
        <v>507</v>
      </c>
      <c r="P378" s="251" t="s">
        <v>1276</v>
      </c>
      <c r="Q378" s="252">
        <v>10012825</v>
      </c>
      <c r="R378" s="253">
        <v>43046</v>
      </c>
      <c r="S378" s="253">
        <v>43048</v>
      </c>
      <c r="T378" s="253">
        <v>43076</v>
      </c>
      <c r="U378" s="251" t="s">
        <v>488</v>
      </c>
      <c r="V378" s="251">
        <v>3</v>
      </c>
      <c r="W378" s="251" t="s">
        <v>219</v>
      </c>
      <c r="X378" s="251">
        <v>3</v>
      </c>
      <c r="Y378" s="251">
        <v>3</v>
      </c>
      <c r="Z378" s="251">
        <v>3</v>
      </c>
      <c r="AA378" s="251">
        <v>3</v>
      </c>
      <c r="AB378" s="251" t="s">
        <v>486</v>
      </c>
      <c r="AC378" s="251" t="s">
        <v>486</v>
      </c>
      <c r="AD378" s="251" t="s">
        <v>486</v>
      </c>
      <c r="AE378" s="251" t="s">
        <v>486</v>
      </c>
      <c r="AF378" s="251" t="s">
        <v>486</v>
      </c>
      <c r="AG378" s="251" t="s">
        <v>486</v>
      </c>
      <c r="AH378" s="251" t="s">
        <v>486</v>
      </c>
      <c r="AI378" s="251" t="s">
        <v>486</v>
      </c>
      <c r="AJ378" s="251" t="s">
        <v>486</v>
      </c>
      <c r="AK378" s="251" t="s">
        <v>486</v>
      </c>
      <c r="AL378" s="251" t="s">
        <v>491</v>
      </c>
      <c r="AM378" s="251" t="s">
        <v>486</v>
      </c>
      <c r="AN378" s="251" t="s">
        <v>486</v>
      </c>
      <c r="AO378" s="253" t="s">
        <v>486</v>
      </c>
      <c r="AP378" s="252" t="s">
        <v>486</v>
      </c>
      <c r="AQ378" s="254" t="s">
        <v>486</v>
      </c>
      <c r="AR378" s="251" t="s">
        <v>486</v>
      </c>
    </row>
    <row r="379" spans="1:44" ht="15" x14ac:dyDescent="0.25">
      <c r="A379" s="245" t="str">
        <f>HYPERLINK("http://www.ofsted.gov.uk/inspection-reports/find-inspection-report/provider/ELS/103573 ","Ofsted School Webpage")</f>
        <v>Ofsted School Webpage</v>
      </c>
      <c r="B379" s="246">
        <v>103573</v>
      </c>
      <c r="C379" s="246">
        <v>3306048</v>
      </c>
      <c r="D379" s="246" t="s">
        <v>2162</v>
      </c>
      <c r="E379" s="246" t="s">
        <v>247</v>
      </c>
      <c r="F379" s="246" t="s">
        <v>93</v>
      </c>
      <c r="G379" s="246" t="s">
        <v>93</v>
      </c>
      <c r="H379" s="246" t="s">
        <v>93</v>
      </c>
      <c r="I379" s="246" t="s">
        <v>90</v>
      </c>
      <c r="J379" s="246" t="s">
        <v>1490</v>
      </c>
      <c r="K379" s="246" t="s">
        <v>486</v>
      </c>
      <c r="L379" s="246" t="s">
        <v>487</v>
      </c>
      <c r="M379" s="246" t="s">
        <v>502</v>
      </c>
      <c r="N379" s="246" t="s">
        <v>502</v>
      </c>
      <c r="O379" s="246" t="s">
        <v>909</v>
      </c>
      <c r="P379" s="246" t="s">
        <v>2163</v>
      </c>
      <c r="Q379" s="247">
        <v>10020734</v>
      </c>
      <c r="R379" s="248">
        <v>43046</v>
      </c>
      <c r="S379" s="248">
        <v>43048</v>
      </c>
      <c r="T379" s="248">
        <v>43139</v>
      </c>
      <c r="U379" s="246" t="s">
        <v>488</v>
      </c>
      <c r="V379" s="246">
        <v>2</v>
      </c>
      <c r="W379" s="246" t="s">
        <v>219</v>
      </c>
      <c r="X379" s="246">
        <v>2</v>
      </c>
      <c r="Y379" s="246">
        <v>1</v>
      </c>
      <c r="Z379" s="246">
        <v>2</v>
      </c>
      <c r="AA379" s="246">
        <v>2</v>
      </c>
      <c r="AB379" s="246">
        <v>2</v>
      </c>
      <c r="AC379" s="246" t="s">
        <v>486</v>
      </c>
      <c r="AD379" s="246" t="s">
        <v>486</v>
      </c>
      <c r="AE379" s="246" t="s">
        <v>486</v>
      </c>
      <c r="AF379" s="246" t="s">
        <v>486</v>
      </c>
      <c r="AG379" s="246" t="s">
        <v>486</v>
      </c>
      <c r="AH379" s="246" t="s">
        <v>486</v>
      </c>
      <c r="AI379" s="246" t="s">
        <v>486</v>
      </c>
      <c r="AJ379" s="246" t="s">
        <v>486</v>
      </c>
      <c r="AK379" s="246" t="s">
        <v>486</v>
      </c>
      <c r="AL379" s="246" t="s">
        <v>491</v>
      </c>
      <c r="AM379" s="246" t="s">
        <v>486</v>
      </c>
      <c r="AN379" s="246" t="s">
        <v>486</v>
      </c>
      <c r="AO379" s="248" t="s">
        <v>486</v>
      </c>
      <c r="AP379" s="247" t="s">
        <v>486</v>
      </c>
      <c r="AQ379" s="249" t="s">
        <v>486</v>
      </c>
      <c r="AR379" s="246" t="s">
        <v>486</v>
      </c>
    </row>
    <row r="380" spans="1:44" ht="15" x14ac:dyDescent="0.25">
      <c r="A380" s="250" t="str">
        <f>HYPERLINK("http://www.ofsted.gov.uk/inspection-reports/find-inspection-report/provider/ELS/117030 ","Ofsted School Webpage")</f>
        <v>Ofsted School Webpage</v>
      </c>
      <c r="B380" s="251">
        <v>117030</v>
      </c>
      <c r="C380" s="251">
        <v>8856021</v>
      </c>
      <c r="D380" s="251" t="s">
        <v>2164</v>
      </c>
      <c r="E380" s="251" t="s">
        <v>248</v>
      </c>
      <c r="F380" s="251" t="s">
        <v>93</v>
      </c>
      <c r="G380" s="251" t="s">
        <v>93</v>
      </c>
      <c r="H380" s="251" t="s">
        <v>93</v>
      </c>
      <c r="I380" s="251" t="s">
        <v>90</v>
      </c>
      <c r="J380" s="251" t="s">
        <v>1490</v>
      </c>
      <c r="K380" s="251" t="s">
        <v>486</v>
      </c>
      <c r="L380" s="251" t="s">
        <v>487</v>
      </c>
      <c r="M380" s="251" t="s">
        <v>502</v>
      </c>
      <c r="N380" s="251" t="s">
        <v>502</v>
      </c>
      <c r="O380" s="251" t="s">
        <v>550</v>
      </c>
      <c r="P380" s="251" t="s">
        <v>2165</v>
      </c>
      <c r="Q380" s="252">
        <v>10020929</v>
      </c>
      <c r="R380" s="253">
        <v>43046</v>
      </c>
      <c r="S380" s="253">
        <v>43048</v>
      </c>
      <c r="T380" s="253">
        <v>43123</v>
      </c>
      <c r="U380" s="251" t="s">
        <v>488</v>
      </c>
      <c r="V380" s="251">
        <v>2</v>
      </c>
      <c r="W380" s="251" t="s">
        <v>219</v>
      </c>
      <c r="X380" s="251">
        <v>2</v>
      </c>
      <c r="Y380" s="251">
        <v>2</v>
      </c>
      <c r="Z380" s="251">
        <v>2</v>
      </c>
      <c r="AA380" s="251">
        <v>2</v>
      </c>
      <c r="AB380" s="251" t="s">
        <v>486</v>
      </c>
      <c r="AC380" s="251">
        <v>2</v>
      </c>
      <c r="AD380" s="251" t="s">
        <v>486</v>
      </c>
      <c r="AE380" s="251" t="s">
        <v>486</v>
      </c>
      <c r="AF380" s="251" t="s">
        <v>486</v>
      </c>
      <c r="AG380" s="251" t="s">
        <v>486</v>
      </c>
      <c r="AH380" s="251" t="s">
        <v>486</v>
      </c>
      <c r="AI380" s="251" t="s">
        <v>486</v>
      </c>
      <c r="AJ380" s="251" t="s">
        <v>486</v>
      </c>
      <c r="AK380" s="251" t="s">
        <v>486</v>
      </c>
      <c r="AL380" s="251" t="s">
        <v>491</v>
      </c>
      <c r="AM380" s="251" t="s">
        <v>486</v>
      </c>
      <c r="AN380" s="251" t="s">
        <v>486</v>
      </c>
      <c r="AO380" s="253" t="s">
        <v>486</v>
      </c>
      <c r="AP380" s="252" t="s">
        <v>486</v>
      </c>
      <c r="AQ380" s="254" t="s">
        <v>486</v>
      </c>
      <c r="AR380" s="251" t="s">
        <v>486</v>
      </c>
    </row>
    <row r="381" spans="1:44" ht="15" x14ac:dyDescent="0.25">
      <c r="A381" s="245" t="str">
        <f>HYPERLINK("http://www.ofsted.gov.uk/inspection-reports/find-inspection-report/provider/ELS/119005 ","Ofsted School Webpage")</f>
        <v>Ofsted School Webpage</v>
      </c>
      <c r="B381" s="246">
        <v>119005</v>
      </c>
      <c r="C381" s="246">
        <v>8866057</v>
      </c>
      <c r="D381" s="246" t="s">
        <v>2166</v>
      </c>
      <c r="E381" s="246" t="s">
        <v>247</v>
      </c>
      <c r="F381" s="246" t="s">
        <v>93</v>
      </c>
      <c r="G381" s="246" t="s">
        <v>71</v>
      </c>
      <c r="H381" s="246" t="s">
        <v>71</v>
      </c>
      <c r="I381" s="246" t="s">
        <v>71</v>
      </c>
      <c r="J381" s="246" t="s">
        <v>1490</v>
      </c>
      <c r="K381" s="246" t="s">
        <v>486</v>
      </c>
      <c r="L381" s="246" t="s">
        <v>487</v>
      </c>
      <c r="M381" s="246" t="s">
        <v>581</v>
      </c>
      <c r="N381" s="246" t="s">
        <v>581</v>
      </c>
      <c r="O381" s="246" t="s">
        <v>694</v>
      </c>
      <c r="P381" s="246" t="s">
        <v>2167</v>
      </c>
      <c r="Q381" s="247">
        <v>10020908</v>
      </c>
      <c r="R381" s="248">
        <v>43046</v>
      </c>
      <c r="S381" s="248">
        <v>43048</v>
      </c>
      <c r="T381" s="248">
        <v>43069</v>
      </c>
      <c r="U381" s="246" t="s">
        <v>488</v>
      </c>
      <c r="V381" s="246">
        <v>3</v>
      </c>
      <c r="W381" s="246" t="s">
        <v>219</v>
      </c>
      <c r="X381" s="246">
        <v>3</v>
      </c>
      <c r="Y381" s="246">
        <v>2</v>
      </c>
      <c r="Z381" s="246">
        <v>3</v>
      </c>
      <c r="AA381" s="246">
        <v>3</v>
      </c>
      <c r="AB381" s="246">
        <v>3</v>
      </c>
      <c r="AC381" s="246" t="s">
        <v>486</v>
      </c>
      <c r="AD381" s="246" t="s">
        <v>486</v>
      </c>
      <c r="AE381" s="246" t="s">
        <v>486</v>
      </c>
      <c r="AF381" s="246" t="s">
        <v>486</v>
      </c>
      <c r="AG381" s="246" t="s">
        <v>486</v>
      </c>
      <c r="AH381" s="246" t="s">
        <v>486</v>
      </c>
      <c r="AI381" s="246" t="s">
        <v>486</v>
      </c>
      <c r="AJ381" s="246" t="s">
        <v>486</v>
      </c>
      <c r="AK381" s="246" t="s">
        <v>486</v>
      </c>
      <c r="AL381" s="246" t="s">
        <v>491</v>
      </c>
      <c r="AM381" s="246" t="s">
        <v>486</v>
      </c>
      <c r="AN381" s="246" t="s">
        <v>486</v>
      </c>
      <c r="AO381" s="248" t="s">
        <v>486</v>
      </c>
      <c r="AP381" s="247" t="s">
        <v>486</v>
      </c>
      <c r="AQ381" s="249" t="s">
        <v>486</v>
      </c>
      <c r="AR381" s="246" t="s">
        <v>486</v>
      </c>
    </row>
    <row r="382" spans="1:44" ht="15" x14ac:dyDescent="0.25">
      <c r="A382" s="250" t="str">
        <f>HYPERLINK("http://www.ofsted.gov.uk/inspection-reports/find-inspection-report/provider/ELS/120739 ","Ofsted School Webpage")</f>
        <v>Ofsted School Webpage</v>
      </c>
      <c r="B382" s="251">
        <v>120739</v>
      </c>
      <c r="C382" s="251">
        <v>9256033</v>
      </c>
      <c r="D382" s="251" t="s">
        <v>2168</v>
      </c>
      <c r="E382" s="251" t="s">
        <v>247</v>
      </c>
      <c r="F382" s="251" t="s">
        <v>93</v>
      </c>
      <c r="G382" s="251" t="s">
        <v>93</v>
      </c>
      <c r="H382" s="251" t="s">
        <v>93</v>
      </c>
      <c r="I382" s="251" t="s">
        <v>90</v>
      </c>
      <c r="J382" s="251" t="s">
        <v>1490</v>
      </c>
      <c r="K382" s="251" t="s">
        <v>486</v>
      </c>
      <c r="L382" s="251" t="s">
        <v>487</v>
      </c>
      <c r="M382" s="251" t="s">
        <v>572</v>
      </c>
      <c r="N382" s="251" t="s">
        <v>572</v>
      </c>
      <c r="O382" s="251" t="s">
        <v>929</v>
      </c>
      <c r="P382" s="251" t="s">
        <v>2169</v>
      </c>
      <c r="Q382" s="252">
        <v>10033526</v>
      </c>
      <c r="R382" s="253">
        <v>43046</v>
      </c>
      <c r="S382" s="253">
        <v>43048</v>
      </c>
      <c r="T382" s="253">
        <v>43136</v>
      </c>
      <c r="U382" s="251" t="s">
        <v>488</v>
      </c>
      <c r="V382" s="251">
        <v>4</v>
      </c>
      <c r="W382" s="251" t="s">
        <v>220</v>
      </c>
      <c r="X382" s="251">
        <v>4</v>
      </c>
      <c r="Y382" s="251">
        <v>4</v>
      </c>
      <c r="Z382" s="251">
        <v>4</v>
      </c>
      <c r="AA382" s="251">
        <v>4</v>
      </c>
      <c r="AB382" s="251">
        <v>4</v>
      </c>
      <c r="AC382" s="251" t="s">
        <v>486</v>
      </c>
      <c r="AD382" s="251" t="s">
        <v>490</v>
      </c>
      <c r="AE382" s="251" t="s">
        <v>486</v>
      </c>
      <c r="AF382" s="251" t="s">
        <v>486</v>
      </c>
      <c r="AG382" s="251" t="s">
        <v>486</v>
      </c>
      <c r="AH382" s="251" t="s">
        <v>486</v>
      </c>
      <c r="AI382" s="251" t="s">
        <v>486</v>
      </c>
      <c r="AJ382" s="251" t="s">
        <v>486</v>
      </c>
      <c r="AK382" s="251" t="s">
        <v>486</v>
      </c>
      <c r="AL382" s="251" t="s">
        <v>545</v>
      </c>
      <c r="AM382" s="251" t="s">
        <v>486</v>
      </c>
      <c r="AN382" s="251" t="s">
        <v>486</v>
      </c>
      <c r="AO382" s="253" t="s">
        <v>486</v>
      </c>
      <c r="AP382" s="252" t="s">
        <v>486</v>
      </c>
      <c r="AQ382" s="254" t="s">
        <v>486</v>
      </c>
      <c r="AR382" s="251" t="s">
        <v>486</v>
      </c>
    </row>
    <row r="383" spans="1:44" ht="15" x14ac:dyDescent="0.25">
      <c r="A383" s="245" t="str">
        <f>HYPERLINK("http://www.ofsted.gov.uk/inspection-reports/find-inspection-report/provider/ELS/122933 ","Ofsted School Webpage")</f>
        <v>Ofsted School Webpage</v>
      </c>
      <c r="B383" s="246">
        <v>122933</v>
      </c>
      <c r="C383" s="246">
        <v>8916015</v>
      </c>
      <c r="D383" s="246" t="s">
        <v>2170</v>
      </c>
      <c r="E383" s="246" t="s">
        <v>247</v>
      </c>
      <c r="F383" s="246" t="s">
        <v>93</v>
      </c>
      <c r="G383" s="246" t="s">
        <v>93</v>
      </c>
      <c r="H383" s="246" t="s">
        <v>93</v>
      </c>
      <c r="I383" s="246" t="s">
        <v>90</v>
      </c>
      <c r="J383" s="246" t="s">
        <v>1490</v>
      </c>
      <c r="K383" s="246" t="s">
        <v>486</v>
      </c>
      <c r="L383" s="246" t="s">
        <v>487</v>
      </c>
      <c r="M383" s="246" t="s">
        <v>572</v>
      </c>
      <c r="N383" s="246" t="s">
        <v>572</v>
      </c>
      <c r="O383" s="246" t="s">
        <v>852</v>
      </c>
      <c r="P383" s="246" t="s">
        <v>2171</v>
      </c>
      <c r="Q383" s="247">
        <v>10033529</v>
      </c>
      <c r="R383" s="248">
        <v>43046</v>
      </c>
      <c r="S383" s="248">
        <v>43048</v>
      </c>
      <c r="T383" s="248">
        <v>43080</v>
      </c>
      <c r="U383" s="246" t="s">
        <v>488</v>
      </c>
      <c r="V383" s="246">
        <v>2</v>
      </c>
      <c r="W383" s="246" t="s">
        <v>219</v>
      </c>
      <c r="X383" s="246">
        <v>2</v>
      </c>
      <c r="Y383" s="246">
        <v>1</v>
      </c>
      <c r="Z383" s="246">
        <v>2</v>
      </c>
      <c r="AA383" s="246">
        <v>2</v>
      </c>
      <c r="AB383" s="246">
        <v>2</v>
      </c>
      <c r="AC383" s="246" t="s">
        <v>486</v>
      </c>
      <c r="AD383" s="246" t="s">
        <v>486</v>
      </c>
      <c r="AE383" s="246" t="s">
        <v>486</v>
      </c>
      <c r="AF383" s="246" t="s">
        <v>486</v>
      </c>
      <c r="AG383" s="246" t="s">
        <v>486</v>
      </c>
      <c r="AH383" s="246" t="s">
        <v>486</v>
      </c>
      <c r="AI383" s="246" t="s">
        <v>486</v>
      </c>
      <c r="AJ383" s="246" t="s">
        <v>486</v>
      </c>
      <c r="AK383" s="246" t="s">
        <v>486</v>
      </c>
      <c r="AL383" s="246" t="s">
        <v>491</v>
      </c>
      <c r="AM383" s="246" t="s">
        <v>486</v>
      </c>
      <c r="AN383" s="246" t="s">
        <v>486</v>
      </c>
      <c r="AO383" s="248" t="s">
        <v>486</v>
      </c>
      <c r="AP383" s="247" t="s">
        <v>486</v>
      </c>
      <c r="AQ383" s="249" t="s">
        <v>486</v>
      </c>
      <c r="AR383" s="246" t="s">
        <v>486</v>
      </c>
    </row>
    <row r="384" spans="1:44" ht="15" x14ac:dyDescent="0.25">
      <c r="A384" s="250" t="str">
        <f>HYPERLINK("http://www.ofsted.gov.uk/inspection-reports/find-inspection-report/provider/ELS/125436 ","Ofsted School Webpage")</f>
        <v>Ofsted School Webpage</v>
      </c>
      <c r="B384" s="251">
        <v>125436</v>
      </c>
      <c r="C384" s="251">
        <v>9366554</v>
      </c>
      <c r="D384" s="251" t="s">
        <v>2172</v>
      </c>
      <c r="E384" s="251" t="s">
        <v>248</v>
      </c>
      <c r="F384" s="251" t="s">
        <v>93</v>
      </c>
      <c r="G384" s="251" t="s">
        <v>71</v>
      </c>
      <c r="H384" s="251" t="s">
        <v>71</v>
      </c>
      <c r="I384" s="251" t="s">
        <v>71</v>
      </c>
      <c r="J384" s="251" t="s">
        <v>1490</v>
      </c>
      <c r="K384" s="251" t="s">
        <v>486</v>
      </c>
      <c r="L384" s="251" t="s">
        <v>487</v>
      </c>
      <c r="M384" s="251" t="s">
        <v>581</v>
      </c>
      <c r="N384" s="251" t="s">
        <v>581</v>
      </c>
      <c r="O384" s="251" t="s">
        <v>788</v>
      </c>
      <c r="P384" s="251" t="s">
        <v>2173</v>
      </c>
      <c r="Q384" s="252">
        <v>10039158</v>
      </c>
      <c r="R384" s="253">
        <v>43046</v>
      </c>
      <c r="S384" s="253">
        <v>43048</v>
      </c>
      <c r="T384" s="253">
        <v>43070</v>
      </c>
      <c r="U384" s="251" t="s">
        <v>488</v>
      </c>
      <c r="V384" s="251">
        <v>2</v>
      </c>
      <c r="W384" s="251" t="s">
        <v>219</v>
      </c>
      <c r="X384" s="251">
        <v>2</v>
      </c>
      <c r="Y384" s="251">
        <v>2</v>
      </c>
      <c r="Z384" s="251">
        <v>2</v>
      </c>
      <c r="AA384" s="251">
        <v>2</v>
      </c>
      <c r="AB384" s="251" t="s">
        <v>486</v>
      </c>
      <c r="AC384" s="251" t="s">
        <v>486</v>
      </c>
      <c r="AD384" s="251" t="s">
        <v>490</v>
      </c>
      <c r="AE384" s="251" t="s">
        <v>486</v>
      </c>
      <c r="AF384" s="251" t="s">
        <v>486</v>
      </c>
      <c r="AG384" s="251" t="s">
        <v>486</v>
      </c>
      <c r="AH384" s="251" t="s">
        <v>486</v>
      </c>
      <c r="AI384" s="251" t="s">
        <v>486</v>
      </c>
      <c r="AJ384" s="251" t="s">
        <v>486</v>
      </c>
      <c r="AK384" s="251" t="s">
        <v>486</v>
      </c>
      <c r="AL384" s="251" t="s">
        <v>491</v>
      </c>
      <c r="AM384" s="251" t="s">
        <v>486</v>
      </c>
      <c r="AN384" s="251" t="s">
        <v>486</v>
      </c>
      <c r="AO384" s="253" t="s">
        <v>486</v>
      </c>
      <c r="AP384" s="252" t="s">
        <v>486</v>
      </c>
      <c r="AQ384" s="254" t="s">
        <v>486</v>
      </c>
      <c r="AR384" s="251" t="s">
        <v>486</v>
      </c>
    </row>
    <row r="385" spans="1:44" ht="15" x14ac:dyDescent="0.25">
      <c r="A385" s="245" t="str">
        <f>HYPERLINK("http://www.ofsted.gov.uk/inspection-reports/find-inspection-report/provider/ELS/134858 ","Ofsted School Webpage")</f>
        <v>Ofsted School Webpage</v>
      </c>
      <c r="B385" s="246">
        <v>134858</v>
      </c>
      <c r="C385" s="246">
        <v>8876007</v>
      </c>
      <c r="D385" s="246" t="s">
        <v>2174</v>
      </c>
      <c r="E385" s="246" t="s">
        <v>247</v>
      </c>
      <c r="F385" s="246" t="s">
        <v>93</v>
      </c>
      <c r="G385" s="246" t="s">
        <v>71</v>
      </c>
      <c r="H385" s="246" t="s">
        <v>71</v>
      </c>
      <c r="I385" s="246" t="s">
        <v>71</v>
      </c>
      <c r="J385" s="246" t="s">
        <v>1490</v>
      </c>
      <c r="K385" s="246" t="s">
        <v>486</v>
      </c>
      <c r="L385" s="246" t="s">
        <v>487</v>
      </c>
      <c r="M385" s="246" t="s">
        <v>581</v>
      </c>
      <c r="N385" s="246" t="s">
        <v>581</v>
      </c>
      <c r="O385" s="246" t="s">
        <v>794</v>
      </c>
      <c r="P385" s="246" t="s">
        <v>2175</v>
      </c>
      <c r="Q385" s="247">
        <v>10039161</v>
      </c>
      <c r="R385" s="248">
        <v>43046</v>
      </c>
      <c r="S385" s="248">
        <v>43048</v>
      </c>
      <c r="T385" s="248">
        <v>43069</v>
      </c>
      <c r="U385" s="246" t="s">
        <v>488</v>
      </c>
      <c r="V385" s="246">
        <v>3</v>
      </c>
      <c r="W385" s="246" t="s">
        <v>219</v>
      </c>
      <c r="X385" s="246">
        <v>2</v>
      </c>
      <c r="Y385" s="246">
        <v>2</v>
      </c>
      <c r="Z385" s="246">
        <v>3</v>
      </c>
      <c r="AA385" s="246">
        <v>2</v>
      </c>
      <c r="AB385" s="246">
        <v>2</v>
      </c>
      <c r="AC385" s="246" t="s">
        <v>486</v>
      </c>
      <c r="AD385" s="246" t="s">
        <v>490</v>
      </c>
      <c r="AE385" s="246" t="s">
        <v>486</v>
      </c>
      <c r="AF385" s="246" t="s">
        <v>486</v>
      </c>
      <c r="AG385" s="246" t="s">
        <v>486</v>
      </c>
      <c r="AH385" s="246" t="s">
        <v>486</v>
      </c>
      <c r="AI385" s="246" t="s">
        <v>486</v>
      </c>
      <c r="AJ385" s="246" t="s">
        <v>486</v>
      </c>
      <c r="AK385" s="246" t="s">
        <v>486</v>
      </c>
      <c r="AL385" s="246" t="s">
        <v>491</v>
      </c>
      <c r="AM385" s="246" t="s">
        <v>486</v>
      </c>
      <c r="AN385" s="246" t="s">
        <v>486</v>
      </c>
      <c r="AO385" s="248" t="s">
        <v>486</v>
      </c>
      <c r="AP385" s="247" t="s">
        <v>486</v>
      </c>
      <c r="AQ385" s="249" t="s">
        <v>486</v>
      </c>
      <c r="AR385" s="246" t="s">
        <v>486</v>
      </c>
    </row>
    <row r="386" spans="1:44" ht="15" x14ac:dyDescent="0.25">
      <c r="A386" s="250" t="str">
        <f>HYPERLINK("http://www.ofsted.gov.uk/inspection-reports/find-inspection-report/provider/ELS/135018 ","Ofsted School Webpage")</f>
        <v>Ofsted School Webpage</v>
      </c>
      <c r="B386" s="251">
        <v>135018</v>
      </c>
      <c r="C386" s="251">
        <v>8866103</v>
      </c>
      <c r="D386" s="251" t="s">
        <v>2176</v>
      </c>
      <c r="E386" s="251" t="s">
        <v>248</v>
      </c>
      <c r="F386" s="251" t="s">
        <v>93</v>
      </c>
      <c r="G386" s="251" t="s">
        <v>71</v>
      </c>
      <c r="H386" s="251" t="s">
        <v>71</v>
      </c>
      <c r="I386" s="251" t="s">
        <v>71</v>
      </c>
      <c r="J386" s="251" t="s">
        <v>1490</v>
      </c>
      <c r="K386" s="251" t="s">
        <v>486</v>
      </c>
      <c r="L386" s="251" t="s">
        <v>487</v>
      </c>
      <c r="M386" s="251" t="s">
        <v>581</v>
      </c>
      <c r="N386" s="251" t="s">
        <v>581</v>
      </c>
      <c r="O386" s="251" t="s">
        <v>694</v>
      </c>
      <c r="P386" s="251" t="s">
        <v>2177</v>
      </c>
      <c r="Q386" s="252">
        <v>10008607</v>
      </c>
      <c r="R386" s="253">
        <v>43046</v>
      </c>
      <c r="S386" s="253">
        <v>43048</v>
      </c>
      <c r="T386" s="253">
        <v>43073</v>
      </c>
      <c r="U386" s="251" t="s">
        <v>488</v>
      </c>
      <c r="V386" s="251">
        <v>2</v>
      </c>
      <c r="W386" s="251" t="s">
        <v>219</v>
      </c>
      <c r="X386" s="251">
        <v>2</v>
      </c>
      <c r="Y386" s="251">
        <v>2</v>
      </c>
      <c r="Z386" s="251">
        <v>2</v>
      </c>
      <c r="AA386" s="251">
        <v>2</v>
      </c>
      <c r="AB386" s="251" t="s">
        <v>486</v>
      </c>
      <c r="AC386" s="251" t="s">
        <v>486</v>
      </c>
      <c r="AD386" s="251" t="s">
        <v>486</v>
      </c>
      <c r="AE386" s="251" t="s">
        <v>486</v>
      </c>
      <c r="AF386" s="251" t="s">
        <v>486</v>
      </c>
      <c r="AG386" s="251" t="s">
        <v>486</v>
      </c>
      <c r="AH386" s="251" t="s">
        <v>486</v>
      </c>
      <c r="AI386" s="251" t="s">
        <v>486</v>
      </c>
      <c r="AJ386" s="251" t="s">
        <v>486</v>
      </c>
      <c r="AK386" s="251" t="s">
        <v>486</v>
      </c>
      <c r="AL386" s="251" t="s">
        <v>491</v>
      </c>
      <c r="AM386" s="251" t="s">
        <v>486</v>
      </c>
      <c r="AN386" s="251" t="s">
        <v>486</v>
      </c>
      <c r="AO386" s="253" t="s">
        <v>486</v>
      </c>
      <c r="AP386" s="252" t="s">
        <v>486</v>
      </c>
      <c r="AQ386" s="254" t="s">
        <v>486</v>
      </c>
      <c r="AR386" s="251" t="s">
        <v>486</v>
      </c>
    </row>
    <row r="387" spans="1:44" ht="15" x14ac:dyDescent="0.25">
      <c r="A387" s="245" t="str">
        <f>HYPERLINK("http://www.ofsted.gov.uk/inspection-reports/find-inspection-report/provider/ELS/136210 ","Ofsted School Webpage")</f>
        <v>Ofsted School Webpage</v>
      </c>
      <c r="B387" s="246">
        <v>136210</v>
      </c>
      <c r="C387" s="246">
        <v>8526011</v>
      </c>
      <c r="D387" s="246" t="s">
        <v>2178</v>
      </c>
      <c r="E387" s="246" t="s">
        <v>247</v>
      </c>
      <c r="F387" s="246" t="s">
        <v>83</v>
      </c>
      <c r="G387" s="246" t="s">
        <v>84</v>
      </c>
      <c r="H387" s="246" t="s">
        <v>83</v>
      </c>
      <c r="I387" s="246" t="s">
        <v>84</v>
      </c>
      <c r="J387" s="246" t="s">
        <v>1490</v>
      </c>
      <c r="K387" s="246" t="s">
        <v>486</v>
      </c>
      <c r="L387" s="246" t="s">
        <v>487</v>
      </c>
      <c r="M387" s="246" t="s">
        <v>581</v>
      </c>
      <c r="N387" s="246" t="s">
        <v>581</v>
      </c>
      <c r="O387" s="246" t="s">
        <v>1132</v>
      </c>
      <c r="P387" s="246" t="s">
        <v>2179</v>
      </c>
      <c r="Q387" s="247">
        <v>10033954</v>
      </c>
      <c r="R387" s="248">
        <v>43046</v>
      </c>
      <c r="S387" s="248">
        <v>43048</v>
      </c>
      <c r="T387" s="248">
        <v>43069</v>
      </c>
      <c r="U387" s="246" t="s">
        <v>488</v>
      </c>
      <c r="V387" s="246">
        <v>3</v>
      </c>
      <c r="W387" s="246" t="s">
        <v>219</v>
      </c>
      <c r="X387" s="246">
        <v>3</v>
      </c>
      <c r="Y387" s="246">
        <v>1</v>
      </c>
      <c r="Z387" s="246">
        <v>3</v>
      </c>
      <c r="AA387" s="246">
        <v>3</v>
      </c>
      <c r="AB387" s="246" t="s">
        <v>486</v>
      </c>
      <c r="AC387" s="246" t="s">
        <v>486</v>
      </c>
      <c r="AD387" s="246" t="s">
        <v>486</v>
      </c>
      <c r="AE387" s="246" t="s">
        <v>486</v>
      </c>
      <c r="AF387" s="246" t="s">
        <v>486</v>
      </c>
      <c r="AG387" s="246" t="s">
        <v>486</v>
      </c>
      <c r="AH387" s="246" t="s">
        <v>486</v>
      </c>
      <c r="AI387" s="246" t="s">
        <v>486</v>
      </c>
      <c r="AJ387" s="246" t="s">
        <v>486</v>
      </c>
      <c r="AK387" s="246" t="s">
        <v>486</v>
      </c>
      <c r="AL387" s="246" t="s">
        <v>491</v>
      </c>
      <c r="AM387" s="246" t="s">
        <v>486</v>
      </c>
      <c r="AN387" s="246" t="s">
        <v>486</v>
      </c>
      <c r="AO387" s="248" t="s">
        <v>486</v>
      </c>
      <c r="AP387" s="247" t="s">
        <v>486</v>
      </c>
      <c r="AQ387" s="249" t="s">
        <v>486</v>
      </c>
      <c r="AR387" s="246" t="s">
        <v>486</v>
      </c>
    </row>
    <row r="388" spans="1:44" ht="15" x14ac:dyDescent="0.25">
      <c r="A388" s="250" t="str">
        <f>HYPERLINK("http://www.ofsted.gov.uk/inspection-reports/find-inspection-report/provider/ELS/137571 ","Ofsted School Webpage")</f>
        <v>Ofsted School Webpage</v>
      </c>
      <c r="B388" s="251">
        <v>137571</v>
      </c>
      <c r="C388" s="251">
        <v>3326007</v>
      </c>
      <c r="D388" s="251" t="s">
        <v>2180</v>
      </c>
      <c r="E388" s="251" t="s">
        <v>247</v>
      </c>
      <c r="F388" s="251" t="s">
        <v>93</v>
      </c>
      <c r="G388" s="251" t="s">
        <v>93</v>
      </c>
      <c r="H388" s="251" t="s">
        <v>93</v>
      </c>
      <c r="I388" s="251" t="s">
        <v>90</v>
      </c>
      <c r="J388" s="251" t="s">
        <v>1490</v>
      </c>
      <c r="K388" s="251" t="s">
        <v>486</v>
      </c>
      <c r="L388" s="251" t="s">
        <v>487</v>
      </c>
      <c r="M388" s="251" t="s">
        <v>502</v>
      </c>
      <c r="N388" s="251" t="s">
        <v>502</v>
      </c>
      <c r="O388" s="251" t="s">
        <v>699</v>
      </c>
      <c r="P388" s="251" t="s">
        <v>2181</v>
      </c>
      <c r="Q388" s="252">
        <v>10006094</v>
      </c>
      <c r="R388" s="253">
        <v>43046</v>
      </c>
      <c r="S388" s="253">
        <v>43048</v>
      </c>
      <c r="T388" s="253">
        <v>43069</v>
      </c>
      <c r="U388" s="251" t="s">
        <v>488</v>
      </c>
      <c r="V388" s="251">
        <v>2</v>
      </c>
      <c r="W388" s="251" t="s">
        <v>219</v>
      </c>
      <c r="X388" s="251">
        <v>2</v>
      </c>
      <c r="Y388" s="251">
        <v>2</v>
      </c>
      <c r="Z388" s="251">
        <v>2</v>
      </c>
      <c r="AA388" s="251">
        <v>1</v>
      </c>
      <c r="AB388" s="251" t="s">
        <v>486</v>
      </c>
      <c r="AC388" s="251" t="s">
        <v>486</v>
      </c>
      <c r="AD388" s="251" t="s">
        <v>486</v>
      </c>
      <c r="AE388" s="251" t="s">
        <v>486</v>
      </c>
      <c r="AF388" s="251" t="s">
        <v>486</v>
      </c>
      <c r="AG388" s="251" t="s">
        <v>486</v>
      </c>
      <c r="AH388" s="251" t="s">
        <v>486</v>
      </c>
      <c r="AI388" s="251" t="s">
        <v>486</v>
      </c>
      <c r="AJ388" s="251" t="s">
        <v>486</v>
      </c>
      <c r="AK388" s="251" t="s">
        <v>486</v>
      </c>
      <c r="AL388" s="251" t="s">
        <v>491</v>
      </c>
      <c r="AM388" s="251" t="s">
        <v>486</v>
      </c>
      <c r="AN388" s="251" t="s">
        <v>486</v>
      </c>
      <c r="AO388" s="253" t="s">
        <v>486</v>
      </c>
      <c r="AP388" s="252" t="s">
        <v>486</v>
      </c>
      <c r="AQ388" s="254" t="s">
        <v>486</v>
      </c>
      <c r="AR388" s="251" t="s">
        <v>486</v>
      </c>
    </row>
    <row r="389" spans="1:44" ht="15" x14ac:dyDescent="0.25">
      <c r="A389" s="245" t="str">
        <f>HYPERLINK("http://www.ofsted.gov.uk/inspection-reports/find-inspection-report/provider/ELS/138408 ","Ofsted School Webpage")</f>
        <v>Ofsted School Webpage</v>
      </c>
      <c r="B389" s="246">
        <v>138408</v>
      </c>
      <c r="C389" s="246">
        <v>8866139</v>
      </c>
      <c r="D389" s="246" t="s">
        <v>2182</v>
      </c>
      <c r="E389" s="246" t="s">
        <v>248</v>
      </c>
      <c r="F389" s="246" t="s">
        <v>93</v>
      </c>
      <c r="G389" s="246" t="s">
        <v>93</v>
      </c>
      <c r="H389" s="246" t="s">
        <v>93</v>
      </c>
      <c r="I389" s="246" t="s">
        <v>90</v>
      </c>
      <c r="J389" s="246" t="s">
        <v>1490</v>
      </c>
      <c r="K389" s="246" t="s">
        <v>486</v>
      </c>
      <c r="L389" s="246" t="s">
        <v>487</v>
      </c>
      <c r="M389" s="246" t="s">
        <v>581</v>
      </c>
      <c r="N389" s="246" t="s">
        <v>581</v>
      </c>
      <c r="O389" s="246" t="s">
        <v>694</v>
      </c>
      <c r="P389" s="246" t="s">
        <v>2183</v>
      </c>
      <c r="Q389" s="247">
        <v>10012918</v>
      </c>
      <c r="R389" s="248">
        <v>43046</v>
      </c>
      <c r="S389" s="248">
        <v>43048</v>
      </c>
      <c r="T389" s="248">
        <v>43068</v>
      </c>
      <c r="U389" s="246" t="s">
        <v>488</v>
      </c>
      <c r="V389" s="246">
        <v>3</v>
      </c>
      <c r="W389" s="246" t="s">
        <v>219</v>
      </c>
      <c r="X389" s="246">
        <v>3</v>
      </c>
      <c r="Y389" s="246">
        <v>2</v>
      </c>
      <c r="Z389" s="246">
        <v>3</v>
      </c>
      <c r="AA389" s="246">
        <v>3</v>
      </c>
      <c r="AB389" s="246" t="s">
        <v>486</v>
      </c>
      <c r="AC389" s="246">
        <v>3</v>
      </c>
      <c r="AD389" s="246" t="s">
        <v>486</v>
      </c>
      <c r="AE389" s="246" t="s">
        <v>486</v>
      </c>
      <c r="AF389" s="246" t="s">
        <v>486</v>
      </c>
      <c r="AG389" s="246" t="s">
        <v>486</v>
      </c>
      <c r="AH389" s="246" t="s">
        <v>486</v>
      </c>
      <c r="AI389" s="246" t="s">
        <v>486</v>
      </c>
      <c r="AJ389" s="246" t="s">
        <v>486</v>
      </c>
      <c r="AK389" s="246" t="s">
        <v>486</v>
      </c>
      <c r="AL389" s="246" t="s">
        <v>491</v>
      </c>
      <c r="AM389" s="246" t="s">
        <v>486</v>
      </c>
      <c r="AN389" s="246" t="s">
        <v>486</v>
      </c>
      <c r="AO389" s="248" t="s">
        <v>486</v>
      </c>
      <c r="AP389" s="247" t="s">
        <v>486</v>
      </c>
      <c r="AQ389" s="249" t="s">
        <v>486</v>
      </c>
      <c r="AR389" s="246" t="s">
        <v>486</v>
      </c>
    </row>
    <row r="390" spans="1:44" ht="15" x14ac:dyDescent="0.25">
      <c r="A390" s="250" t="str">
        <f>HYPERLINK("http://www.ofsted.gov.uk/inspection-reports/find-inspection-report/provider/ELS/139331 ","Ofsted School Webpage")</f>
        <v>Ofsted School Webpage</v>
      </c>
      <c r="B390" s="251">
        <v>139331</v>
      </c>
      <c r="C390" s="251">
        <v>2096000</v>
      </c>
      <c r="D390" s="251" t="s">
        <v>2184</v>
      </c>
      <c r="E390" s="251" t="s">
        <v>247</v>
      </c>
      <c r="F390" s="251" t="s">
        <v>93</v>
      </c>
      <c r="G390" s="251" t="s">
        <v>93</v>
      </c>
      <c r="H390" s="251" t="s">
        <v>93</v>
      </c>
      <c r="I390" s="251" t="s">
        <v>90</v>
      </c>
      <c r="J390" s="251" t="s">
        <v>1490</v>
      </c>
      <c r="K390" s="251" t="s">
        <v>486</v>
      </c>
      <c r="L390" s="251" t="s">
        <v>487</v>
      </c>
      <c r="M390" s="251" t="s">
        <v>506</v>
      </c>
      <c r="N390" s="251" t="s">
        <v>506</v>
      </c>
      <c r="O390" s="251" t="s">
        <v>739</v>
      </c>
      <c r="P390" s="251" t="s">
        <v>2185</v>
      </c>
      <c r="Q390" s="252">
        <v>10026297</v>
      </c>
      <c r="R390" s="253">
        <v>43046</v>
      </c>
      <c r="S390" s="253">
        <v>43048</v>
      </c>
      <c r="T390" s="253">
        <v>43080</v>
      </c>
      <c r="U390" s="251" t="s">
        <v>488</v>
      </c>
      <c r="V390" s="251">
        <v>2</v>
      </c>
      <c r="W390" s="251" t="s">
        <v>219</v>
      </c>
      <c r="X390" s="251">
        <v>2</v>
      </c>
      <c r="Y390" s="251">
        <v>2</v>
      </c>
      <c r="Z390" s="251">
        <v>2</v>
      </c>
      <c r="AA390" s="251">
        <v>2</v>
      </c>
      <c r="AB390" s="251">
        <v>2</v>
      </c>
      <c r="AC390" s="251" t="s">
        <v>486</v>
      </c>
      <c r="AD390" s="251" t="s">
        <v>490</v>
      </c>
      <c r="AE390" s="251" t="s">
        <v>486</v>
      </c>
      <c r="AF390" s="251" t="s">
        <v>486</v>
      </c>
      <c r="AG390" s="251" t="s">
        <v>486</v>
      </c>
      <c r="AH390" s="251" t="s">
        <v>486</v>
      </c>
      <c r="AI390" s="251" t="s">
        <v>486</v>
      </c>
      <c r="AJ390" s="251" t="s">
        <v>486</v>
      </c>
      <c r="AK390" s="251" t="s">
        <v>486</v>
      </c>
      <c r="AL390" s="251" t="s">
        <v>491</v>
      </c>
      <c r="AM390" s="251" t="s">
        <v>486</v>
      </c>
      <c r="AN390" s="251" t="s">
        <v>486</v>
      </c>
      <c r="AO390" s="253" t="s">
        <v>486</v>
      </c>
      <c r="AP390" s="252" t="s">
        <v>486</v>
      </c>
      <c r="AQ390" s="254" t="s">
        <v>486</v>
      </c>
      <c r="AR390" s="251" t="s">
        <v>486</v>
      </c>
    </row>
    <row r="391" spans="1:44" ht="15" x14ac:dyDescent="0.25">
      <c r="A391" s="245" t="str">
        <f>HYPERLINK("http://www.ofsted.gov.uk/inspection-reports/find-inspection-report/provider/ELS/140273 ","Ofsted School Webpage")</f>
        <v>Ofsted School Webpage</v>
      </c>
      <c r="B391" s="246">
        <v>140273</v>
      </c>
      <c r="C391" s="246">
        <v>3356002</v>
      </c>
      <c r="D391" s="246" t="s">
        <v>2186</v>
      </c>
      <c r="E391" s="246" t="s">
        <v>248</v>
      </c>
      <c r="F391" s="246" t="s">
        <v>93</v>
      </c>
      <c r="G391" s="246" t="s">
        <v>93</v>
      </c>
      <c r="H391" s="246" t="s">
        <v>93</v>
      </c>
      <c r="I391" s="246" t="s">
        <v>90</v>
      </c>
      <c r="J391" s="246" t="s">
        <v>1490</v>
      </c>
      <c r="K391" s="246" t="s">
        <v>486</v>
      </c>
      <c r="L391" s="246" t="s">
        <v>487</v>
      </c>
      <c r="M391" s="246" t="s">
        <v>502</v>
      </c>
      <c r="N391" s="246" t="s">
        <v>502</v>
      </c>
      <c r="O391" s="246" t="s">
        <v>2187</v>
      </c>
      <c r="P391" s="246" t="s">
        <v>607</v>
      </c>
      <c r="Q391" s="247">
        <v>10026238</v>
      </c>
      <c r="R391" s="248">
        <v>43046</v>
      </c>
      <c r="S391" s="248">
        <v>43048</v>
      </c>
      <c r="T391" s="248">
        <v>43090</v>
      </c>
      <c r="U391" s="246" t="s">
        <v>2930</v>
      </c>
      <c r="V391" s="246">
        <v>2</v>
      </c>
      <c r="W391" s="246" t="s">
        <v>219</v>
      </c>
      <c r="X391" s="246">
        <v>2</v>
      </c>
      <c r="Y391" s="246">
        <v>2</v>
      </c>
      <c r="Z391" s="246">
        <v>2</v>
      </c>
      <c r="AA391" s="246">
        <v>2</v>
      </c>
      <c r="AB391" s="246" t="s">
        <v>486</v>
      </c>
      <c r="AC391" s="246" t="s">
        <v>486</v>
      </c>
      <c r="AD391" s="246" t="s">
        <v>490</v>
      </c>
      <c r="AE391" s="246" t="s">
        <v>486</v>
      </c>
      <c r="AF391" s="246" t="s">
        <v>486</v>
      </c>
      <c r="AG391" s="246" t="s">
        <v>486</v>
      </c>
      <c r="AH391" s="246" t="s">
        <v>486</v>
      </c>
      <c r="AI391" s="246" t="s">
        <v>486</v>
      </c>
      <c r="AJ391" s="246" t="s">
        <v>486</v>
      </c>
      <c r="AK391" s="246" t="s">
        <v>486</v>
      </c>
      <c r="AL391" s="246" t="s">
        <v>491</v>
      </c>
      <c r="AM391" s="246" t="s">
        <v>486</v>
      </c>
      <c r="AN391" s="246" t="s">
        <v>486</v>
      </c>
      <c r="AO391" s="248" t="s">
        <v>486</v>
      </c>
      <c r="AP391" s="247" t="s">
        <v>486</v>
      </c>
      <c r="AQ391" s="249" t="s">
        <v>486</v>
      </c>
      <c r="AR391" s="246" t="s">
        <v>486</v>
      </c>
    </row>
    <row r="392" spans="1:44" ht="15" x14ac:dyDescent="0.25">
      <c r="A392" s="250" t="str">
        <f>HYPERLINK("http://www.ofsted.gov.uk/inspection-reports/find-inspection-report/provider/ELS/142621 ","Ofsted School Webpage")</f>
        <v>Ofsted School Webpage</v>
      </c>
      <c r="B392" s="251">
        <v>142621</v>
      </c>
      <c r="C392" s="251">
        <v>3066016</v>
      </c>
      <c r="D392" s="251" t="s">
        <v>2188</v>
      </c>
      <c r="E392" s="251" t="s">
        <v>248</v>
      </c>
      <c r="F392" s="251" t="s">
        <v>93</v>
      </c>
      <c r="G392" s="251" t="s">
        <v>93</v>
      </c>
      <c r="H392" s="251" t="s">
        <v>93</v>
      </c>
      <c r="I392" s="251" t="s">
        <v>90</v>
      </c>
      <c r="J392" s="251" t="s">
        <v>1490</v>
      </c>
      <c r="K392" s="251" t="s">
        <v>486</v>
      </c>
      <c r="L392" s="251" t="s">
        <v>487</v>
      </c>
      <c r="M392" s="251" t="s">
        <v>506</v>
      </c>
      <c r="N392" s="251" t="s">
        <v>506</v>
      </c>
      <c r="O392" s="251" t="s">
        <v>826</v>
      </c>
      <c r="P392" s="251" t="s">
        <v>2189</v>
      </c>
      <c r="Q392" s="252">
        <v>10035816</v>
      </c>
      <c r="R392" s="253">
        <v>43046</v>
      </c>
      <c r="S392" s="253">
        <v>43048</v>
      </c>
      <c r="T392" s="253">
        <v>43077</v>
      </c>
      <c r="U392" s="251" t="s">
        <v>499</v>
      </c>
      <c r="V392" s="251">
        <v>3</v>
      </c>
      <c r="W392" s="251" t="s">
        <v>219</v>
      </c>
      <c r="X392" s="251">
        <v>2</v>
      </c>
      <c r="Y392" s="251">
        <v>2</v>
      </c>
      <c r="Z392" s="251">
        <v>3</v>
      </c>
      <c r="AA392" s="251">
        <v>3</v>
      </c>
      <c r="AB392" s="251" t="s">
        <v>486</v>
      </c>
      <c r="AC392" s="251" t="s">
        <v>486</v>
      </c>
      <c r="AD392" s="251" t="s">
        <v>490</v>
      </c>
      <c r="AE392" s="251" t="s">
        <v>486</v>
      </c>
      <c r="AF392" s="251" t="s">
        <v>486</v>
      </c>
      <c r="AG392" s="251" t="s">
        <v>486</v>
      </c>
      <c r="AH392" s="251" t="s">
        <v>486</v>
      </c>
      <c r="AI392" s="251" t="s">
        <v>486</v>
      </c>
      <c r="AJ392" s="251" t="s">
        <v>486</v>
      </c>
      <c r="AK392" s="251" t="s">
        <v>486</v>
      </c>
      <c r="AL392" s="251" t="s">
        <v>491</v>
      </c>
      <c r="AM392" s="251" t="s">
        <v>486</v>
      </c>
      <c r="AN392" s="251" t="s">
        <v>486</v>
      </c>
      <c r="AO392" s="253" t="s">
        <v>486</v>
      </c>
      <c r="AP392" s="252" t="s">
        <v>486</v>
      </c>
      <c r="AQ392" s="254" t="s">
        <v>486</v>
      </c>
      <c r="AR392" s="251" t="s">
        <v>486</v>
      </c>
    </row>
    <row r="393" spans="1:44" ht="15" x14ac:dyDescent="0.25">
      <c r="A393" s="245" t="str">
        <f>HYPERLINK("http://www.ofsted.gov.uk/inspection-reports/find-inspection-report/provider/ELS/143037 ","Ofsted School Webpage")</f>
        <v>Ofsted School Webpage</v>
      </c>
      <c r="B393" s="246">
        <v>143037</v>
      </c>
      <c r="C393" s="246">
        <v>3026008</v>
      </c>
      <c r="D393" s="246" t="s">
        <v>2190</v>
      </c>
      <c r="E393" s="246" t="s">
        <v>247</v>
      </c>
      <c r="F393" s="246" t="s">
        <v>93</v>
      </c>
      <c r="G393" s="246" t="s">
        <v>79</v>
      </c>
      <c r="H393" s="246" t="s">
        <v>79</v>
      </c>
      <c r="I393" s="246" t="s">
        <v>71</v>
      </c>
      <c r="J393" s="246" t="s">
        <v>1490</v>
      </c>
      <c r="K393" s="246" t="s">
        <v>486</v>
      </c>
      <c r="L393" s="246" t="s">
        <v>487</v>
      </c>
      <c r="M393" s="246" t="s">
        <v>506</v>
      </c>
      <c r="N393" s="246" t="s">
        <v>506</v>
      </c>
      <c r="O393" s="246" t="s">
        <v>614</v>
      </c>
      <c r="P393" s="246" t="s">
        <v>2191</v>
      </c>
      <c r="Q393" s="247">
        <v>10026629</v>
      </c>
      <c r="R393" s="248">
        <v>43046</v>
      </c>
      <c r="S393" s="248">
        <v>43048</v>
      </c>
      <c r="T393" s="248">
        <v>43084</v>
      </c>
      <c r="U393" s="246" t="s">
        <v>499</v>
      </c>
      <c r="V393" s="246">
        <v>1</v>
      </c>
      <c r="W393" s="246" t="s">
        <v>219</v>
      </c>
      <c r="X393" s="246">
        <v>1</v>
      </c>
      <c r="Y393" s="246">
        <v>1</v>
      </c>
      <c r="Z393" s="246">
        <v>1</v>
      </c>
      <c r="AA393" s="246">
        <v>1</v>
      </c>
      <c r="AB393" s="246">
        <v>1</v>
      </c>
      <c r="AC393" s="246" t="s">
        <v>486</v>
      </c>
      <c r="AD393" s="246" t="s">
        <v>486</v>
      </c>
      <c r="AE393" s="246" t="s">
        <v>486</v>
      </c>
      <c r="AF393" s="246" t="s">
        <v>486</v>
      </c>
      <c r="AG393" s="246" t="s">
        <v>486</v>
      </c>
      <c r="AH393" s="246" t="s">
        <v>486</v>
      </c>
      <c r="AI393" s="246" t="s">
        <v>486</v>
      </c>
      <c r="AJ393" s="246" t="s">
        <v>486</v>
      </c>
      <c r="AK393" s="246" t="s">
        <v>486</v>
      </c>
      <c r="AL393" s="246" t="s">
        <v>491</v>
      </c>
      <c r="AM393" s="246" t="s">
        <v>486</v>
      </c>
      <c r="AN393" s="246" t="s">
        <v>486</v>
      </c>
      <c r="AO393" s="248" t="s">
        <v>486</v>
      </c>
      <c r="AP393" s="247" t="s">
        <v>486</v>
      </c>
      <c r="AQ393" s="249" t="s">
        <v>486</v>
      </c>
      <c r="AR393" s="246" t="s">
        <v>486</v>
      </c>
    </row>
    <row r="394" spans="1:44" ht="15" x14ac:dyDescent="0.25">
      <c r="A394" s="250" t="str">
        <f>HYPERLINK("http://www.ofsted.gov.uk/inspection-reports/find-inspection-report/provider/ELS/110920 ","Ofsted School Webpage")</f>
        <v>Ofsted School Webpage</v>
      </c>
      <c r="B394" s="251">
        <v>110920</v>
      </c>
      <c r="C394" s="251">
        <v>8736008</v>
      </c>
      <c r="D394" s="251" t="s">
        <v>2192</v>
      </c>
      <c r="E394" s="251" t="s">
        <v>248</v>
      </c>
      <c r="F394" s="251" t="s">
        <v>93</v>
      </c>
      <c r="G394" s="251" t="s">
        <v>93</v>
      </c>
      <c r="H394" s="251" t="s">
        <v>93</v>
      </c>
      <c r="I394" s="251" t="s">
        <v>90</v>
      </c>
      <c r="J394" s="251" t="s">
        <v>1490</v>
      </c>
      <c r="K394" s="251" t="s">
        <v>486</v>
      </c>
      <c r="L394" s="251" t="s">
        <v>487</v>
      </c>
      <c r="M394" s="251" t="s">
        <v>516</v>
      </c>
      <c r="N394" s="251" t="s">
        <v>516</v>
      </c>
      <c r="O394" s="251" t="s">
        <v>867</v>
      </c>
      <c r="P394" s="251" t="s">
        <v>2193</v>
      </c>
      <c r="Q394" s="252">
        <v>10020932</v>
      </c>
      <c r="R394" s="253">
        <v>43047</v>
      </c>
      <c r="S394" s="253">
        <v>43049</v>
      </c>
      <c r="T394" s="253">
        <v>43082</v>
      </c>
      <c r="U394" s="251" t="s">
        <v>488</v>
      </c>
      <c r="V394" s="251">
        <v>2</v>
      </c>
      <c r="W394" s="251" t="s">
        <v>219</v>
      </c>
      <c r="X394" s="251">
        <v>2</v>
      </c>
      <c r="Y394" s="251">
        <v>2</v>
      </c>
      <c r="Z394" s="251">
        <v>2</v>
      </c>
      <c r="AA394" s="251">
        <v>2</v>
      </c>
      <c r="AB394" s="251" t="s">
        <v>486</v>
      </c>
      <c r="AC394" s="251">
        <v>2</v>
      </c>
      <c r="AD394" s="251" t="s">
        <v>486</v>
      </c>
      <c r="AE394" s="251" t="s">
        <v>486</v>
      </c>
      <c r="AF394" s="251" t="s">
        <v>486</v>
      </c>
      <c r="AG394" s="251" t="s">
        <v>486</v>
      </c>
      <c r="AH394" s="251" t="s">
        <v>486</v>
      </c>
      <c r="AI394" s="251" t="s">
        <v>486</v>
      </c>
      <c r="AJ394" s="251" t="s">
        <v>486</v>
      </c>
      <c r="AK394" s="251" t="s">
        <v>486</v>
      </c>
      <c r="AL394" s="251" t="s">
        <v>491</v>
      </c>
      <c r="AM394" s="251" t="s">
        <v>486</v>
      </c>
      <c r="AN394" s="251" t="s">
        <v>486</v>
      </c>
      <c r="AO394" s="253" t="s">
        <v>486</v>
      </c>
      <c r="AP394" s="252" t="s">
        <v>486</v>
      </c>
      <c r="AQ394" s="254" t="s">
        <v>486</v>
      </c>
      <c r="AR394" s="251" t="s">
        <v>486</v>
      </c>
    </row>
    <row r="395" spans="1:44" ht="15" x14ac:dyDescent="0.25">
      <c r="A395" s="245" t="str">
        <f>HYPERLINK("http://www.ofsted.gov.uk/inspection-reports/find-inspection-report/provider/ELS/100982 ","Ofsted School Webpage")</f>
        <v>Ofsted School Webpage</v>
      </c>
      <c r="B395" s="246">
        <v>100982</v>
      </c>
      <c r="C395" s="246">
        <v>2116383</v>
      </c>
      <c r="D395" s="246" t="s">
        <v>2194</v>
      </c>
      <c r="E395" s="246" t="s">
        <v>247</v>
      </c>
      <c r="F395" s="246" t="s">
        <v>93</v>
      </c>
      <c r="G395" s="246" t="s">
        <v>84</v>
      </c>
      <c r="H395" s="246" t="s">
        <v>84</v>
      </c>
      <c r="I395" s="246" t="s">
        <v>84</v>
      </c>
      <c r="J395" s="246" t="s">
        <v>1490</v>
      </c>
      <c r="K395" s="246" t="s">
        <v>486</v>
      </c>
      <c r="L395" s="246" t="s">
        <v>487</v>
      </c>
      <c r="M395" s="246" t="s">
        <v>506</v>
      </c>
      <c r="N395" s="246" t="s">
        <v>506</v>
      </c>
      <c r="O395" s="246" t="s">
        <v>849</v>
      </c>
      <c r="P395" s="246" t="s">
        <v>2195</v>
      </c>
      <c r="Q395" s="247">
        <v>10026274</v>
      </c>
      <c r="R395" s="248">
        <v>43053</v>
      </c>
      <c r="S395" s="248">
        <v>43055</v>
      </c>
      <c r="T395" s="248">
        <v>43089</v>
      </c>
      <c r="U395" s="246" t="s">
        <v>488</v>
      </c>
      <c r="V395" s="246">
        <v>2</v>
      </c>
      <c r="W395" s="246" t="s">
        <v>219</v>
      </c>
      <c r="X395" s="246">
        <v>2</v>
      </c>
      <c r="Y395" s="246">
        <v>2</v>
      </c>
      <c r="Z395" s="246">
        <v>2</v>
      </c>
      <c r="AA395" s="246">
        <v>2</v>
      </c>
      <c r="AB395" s="246" t="s">
        <v>486</v>
      </c>
      <c r="AC395" s="246">
        <v>0</v>
      </c>
      <c r="AD395" s="246" t="s">
        <v>490</v>
      </c>
      <c r="AE395" s="246" t="s">
        <v>486</v>
      </c>
      <c r="AF395" s="246" t="s">
        <v>486</v>
      </c>
      <c r="AG395" s="246" t="s">
        <v>486</v>
      </c>
      <c r="AH395" s="246" t="s">
        <v>486</v>
      </c>
      <c r="AI395" s="246" t="s">
        <v>486</v>
      </c>
      <c r="AJ395" s="246" t="s">
        <v>486</v>
      </c>
      <c r="AK395" s="246" t="s">
        <v>486</v>
      </c>
      <c r="AL395" s="246" t="s">
        <v>491</v>
      </c>
      <c r="AM395" s="246" t="s">
        <v>486</v>
      </c>
      <c r="AN395" s="246" t="s">
        <v>486</v>
      </c>
      <c r="AO395" s="248" t="s">
        <v>486</v>
      </c>
      <c r="AP395" s="247" t="s">
        <v>486</v>
      </c>
      <c r="AQ395" s="249" t="s">
        <v>486</v>
      </c>
      <c r="AR395" s="246" t="s">
        <v>486</v>
      </c>
    </row>
    <row r="396" spans="1:44" ht="15" x14ac:dyDescent="0.25">
      <c r="A396" s="250" t="str">
        <f>HYPERLINK("http://www.ofsted.gov.uk/inspection-reports/find-inspection-report/provider/ELS/101964 ","Ofsted School Webpage")</f>
        <v>Ofsted School Webpage</v>
      </c>
      <c r="B396" s="251">
        <v>101964</v>
      </c>
      <c r="C396" s="251">
        <v>3136003</v>
      </c>
      <c r="D396" s="251" t="s">
        <v>2196</v>
      </c>
      <c r="E396" s="251" t="s">
        <v>247</v>
      </c>
      <c r="F396" s="251" t="s">
        <v>93</v>
      </c>
      <c r="G396" s="251" t="s">
        <v>78</v>
      </c>
      <c r="H396" s="251" t="s">
        <v>78</v>
      </c>
      <c r="I396" s="251" t="s">
        <v>71</v>
      </c>
      <c r="J396" s="251" t="s">
        <v>1490</v>
      </c>
      <c r="K396" s="251" t="s">
        <v>486</v>
      </c>
      <c r="L396" s="251" t="s">
        <v>487</v>
      </c>
      <c r="M396" s="251" t="s">
        <v>506</v>
      </c>
      <c r="N396" s="251" t="s">
        <v>506</v>
      </c>
      <c r="O396" s="251" t="s">
        <v>813</v>
      </c>
      <c r="P396" s="251" t="s">
        <v>2197</v>
      </c>
      <c r="Q396" s="252">
        <v>10026278</v>
      </c>
      <c r="R396" s="253">
        <v>43053</v>
      </c>
      <c r="S396" s="253">
        <v>43055</v>
      </c>
      <c r="T396" s="253">
        <v>43077</v>
      </c>
      <c r="U396" s="251" t="s">
        <v>488</v>
      </c>
      <c r="V396" s="251">
        <v>3</v>
      </c>
      <c r="W396" s="251" t="s">
        <v>219</v>
      </c>
      <c r="X396" s="251">
        <v>3</v>
      </c>
      <c r="Y396" s="251">
        <v>3</v>
      </c>
      <c r="Z396" s="251">
        <v>3</v>
      </c>
      <c r="AA396" s="251">
        <v>3</v>
      </c>
      <c r="AB396" s="251">
        <v>3</v>
      </c>
      <c r="AC396" s="251" t="s">
        <v>486</v>
      </c>
      <c r="AD396" s="251" t="s">
        <v>512</v>
      </c>
      <c r="AE396" s="251" t="s">
        <v>490</v>
      </c>
      <c r="AF396" s="251" t="s">
        <v>486</v>
      </c>
      <c r="AG396" s="251" t="s">
        <v>490</v>
      </c>
      <c r="AH396" s="251" t="s">
        <v>486</v>
      </c>
      <c r="AI396" s="251" t="s">
        <v>486</v>
      </c>
      <c r="AJ396" s="251" t="s">
        <v>486</v>
      </c>
      <c r="AK396" s="251" t="s">
        <v>486</v>
      </c>
      <c r="AL396" s="251" t="s">
        <v>491</v>
      </c>
      <c r="AM396" s="251" t="s">
        <v>486</v>
      </c>
      <c r="AN396" s="251" t="s">
        <v>486</v>
      </c>
      <c r="AO396" s="253" t="s">
        <v>486</v>
      </c>
      <c r="AP396" s="252" t="s">
        <v>486</v>
      </c>
      <c r="AQ396" s="254" t="s">
        <v>486</v>
      </c>
      <c r="AR396" s="251" t="s">
        <v>486</v>
      </c>
    </row>
    <row r="397" spans="1:44" ht="15" x14ac:dyDescent="0.25">
      <c r="A397" s="245" t="str">
        <f>HYPERLINK("http://www.ofsted.gov.uk/inspection-reports/find-inspection-report/provider/ELS/115810 ","Ofsted School Webpage")</f>
        <v>Ofsted School Webpage</v>
      </c>
      <c r="B397" s="246">
        <v>115810</v>
      </c>
      <c r="C397" s="246">
        <v>9166073</v>
      </c>
      <c r="D397" s="246" t="s">
        <v>2198</v>
      </c>
      <c r="E397" s="246" t="s">
        <v>247</v>
      </c>
      <c r="F397" s="246" t="s">
        <v>93</v>
      </c>
      <c r="G397" s="246" t="s">
        <v>84</v>
      </c>
      <c r="H397" s="246" t="s">
        <v>84</v>
      </c>
      <c r="I397" s="246" t="s">
        <v>84</v>
      </c>
      <c r="J397" s="246" t="s">
        <v>1490</v>
      </c>
      <c r="K397" s="246" t="s">
        <v>486</v>
      </c>
      <c r="L397" s="246" t="s">
        <v>487</v>
      </c>
      <c r="M397" s="246" t="s">
        <v>483</v>
      </c>
      <c r="N397" s="246" t="s">
        <v>483</v>
      </c>
      <c r="O397" s="246" t="s">
        <v>948</v>
      </c>
      <c r="P397" s="246" t="s">
        <v>2199</v>
      </c>
      <c r="Q397" s="247">
        <v>10033886</v>
      </c>
      <c r="R397" s="248">
        <v>43053</v>
      </c>
      <c r="S397" s="248">
        <v>43055</v>
      </c>
      <c r="T397" s="248">
        <v>43109</v>
      </c>
      <c r="U397" s="246" t="s">
        <v>488</v>
      </c>
      <c r="V397" s="246">
        <v>3</v>
      </c>
      <c r="W397" s="246" t="s">
        <v>219</v>
      </c>
      <c r="X397" s="246">
        <v>3</v>
      </c>
      <c r="Y397" s="246">
        <v>2</v>
      </c>
      <c r="Z397" s="246">
        <v>3</v>
      </c>
      <c r="AA397" s="246">
        <v>3</v>
      </c>
      <c r="AB397" s="246" t="s">
        <v>486</v>
      </c>
      <c r="AC397" s="246" t="s">
        <v>486</v>
      </c>
      <c r="AD397" s="246" t="s">
        <v>486</v>
      </c>
      <c r="AE397" s="246" t="s">
        <v>486</v>
      </c>
      <c r="AF397" s="246" t="s">
        <v>486</v>
      </c>
      <c r="AG397" s="246" t="s">
        <v>486</v>
      </c>
      <c r="AH397" s="246" t="s">
        <v>486</v>
      </c>
      <c r="AI397" s="246" t="s">
        <v>486</v>
      </c>
      <c r="AJ397" s="246" t="s">
        <v>486</v>
      </c>
      <c r="AK397" s="246" t="s">
        <v>486</v>
      </c>
      <c r="AL397" s="246" t="s">
        <v>491</v>
      </c>
      <c r="AM397" s="246" t="s">
        <v>486</v>
      </c>
      <c r="AN397" s="246" t="s">
        <v>486</v>
      </c>
      <c r="AO397" s="248" t="s">
        <v>486</v>
      </c>
      <c r="AP397" s="247" t="s">
        <v>486</v>
      </c>
      <c r="AQ397" s="249" t="s">
        <v>486</v>
      </c>
      <c r="AR397" s="246" t="s">
        <v>486</v>
      </c>
    </row>
    <row r="398" spans="1:44" ht="15" x14ac:dyDescent="0.25">
      <c r="A398" s="250" t="str">
        <f>HYPERLINK("http://www.ofsted.gov.uk/inspection-reports/find-inspection-report/provider/ELS/131531 ","Ofsted School Webpage")</f>
        <v>Ofsted School Webpage</v>
      </c>
      <c r="B398" s="251">
        <v>131531</v>
      </c>
      <c r="C398" s="251">
        <v>8506085</v>
      </c>
      <c r="D398" s="251" t="s">
        <v>2200</v>
      </c>
      <c r="E398" s="251" t="s">
        <v>248</v>
      </c>
      <c r="F398" s="251" t="s">
        <v>93</v>
      </c>
      <c r="G398" s="251" t="s">
        <v>93</v>
      </c>
      <c r="H398" s="251" t="s">
        <v>93</v>
      </c>
      <c r="I398" s="251" t="s">
        <v>90</v>
      </c>
      <c r="J398" s="251" t="s">
        <v>1490</v>
      </c>
      <c r="K398" s="251" t="s">
        <v>486</v>
      </c>
      <c r="L398" s="251" t="s">
        <v>487</v>
      </c>
      <c r="M398" s="251" t="s">
        <v>581</v>
      </c>
      <c r="N398" s="251" t="s">
        <v>581</v>
      </c>
      <c r="O398" s="251" t="s">
        <v>582</v>
      </c>
      <c r="P398" s="251" t="s">
        <v>2201</v>
      </c>
      <c r="Q398" s="252">
        <v>10025981</v>
      </c>
      <c r="R398" s="253">
        <v>43053</v>
      </c>
      <c r="S398" s="253">
        <v>43055</v>
      </c>
      <c r="T398" s="253">
        <v>43075</v>
      </c>
      <c r="U398" s="251" t="s">
        <v>488</v>
      </c>
      <c r="V398" s="251">
        <v>2</v>
      </c>
      <c r="W398" s="251" t="s">
        <v>219</v>
      </c>
      <c r="X398" s="251">
        <v>2</v>
      </c>
      <c r="Y398" s="251">
        <v>1</v>
      </c>
      <c r="Z398" s="251">
        <v>2</v>
      </c>
      <c r="AA398" s="251">
        <v>2</v>
      </c>
      <c r="AB398" s="251" t="s">
        <v>486</v>
      </c>
      <c r="AC398" s="251">
        <v>1</v>
      </c>
      <c r="AD398" s="251" t="s">
        <v>486</v>
      </c>
      <c r="AE398" s="251" t="s">
        <v>486</v>
      </c>
      <c r="AF398" s="251" t="s">
        <v>486</v>
      </c>
      <c r="AG398" s="251" t="s">
        <v>486</v>
      </c>
      <c r="AH398" s="251" t="s">
        <v>486</v>
      </c>
      <c r="AI398" s="251" t="s">
        <v>486</v>
      </c>
      <c r="AJ398" s="251" t="s">
        <v>486</v>
      </c>
      <c r="AK398" s="251" t="s">
        <v>486</v>
      </c>
      <c r="AL398" s="251" t="s">
        <v>491</v>
      </c>
      <c r="AM398" s="251" t="s">
        <v>486</v>
      </c>
      <c r="AN398" s="251" t="s">
        <v>486</v>
      </c>
      <c r="AO398" s="253" t="s">
        <v>486</v>
      </c>
      <c r="AP398" s="252" t="s">
        <v>486</v>
      </c>
      <c r="AQ398" s="254" t="s">
        <v>486</v>
      </c>
      <c r="AR398" s="251" t="s">
        <v>486</v>
      </c>
    </row>
    <row r="399" spans="1:44" ht="15" x14ac:dyDescent="0.25">
      <c r="A399" s="245" t="str">
        <f>HYPERLINK("http://www.ofsted.gov.uk/inspection-reports/find-inspection-report/provider/ELS/134594 ","Ofsted School Webpage")</f>
        <v>Ofsted School Webpage</v>
      </c>
      <c r="B399" s="246">
        <v>134594</v>
      </c>
      <c r="C399" s="246">
        <v>3156081</v>
      </c>
      <c r="D399" s="246" t="s">
        <v>2202</v>
      </c>
      <c r="E399" s="246" t="s">
        <v>248</v>
      </c>
      <c r="F399" s="246" t="s">
        <v>93</v>
      </c>
      <c r="G399" s="246" t="s">
        <v>93</v>
      </c>
      <c r="H399" s="246" t="s">
        <v>93</v>
      </c>
      <c r="I399" s="246" t="s">
        <v>90</v>
      </c>
      <c r="J399" s="246" t="s">
        <v>1490</v>
      </c>
      <c r="K399" s="246" t="s">
        <v>486</v>
      </c>
      <c r="L399" s="246" t="s">
        <v>487</v>
      </c>
      <c r="M399" s="246" t="s">
        <v>506</v>
      </c>
      <c r="N399" s="246" t="s">
        <v>506</v>
      </c>
      <c r="O399" s="246" t="s">
        <v>1360</v>
      </c>
      <c r="P399" s="246" t="s">
        <v>2203</v>
      </c>
      <c r="Q399" s="247">
        <v>10038170</v>
      </c>
      <c r="R399" s="248">
        <v>43053</v>
      </c>
      <c r="S399" s="248">
        <v>43055</v>
      </c>
      <c r="T399" s="248">
        <v>43089</v>
      </c>
      <c r="U399" s="246" t="s">
        <v>488</v>
      </c>
      <c r="V399" s="246">
        <v>2</v>
      </c>
      <c r="W399" s="246" t="s">
        <v>219</v>
      </c>
      <c r="X399" s="246">
        <v>2</v>
      </c>
      <c r="Y399" s="246">
        <v>2</v>
      </c>
      <c r="Z399" s="246">
        <v>2</v>
      </c>
      <c r="AA399" s="246">
        <v>2</v>
      </c>
      <c r="AB399" s="246">
        <v>2</v>
      </c>
      <c r="AC399" s="246" t="s">
        <v>486</v>
      </c>
      <c r="AD399" s="246" t="s">
        <v>490</v>
      </c>
      <c r="AE399" s="246" t="s">
        <v>486</v>
      </c>
      <c r="AF399" s="246" t="s">
        <v>486</v>
      </c>
      <c r="AG399" s="246" t="s">
        <v>486</v>
      </c>
      <c r="AH399" s="246" t="s">
        <v>486</v>
      </c>
      <c r="AI399" s="246" t="s">
        <v>486</v>
      </c>
      <c r="AJ399" s="246" t="s">
        <v>486</v>
      </c>
      <c r="AK399" s="246" t="s">
        <v>486</v>
      </c>
      <c r="AL399" s="246" t="s">
        <v>491</v>
      </c>
      <c r="AM399" s="246" t="s">
        <v>486</v>
      </c>
      <c r="AN399" s="246" t="s">
        <v>486</v>
      </c>
      <c r="AO399" s="248" t="s">
        <v>486</v>
      </c>
      <c r="AP399" s="247" t="s">
        <v>486</v>
      </c>
      <c r="AQ399" s="249" t="s">
        <v>486</v>
      </c>
      <c r="AR399" s="246" t="s">
        <v>486</v>
      </c>
    </row>
    <row r="400" spans="1:44" ht="15" x14ac:dyDescent="0.25">
      <c r="A400" s="250" t="str">
        <f>HYPERLINK("http://www.ofsted.gov.uk/inspection-reports/find-inspection-report/provider/ELS/135097 ","Ofsted School Webpage")</f>
        <v>Ofsted School Webpage</v>
      </c>
      <c r="B400" s="251">
        <v>135097</v>
      </c>
      <c r="C400" s="251">
        <v>9166081</v>
      </c>
      <c r="D400" s="251" t="s">
        <v>1288</v>
      </c>
      <c r="E400" s="251" t="s">
        <v>247</v>
      </c>
      <c r="F400" s="251" t="s">
        <v>93</v>
      </c>
      <c r="G400" s="251" t="s">
        <v>84</v>
      </c>
      <c r="H400" s="251" t="s">
        <v>84</v>
      </c>
      <c r="I400" s="251" t="s">
        <v>84</v>
      </c>
      <c r="J400" s="251" t="s">
        <v>1490</v>
      </c>
      <c r="K400" s="251" t="s">
        <v>486</v>
      </c>
      <c r="L400" s="251" t="s">
        <v>487</v>
      </c>
      <c r="M400" s="251" t="s">
        <v>483</v>
      </c>
      <c r="N400" s="251" t="s">
        <v>483</v>
      </c>
      <c r="O400" s="251" t="s">
        <v>948</v>
      </c>
      <c r="P400" s="251" t="s">
        <v>1289</v>
      </c>
      <c r="Q400" s="252">
        <v>10033892</v>
      </c>
      <c r="R400" s="253">
        <v>43053</v>
      </c>
      <c r="S400" s="253">
        <v>43055</v>
      </c>
      <c r="T400" s="253">
        <v>43109</v>
      </c>
      <c r="U400" s="251" t="s">
        <v>488</v>
      </c>
      <c r="V400" s="251">
        <v>4</v>
      </c>
      <c r="W400" s="251" t="s">
        <v>220</v>
      </c>
      <c r="X400" s="251">
        <v>4</v>
      </c>
      <c r="Y400" s="251">
        <v>3</v>
      </c>
      <c r="Z400" s="251">
        <v>3</v>
      </c>
      <c r="AA400" s="251">
        <v>3</v>
      </c>
      <c r="AB400" s="251">
        <v>4</v>
      </c>
      <c r="AC400" s="251" t="s">
        <v>486</v>
      </c>
      <c r="AD400" s="251" t="s">
        <v>486</v>
      </c>
      <c r="AE400" s="251" t="s">
        <v>486</v>
      </c>
      <c r="AF400" s="251" t="s">
        <v>486</v>
      </c>
      <c r="AG400" s="251" t="s">
        <v>486</v>
      </c>
      <c r="AH400" s="251" t="s">
        <v>486</v>
      </c>
      <c r="AI400" s="251" t="s">
        <v>486</v>
      </c>
      <c r="AJ400" s="251" t="s">
        <v>486</v>
      </c>
      <c r="AK400" s="251" t="s">
        <v>486</v>
      </c>
      <c r="AL400" s="251" t="s">
        <v>545</v>
      </c>
      <c r="AM400" s="251" t="s">
        <v>486</v>
      </c>
      <c r="AN400" s="251" t="s">
        <v>486</v>
      </c>
      <c r="AO400" s="253" t="s">
        <v>486</v>
      </c>
      <c r="AP400" s="252" t="s">
        <v>486</v>
      </c>
      <c r="AQ400" s="254" t="s">
        <v>486</v>
      </c>
      <c r="AR400" s="251" t="s">
        <v>486</v>
      </c>
    </row>
    <row r="401" spans="1:44" ht="15" x14ac:dyDescent="0.25">
      <c r="A401" s="245" t="str">
        <f>HYPERLINK("http://www.ofsted.gov.uk/inspection-reports/find-inspection-report/provider/ELS/135167 ","Ofsted School Webpage")</f>
        <v>Ofsted School Webpage</v>
      </c>
      <c r="B401" s="246">
        <v>135167</v>
      </c>
      <c r="C401" s="246">
        <v>2026401</v>
      </c>
      <c r="D401" s="246" t="s">
        <v>2204</v>
      </c>
      <c r="E401" s="246" t="s">
        <v>248</v>
      </c>
      <c r="F401" s="246" t="s">
        <v>93</v>
      </c>
      <c r="G401" s="246" t="s">
        <v>93</v>
      </c>
      <c r="H401" s="246" t="s">
        <v>93</v>
      </c>
      <c r="I401" s="246" t="s">
        <v>90</v>
      </c>
      <c r="J401" s="246" t="s">
        <v>1490</v>
      </c>
      <c r="K401" s="246" t="s">
        <v>486</v>
      </c>
      <c r="L401" s="246" t="s">
        <v>487</v>
      </c>
      <c r="M401" s="246" t="s">
        <v>506</v>
      </c>
      <c r="N401" s="246" t="s">
        <v>506</v>
      </c>
      <c r="O401" s="246" t="s">
        <v>1177</v>
      </c>
      <c r="P401" s="246" t="s">
        <v>2205</v>
      </c>
      <c r="Q401" s="247">
        <v>10035804</v>
      </c>
      <c r="R401" s="248">
        <v>43053</v>
      </c>
      <c r="S401" s="248">
        <v>43055</v>
      </c>
      <c r="T401" s="248">
        <v>43112</v>
      </c>
      <c r="U401" s="246" t="s">
        <v>488</v>
      </c>
      <c r="V401" s="246">
        <v>2</v>
      </c>
      <c r="W401" s="246" t="s">
        <v>219</v>
      </c>
      <c r="X401" s="246">
        <v>2</v>
      </c>
      <c r="Y401" s="246">
        <v>1</v>
      </c>
      <c r="Z401" s="246">
        <v>2</v>
      </c>
      <c r="AA401" s="246">
        <v>2</v>
      </c>
      <c r="AB401" s="246" t="s">
        <v>486</v>
      </c>
      <c r="AC401" s="246" t="s">
        <v>486</v>
      </c>
      <c r="AD401" s="246" t="s">
        <v>490</v>
      </c>
      <c r="AE401" s="246" t="s">
        <v>486</v>
      </c>
      <c r="AF401" s="246" t="s">
        <v>486</v>
      </c>
      <c r="AG401" s="246" t="s">
        <v>486</v>
      </c>
      <c r="AH401" s="246" t="s">
        <v>486</v>
      </c>
      <c r="AI401" s="246" t="s">
        <v>486</v>
      </c>
      <c r="AJ401" s="246" t="s">
        <v>486</v>
      </c>
      <c r="AK401" s="246" t="s">
        <v>486</v>
      </c>
      <c r="AL401" s="246" t="s">
        <v>491</v>
      </c>
      <c r="AM401" s="246" t="s">
        <v>486</v>
      </c>
      <c r="AN401" s="246" t="s">
        <v>486</v>
      </c>
      <c r="AO401" s="248" t="s">
        <v>486</v>
      </c>
      <c r="AP401" s="247" t="s">
        <v>486</v>
      </c>
      <c r="AQ401" s="249" t="s">
        <v>486</v>
      </c>
      <c r="AR401" s="246" t="s">
        <v>486</v>
      </c>
    </row>
    <row r="402" spans="1:44" ht="15" x14ac:dyDescent="0.25">
      <c r="A402" s="250" t="str">
        <f>HYPERLINK("http://www.ofsted.gov.uk/inspection-reports/find-inspection-report/provider/ELS/136117 ","Ofsted School Webpage")</f>
        <v>Ofsted School Webpage</v>
      </c>
      <c r="B402" s="251">
        <v>136117</v>
      </c>
      <c r="C402" s="251">
        <v>3556006</v>
      </c>
      <c r="D402" s="251" t="s">
        <v>1270</v>
      </c>
      <c r="E402" s="251" t="s">
        <v>247</v>
      </c>
      <c r="F402" s="251" t="s">
        <v>82</v>
      </c>
      <c r="G402" s="251" t="s">
        <v>81</v>
      </c>
      <c r="H402" s="251" t="s">
        <v>82</v>
      </c>
      <c r="I402" s="251" t="s">
        <v>81</v>
      </c>
      <c r="J402" s="251" t="s">
        <v>1490</v>
      </c>
      <c r="K402" s="251" t="s">
        <v>486</v>
      </c>
      <c r="L402" s="251" t="s">
        <v>487</v>
      </c>
      <c r="M402" s="251" t="s">
        <v>495</v>
      </c>
      <c r="N402" s="251" t="s">
        <v>495</v>
      </c>
      <c r="O402" s="251" t="s">
        <v>601</v>
      </c>
      <c r="P402" s="251" t="s">
        <v>1197</v>
      </c>
      <c r="Q402" s="252">
        <v>10034031</v>
      </c>
      <c r="R402" s="253">
        <v>43053</v>
      </c>
      <c r="S402" s="253">
        <v>43055</v>
      </c>
      <c r="T402" s="253">
        <v>43090</v>
      </c>
      <c r="U402" s="251" t="s">
        <v>488</v>
      </c>
      <c r="V402" s="251">
        <v>2</v>
      </c>
      <c r="W402" s="251" t="s">
        <v>219</v>
      </c>
      <c r="X402" s="251">
        <v>2</v>
      </c>
      <c r="Y402" s="251">
        <v>2</v>
      </c>
      <c r="Z402" s="251">
        <v>2</v>
      </c>
      <c r="AA402" s="251">
        <v>3</v>
      </c>
      <c r="AB402" s="251">
        <v>2</v>
      </c>
      <c r="AC402" s="251" t="s">
        <v>486</v>
      </c>
      <c r="AD402" s="251" t="s">
        <v>490</v>
      </c>
      <c r="AE402" s="251" t="s">
        <v>486</v>
      </c>
      <c r="AF402" s="251" t="s">
        <v>486</v>
      </c>
      <c r="AG402" s="251" t="s">
        <v>486</v>
      </c>
      <c r="AH402" s="251" t="s">
        <v>486</v>
      </c>
      <c r="AI402" s="251" t="s">
        <v>486</v>
      </c>
      <c r="AJ402" s="251" t="s">
        <v>486</v>
      </c>
      <c r="AK402" s="251" t="s">
        <v>486</v>
      </c>
      <c r="AL402" s="251" t="s">
        <v>491</v>
      </c>
      <c r="AM402" s="251" t="s">
        <v>486</v>
      </c>
      <c r="AN402" s="251" t="s">
        <v>486</v>
      </c>
      <c r="AO402" s="253" t="s">
        <v>486</v>
      </c>
      <c r="AP402" s="252" t="s">
        <v>486</v>
      </c>
      <c r="AQ402" s="254" t="s">
        <v>486</v>
      </c>
      <c r="AR402" s="251" t="s">
        <v>486</v>
      </c>
    </row>
    <row r="403" spans="1:44" ht="15" x14ac:dyDescent="0.25">
      <c r="A403" s="245" t="str">
        <f>HYPERLINK("http://www.ofsted.gov.uk/inspection-reports/find-inspection-report/provider/ELS/136227 ","Ofsted School Webpage")</f>
        <v>Ofsted School Webpage</v>
      </c>
      <c r="B403" s="246">
        <v>136227</v>
      </c>
      <c r="C403" s="246">
        <v>9286073</v>
      </c>
      <c r="D403" s="246" t="s">
        <v>2206</v>
      </c>
      <c r="E403" s="246" t="s">
        <v>248</v>
      </c>
      <c r="F403" s="246" t="s">
        <v>93</v>
      </c>
      <c r="G403" s="246" t="s">
        <v>93</v>
      </c>
      <c r="H403" s="246" t="s">
        <v>93</v>
      </c>
      <c r="I403" s="246" t="s">
        <v>90</v>
      </c>
      <c r="J403" s="246" t="s">
        <v>1490</v>
      </c>
      <c r="K403" s="246" t="s">
        <v>486</v>
      </c>
      <c r="L403" s="246" t="s">
        <v>487</v>
      </c>
      <c r="M403" s="246" t="s">
        <v>572</v>
      </c>
      <c r="N403" s="246" t="s">
        <v>572</v>
      </c>
      <c r="O403" s="246" t="s">
        <v>1297</v>
      </c>
      <c r="P403" s="246" t="s">
        <v>2207</v>
      </c>
      <c r="Q403" s="247">
        <v>10039190</v>
      </c>
      <c r="R403" s="248">
        <v>43053</v>
      </c>
      <c r="S403" s="248">
        <v>43055</v>
      </c>
      <c r="T403" s="248">
        <v>43076</v>
      </c>
      <c r="U403" s="246" t="s">
        <v>488</v>
      </c>
      <c r="V403" s="246">
        <v>2</v>
      </c>
      <c r="W403" s="246" t="s">
        <v>219</v>
      </c>
      <c r="X403" s="246">
        <v>2</v>
      </c>
      <c r="Y403" s="246">
        <v>2</v>
      </c>
      <c r="Z403" s="246">
        <v>2</v>
      </c>
      <c r="AA403" s="246">
        <v>2</v>
      </c>
      <c r="AB403" s="246" t="s">
        <v>486</v>
      </c>
      <c r="AC403" s="246">
        <v>2</v>
      </c>
      <c r="AD403" s="246" t="s">
        <v>490</v>
      </c>
      <c r="AE403" s="246" t="s">
        <v>486</v>
      </c>
      <c r="AF403" s="246" t="s">
        <v>486</v>
      </c>
      <c r="AG403" s="246" t="s">
        <v>486</v>
      </c>
      <c r="AH403" s="246" t="s">
        <v>486</v>
      </c>
      <c r="AI403" s="246" t="s">
        <v>486</v>
      </c>
      <c r="AJ403" s="246" t="s">
        <v>486</v>
      </c>
      <c r="AK403" s="246" t="s">
        <v>486</v>
      </c>
      <c r="AL403" s="246" t="s">
        <v>491</v>
      </c>
      <c r="AM403" s="246" t="s">
        <v>486</v>
      </c>
      <c r="AN403" s="246" t="s">
        <v>486</v>
      </c>
      <c r="AO403" s="248" t="s">
        <v>486</v>
      </c>
      <c r="AP403" s="247" t="s">
        <v>486</v>
      </c>
      <c r="AQ403" s="249" t="s">
        <v>486</v>
      </c>
      <c r="AR403" s="246" t="s">
        <v>486</v>
      </c>
    </row>
    <row r="404" spans="1:44" ht="15" x14ac:dyDescent="0.25">
      <c r="A404" s="250" t="str">
        <f>HYPERLINK("http://www.ofsted.gov.uk/inspection-reports/find-inspection-report/provider/ELS/138563 ","Ofsted School Webpage")</f>
        <v>Ofsted School Webpage</v>
      </c>
      <c r="B404" s="251">
        <v>138563</v>
      </c>
      <c r="C404" s="251">
        <v>8036009</v>
      </c>
      <c r="D404" s="251" t="s">
        <v>1213</v>
      </c>
      <c r="E404" s="251" t="s">
        <v>248</v>
      </c>
      <c r="F404" s="251" t="s">
        <v>93</v>
      </c>
      <c r="G404" s="251" t="s">
        <v>93</v>
      </c>
      <c r="H404" s="251" t="s">
        <v>93</v>
      </c>
      <c r="I404" s="251" t="s">
        <v>90</v>
      </c>
      <c r="J404" s="251" t="s">
        <v>1490</v>
      </c>
      <c r="K404" s="251" t="s">
        <v>486</v>
      </c>
      <c r="L404" s="251" t="s">
        <v>487</v>
      </c>
      <c r="M404" s="251" t="s">
        <v>483</v>
      </c>
      <c r="N404" s="251" t="s">
        <v>483</v>
      </c>
      <c r="O404" s="251" t="s">
        <v>1214</v>
      </c>
      <c r="P404" s="251" t="s">
        <v>1215</v>
      </c>
      <c r="Q404" s="252">
        <v>10026043</v>
      </c>
      <c r="R404" s="253">
        <v>43053</v>
      </c>
      <c r="S404" s="253">
        <v>43055</v>
      </c>
      <c r="T404" s="253">
        <v>43077</v>
      </c>
      <c r="U404" s="251" t="s">
        <v>488</v>
      </c>
      <c r="V404" s="251">
        <v>2</v>
      </c>
      <c r="W404" s="251" t="s">
        <v>219</v>
      </c>
      <c r="X404" s="251">
        <v>2</v>
      </c>
      <c r="Y404" s="251">
        <v>2</v>
      </c>
      <c r="Z404" s="251">
        <v>2</v>
      </c>
      <c r="AA404" s="251">
        <v>2</v>
      </c>
      <c r="AB404" s="251" t="s">
        <v>486</v>
      </c>
      <c r="AC404" s="251" t="s">
        <v>486</v>
      </c>
      <c r="AD404" s="251" t="s">
        <v>486</v>
      </c>
      <c r="AE404" s="251" t="s">
        <v>486</v>
      </c>
      <c r="AF404" s="251" t="s">
        <v>486</v>
      </c>
      <c r="AG404" s="251" t="s">
        <v>486</v>
      </c>
      <c r="AH404" s="251" t="s">
        <v>486</v>
      </c>
      <c r="AI404" s="251" t="s">
        <v>486</v>
      </c>
      <c r="AJ404" s="251" t="s">
        <v>486</v>
      </c>
      <c r="AK404" s="251" t="s">
        <v>486</v>
      </c>
      <c r="AL404" s="251" t="s">
        <v>491</v>
      </c>
      <c r="AM404" s="251" t="s">
        <v>486</v>
      </c>
      <c r="AN404" s="251" t="s">
        <v>486</v>
      </c>
      <c r="AO404" s="253" t="s">
        <v>486</v>
      </c>
      <c r="AP404" s="252" t="s">
        <v>486</v>
      </c>
      <c r="AQ404" s="254" t="s">
        <v>486</v>
      </c>
      <c r="AR404" s="251" t="s">
        <v>486</v>
      </c>
    </row>
    <row r="405" spans="1:44" ht="15" x14ac:dyDescent="0.25">
      <c r="A405" s="245" t="str">
        <f>HYPERLINK("http://www.ofsted.gov.uk/inspection-reports/find-inspection-report/provider/ELS/138777 ","Ofsted School Webpage")</f>
        <v>Ofsted School Webpage</v>
      </c>
      <c r="B405" s="246">
        <v>138777</v>
      </c>
      <c r="C405" s="246">
        <v>2026002</v>
      </c>
      <c r="D405" s="246" t="s">
        <v>724</v>
      </c>
      <c r="E405" s="246" t="s">
        <v>247</v>
      </c>
      <c r="F405" s="246" t="s">
        <v>93</v>
      </c>
      <c r="G405" s="246" t="s">
        <v>93</v>
      </c>
      <c r="H405" s="246" t="s">
        <v>93</v>
      </c>
      <c r="I405" s="246" t="s">
        <v>90</v>
      </c>
      <c r="J405" s="246" t="s">
        <v>1490</v>
      </c>
      <c r="K405" s="246" t="s">
        <v>486</v>
      </c>
      <c r="L405" s="246" t="s">
        <v>487</v>
      </c>
      <c r="M405" s="246" t="s">
        <v>506</v>
      </c>
      <c r="N405" s="246" t="s">
        <v>506</v>
      </c>
      <c r="O405" s="246" t="s">
        <v>1177</v>
      </c>
      <c r="P405" s="246" t="s">
        <v>2208</v>
      </c>
      <c r="Q405" s="247">
        <v>10012786</v>
      </c>
      <c r="R405" s="248">
        <v>43053</v>
      </c>
      <c r="S405" s="248">
        <v>43055</v>
      </c>
      <c r="T405" s="248">
        <v>43089</v>
      </c>
      <c r="U405" s="246" t="s">
        <v>488</v>
      </c>
      <c r="V405" s="246">
        <v>2</v>
      </c>
      <c r="W405" s="246" t="s">
        <v>219</v>
      </c>
      <c r="X405" s="246">
        <v>2</v>
      </c>
      <c r="Y405" s="246">
        <v>2</v>
      </c>
      <c r="Z405" s="246">
        <v>2</v>
      </c>
      <c r="AA405" s="246">
        <v>2</v>
      </c>
      <c r="AB405" s="246">
        <v>2</v>
      </c>
      <c r="AC405" s="246" t="s">
        <v>486</v>
      </c>
      <c r="AD405" s="246" t="s">
        <v>486</v>
      </c>
      <c r="AE405" s="246" t="s">
        <v>486</v>
      </c>
      <c r="AF405" s="246" t="s">
        <v>486</v>
      </c>
      <c r="AG405" s="246" t="s">
        <v>486</v>
      </c>
      <c r="AH405" s="246" t="s">
        <v>486</v>
      </c>
      <c r="AI405" s="246" t="s">
        <v>486</v>
      </c>
      <c r="AJ405" s="246" t="s">
        <v>486</v>
      </c>
      <c r="AK405" s="246" t="s">
        <v>486</v>
      </c>
      <c r="AL405" s="246" t="s">
        <v>491</v>
      </c>
      <c r="AM405" s="246" t="s">
        <v>486</v>
      </c>
      <c r="AN405" s="246" t="s">
        <v>486</v>
      </c>
      <c r="AO405" s="248" t="s">
        <v>486</v>
      </c>
      <c r="AP405" s="247" t="s">
        <v>486</v>
      </c>
      <c r="AQ405" s="249" t="s">
        <v>486</v>
      </c>
      <c r="AR405" s="246" t="s">
        <v>486</v>
      </c>
    </row>
    <row r="406" spans="1:44" ht="15" x14ac:dyDescent="0.25">
      <c r="A406" s="250" t="str">
        <f>HYPERLINK("http://www.ofsted.gov.uk/inspection-reports/find-inspection-report/provider/ELS/140486 ","Ofsted School Webpage")</f>
        <v>Ofsted School Webpage</v>
      </c>
      <c r="B406" s="251">
        <v>140486</v>
      </c>
      <c r="C406" s="251">
        <v>3516003</v>
      </c>
      <c r="D406" s="251" t="s">
        <v>2209</v>
      </c>
      <c r="E406" s="251" t="s">
        <v>248</v>
      </c>
      <c r="F406" s="251" t="s">
        <v>93</v>
      </c>
      <c r="G406" s="251" t="s">
        <v>93</v>
      </c>
      <c r="H406" s="251" t="s">
        <v>93</v>
      </c>
      <c r="I406" s="251" t="s">
        <v>90</v>
      </c>
      <c r="J406" s="251" t="s">
        <v>1490</v>
      </c>
      <c r="K406" s="251" t="s">
        <v>486</v>
      </c>
      <c r="L406" s="251" t="s">
        <v>487</v>
      </c>
      <c r="M406" s="251" t="s">
        <v>495</v>
      </c>
      <c r="N406" s="251" t="s">
        <v>495</v>
      </c>
      <c r="O406" s="251" t="s">
        <v>1045</v>
      </c>
      <c r="P406" s="251" t="s">
        <v>2210</v>
      </c>
      <c r="Q406" s="252">
        <v>10038936</v>
      </c>
      <c r="R406" s="253">
        <v>43053</v>
      </c>
      <c r="S406" s="253">
        <v>43055</v>
      </c>
      <c r="T406" s="253">
        <v>43077</v>
      </c>
      <c r="U406" s="251" t="s">
        <v>488</v>
      </c>
      <c r="V406" s="251">
        <v>2</v>
      </c>
      <c r="W406" s="251" t="s">
        <v>219</v>
      </c>
      <c r="X406" s="251">
        <v>2</v>
      </c>
      <c r="Y406" s="251">
        <v>2</v>
      </c>
      <c r="Z406" s="251">
        <v>2</v>
      </c>
      <c r="AA406" s="251">
        <v>2</v>
      </c>
      <c r="AB406" s="251" t="s">
        <v>486</v>
      </c>
      <c r="AC406" s="251" t="s">
        <v>486</v>
      </c>
      <c r="AD406" s="251" t="s">
        <v>490</v>
      </c>
      <c r="AE406" s="251" t="s">
        <v>486</v>
      </c>
      <c r="AF406" s="251" t="s">
        <v>486</v>
      </c>
      <c r="AG406" s="251" t="s">
        <v>486</v>
      </c>
      <c r="AH406" s="251" t="s">
        <v>486</v>
      </c>
      <c r="AI406" s="251" t="s">
        <v>486</v>
      </c>
      <c r="AJ406" s="251" t="s">
        <v>486</v>
      </c>
      <c r="AK406" s="251" t="s">
        <v>486</v>
      </c>
      <c r="AL406" s="251" t="s">
        <v>491</v>
      </c>
      <c r="AM406" s="251" t="s">
        <v>486</v>
      </c>
      <c r="AN406" s="251" t="s">
        <v>486</v>
      </c>
      <c r="AO406" s="253" t="s">
        <v>486</v>
      </c>
      <c r="AP406" s="252" t="s">
        <v>486</v>
      </c>
      <c r="AQ406" s="254" t="s">
        <v>486</v>
      </c>
      <c r="AR406" s="251" t="s">
        <v>486</v>
      </c>
    </row>
    <row r="407" spans="1:44" ht="15" x14ac:dyDescent="0.25">
      <c r="A407" s="245" t="str">
        <f>HYPERLINK("http://www.ofsted.gov.uk/inspection-reports/find-inspection-report/provider/ELS/134388 ","Ofsted School Webpage")</f>
        <v>Ofsted School Webpage</v>
      </c>
      <c r="B407" s="246">
        <v>134388</v>
      </c>
      <c r="C407" s="246">
        <v>3016002</v>
      </c>
      <c r="D407" s="246" t="s">
        <v>2211</v>
      </c>
      <c r="E407" s="246" t="s">
        <v>248</v>
      </c>
      <c r="F407" s="246" t="s">
        <v>93</v>
      </c>
      <c r="G407" s="246" t="s">
        <v>93</v>
      </c>
      <c r="H407" s="246" t="s">
        <v>93</v>
      </c>
      <c r="I407" s="246" t="s">
        <v>90</v>
      </c>
      <c r="J407" s="246" t="s">
        <v>1490</v>
      </c>
      <c r="K407" s="246" t="s">
        <v>486</v>
      </c>
      <c r="L407" s="246" t="s">
        <v>487</v>
      </c>
      <c r="M407" s="246" t="s">
        <v>506</v>
      </c>
      <c r="N407" s="246" t="s">
        <v>506</v>
      </c>
      <c r="O407" s="246" t="s">
        <v>683</v>
      </c>
      <c r="P407" s="246" t="s">
        <v>2212</v>
      </c>
      <c r="Q407" s="247">
        <v>10038168</v>
      </c>
      <c r="R407" s="248">
        <v>43054</v>
      </c>
      <c r="S407" s="248">
        <v>43056</v>
      </c>
      <c r="T407" s="248">
        <v>43097</v>
      </c>
      <c r="U407" s="246" t="s">
        <v>488</v>
      </c>
      <c r="V407" s="246">
        <v>3</v>
      </c>
      <c r="W407" s="246" t="s">
        <v>219</v>
      </c>
      <c r="X407" s="246">
        <v>2</v>
      </c>
      <c r="Y407" s="246">
        <v>3</v>
      </c>
      <c r="Z407" s="246">
        <v>3</v>
      </c>
      <c r="AA407" s="246">
        <v>3</v>
      </c>
      <c r="AB407" s="246" t="s">
        <v>486</v>
      </c>
      <c r="AC407" s="246" t="s">
        <v>486</v>
      </c>
      <c r="AD407" s="246" t="s">
        <v>490</v>
      </c>
      <c r="AE407" s="246" t="s">
        <v>486</v>
      </c>
      <c r="AF407" s="246" t="s">
        <v>486</v>
      </c>
      <c r="AG407" s="246" t="s">
        <v>486</v>
      </c>
      <c r="AH407" s="246" t="s">
        <v>486</v>
      </c>
      <c r="AI407" s="246" t="s">
        <v>486</v>
      </c>
      <c r="AJ407" s="246" t="s">
        <v>486</v>
      </c>
      <c r="AK407" s="246" t="s">
        <v>486</v>
      </c>
      <c r="AL407" s="246" t="s">
        <v>491</v>
      </c>
      <c r="AM407" s="246" t="s">
        <v>486</v>
      </c>
      <c r="AN407" s="246" t="s">
        <v>486</v>
      </c>
      <c r="AO407" s="248" t="s">
        <v>486</v>
      </c>
      <c r="AP407" s="247" t="s">
        <v>486</v>
      </c>
      <c r="AQ407" s="249" t="s">
        <v>486</v>
      </c>
      <c r="AR407" s="246" t="s">
        <v>486</v>
      </c>
    </row>
    <row r="408" spans="1:44" ht="15" x14ac:dyDescent="0.25">
      <c r="A408" s="250" t="str">
        <f>HYPERLINK("http://www.ofsted.gov.uk/inspection-reports/find-inspection-report/provider/ELS/100375 ","Ofsted School Webpage")</f>
        <v>Ofsted School Webpage</v>
      </c>
      <c r="B408" s="251">
        <v>100375</v>
      </c>
      <c r="C408" s="251">
        <v>2056386</v>
      </c>
      <c r="D408" s="251" t="s">
        <v>2213</v>
      </c>
      <c r="E408" s="251" t="s">
        <v>247</v>
      </c>
      <c r="F408" s="251" t="s">
        <v>93</v>
      </c>
      <c r="G408" s="251" t="s">
        <v>93</v>
      </c>
      <c r="H408" s="251" t="s">
        <v>93</v>
      </c>
      <c r="I408" s="251" t="s">
        <v>90</v>
      </c>
      <c r="J408" s="251" t="s">
        <v>1490</v>
      </c>
      <c r="K408" s="251" t="s">
        <v>486</v>
      </c>
      <c r="L408" s="251" t="s">
        <v>487</v>
      </c>
      <c r="M408" s="251" t="s">
        <v>506</v>
      </c>
      <c r="N408" s="251" t="s">
        <v>506</v>
      </c>
      <c r="O408" s="251" t="s">
        <v>862</v>
      </c>
      <c r="P408" s="251" t="s">
        <v>2214</v>
      </c>
      <c r="Q408" s="252">
        <v>10008534</v>
      </c>
      <c r="R408" s="253">
        <v>43060</v>
      </c>
      <c r="S408" s="253">
        <v>43062</v>
      </c>
      <c r="T408" s="253">
        <v>43096</v>
      </c>
      <c r="U408" s="251" t="s">
        <v>488</v>
      </c>
      <c r="V408" s="251">
        <v>1</v>
      </c>
      <c r="W408" s="251" t="s">
        <v>219</v>
      </c>
      <c r="X408" s="251">
        <v>1</v>
      </c>
      <c r="Y408" s="251">
        <v>1</v>
      </c>
      <c r="Z408" s="251">
        <v>1</v>
      </c>
      <c r="AA408" s="251">
        <v>1</v>
      </c>
      <c r="AB408" s="251">
        <v>1</v>
      </c>
      <c r="AC408" s="251" t="s">
        <v>486</v>
      </c>
      <c r="AD408" s="251" t="s">
        <v>486</v>
      </c>
      <c r="AE408" s="251" t="s">
        <v>486</v>
      </c>
      <c r="AF408" s="251" t="s">
        <v>486</v>
      </c>
      <c r="AG408" s="251" t="s">
        <v>486</v>
      </c>
      <c r="AH408" s="251" t="s">
        <v>486</v>
      </c>
      <c r="AI408" s="251" t="s">
        <v>486</v>
      </c>
      <c r="AJ408" s="251" t="s">
        <v>486</v>
      </c>
      <c r="AK408" s="251" t="s">
        <v>486</v>
      </c>
      <c r="AL408" s="251" t="s">
        <v>491</v>
      </c>
      <c r="AM408" s="251" t="s">
        <v>486</v>
      </c>
      <c r="AN408" s="251" t="s">
        <v>486</v>
      </c>
      <c r="AO408" s="253" t="s">
        <v>486</v>
      </c>
      <c r="AP408" s="252" t="s">
        <v>486</v>
      </c>
      <c r="AQ408" s="254" t="s">
        <v>486</v>
      </c>
      <c r="AR408" s="251" t="s">
        <v>486</v>
      </c>
    </row>
    <row r="409" spans="1:44" ht="15" x14ac:dyDescent="0.25">
      <c r="A409" s="245" t="str">
        <f>HYPERLINK("http://www.ofsted.gov.uk/inspection-reports/find-inspection-report/provider/ELS/108886 ","Ofsted School Webpage")</f>
        <v>Ofsted School Webpage</v>
      </c>
      <c r="B409" s="246">
        <v>108886</v>
      </c>
      <c r="C409" s="246">
        <v>8736051</v>
      </c>
      <c r="D409" s="246" t="s">
        <v>1238</v>
      </c>
      <c r="E409" s="246" t="s">
        <v>248</v>
      </c>
      <c r="F409" s="246" t="s">
        <v>93</v>
      </c>
      <c r="G409" s="246" t="s">
        <v>93</v>
      </c>
      <c r="H409" s="246" t="s">
        <v>93</v>
      </c>
      <c r="I409" s="246" t="s">
        <v>90</v>
      </c>
      <c r="J409" s="246" t="s">
        <v>1490</v>
      </c>
      <c r="K409" s="246" t="s">
        <v>486</v>
      </c>
      <c r="L409" s="246" t="s">
        <v>487</v>
      </c>
      <c r="M409" s="246" t="s">
        <v>516</v>
      </c>
      <c r="N409" s="246" t="s">
        <v>516</v>
      </c>
      <c r="O409" s="246" t="s">
        <v>867</v>
      </c>
      <c r="P409" s="246" t="s">
        <v>1239</v>
      </c>
      <c r="Q409" s="247">
        <v>10043517</v>
      </c>
      <c r="R409" s="248">
        <v>43060</v>
      </c>
      <c r="S409" s="248">
        <v>43062</v>
      </c>
      <c r="T409" s="248">
        <v>43117</v>
      </c>
      <c r="U409" s="246" t="s">
        <v>488</v>
      </c>
      <c r="V409" s="246">
        <v>1</v>
      </c>
      <c r="W409" s="246" t="s">
        <v>219</v>
      </c>
      <c r="X409" s="246">
        <v>1</v>
      </c>
      <c r="Y409" s="246">
        <v>1</v>
      </c>
      <c r="Z409" s="246">
        <v>1</v>
      </c>
      <c r="AA409" s="246">
        <v>1</v>
      </c>
      <c r="AB409" s="246" t="s">
        <v>486</v>
      </c>
      <c r="AC409" s="246" t="s">
        <v>486</v>
      </c>
      <c r="AD409" s="246" t="s">
        <v>490</v>
      </c>
      <c r="AE409" s="246" t="s">
        <v>486</v>
      </c>
      <c r="AF409" s="246" t="s">
        <v>486</v>
      </c>
      <c r="AG409" s="246" t="s">
        <v>486</v>
      </c>
      <c r="AH409" s="246" t="s">
        <v>486</v>
      </c>
      <c r="AI409" s="246" t="s">
        <v>486</v>
      </c>
      <c r="AJ409" s="246" t="s">
        <v>486</v>
      </c>
      <c r="AK409" s="246" t="s">
        <v>486</v>
      </c>
      <c r="AL409" s="246" t="s">
        <v>491</v>
      </c>
      <c r="AM409" s="246" t="s">
        <v>486</v>
      </c>
      <c r="AN409" s="246" t="s">
        <v>486</v>
      </c>
      <c r="AO409" s="248" t="s">
        <v>486</v>
      </c>
      <c r="AP409" s="247" t="s">
        <v>486</v>
      </c>
      <c r="AQ409" s="249" t="s">
        <v>486</v>
      </c>
      <c r="AR409" s="246" t="s">
        <v>486</v>
      </c>
    </row>
    <row r="410" spans="1:44" ht="15" x14ac:dyDescent="0.25">
      <c r="A410" s="250" t="str">
        <f>HYPERLINK("http://www.ofsted.gov.uk/inspection-reports/find-inspection-report/provider/ELS/118962 ","Ofsted School Webpage")</f>
        <v>Ofsted School Webpage</v>
      </c>
      <c r="B410" s="251">
        <v>118962</v>
      </c>
      <c r="C410" s="251">
        <v>8866022</v>
      </c>
      <c r="D410" s="251" t="s">
        <v>2215</v>
      </c>
      <c r="E410" s="251" t="s">
        <v>247</v>
      </c>
      <c r="F410" s="251" t="s">
        <v>93</v>
      </c>
      <c r="G410" s="251" t="s">
        <v>93</v>
      </c>
      <c r="H410" s="251" t="s">
        <v>93</v>
      </c>
      <c r="I410" s="251" t="s">
        <v>90</v>
      </c>
      <c r="J410" s="251" t="s">
        <v>1490</v>
      </c>
      <c r="K410" s="251" t="s">
        <v>486</v>
      </c>
      <c r="L410" s="251" t="s">
        <v>487</v>
      </c>
      <c r="M410" s="251" t="s">
        <v>581</v>
      </c>
      <c r="N410" s="251" t="s">
        <v>581</v>
      </c>
      <c r="O410" s="251" t="s">
        <v>694</v>
      </c>
      <c r="P410" s="251" t="s">
        <v>2216</v>
      </c>
      <c r="Q410" s="252">
        <v>10041265</v>
      </c>
      <c r="R410" s="253">
        <v>43060</v>
      </c>
      <c r="S410" s="253">
        <v>43062</v>
      </c>
      <c r="T410" s="253">
        <v>43081</v>
      </c>
      <c r="U410" s="251" t="s">
        <v>488</v>
      </c>
      <c r="V410" s="251">
        <v>2</v>
      </c>
      <c r="W410" s="251" t="s">
        <v>219</v>
      </c>
      <c r="X410" s="251">
        <v>2</v>
      </c>
      <c r="Y410" s="251">
        <v>2</v>
      </c>
      <c r="Z410" s="251">
        <v>2</v>
      </c>
      <c r="AA410" s="251">
        <v>2</v>
      </c>
      <c r="AB410" s="251">
        <v>2</v>
      </c>
      <c r="AC410" s="251" t="s">
        <v>486</v>
      </c>
      <c r="AD410" s="251" t="s">
        <v>490</v>
      </c>
      <c r="AE410" s="251" t="s">
        <v>486</v>
      </c>
      <c r="AF410" s="251" t="s">
        <v>486</v>
      </c>
      <c r="AG410" s="251" t="s">
        <v>486</v>
      </c>
      <c r="AH410" s="251" t="s">
        <v>486</v>
      </c>
      <c r="AI410" s="251" t="s">
        <v>486</v>
      </c>
      <c r="AJ410" s="251" t="s">
        <v>486</v>
      </c>
      <c r="AK410" s="251" t="s">
        <v>486</v>
      </c>
      <c r="AL410" s="251" t="s">
        <v>491</v>
      </c>
      <c r="AM410" s="251" t="s">
        <v>486</v>
      </c>
      <c r="AN410" s="251" t="s">
        <v>486</v>
      </c>
      <c r="AO410" s="253" t="s">
        <v>486</v>
      </c>
      <c r="AP410" s="252" t="s">
        <v>486</v>
      </c>
      <c r="AQ410" s="254" t="s">
        <v>486</v>
      </c>
      <c r="AR410" s="251" t="s">
        <v>486</v>
      </c>
    </row>
    <row r="411" spans="1:44" ht="15" x14ac:dyDescent="0.25">
      <c r="A411" s="245" t="str">
        <f>HYPERLINK("http://www.ofsted.gov.uk/inspection-reports/find-inspection-report/provider/ELS/120335 ","Ofsted School Webpage")</f>
        <v>Ofsted School Webpage</v>
      </c>
      <c r="B411" s="246">
        <v>120335</v>
      </c>
      <c r="C411" s="246">
        <v>8566007</v>
      </c>
      <c r="D411" s="246" t="s">
        <v>2217</v>
      </c>
      <c r="E411" s="246" t="s">
        <v>247</v>
      </c>
      <c r="F411" s="246" t="s">
        <v>83</v>
      </c>
      <c r="G411" s="246" t="s">
        <v>84</v>
      </c>
      <c r="H411" s="246" t="s">
        <v>83</v>
      </c>
      <c r="I411" s="246" t="s">
        <v>84</v>
      </c>
      <c r="J411" s="246" t="s">
        <v>1490</v>
      </c>
      <c r="K411" s="246" t="s">
        <v>486</v>
      </c>
      <c r="L411" s="246" t="s">
        <v>487</v>
      </c>
      <c r="M411" s="246" t="s">
        <v>572</v>
      </c>
      <c r="N411" s="246" t="s">
        <v>572</v>
      </c>
      <c r="O411" s="246" t="s">
        <v>589</v>
      </c>
      <c r="P411" s="246" t="s">
        <v>2218</v>
      </c>
      <c r="Q411" s="247">
        <v>10039180</v>
      </c>
      <c r="R411" s="248">
        <v>43060</v>
      </c>
      <c r="S411" s="248">
        <v>43062</v>
      </c>
      <c r="T411" s="248">
        <v>43081</v>
      </c>
      <c r="U411" s="246" t="s">
        <v>488</v>
      </c>
      <c r="V411" s="246">
        <v>2</v>
      </c>
      <c r="W411" s="246" t="s">
        <v>219</v>
      </c>
      <c r="X411" s="246">
        <v>2</v>
      </c>
      <c r="Y411" s="246">
        <v>2</v>
      </c>
      <c r="Z411" s="246">
        <v>2</v>
      </c>
      <c r="AA411" s="246">
        <v>2</v>
      </c>
      <c r="AB411" s="246">
        <v>2</v>
      </c>
      <c r="AC411" s="246" t="s">
        <v>486</v>
      </c>
      <c r="AD411" s="246" t="s">
        <v>490</v>
      </c>
      <c r="AE411" s="246" t="s">
        <v>486</v>
      </c>
      <c r="AF411" s="246" t="s">
        <v>486</v>
      </c>
      <c r="AG411" s="246" t="s">
        <v>486</v>
      </c>
      <c r="AH411" s="246" t="s">
        <v>486</v>
      </c>
      <c r="AI411" s="246" t="s">
        <v>486</v>
      </c>
      <c r="AJ411" s="246" t="s">
        <v>486</v>
      </c>
      <c r="AK411" s="246" t="s">
        <v>486</v>
      </c>
      <c r="AL411" s="246" t="s">
        <v>491</v>
      </c>
      <c r="AM411" s="246" t="s">
        <v>486</v>
      </c>
      <c r="AN411" s="246" t="s">
        <v>486</v>
      </c>
      <c r="AO411" s="248" t="s">
        <v>486</v>
      </c>
      <c r="AP411" s="247" t="s">
        <v>486</v>
      </c>
      <c r="AQ411" s="249" t="s">
        <v>486</v>
      </c>
      <c r="AR411" s="246" t="s">
        <v>486</v>
      </c>
    </row>
    <row r="412" spans="1:44" ht="15" x14ac:dyDescent="0.25">
      <c r="A412" s="250" t="str">
        <f>HYPERLINK("http://www.ofsted.gov.uk/inspection-reports/find-inspection-report/provider/ELS/130244 ","Ofsted School Webpage")</f>
        <v>Ofsted School Webpage</v>
      </c>
      <c r="B412" s="251">
        <v>130244</v>
      </c>
      <c r="C412" s="251">
        <v>3306113</v>
      </c>
      <c r="D412" s="251" t="s">
        <v>2219</v>
      </c>
      <c r="E412" s="251" t="s">
        <v>247</v>
      </c>
      <c r="F412" s="251" t="s">
        <v>83</v>
      </c>
      <c r="G412" s="251" t="s">
        <v>84</v>
      </c>
      <c r="H412" s="251" t="s">
        <v>83</v>
      </c>
      <c r="I412" s="251" t="s">
        <v>84</v>
      </c>
      <c r="J412" s="251" t="s">
        <v>1490</v>
      </c>
      <c r="K412" s="251" t="s">
        <v>486</v>
      </c>
      <c r="L412" s="251" t="s">
        <v>487</v>
      </c>
      <c r="M412" s="251" t="s">
        <v>502</v>
      </c>
      <c r="N412" s="251" t="s">
        <v>502</v>
      </c>
      <c r="O412" s="251" t="s">
        <v>909</v>
      </c>
      <c r="P412" s="251" t="s">
        <v>2220</v>
      </c>
      <c r="Q412" s="252">
        <v>10038829</v>
      </c>
      <c r="R412" s="253">
        <v>43060</v>
      </c>
      <c r="S412" s="253">
        <v>43062</v>
      </c>
      <c r="T412" s="253">
        <v>43090</v>
      </c>
      <c r="U412" s="251" t="s">
        <v>488</v>
      </c>
      <c r="V412" s="251">
        <v>2</v>
      </c>
      <c r="W412" s="251" t="s">
        <v>219</v>
      </c>
      <c r="X412" s="251">
        <v>2</v>
      </c>
      <c r="Y412" s="251">
        <v>1</v>
      </c>
      <c r="Z412" s="251">
        <v>2</v>
      </c>
      <c r="AA412" s="251">
        <v>2</v>
      </c>
      <c r="AB412" s="251">
        <v>2</v>
      </c>
      <c r="AC412" s="251" t="s">
        <v>486</v>
      </c>
      <c r="AD412" s="251" t="s">
        <v>490</v>
      </c>
      <c r="AE412" s="251" t="s">
        <v>486</v>
      </c>
      <c r="AF412" s="251" t="s">
        <v>486</v>
      </c>
      <c r="AG412" s="251" t="s">
        <v>486</v>
      </c>
      <c r="AH412" s="251" t="s">
        <v>486</v>
      </c>
      <c r="AI412" s="251" t="s">
        <v>486</v>
      </c>
      <c r="AJ412" s="251" t="s">
        <v>486</v>
      </c>
      <c r="AK412" s="251" t="s">
        <v>486</v>
      </c>
      <c r="AL412" s="251" t="s">
        <v>491</v>
      </c>
      <c r="AM412" s="251" t="s">
        <v>486</v>
      </c>
      <c r="AN412" s="251" t="s">
        <v>486</v>
      </c>
      <c r="AO412" s="253" t="s">
        <v>486</v>
      </c>
      <c r="AP412" s="252" t="s">
        <v>486</v>
      </c>
      <c r="AQ412" s="254" t="s">
        <v>486</v>
      </c>
      <c r="AR412" s="251" t="s">
        <v>486</v>
      </c>
    </row>
    <row r="413" spans="1:44" ht="15" x14ac:dyDescent="0.25">
      <c r="A413" s="245" t="str">
        <f>HYPERLINK("http://www.ofsted.gov.uk/inspection-reports/find-inspection-report/provider/ELS/132003 ","Ofsted School Webpage")</f>
        <v>Ofsted School Webpage</v>
      </c>
      <c r="B413" s="246">
        <v>132003</v>
      </c>
      <c r="C413" s="246">
        <v>8696014</v>
      </c>
      <c r="D413" s="246" t="s">
        <v>2221</v>
      </c>
      <c r="E413" s="246" t="s">
        <v>248</v>
      </c>
      <c r="F413" s="246" t="s">
        <v>93</v>
      </c>
      <c r="G413" s="246" t="s">
        <v>93</v>
      </c>
      <c r="H413" s="246" t="s">
        <v>93</v>
      </c>
      <c r="I413" s="246" t="s">
        <v>90</v>
      </c>
      <c r="J413" s="246" t="s">
        <v>1490</v>
      </c>
      <c r="K413" s="246" t="s">
        <v>486</v>
      </c>
      <c r="L413" s="246" t="s">
        <v>487</v>
      </c>
      <c r="M413" s="246" t="s">
        <v>581</v>
      </c>
      <c r="N413" s="246" t="s">
        <v>581</v>
      </c>
      <c r="O413" s="246" t="s">
        <v>1519</v>
      </c>
      <c r="P413" s="246" t="s">
        <v>2222</v>
      </c>
      <c r="Q413" s="247">
        <v>10020923</v>
      </c>
      <c r="R413" s="248">
        <v>43060</v>
      </c>
      <c r="S413" s="248">
        <v>43062</v>
      </c>
      <c r="T413" s="248">
        <v>43117</v>
      </c>
      <c r="U413" s="246" t="s">
        <v>2930</v>
      </c>
      <c r="V413" s="246">
        <v>1</v>
      </c>
      <c r="W413" s="246" t="s">
        <v>219</v>
      </c>
      <c r="X413" s="246">
        <v>1</v>
      </c>
      <c r="Y413" s="246">
        <v>1</v>
      </c>
      <c r="Z413" s="246">
        <v>1</v>
      </c>
      <c r="AA413" s="246">
        <v>1</v>
      </c>
      <c r="AB413" s="246" t="s">
        <v>486</v>
      </c>
      <c r="AC413" s="246">
        <v>1</v>
      </c>
      <c r="AD413" s="246" t="s">
        <v>486</v>
      </c>
      <c r="AE413" s="246" t="s">
        <v>486</v>
      </c>
      <c r="AF413" s="246" t="s">
        <v>486</v>
      </c>
      <c r="AG413" s="246" t="s">
        <v>486</v>
      </c>
      <c r="AH413" s="246" t="s">
        <v>486</v>
      </c>
      <c r="AI413" s="246" t="s">
        <v>486</v>
      </c>
      <c r="AJ413" s="246" t="s">
        <v>486</v>
      </c>
      <c r="AK413" s="246" t="s">
        <v>486</v>
      </c>
      <c r="AL413" s="246" t="s">
        <v>491</v>
      </c>
      <c r="AM413" s="246" t="s">
        <v>486</v>
      </c>
      <c r="AN413" s="246" t="s">
        <v>486</v>
      </c>
      <c r="AO413" s="248" t="s">
        <v>486</v>
      </c>
      <c r="AP413" s="247" t="s">
        <v>486</v>
      </c>
      <c r="AQ413" s="249" t="s">
        <v>486</v>
      </c>
      <c r="AR413" s="246" t="s">
        <v>486</v>
      </c>
    </row>
    <row r="414" spans="1:44" ht="15" x14ac:dyDescent="0.25">
      <c r="A414" s="250" t="str">
        <f>HYPERLINK("http://www.ofsted.gov.uk/inspection-reports/find-inspection-report/provider/ELS/134140 ","Ofsted School Webpage")</f>
        <v>Ofsted School Webpage</v>
      </c>
      <c r="B414" s="251">
        <v>134140</v>
      </c>
      <c r="C414" s="251">
        <v>3806114</v>
      </c>
      <c r="D414" s="251" t="s">
        <v>2223</v>
      </c>
      <c r="E414" s="251" t="s">
        <v>247</v>
      </c>
      <c r="F414" s="251" t="s">
        <v>83</v>
      </c>
      <c r="G414" s="251" t="s">
        <v>84</v>
      </c>
      <c r="H414" s="251" t="s">
        <v>83</v>
      </c>
      <c r="I414" s="251" t="s">
        <v>84</v>
      </c>
      <c r="J414" s="251" t="s">
        <v>1490</v>
      </c>
      <c r="K414" s="251" t="s">
        <v>486</v>
      </c>
      <c r="L414" s="251" t="s">
        <v>487</v>
      </c>
      <c r="M414" s="251" t="s">
        <v>523</v>
      </c>
      <c r="N414" s="251" t="s">
        <v>524</v>
      </c>
      <c r="O414" s="251" t="s">
        <v>674</v>
      </c>
      <c r="P414" s="251" t="s">
        <v>2224</v>
      </c>
      <c r="Q414" s="252">
        <v>10040142</v>
      </c>
      <c r="R414" s="253">
        <v>43060</v>
      </c>
      <c r="S414" s="253">
        <v>43062</v>
      </c>
      <c r="T414" s="253">
        <v>43089</v>
      </c>
      <c r="U414" s="251" t="s">
        <v>488</v>
      </c>
      <c r="V414" s="251">
        <v>2</v>
      </c>
      <c r="W414" s="251" t="s">
        <v>219</v>
      </c>
      <c r="X414" s="251">
        <v>2</v>
      </c>
      <c r="Y414" s="251">
        <v>2</v>
      </c>
      <c r="Z414" s="251">
        <v>2</v>
      </c>
      <c r="AA414" s="251">
        <v>2</v>
      </c>
      <c r="AB414" s="251" t="s">
        <v>486</v>
      </c>
      <c r="AC414" s="251">
        <v>2</v>
      </c>
      <c r="AD414" s="251" t="s">
        <v>490</v>
      </c>
      <c r="AE414" s="251" t="s">
        <v>486</v>
      </c>
      <c r="AF414" s="251" t="s">
        <v>486</v>
      </c>
      <c r="AG414" s="251" t="s">
        <v>486</v>
      </c>
      <c r="AH414" s="251" t="s">
        <v>486</v>
      </c>
      <c r="AI414" s="251" t="s">
        <v>486</v>
      </c>
      <c r="AJ414" s="251" t="s">
        <v>486</v>
      </c>
      <c r="AK414" s="251" t="s">
        <v>486</v>
      </c>
      <c r="AL414" s="251" t="s">
        <v>491</v>
      </c>
      <c r="AM414" s="251" t="s">
        <v>486</v>
      </c>
      <c r="AN414" s="251" t="s">
        <v>486</v>
      </c>
      <c r="AO414" s="253" t="s">
        <v>486</v>
      </c>
      <c r="AP414" s="252" t="s">
        <v>486</v>
      </c>
      <c r="AQ414" s="254" t="s">
        <v>486</v>
      </c>
      <c r="AR414" s="251" t="s">
        <v>486</v>
      </c>
    </row>
    <row r="415" spans="1:44" ht="15" x14ac:dyDescent="0.25">
      <c r="A415" s="245" t="str">
        <f>HYPERLINK("http://www.ofsted.gov.uk/inspection-reports/find-inspection-report/provider/ELS/134933 ","Ofsted School Webpage")</f>
        <v>Ofsted School Webpage</v>
      </c>
      <c r="B415" s="246">
        <v>134933</v>
      </c>
      <c r="C415" s="246">
        <v>9196209</v>
      </c>
      <c r="D415" s="246" t="s">
        <v>2225</v>
      </c>
      <c r="E415" s="246" t="s">
        <v>247</v>
      </c>
      <c r="F415" s="246" t="s">
        <v>93</v>
      </c>
      <c r="G415" s="246" t="s">
        <v>78</v>
      </c>
      <c r="H415" s="246" t="s">
        <v>78</v>
      </c>
      <c r="I415" s="246" t="s">
        <v>71</v>
      </c>
      <c r="J415" s="246" t="s">
        <v>1490</v>
      </c>
      <c r="K415" s="246" t="s">
        <v>486</v>
      </c>
      <c r="L415" s="246" t="s">
        <v>487</v>
      </c>
      <c r="M415" s="246" t="s">
        <v>516</v>
      </c>
      <c r="N415" s="246" t="s">
        <v>516</v>
      </c>
      <c r="O415" s="246" t="s">
        <v>556</v>
      </c>
      <c r="P415" s="246" t="s">
        <v>2226</v>
      </c>
      <c r="Q415" s="247">
        <v>10038906</v>
      </c>
      <c r="R415" s="248">
        <v>43060</v>
      </c>
      <c r="S415" s="248">
        <v>43062</v>
      </c>
      <c r="T415" s="248">
        <v>43110</v>
      </c>
      <c r="U415" s="246" t="s">
        <v>488</v>
      </c>
      <c r="V415" s="246">
        <v>2</v>
      </c>
      <c r="W415" s="246" t="s">
        <v>219</v>
      </c>
      <c r="X415" s="246">
        <v>2</v>
      </c>
      <c r="Y415" s="246">
        <v>1</v>
      </c>
      <c r="Z415" s="246">
        <v>2</v>
      </c>
      <c r="AA415" s="246">
        <v>2</v>
      </c>
      <c r="AB415" s="246" t="s">
        <v>486</v>
      </c>
      <c r="AC415" s="246" t="s">
        <v>486</v>
      </c>
      <c r="AD415" s="246" t="s">
        <v>490</v>
      </c>
      <c r="AE415" s="246" t="s">
        <v>486</v>
      </c>
      <c r="AF415" s="246" t="s">
        <v>486</v>
      </c>
      <c r="AG415" s="246" t="s">
        <v>486</v>
      </c>
      <c r="AH415" s="246" t="s">
        <v>486</v>
      </c>
      <c r="AI415" s="246" t="s">
        <v>486</v>
      </c>
      <c r="AJ415" s="246" t="s">
        <v>486</v>
      </c>
      <c r="AK415" s="246" t="s">
        <v>486</v>
      </c>
      <c r="AL415" s="246" t="s">
        <v>491</v>
      </c>
      <c r="AM415" s="246" t="s">
        <v>486</v>
      </c>
      <c r="AN415" s="246" t="s">
        <v>486</v>
      </c>
      <c r="AO415" s="248" t="s">
        <v>486</v>
      </c>
      <c r="AP415" s="247" t="s">
        <v>486</v>
      </c>
      <c r="AQ415" s="249" t="s">
        <v>486</v>
      </c>
      <c r="AR415" s="246" t="s">
        <v>486</v>
      </c>
    </row>
    <row r="416" spans="1:44" ht="15" x14ac:dyDescent="0.25">
      <c r="A416" s="250" t="str">
        <f>HYPERLINK("http://www.ofsted.gov.uk/inspection-reports/find-inspection-report/provider/ELS/135180 ","Ofsted School Webpage")</f>
        <v>Ofsted School Webpage</v>
      </c>
      <c r="B416" s="251">
        <v>135180</v>
      </c>
      <c r="C416" s="251">
        <v>9386050</v>
      </c>
      <c r="D416" s="251" t="s">
        <v>2227</v>
      </c>
      <c r="E416" s="251" t="s">
        <v>248</v>
      </c>
      <c r="F416" s="251" t="s">
        <v>93</v>
      </c>
      <c r="G416" s="251" t="s">
        <v>93</v>
      </c>
      <c r="H416" s="251" t="s">
        <v>93</v>
      </c>
      <c r="I416" s="251" t="s">
        <v>90</v>
      </c>
      <c r="J416" s="251" t="s">
        <v>1490</v>
      </c>
      <c r="K416" s="251" t="s">
        <v>486</v>
      </c>
      <c r="L416" s="251" t="s">
        <v>487</v>
      </c>
      <c r="M416" s="251" t="s">
        <v>581</v>
      </c>
      <c r="N416" s="251" t="s">
        <v>581</v>
      </c>
      <c r="O416" s="251" t="s">
        <v>829</v>
      </c>
      <c r="P416" s="251" t="s">
        <v>2228</v>
      </c>
      <c r="Q416" s="252">
        <v>10020930</v>
      </c>
      <c r="R416" s="253">
        <v>43060</v>
      </c>
      <c r="S416" s="253">
        <v>43062</v>
      </c>
      <c r="T416" s="253">
        <v>43080</v>
      </c>
      <c r="U416" s="251" t="s">
        <v>488</v>
      </c>
      <c r="V416" s="251">
        <v>3</v>
      </c>
      <c r="W416" s="251" t="s">
        <v>219</v>
      </c>
      <c r="X416" s="251">
        <v>3</v>
      </c>
      <c r="Y416" s="251">
        <v>1</v>
      </c>
      <c r="Z416" s="251">
        <v>3</v>
      </c>
      <c r="AA416" s="251">
        <v>3</v>
      </c>
      <c r="AB416" s="251" t="s">
        <v>486</v>
      </c>
      <c r="AC416" s="251" t="s">
        <v>486</v>
      </c>
      <c r="AD416" s="251" t="s">
        <v>486</v>
      </c>
      <c r="AE416" s="251" t="s">
        <v>486</v>
      </c>
      <c r="AF416" s="251" t="s">
        <v>486</v>
      </c>
      <c r="AG416" s="251" t="s">
        <v>486</v>
      </c>
      <c r="AH416" s="251" t="s">
        <v>486</v>
      </c>
      <c r="AI416" s="251" t="s">
        <v>486</v>
      </c>
      <c r="AJ416" s="251" t="s">
        <v>486</v>
      </c>
      <c r="AK416" s="251" t="s">
        <v>486</v>
      </c>
      <c r="AL416" s="251" t="s">
        <v>491</v>
      </c>
      <c r="AM416" s="251" t="s">
        <v>486</v>
      </c>
      <c r="AN416" s="251" t="s">
        <v>486</v>
      </c>
      <c r="AO416" s="253" t="s">
        <v>486</v>
      </c>
      <c r="AP416" s="252" t="s">
        <v>486</v>
      </c>
      <c r="AQ416" s="254" t="s">
        <v>486</v>
      </c>
      <c r="AR416" s="251" t="s">
        <v>486</v>
      </c>
    </row>
    <row r="417" spans="1:44" ht="15" x14ac:dyDescent="0.25">
      <c r="A417" s="245" t="str">
        <f>HYPERLINK("http://www.ofsted.gov.uk/inspection-reports/find-inspection-report/provider/ELS/135422 ","Ofsted School Webpage")</f>
        <v>Ofsted School Webpage</v>
      </c>
      <c r="B417" s="246">
        <v>135422</v>
      </c>
      <c r="C417" s="246">
        <v>3306121</v>
      </c>
      <c r="D417" s="246" t="s">
        <v>2229</v>
      </c>
      <c r="E417" s="246" t="s">
        <v>247</v>
      </c>
      <c r="F417" s="246" t="s">
        <v>93</v>
      </c>
      <c r="G417" s="246" t="s">
        <v>93</v>
      </c>
      <c r="H417" s="246" t="s">
        <v>93</v>
      </c>
      <c r="I417" s="246" t="s">
        <v>90</v>
      </c>
      <c r="J417" s="246" t="s">
        <v>1490</v>
      </c>
      <c r="K417" s="246" t="s">
        <v>486</v>
      </c>
      <c r="L417" s="246" t="s">
        <v>487</v>
      </c>
      <c r="M417" s="246" t="s">
        <v>502</v>
      </c>
      <c r="N417" s="246" t="s">
        <v>502</v>
      </c>
      <c r="O417" s="246" t="s">
        <v>909</v>
      </c>
      <c r="P417" s="246" t="s">
        <v>2230</v>
      </c>
      <c r="Q417" s="247">
        <v>10020740</v>
      </c>
      <c r="R417" s="248">
        <v>43060</v>
      </c>
      <c r="S417" s="248">
        <v>43062</v>
      </c>
      <c r="T417" s="248">
        <v>43084</v>
      </c>
      <c r="U417" s="246" t="s">
        <v>488</v>
      </c>
      <c r="V417" s="246">
        <v>2</v>
      </c>
      <c r="W417" s="246" t="s">
        <v>219</v>
      </c>
      <c r="X417" s="246">
        <v>2</v>
      </c>
      <c r="Y417" s="246">
        <v>2</v>
      </c>
      <c r="Z417" s="246">
        <v>2</v>
      </c>
      <c r="AA417" s="246">
        <v>2</v>
      </c>
      <c r="AB417" s="246" t="s">
        <v>486</v>
      </c>
      <c r="AC417" s="246" t="s">
        <v>486</v>
      </c>
      <c r="AD417" s="246" t="s">
        <v>486</v>
      </c>
      <c r="AE417" s="246" t="s">
        <v>486</v>
      </c>
      <c r="AF417" s="246" t="s">
        <v>486</v>
      </c>
      <c r="AG417" s="246" t="s">
        <v>486</v>
      </c>
      <c r="AH417" s="246" t="s">
        <v>486</v>
      </c>
      <c r="AI417" s="246" t="s">
        <v>486</v>
      </c>
      <c r="AJ417" s="246" t="s">
        <v>486</v>
      </c>
      <c r="AK417" s="246" t="s">
        <v>486</v>
      </c>
      <c r="AL417" s="246" t="s">
        <v>491</v>
      </c>
      <c r="AM417" s="246" t="s">
        <v>486</v>
      </c>
      <c r="AN417" s="246" t="s">
        <v>486</v>
      </c>
      <c r="AO417" s="248" t="s">
        <v>486</v>
      </c>
      <c r="AP417" s="247" t="s">
        <v>486</v>
      </c>
      <c r="AQ417" s="249" t="s">
        <v>486</v>
      </c>
      <c r="AR417" s="246" t="s">
        <v>486</v>
      </c>
    </row>
    <row r="418" spans="1:44" ht="15" x14ac:dyDescent="0.25">
      <c r="A418" s="250" t="str">
        <f>HYPERLINK("http://www.ofsted.gov.uk/inspection-reports/find-inspection-report/provider/ELS/139417 ","Ofsted School Webpage")</f>
        <v>Ofsted School Webpage</v>
      </c>
      <c r="B418" s="251">
        <v>139417</v>
      </c>
      <c r="C418" s="251">
        <v>3156001</v>
      </c>
      <c r="D418" s="251" t="s">
        <v>2231</v>
      </c>
      <c r="E418" s="251" t="s">
        <v>247</v>
      </c>
      <c r="F418" s="251" t="s">
        <v>93</v>
      </c>
      <c r="G418" s="251" t="s">
        <v>93</v>
      </c>
      <c r="H418" s="251" t="s">
        <v>93</v>
      </c>
      <c r="I418" s="251" t="s">
        <v>90</v>
      </c>
      <c r="J418" s="251" t="s">
        <v>1490</v>
      </c>
      <c r="K418" s="251" t="s">
        <v>486</v>
      </c>
      <c r="L418" s="251" t="s">
        <v>487</v>
      </c>
      <c r="M418" s="251" t="s">
        <v>506</v>
      </c>
      <c r="N418" s="251" t="s">
        <v>506</v>
      </c>
      <c r="O418" s="251" t="s">
        <v>1360</v>
      </c>
      <c r="P418" s="251" t="s">
        <v>2232</v>
      </c>
      <c r="Q418" s="252">
        <v>10026299</v>
      </c>
      <c r="R418" s="253">
        <v>43060</v>
      </c>
      <c r="S418" s="253">
        <v>43062</v>
      </c>
      <c r="T418" s="253">
        <v>43126</v>
      </c>
      <c r="U418" s="251" t="s">
        <v>488</v>
      </c>
      <c r="V418" s="251">
        <v>2</v>
      </c>
      <c r="W418" s="251" t="s">
        <v>219</v>
      </c>
      <c r="X418" s="251">
        <v>2</v>
      </c>
      <c r="Y418" s="251">
        <v>2</v>
      </c>
      <c r="Z418" s="251">
        <v>2</v>
      </c>
      <c r="AA418" s="251">
        <v>2</v>
      </c>
      <c r="AB418" s="251">
        <v>2</v>
      </c>
      <c r="AC418" s="251" t="s">
        <v>486</v>
      </c>
      <c r="AD418" s="251" t="s">
        <v>490</v>
      </c>
      <c r="AE418" s="251" t="s">
        <v>486</v>
      </c>
      <c r="AF418" s="251" t="s">
        <v>486</v>
      </c>
      <c r="AG418" s="251" t="s">
        <v>486</v>
      </c>
      <c r="AH418" s="251" t="s">
        <v>486</v>
      </c>
      <c r="AI418" s="251" t="s">
        <v>486</v>
      </c>
      <c r="AJ418" s="251" t="s">
        <v>486</v>
      </c>
      <c r="AK418" s="251" t="s">
        <v>486</v>
      </c>
      <c r="AL418" s="251" t="s">
        <v>491</v>
      </c>
      <c r="AM418" s="251" t="s">
        <v>486</v>
      </c>
      <c r="AN418" s="251" t="s">
        <v>486</v>
      </c>
      <c r="AO418" s="253" t="s">
        <v>486</v>
      </c>
      <c r="AP418" s="252" t="s">
        <v>486</v>
      </c>
      <c r="AQ418" s="254" t="s">
        <v>486</v>
      </c>
      <c r="AR418" s="251" t="s">
        <v>486</v>
      </c>
    </row>
    <row r="419" spans="1:44" ht="15" x14ac:dyDescent="0.25">
      <c r="A419" s="245" t="str">
        <f>HYPERLINK("http://www.ofsted.gov.uk/inspection-reports/find-inspection-report/provider/ELS/140046 ","Ofsted School Webpage")</f>
        <v>Ofsted School Webpage</v>
      </c>
      <c r="B419" s="246">
        <v>140046</v>
      </c>
      <c r="C419" s="246">
        <v>8506090</v>
      </c>
      <c r="D419" s="246" t="s">
        <v>2233</v>
      </c>
      <c r="E419" s="246" t="s">
        <v>248</v>
      </c>
      <c r="F419" s="246" t="s">
        <v>93</v>
      </c>
      <c r="G419" s="246" t="s">
        <v>93</v>
      </c>
      <c r="H419" s="246" t="s">
        <v>93</v>
      </c>
      <c r="I419" s="246" t="s">
        <v>90</v>
      </c>
      <c r="J419" s="246" t="s">
        <v>1490</v>
      </c>
      <c r="K419" s="246" t="s">
        <v>486</v>
      </c>
      <c r="L419" s="246" t="s">
        <v>487</v>
      </c>
      <c r="M419" s="246" t="s">
        <v>581</v>
      </c>
      <c r="N419" s="246" t="s">
        <v>581</v>
      </c>
      <c r="O419" s="246" t="s">
        <v>582</v>
      </c>
      <c r="P419" s="246" t="s">
        <v>1998</v>
      </c>
      <c r="Q419" s="247">
        <v>10033963</v>
      </c>
      <c r="R419" s="248">
        <v>43060</v>
      </c>
      <c r="S419" s="248">
        <v>43062</v>
      </c>
      <c r="T419" s="248">
        <v>43108</v>
      </c>
      <c r="U419" s="246" t="s">
        <v>488</v>
      </c>
      <c r="V419" s="246">
        <v>2</v>
      </c>
      <c r="W419" s="246" t="s">
        <v>219</v>
      </c>
      <c r="X419" s="246">
        <v>2</v>
      </c>
      <c r="Y419" s="246">
        <v>2</v>
      </c>
      <c r="Z419" s="246">
        <v>2</v>
      </c>
      <c r="AA419" s="246">
        <v>2</v>
      </c>
      <c r="AB419" s="246" t="s">
        <v>486</v>
      </c>
      <c r="AC419" s="246">
        <v>2</v>
      </c>
      <c r="AD419" s="246" t="s">
        <v>490</v>
      </c>
      <c r="AE419" s="246" t="s">
        <v>486</v>
      </c>
      <c r="AF419" s="246" t="s">
        <v>486</v>
      </c>
      <c r="AG419" s="246" t="s">
        <v>486</v>
      </c>
      <c r="AH419" s="246" t="s">
        <v>486</v>
      </c>
      <c r="AI419" s="246" t="s">
        <v>486</v>
      </c>
      <c r="AJ419" s="246" t="s">
        <v>486</v>
      </c>
      <c r="AK419" s="246" t="s">
        <v>486</v>
      </c>
      <c r="AL419" s="246" t="s">
        <v>491</v>
      </c>
      <c r="AM419" s="246" t="s">
        <v>486</v>
      </c>
      <c r="AN419" s="246" t="s">
        <v>486</v>
      </c>
      <c r="AO419" s="248" t="s">
        <v>486</v>
      </c>
      <c r="AP419" s="247" t="s">
        <v>486</v>
      </c>
      <c r="AQ419" s="249" t="s">
        <v>486</v>
      </c>
      <c r="AR419" s="246" t="s">
        <v>486</v>
      </c>
    </row>
    <row r="420" spans="1:44" ht="15" x14ac:dyDescent="0.25">
      <c r="A420" s="250" t="str">
        <f>HYPERLINK("http://www.ofsted.gov.uk/inspection-reports/find-inspection-report/provider/ELS/143048 ","Ofsted School Webpage")</f>
        <v>Ofsted School Webpage</v>
      </c>
      <c r="B420" s="251">
        <v>143048</v>
      </c>
      <c r="C420" s="251">
        <v>3186007</v>
      </c>
      <c r="D420" s="251" t="s">
        <v>1154</v>
      </c>
      <c r="E420" s="251" t="s">
        <v>247</v>
      </c>
      <c r="F420" s="251" t="s">
        <v>93</v>
      </c>
      <c r="G420" s="251" t="s">
        <v>93</v>
      </c>
      <c r="H420" s="251" t="s">
        <v>93</v>
      </c>
      <c r="I420" s="251" t="s">
        <v>90</v>
      </c>
      <c r="J420" s="251" t="s">
        <v>1490</v>
      </c>
      <c r="K420" s="251" t="s">
        <v>486</v>
      </c>
      <c r="L420" s="251" t="s">
        <v>487</v>
      </c>
      <c r="M420" s="251" t="s">
        <v>506</v>
      </c>
      <c r="N420" s="251" t="s">
        <v>506</v>
      </c>
      <c r="O420" s="251" t="s">
        <v>1040</v>
      </c>
      <c r="P420" s="251" t="s">
        <v>1155</v>
      </c>
      <c r="Q420" s="252">
        <v>10041013</v>
      </c>
      <c r="R420" s="253">
        <v>43060</v>
      </c>
      <c r="S420" s="253">
        <v>43062</v>
      </c>
      <c r="T420" s="253">
        <v>43091</v>
      </c>
      <c r="U420" s="251" t="s">
        <v>499</v>
      </c>
      <c r="V420" s="251">
        <v>2</v>
      </c>
      <c r="W420" s="251" t="s">
        <v>219</v>
      </c>
      <c r="X420" s="251">
        <v>2</v>
      </c>
      <c r="Y420" s="251">
        <v>2</v>
      </c>
      <c r="Z420" s="251">
        <v>2</v>
      </c>
      <c r="AA420" s="251">
        <v>2</v>
      </c>
      <c r="AB420" s="251" t="s">
        <v>486</v>
      </c>
      <c r="AC420" s="251" t="s">
        <v>486</v>
      </c>
      <c r="AD420" s="251" t="s">
        <v>490</v>
      </c>
      <c r="AE420" s="251" t="s">
        <v>486</v>
      </c>
      <c r="AF420" s="251" t="s">
        <v>486</v>
      </c>
      <c r="AG420" s="251" t="s">
        <v>486</v>
      </c>
      <c r="AH420" s="251" t="s">
        <v>486</v>
      </c>
      <c r="AI420" s="251" t="s">
        <v>486</v>
      </c>
      <c r="AJ420" s="251" t="s">
        <v>486</v>
      </c>
      <c r="AK420" s="251" t="s">
        <v>486</v>
      </c>
      <c r="AL420" s="251" t="s">
        <v>491</v>
      </c>
      <c r="AM420" s="251" t="s">
        <v>486</v>
      </c>
      <c r="AN420" s="251" t="s">
        <v>486</v>
      </c>
      <c r="AO420" s="253" t="s">
        <v>486</v>
      </c>
      <c r="AP420" s="252" t="s">
        <v>486</v>
      </c>
      <c r="AQ420" s="254" t="s">
        <v>486</v>
      </c>
      <c r="AR420" s="251" t="s">
        <v>486</v>
      </c>
    </row>
    <row r="421" spans="1:44" ht="15" x14ac:dyDescent="0.25">
      <c r="A421" s="245" t="str">
        <f>HYPERLINK("http://www.ofsted.gov.uk/inspection-reports/find-inspection-report/provider/ELS/143174 ","Ofsted School Webpage")</f>
        <v>Ofsted School Webpage</v>
      </c>
      <c r="B421" s="246">
        <v>143174</v>
      </c>
      <c r="C421" s="246">
        <v>3306031</v>
      </c>
      <c r="D421" s="246" t="s">
        <v>1244</v>
      </c>
      <c r="E421" s="246" t="s">
        <v>247</v>
      </c>
      <c r="F421" s="246" t="s">
        <v>93</v>
      </c>
      <c r="G421" s="246" t="s">
        <v>93</v>
      </c>
      <c r="H421" s="246" t="s">
        <v>93</v>
      </c>
      <c r="I421" s="246" t="s">
        <v>90</v>
      </c>
      <c r="J421" s="246" t="s">
        <v>1490</v>
      </c>
      <c r="K421" s="246" t="s">
        <v>486</v>
      </c>
      <c r="L421" s="246" t="s">
        <v>487</v>
      </c>
      <c r="M421" s="246" t="s">
        <v>502</v>
      </c>
      <c r="N421" s="246" t="s">
        <v>502</v>
      </c>
      <c r="O421" s="246" t="s">
        <v>909</v>
      </c>
      <c r="P421" s="246" t="s">
        <v>1245</v>
      </c>
      <c r="Q421" s="247">
        <v>10039277</v>
      </c>
      <c r="R421" s="248">
        <v>43060</v>
      </c>
      <c r="S421" s="248">
        <v>43062</v>
      </c>
      <c r="T421" s="248">
        <v>43137</v>
      </c>
      <c r="U421" s="246" t="s">
        <v>499</v>
      </c>
      <c r="V421" s="246">
        <v>4</v>
      </c>
      <c r="W421" s="246" t="s">
        <v>220</v>
      </c>
      <c r="X421" s="246">
        <v>4</v>
      </c>
      <c r="Y421" s="246">
        <v>4</v>
      </c>
      <c r="Z421" s="246">
        <v>4</v>
      </c>
      <c r="AA421" s="246">
        <v>4</v>
      </c>
      <c r="AB421" s="246" t="s">
        <v>486</v>
      </c>
      <c r="AC421" s="246">
        <v>4</v>
      </c>
      <c r="AD421" s="246" t="s">
        <v>490</v>
      </c>
      <c r="AE421" s="246" t="s">
        <v>486</v>
      </c>
      <c r="AF421" s="246" t="s">
        <v>486</v>
      </c>
      <c r="AG421" s="246" t="s">
        <v>486</v>
      </c>
      <c r="AH421" s="246" t="s">
        <v>486</v>
      </c>
      <c r="AI421" s="246" t="s">
        <v>486</v>
      </c>
      <c r="AJ421" s="246" t="s">
        <v>486</v>
      </c>
      <c r="AK421" s="246" t="s">
        <v>486</v>
      </c>
      <c r="AL421" s="246" t="s">
        <v>545</v>
      </c>
      <c r="AM421" s="246">
        <v>10055386</v>
      </c>
      <c r="AN421" s="246" t="s">
        <v>1109</v>
      </c>
      <c r="AO421" s="248">
        <v>43419</v>
      </c>
      <c r="AP421" s="247" t="s">
        <v>1523</v>
      </c>
      <c r="AQ421" s="249">
        <v>43444</v>
      </c>
      <c r="AR421" s="246" t="s">
        <v>1110</v>
      </c>
    </row>
    <row r="422" spans="1:44" ht="15" x14ac:dyDescent="0.25">
      <c r="A422" s="250" t="str">
        <f>HYPERLINK("http://www.ofsted.gov.uk/inspection-reports/find-inspection-report/provider/ELS/100301 ","Ofsted School Webpage")</f>
        <v>Ofsted School Webpage</v>
      </c>
      <c r="B422" s="251">
        <v>100301</v>
      </c>
      <c r="C422" s="251">
        <v>2046389</v>
      </c>
      <c r="D422" s="251" t="s">
        <v>2234</v>
      </c>
      <c r="E422" s="251" t="s">
        <v>247</v>
      </c>
      <c r="F422" s="251" t="s">
        <v>93</v>
      </c>
      <c r="G422" s="251" t="s">
        <v>71</v>
      </c>
      <c r="H422" s="251" t="s">
        <v>71</v>
      </c>
      <c r="I422" s="251" t="s">
        <v>71</v>
      </c>
      <c r="J422" s="251" t="s">
        <v>1490</v>
      </c>
      <c r="K422" s="251" t="s">
        <v>486</v>
      </c>
      <c r="L422" s="251" t="s">
        <v>487</v>
      </c>
      <c r="M422" s="251" t="s">
        <v>506</v>
      </c>
      <c r="N422" s="251" t="s">
        <v>506</v>
      </c>
      <c r="O422" s="251" t="s">
        <v>617</v>
      </c>
      <c r="P422" s="251" t="s">
        <v>2235</v>
      </c>
      <c r="Q422" s="252">
        <v>10026269</v>
      </c>
      <c r="R422" s="253">
        <v>43067</v>
      </c>
      <c r="S422" s="253">
        <v>43069</v>
      </c>
      <c r="T422" s="253">
        <v>43088</v>
      </c>
      <c r="U422" s="251" t="s">
        <v>488</v>
      </c>
      <c r="V422" s="251">
        <v>3</v>
      </c>
      <c r="W422" s="251" t="s">
        <v>219</v>
      </c>
      <c r="X422" s="251">
        <v>3</v>
      </c>
      <c r="Y422" s="251">
        <v>2</v>
      </c>
      <c r="Z422" s="251">
        <v>3</v>
      </c>
      <c r="AA422" s="251">
        <v>3</v>
      </c>
      <c r="AB422" s="251">
        <v>3</v>
      </c>
      <c r="AC422" s="251" t="s">
        <v>486</v>
      </c>
      <c r="AD422" s="251" t="s">
        <v>490</v>
      </c>
      <c r="AE422" s="251" t="s">
        <v>486</v>
      </c>
      <c r="AF422" s="251" t="s">
        <v>486</v>
      </c>
      <c r="AG422" s="251" t="s">
        <v>486</v>
      </c>
      <c r="AH422" s="251" t="s">
        <v>486</v>
      </c>
      <c r="AI422" s="251" t="s">
        <v>486</v>
      </c>
      <c r="AJ422" s="251" t="s">
        <v>486</v>
      </c>
      <c r="AK422" s="251" t="s">
        <v>486</v>
      </c>
      <c r="AL422" s="251" t="s">
        <v>491</v>
      </c>
      <c r="AM422" s="251" t="s">
        <v>486</v>
      </c>
      <c r="AN422" s="251" t="s">
        <v>486</v>
      </c>
      <c r="AO422" s="253" t="s">
        <v>486</v>
      </c>
      <c r="AP422" s="252" t="s">
        <v>486</v>
      </c>
      <c r="AQ422" s="254" t="s">
        <v>486</v>
      </c>
      <c r="AR422" s="251" t="s">
        <v>486</v>
      </c>
    </row>
    <row r="423" spans="1:44" ht="15" x14ac:dyDescent="0.25">
      <c r="A423" s="245" t="str">
        <f>HYPERLINK("http://www.ofsted.gov.uk/inspection-reports/find-inspection-report/provider/ELS/101387 ","Ofsted School Webpage")</f>
        <v>Ofsted School Webpage</v>
      </c>
      <c r="B423" s="246">
        <v>101387</v>
      </c>
      <c r="C423" s="246">
        <v>3026089</v>
      </c>
      <c r="D423" s="246" t="s">
        <v>2236</v>
      </c>
      <c r="E423" s="246" t="s">
        <v>247</v>
      </c>
      <c r="F423" s="246" t="s">
        <v>81</v>
      </c>
      <c r="G423" s="246" t="s">
        <v>81</v>
      </c>
      <c r="H423" s="246" t="s">
        <v>81</v>
      </c>
      <c r="I423" s="246" t="s">
        <v>81</v>
      </c>
      <c r="J423" s="246" t="s">
        <v>1490</v>
      </c>
      <c r="K423" s="246" t="s">
        <v>486</v>
      </c>
      <c r="L423" s="246" t="s">
        <v>487</v>
      </c>
      <c r="M423" s="246" t="s">
        <v>506</v>
      </c>
      <c r="N423" s="246" t="s">
        <v>506</v>
      </c>
      <c r="O423" s="246" t="s">
        <v>614</v>
      </c>
      <c r="P423" s="246" t="s">
        <v>2237</v>
      </c>
      <c r="Q423" s="247">
        <v>10035782</v>
      </c>
      <c r="R423" s="248">
        <v>43067</v>
      </c>
      <c r="S423" s="248">
        <v>43069</v>
      </c>
      <c r="T423" s="248">
        <v>43112</v>
      </c>
      <c r="U423" s="246" t="s">
        <v>488</v>
      </c>
      <c r="V423" s="246">
        <v>2</v>
      </c>
      <c r="W423" s="246" t="s">
        <v>219</v>
      </c>
      <c r="X423" s="246">
        <v>2</v>
      </c>
      <c r="Y423" s="246">
        <v>2</v>
      </c>
      <c r="Z423" s="246">
        <v>2</v>
      </c>
      <c r="AA423" s="246">
        <v>2</v>
      </c>
      <c r="AB423" s="246" t="s">
        <v>486</v>
      </c>
      <c r="AC423" s="246">
        <v>2</v>
      </c>
      <c r="AD423" s="246" t="s">
        <v>490</v>
      </c>
      <c r="AE423" s="246" t="s">
        <v>486</v>
      </c>
      <c r="AF423" s="246" t="s">
        <v>486</v>
      </c>
      <c r="AG423" s="246" t="s">
        <v>486</v>
      </c>
      <c r="AH423" s="246" t="s">
        <v>486</v>
      </c>
      <c r="AI423" s="246" t="s">
        <v>486</v>
      </c>
      <c r="AJ423" s="246" t="s">
        <v>486</v>
      </c>
      <c r="AK423" s="246" t="s">
        <v>486</v>
      </c>
      <c r="AL423" s="246" t="s">
        <v>491</v>
      </c>
      <c r="AM423" s="246" t="s">
        <v>486</v>
      </c>
      <c r="AN423" s="246" t="s">
        <v>486</v>
      </c>
      <c r="AO423" s="248" t="s">
        <v>486</v>
      </c>
      <c r="AP423" s="247" t="s">
        <v>486</v>
      </c>
      <c r="AQ423" s="249" t="s">
        <v>486</v>
      </c>
      <c r="AR423" s="246" t="s">
        <v>486</v>
      </c>
    </row>
    <row r="424" spans="1:44" ht="15" x14ac:dyDescent="0.25">
      <c r="A424" s="250" t="str">
        <f>HYPERLINK("http://www.ofsted.gov.uk/inspection-reports/find-inspection-report/provider/ELS/107791 ","Ofsted School Webpage")</f>
        <v>Ofsted School Webpage</v>
      </c>
      <c r="B424" s="251">
        <v>107791</v>
      </c>
      <c r="C424" s="251">
        <v>3826013</v>
      </c>
      <c r="D424" s="251" t="s">
        <v>2238</v>
      </c>
      <c r="E424" s="251" t="s">
        <v>247</v>
      </c>
      <c r="F424" s="251" t="s">
        <v>93</v>
      </c>
      <c r="G424" s="251" t="s">
        <v>84</v>
      </c>
      <c r="H424" s="251" t="s">
        <v>84</v>
      </c>
      <c r="I424" s="251" t="s">
        <v>84</v>
      </c>
      <c r="J424" s="251" t="s">
        <v>1490</v>
      </c>
      <c r="K424" s="251" t="s">
        <v>486</v>
      </c>
      <c r="L424" s="251" t="s">
        <v>487</v>
      </c>
      <c r="M424" s="251" t="s">
        <v>523</v>
      </c>
      <c r="N424" s="251" t="s">
        <v>524</v>
      </c>
      <c r="O424" s="251" t="s">
        <v>767</v>
      </c>
      <c r="P424" s="251" t="s">
        <v>2239</v>
      </c>
      <c r="Q424" s="252">
        <v>10044408</v>
      </c>
      <c r="R424" s="253">
        <v>43067</v>
      </c>
      <c r="S424" s="253">
        <v>43069</v>
      </c>
      <c r="T424" s="253">
        <v>43115</v>
      </c>
      <c r="U424" s="251" t="s">
        <v>624</v>
      </c>
      <c r="V424" s="251">
        <v>2</v>
      </c>
      <c r="W424" s="251" t="s">
        <v>219</v>
      </c>
      <c r="X424" s="251">
        <v>2</v>
      </c>
      <c r="Y424" s="251">
        <v>1</v>
      </c>
      <c r="Z424" s="251">
        <v>2</v>
      </c>
      <c r="AA424" s="251">
        <v>2</v>
      </c>
      <c r="AB424" s="251" t="s">
        <v>486</v>
      </c>
      <c r="AC424" s="251">
        <v>2</v>
      </c>
      <c r="AD424" s="251" t="s">
        <v>490</v>
      </c>
      <c r="AE424" s="251" t="s">
        <v>486</v>
      </c>
      <c r="AF424" s="251" t="s">
        <v>486</v>
      </c>
      <c r="AG424" s="251" t="s">
        <v>486</v>
      </c>
      <c r="AH424" s="251" t="s">
        <v>486</v>
      </c>
      <c r="AI424" s="251" t="s">
        <v>486</v>
      </c>
      <c r="AJ424" s="251" t="s">
        <v>486</v>
      </c>
      <c r="AK424" s="251" t="s">
        <v>486</v>
      </c>
      <c r="AL424" s="251" t="s">
        <v>491</v>
      </c>
      <c r="AM424" s="251" t="s">
        <v>486</v>
      </c>
      <c r="AN424" s="251" t="s">
        <v>486</v>
      </c>
      <c r="AO424" s="253" t="s">
        <v>486</v>
      </c>
      <c r="AP424" s="252" t="s">
        <v>486</v>
      </c>
      <c r="AQ424" s="254" t="s">
        <v>486</v>
      </c>
      <c r="AR424" s="251" t="s">
        <v>486</v>
      </c>
    </row>
    <row r="425" spans="1:44" ht="15" x14ac:dyDescent="0.25">
      <c r="A425" s="245" t="str">
        <f>HYPERLINK("http://www.ofsted.gov.uk/inspection-reports/find-inspection-report/provider/ELS/113623 ","Ofsted School Webpage")</f>
        <v>Ofsted School Webpage</v>
      </c>
      <c r="B425" s="246">
        <v>113623</v>
      </c>
      <c r="C425" s="246">
        <v>8786045</v>
      </c>
      <c r="D425" s="246" t="s">
        <v>1230</v>
      </c>
      <c r="E425" s="246" t="s">
        <v>247</v>
      </c>
      <c r="F425" s="246" t="s">
        <v>93</v>
      </c>
      <c r="G425" s="246" t="s">
        <v>93</v>
      </c>
      <c r="H425" s="246" t="s">
        <v>93</v>
      </c>
      <c r="I425" s="246" t="s">
        <v>90</v>
      </c>
      <c r="J425" s="246" t="s">
        <v>1490</v>
      </c>
      <c r="K425" s="246" t="s">
        <v>486</v>
      </c>
      <c r="L425" s="246" t="s">
        <v>487</v>
      </c>
      <c r="M425" s="246" t="s">
        <v>483</v>
      </c>
      <c r="N425" s="246" t="s">
        <v>483</v>
      </c>
      <c r="O425" s="246" t="s">
        <v>747</v>
      </c>
      <c r="P425" s="246" t="s">
        <v>1231</v>
      </c>
      <c r="Q425" s="247">
        <v>10035558</v>
      </c>
      <c r="R425" s="248">
        <v>43067</v>
      </c>
      <c r="S425" s="248">
        <v>43069</v>
      </c>
      <c r="T425" s="248">
        <v>43116</v>
      </c>
      <c r="U425" s="246" t="s">
        <v>488</v>
      </c>
      <c r="V425" s="246">
        <v>4</v>
      </c>
      <c r="W425" s="246" t="s">
        <v>219</v>
      </c>
      <c r="X425" s="246">
        <v>4</v>
      </c>
      <c r="Y425" s="246">
        <v>4</v>
      </c>
      <c r="Z425" s="246">
        <v>4</v>
      </c>
      <c r="AA425" s="246">
        <v>4</v>
      </c>
      <c r="AB425" s="246" t="s">
        <v>486</v>
      </c>
      <c r="AC425" s="246" t="s">
        <v>486</v>
      </c>
      <c r="AD425" s="246" t="s">
        <v>490</v>
      </c>
      <c r="AE425" s="246" t="s">
        <v>486</v>
      </c>
      <c r="AF425" s="246" t="s">
        <v>486</v>
      </c>
      <c r="AG425" s="246" t="s">
        <v>486</v>
      </c>
      <c r="AH425" s="246" t="s">
        <v>486</v>
      </c>
      <c r="AI425" s="246" t="s">
        <v>486</v>
      </c>
      <c r="AJ425" s="246" t="s">
        <v>486</v>
      </c>
      <c r="AK425" s="246" t="s">
        <v>486</v>
      </c>
      <c r="AL425" s="246" t="s">
        <v>545</v>
      </c>
      <c r="AM425" s="246">
        <v>10061323</v>
      </c>
      <c r="AN425" s="246" t="s">
        <v>1109</v>
      </c>
      <c r="AO425" s="248">
        <v>43411</v>
      </c>
      <c r="AP425" s="247" t="s">
        <v>1523</v>
      </c>
      <c r="AQ425" s="249">
        <v>43438</v>
      </c>
      <c r="AR425" s="246" t="s">
        <v>1136</v>
      </c>
    </row>
    <row r="426" spans="1:44" ht="15" x14ac:dyDescent="0.25">
      <c r="A426" s="250" t="str">
        <f>HYPERLINK("http://www.ofsted.gov.uk/inspection-reports/find-inspection-report/provider/ELS/113952 ","Ofsted School Webpage")</f>
        <v>Ofsted School Webpage</v>
      </c>
      <c r="B426" s="251">
        <v>113952</v>
      </c>
      <c r="C426" s="251">
        <v>8356004</v>
      </c>
      <c r="D426" s="251" t="s">
        <v>2240</v>
      </c>
      <c r="E426" s="251" t="s">
        <v>248</v>
      </c>
      <c r="F426" s="251" t="s">
        <v>93</v>
      </c>
      <c r="G426" s="251" t="s">
        <v>93</v>
      </c>
      <c r="H426" s="251" t="s">
        <v>93</v>
      </c>
      <c r="I426" s="251" t="s">
        <v>90</v>
      </c>
      <c r="J426" s="251" t="s">
        <v>1490</v>
      </c>
      <c r="K426" s="251" t="s">
        <v>486</v>
      </c>
      <c r="L426" s="251" t="s">
        <v>487</v>
      </c>
      <c r="M426" s="251" t="s">
        <v>483</v>
      </c>
      <c r="N426" s="251" t="s">
        <v>483</v>
      </c>
      <c r="O426" s="251" t="s">
        <v>643</v>
      </c>
      <c r="P426" s="251" t="s">
        <v>2241</v>
      </c>
      <c r="Q426" s="252">
        <v>10035560</v>
      </c>
      <c r="R426" s="253">
        <v>43067</v>
      </c>
      <c r="S426" s="253">
        <v>43069</v>
      </c>
      <c r="T426" s="253">
        <v>43117</v>
      </c>
      <c r="U426" s="251" t="s">
        <v>2930</v>
      </c>
      <c r="V426" s="251">
        <v>2</v>
      </c>
      <c r="W426" s="251" t="s">
        <v>219</v>
      </c>
      <c r="X426" s="251">
        <v>2</v>
      </c>
      <c r="Y426" s="251">
        <v>2</v>
      </c>
      <c r="Z426" s="251">
        <v>2</v>
      </c>
      <c r="AA426" s="251">
        <v>2</v>
      </c>
      <c r="AB426" s="251" t="s">
        <v>486</v>
      </c>
      <c r="AC426" s="251">
        <v>2</v>
      </c>
      <c r="AD426" s="251" t="s">
        <v>486</v>
      </c>
      <c r="AE426" s="251" t="s">
        <v>486</v>
      </c>
      <c r="AF426" s="251" t="s">
        <v>486</v>
      </c>
      <c r="AG426" s="251" t="s">
        <v>486</v>
      </c>
      <c r="AH426" s="251" t="s">
        <v>486</v>
      </c>
      <c r="AI426" s="251" t="s">
        <v>486</v>
      </c>
      <c r="AJ426" s="251" t="s">
        <v>486</v>
      </c>
      <c r="AK426" s="251" t="s">
        <v>486</v>
      </c>
      <c r="AL426" s="251" t="s">
        <v>491</v>
      </c>
      <c r="AM426" s="251" t="s">
        <v>486</v>
      </c>
      <c r="AN426" s="251" t="s">
        <v>486</v>
      </c>
      <c r="AO426" s="253" t="s">
        <v>486</v>
      </c>
      <c r="AP426" s="252" t="s">
        <v>486</v>
      </c>
      <c r="AQ426" s="254" t="s">
        <v>486</v>
      </c>
      <c r="AR426" s="251" t="s">
        <v>486</v>
      </c>
    </row>
    <row r="427" spans="1:44" ht="15" x14ac:dyDescent="0.25">
      <c r="A427" s="245" t="str">
        <f>HYPERLINK("http://www.ofsted.gov.uk/inspection-reports/find-inspection-report/provider/ELS/117042 ","Ofsted School Webpage")</f>
        <v>Ofsted School Webpage</v>
      </c>
      <c r="B427" s="246">
        <v>117042</v>
      </c>
      <c r="C427" s="246">
        <v>8846006</v>
      </c>
      <c r="D427" s="246" t="s">
        <v>2242</v>
      </c>
      <c r="E427" s="246" t="s">
        <v>248</v>
      </c>
      <c r="F427" s="246" t="s">
        <v>93</v>
      </c>
      <c r="G427" s="246" t="s">
        <v>93</v>
      </c>
      <c r="H427" s="246" t="s">
        <v>93</v>
      </c>
      <c r="I427" s="246" t="s">
        <v>90</v>
      </c>
      <c r="J427" s="246" t="s">
        <v>1490</v>
      </c>
      <c r="K427" s="246" t="s">
        <v>486</v>
      </c>
      <c r="L427" s="246" t="s">
        <v>487</v>
      </c>
      <c r="M427" s="246" t="s">
        <v>502</v>
      </c>
      <c r="N427" s="246" t="s">
        <v>502</v>
      </c>
      <c r="O427" s="246" t="s">
        <v>1251</v>
      </c>
      <c r="P427" s="246" t="s">
        <v>2243</v>
      </c>
      <c r="Q427" s="247">
        <v>10038828</v>
      </c>
      <c r="R427" s="248">
        <v>43067</v>
      </c>
      <c r="S427" s="248">
        <v>43069</v>
      </c>
      <c r="T427" s="248">
        <v>43103</v>
      </c>
      <c r="U427" s="246" t="s">
        <v>488</v>
      </c>
      <c r="V427" s="246">
        <v>2</v>
      </c>
      <c r="W427" s="246" t="s">
        <v>219</v>
      </c>
      <c r="X427" s="246">
        <v>2</v>
      </c>
      <c r="Y427" s="246">
        <v>2</v>
      </c>
      <c r="Z427" s="246">
        <v>2</v>
      </c>
      <c r="AA427" s="246">
        <v>2</v>
      </c>
      <c r="AB427" s="246" t="s">
        <v>486</v>
      </c>
      <c r="AC427" s="246">
        <v>2</v>
      </c>
      <c r="AD427" s="246" t="s">
        <v>490</v>
      </c>
      <c r="AE427" s="246" t="s">
        <v>486</v>
      </c>
      <c r="AF427" s="246" t="s">
        <v>486</v>
      </c>
      <c r="AG427" s="246" t="s">
        <v>486</v>
      </c>
      <c r="AH427" s="246" t="s">
        <v>486</v>
      </c>
      <c r="AI427" s="246" t="s">
        <v>486</v>
      </c>
      <c r="AJ427" s="246" t="s">
        <v>486</v>
      </c>
      <c r="AK427" s="246" t="s">
        <v>486</v>
      </c>
      <c r="AL427" s="246" t="s">
        <v>491</v>
      </c>
      <c r="AM427" s="246" t="s">
        <v>486</v>
      </c>
      <c r="AN427" s="246" t="s">
        <v>486</v>
      </c>
      <c r="AO427" s="248" t="s">
        <v>486</v>
      </c>
      <c r="AP427" s="247" t="s">
        <v>486</v>
      </c>
      <c r="AQ427" s="249" t="s">
        <v>486</v>
      </c>
      <c r="AR427" s="246" t="s">
        <v>486</v>
      </c>
    </row>
    <row r="428" spans="1:44" ht="15" x14ac:dyDescent="0.25">
      <c r="A428" s="250" t="str">
        <f>HYPERLINK("http://www.ofsted.gov.uk/inspection-reports/find-inspection-report/provider/ELS/132069 ","Ofsted School Webpage")</f>
        <v>Ofsted School Webpage</v>
      </c>
      <c r="B428" s="251">
        <v>132069</v>
      </c>
      <c r="C428" s="251">
        <v>9386258</v>
      </c>
      <c r="D428" s="251" t="s">
        <v>2244</v>
      </c>
      <c r="E428" s="251" t="s">
        <v>248</v>
      </c>
      <c r="F428" s="251" t="s">
        <v>93</v>
      </c>
      <c r="G428" s="251" t="s">
        <v>93</v>
      </c>
      <c r="H428" s="251" t="s">
        <v>93</v>
      </c>
      <c r="I428" s="251" t="s">
        <v>90</v>
      </c>
      <c r="J428" s="251" t="s">
        <v>1490</v>
      </c>
      <c r="K428" s="251" t="s">
        <v>486</v>
      </c>
      <c r="L428" s="251" t="s">
        <v>487</v>
      </c>
      <c r="M428" s="251" t="s">
        <v>581</v>
      </c>
      <c r="N428" s="251" t="s">
        <v>581</v>
      </c>
      <c r="O428" s="251" t="s">
        <v>829</v>
      </c>
      <c r="P428" s="251" t="s">
        <v>2245</v>
      </c>
      <c r="Q428" s="252">
        <v>10026017</v>
      </c>
      <c r="R428" s="253">
        <v>43067</v>
      </c>
      <c r="S428" s="253">
        <v>43069</v>
      </c>
      <c r="T428" s="253">
        <v>43126</v>
      </c>
      <c r="U428" s="251" t="s">
        <v>2930</v>
      </c>
      <c r="V428" s="251">
        <v>1</v>
      </c>
      <c r="W428" s="251" t="s">
        <v>219</v>
      </c>
      <c r="X428" s="251">
        <v>1</v>
      </c>
      <c r="Y428" s="251">
        <v>1</v>
      </c>
      <c r="Z428" s="251">
        <v>1</v>
      </c>
      <c r="AA428" s="251">
        <v>1</v>
      </c>
      <c r="AB428" s="251" t="s">
        <v>486</v>
      </c>
      <c r="AC428" s="251">
        <v>1</v>
      </c>
      <c r="AD428" s="251" t="s">
        <v>490</v>
      </c>
      <c r="AE428" s="251" t="s">
        <v>486</v>
      </c>
      <c r="AF428" s="251" t="s">
        <v>486</v>
      </c>
      <c r="AG428" s="251" t="s">
        <v>486</v>
      </c>
      <c r="AH428" s="251" t="s">
        <v>486</v>
      </c>
      <c r="AI428" s="251" t="s">
        <v>486</v>
      </c>
      <c r="AJ428" s="251" t="s">
        <v>486</v>
      </c>
      <c r="AK428" s="251" t="s">
        <v>486</v>
      </c>
      <c r="AL428" s="251" t="s">
        <v>491</v>
      </c>
      <c r="AM428" s="251" t="s">
        <v>486</v>
      </c>
      <c r="AN428" s="251" t="s">
        <v>486</v>
      </c>
      <c r="AO428" s="253" t="s">
        <v>486</v>
      </c>
      <c r="AP428" s="252" t="s">
        <v>486</v>
      </c>
      <c r="AQ428" s="254" t="s">
        <v>486</v>
      </c>
      <c r="AR428" s="251" t="s">
        <v>486</v>
      </c>
    </row>
    <row r="429" spans="1:44" ht="15" x14ac:dyDescent="0.25">
      <c r="A429" s="245" t="str">
        <f>HYPERLINK("http://www.ofsted.gov.uk/inspection-reports/find-inspection-report/provider/ELS/134137 ","Ofsted School Webpage")</f>
        <v>Ofsted School Webpage</v>
      </c>
      <c r="B429" s="246">
        <v>134137</v>
      </c>
      <c r="C429" s="246">
        <v>8236005</v>
      </c>
      <c r="D429" s="246" t="s">
        <v>2246</v>
      </c>
      <c r="E429" s="246" t="s">
        <v>247</v>
      </c>
      <c r="F429" s="246" t="s">
        <v>93</v>
      </c>
      <c r="G429" s="246" t="s">
        <v>93</v>
      </c>
      <c r="H429" s="246" t="s">
        <v>93</v>
      </c>
      <c r="I429" s="246" t="s">
        <v>90</v>
      </c>
      <c r="J429" s="246" t="s">
        <v>1490</v>
      </c>
      <c r="K429" s="246" t="s">
        <v>486</v>
      </c>
      <c r="L429" s="246" t="s">
        <v>487</v>
      </c>
      <c r="M429" s="246" t="s">
        <v>516</v>
      </c>
      <c r="N429" s="246" t="s">
        <v>516</v>
      </c>
      <c r="O429" s="246" t="s">
        <v>2081</v>
      </c>
      <c r="P429" s="246" t="s">
        <v>2247</v>
      </c>
      <c r="Q429" s="247">
        <v>10026065</v>
      </c>
      <c r="R429" s="248">
        <v>43067</v>
      </c>
      <c r="S429" s="248">
        <v>43069</v>
      </c>
      <c r="T429" s="248">
        <v>43110</v>
      </c>
      <c r="U429" s="246" t="s">
        <v>488</v>
      </c>
      <c r="V429" s="246">
        <v>2</v>
      </c>
      <c r="W429" s="246" t="s">
        <v>219</v>
      </c>
      <c r="X429" s="246">
        <v>2</v>
      </c>
      <c r="Y429" s="246">
        <v>2</v>
      </c>
      <c r="Z429" s="246">
        <v>2</v>
      </c>
      <c r="AA429" s="246">
        <v>2</v>
      </c>
      <c r="AB429" s="246" t="s">
        <v>486</v>
      </c>
      <c r="AC429" s="246" t="s">
        <v>486</v>
      </c>
      <c r="AD429" s="246" t="s">
        <v>490</v>
      </c>
      <c r="AE429" s="246" t="s">
        <v>486</v>
      </c>
      <c r="AF429" s="246" t="s">
        <v>486</v>
      </c>
      <c r="AG429" s="246" t="s">
        <v>486</v>
      </c>
      <c r="AH429" s="246" t="s">
        <v>486</v>
      </c>
      <c r="AI429" s="246" t="s">
        <v>486</v>
      </c>
      <c r="AJ429" s="246" t="s">
        <v>486</v>
      </c>
      <c r="AK429" s="246" t="s">
        <v>486</v>
      </c>
      <c r="AL429" s="246" t="s">
        <v>491</v>
      </c>
      <c r="AM429" s="246" t="s">
        <v>486</v>
      </c>
      <c r="AN429" s="246" t="s">
        <v>486</v>
      </c>
      <c r="AO429" s="248" t="s">
        <v>486</v>
      </c>
      <c r="AP429" s="247" t="s">
        <v>486</v>
      </c>
      <c r="AQ429" s="249" t="s">
        <v>486</v>
      </c>
      <c r="AR429" s="246" t="s">
        <v>486</v>
      </c>
    </row>
    <row r="430" spans="1:44" ht="15" x14ac:dyDescent="0.25">
      <c r="A430" s="250" t="str">
        <f>HYPERLINK("http://www.ofsted.gov.uk/inspection-reports/find-inspection-report/provider/ELS/134398 ","Ofsted School Webpage")</f>
        <v>Ofsted School Webpage</v>
      </c>
      <c r="B430" s="251">
        <v>134398</v>
      </c>
      <c r="C430" s="251">
        <v>8816048</v>
      </c>
      <c r="D430" s="251" t="s">
        <v>1141</v>
      </c>
      <c r="E430" s="251" t="s">
        <v>248</v>
      </c>
      <c r="F430" s="251" t="s">
        <v>93</v>
      </c>
      <c r="G430" s="251" t="s">
        <v>93</v>
      </c>
      <c r="H430" s="251" t="s">
        <v>93</v>
      </c>
      <c r="I430" s="251" t="s">
        <v>90</v>
      </c>
      <c r="J430" s="251" t="s">
        <v>1490</v>
      </c>
      <c r="K430" s="251" t="s">
        <v>486</v>
      </c>
      <c r="L430" s="251" t="s">
        <v>487</v>
      </c>
      <c r="M430" s="251" t="s">
        <v>516</v>
      </c>
      <c r="N430" s="251" t="s">
        <v>516</v>
      </c>
      <c r="O430" s="251" t="s">
        <v>764</v>
      </c>
      <c r="P430" s="251" t="s">
        <v>1142</v>
      </c>
      <c r="Q430" s="252">
        <v>10026066</v>
      </c>
      <c r="R430" s="253">
        <v>43067</v>
      </c>
      <c r="S430" s="253">
        <v>43069</v>
      </c>
      <c r="T430" s="253">
        <v>43117</v>
      </c>
      <c r="U430" s="251" t="s">
        <v>488</v>
      </c>
      <c r="V430" s="251">
        <v>3</v>
      </c>
      <c r="W430" s="251" t="s">
        <v>219</v>
      </c>
      <c r="X430" s="251">
        <v>3</v>
      </c>
      <c r="Y430" s="251">
        <v>2</v>
      </c>
      <c r="Z430" s="251">
        <v>2</v>
      </c>
      <c r="AA430" s="251">
        <v>2</v>
      </c>
      <c r="AB430" s="251" t="s">
        <v>486</v>
      </c>
      <c r="AC430" s="251" t="s">
        <v>486</v>
      </c>
      <c r="AD430" s="251" t="s">
        <v>486</v>
      </c>
      <c r="AE430" s="251" t="s">
        <v>486</v>
      </c>
      <c r="AF430" s="251" t="s">
        <v>486</v>
      </c>
      <c r="AG430" s="251" t="s">
        <v>486</v>
      </c>
      <c r="AH430" s="251" t="s">
        <v>486</v>
      </c>
      <c r="AI430" s="251" t="s">
        <v>486</v>
      </c>
      <c r="AJ430" s="251" t="s">
        <v>486</v>
      </c>
      <c r="AK430" s="251" t="s">
        <v>486</v>
      </c>
      <c r="AL430" s="251" t="s">
        <v>545</v>
      </c>
      <c r="AM430" s="251">
        <v>10072703</v>
      </c>
      <c r="AN430" s="251" t="s">
        <v>1109</v>
      </c>
      <c r="AO430" s="253">
        <v>43361</v>
      </c>
      <c r="AP430" s="252" t="s">
        <v>1523</v>
      </c>
      <c r="AQ430" s="254">
        <v>43389</v>
      </c>
      <c r="AR430" s="251" t="s">
        <v>1136</v>
      </c>
    </row>
    <row r="431" spans="1:44" ht="15" x14ac:dyDescent="0.25">
      <c r="A431" s="245" t="str">
        <f>HYPERLINK("http://www.ofsted.gov.uk/inspection-reports/find-inspection-report/provider/ELS/134809 ","Ofsted School Webpage")</f>
        <v>Ofsted School Webpage</v>
      </c>
      <c r="B431" s="246">
        <v>134809</v>
      </c>
      <c r="C431" s="246">
        <v>8566017</v>
      </c>
      <c r="D431" s="246" t="s">
        <v>2248</v>
      </c>
      <c r="E431" s="246" t="s">
        <v>247</v>
      </c>
      <c r="F431" s="246" t="s">
        <v>83</v>
      </c>
      <c r="G431" s="246" t="s">
        <v>83</v>
      </c>
      <c r="H431" s="246" t="s">
        <v>83</v>
      </c>
      <c r="I431" s="246" t="s">
        <v>84</v>
      </c>
      <c r="J431" s="246" t="s">
        <v>1490</v>
      </c>
      <c r="K431" s="246" t="s">
        <v>486</v>
      </c>
      <c r="L431" s="246" t="s">
        <v>487</v>
      </c>
      <c r="M431" s="246" t="s">
        <v>572</v>
      </c>
      <c r="N431" s="246" t="s">
        <v>572</v>
      </c>
      <c r="O431" s="246" t="s">
        <v>589</v>
      </c>
      <c r="P431" s="246" t="s">
        <v>2249</v>
      </c>
      <c r="Q431" s="247">
        <v>10039187</v>
      </c>
      <c r="R431" s="248">
        <v>43067</v>
      </c>
      <c r="S431" s="248">
        <v>43069</v>
      </c>
      <c r="T431" s="248">
        <v>43110</v>
      </c>
      <c r="U431" s="246" t="s">
        <v>488</v>
      </c>
      <c r="V431" s="246">
        <v>2</v>
      </c>
      <c r="W431" s="246" t="s">
        <v>219</v>
      </c>
      <c r="X431" s="246">
        <v>2</v>
      </c>
      <c r="Y431" s="246">
        <v>2</v>
      </c>
      <c r="Z431" s="246">
        <v>2</v>
      </c>
      <c r="AA431" s="246">
        <v>2</v>
      </c>
      <c r="AB431" s="246">
        <v>2</v>
      </c>
      <c r="AC431" s="246" t="s">
        <v>486</v>
      </c>
      <c r="AD431" s="246" t="s">
        <v>490</v>
      </c>
      <c r="AE431" s="246" t="s">
        <v>486</v>
      </c>
      <c r="AF431" s="246" t="s">
        <v>486</v>
      </c>
      <c r="AG431" s="246" t="s">
        <v>486</v>
      </c>
      <c r="AH431" s="246" t="s">
        <v>486</v>
      </c>
      <c r="AI431" s="246" t="s">
        <v>486</v>
      </c>
      <c r="AJ431" s="246" t="s">
        <v>486</v>
      </c>
      <c r="AK431" s="246" t="s">
        <v>486</v>
      </c>
      <c r="AL431" s="246" t="s">
        <v>491</v>
      </c>
      <c r="AM431" s="246" t="s">
        <v>486</v>
      </c>
      <c r="AN431" s="246" t="s">
        <v>486</v>
      </c>
      <c r="AO431" s="248" t="s">
        <v>486</v>
      </c>
      <c r="AP431" s="247" t="s">
        <v>486</v>
      </c>
      <c r="AQ431" s="249" t="s">
        <v>486</v>
      </c>
      <c r="AR431" s="246" t="s">
        <v>486</v>
      </c>
    </row>
    <row r="432" spans="1:44" ht="15" x14ac:dyDescent="0.25">
      <c r="A432" s="250" t="str">
        <f>HYPERLINK("http://www.ofsted.gov.uk/inspection-reports/find-inspection-report/provider/ELS/135561 ","Ofsted School Webpage")</f>
        <v>Ofsted School Webpage</v>
      </c>
      <c r="B432" s="251">
        <v>135561</v>
      </c>
      <c r="C432" s="251">
        <v>3306128</v>
      </c>
      <c r="D432" s="251" t="s">
        <v>1332</v>
      </c>
      <c r="E432" s="251" t="s">
        <v>247</v>
      </c>
      <c r="F432" s="251" t="s">
        <v>93</v>
      </c>
      <c r="G432" s="251" t="s">
        <v>93</v>
      </c>
      <c r="H432" s="251" t="s">
        <v>93</v>
      </c>
      <c r="I432" s="251" t="s">
        <v>90</v>
      </c>
      <c r="J432" s="251" t="s">
        <v>1490</v>
      </c>
      <c r="K432" s="251" t="s">
        <v>486</v>
      </c>
      <c r="L432" s="251" t="s">
        <v>487</v>
      </c>
      <c r="M432" s="251" t="s">
        <v>502</v>
      </c>
      <c r="N432" s="251" t="s">
        <v>502</v>
      </c>
      <c r="O432" s="251" t="s">
        <v>909</v>
      </c>
      <c r="P432" s="251" t="s">
        <v>1333</v>
      </c>
      <c r="Q432" s="252">
        <v>10020744</v>
      </c>
      <c r="R432" s="253">
        <v>43067</v>
      </c>
      <c r="S432" s="253">
        <v>43069</v>
      </c>
      <c r="T432" s="253">
        <v>43125</v>
      </c>
      <c r="U432" s="251" t="s">
        <v>488</v>
      </c>
      <c r="V432" s="251">
        <v>2</v>
      </c>
      <c r="W432" s="251" t="s">
        <v>219</v>
      </c>
      <c r="X432" s="251">
        <v>2</v>
      </c>
      <c r="Y432" s="251">
        <v>1</v>
      </c>
      <c r="Z432" s="251">
        <v>2</v>
      </c>
      <c r="AA432" s="251">
        <v>2</v>
      </c>
      <c r="AB432" s="251" t="s">
        <v>486</v>
      </c>
      <c r="AC432" s="251" t="s">
        <v>486</v>
      </c>
      <c r="AD432" s="251" t="s">
        <v>486</v>
      </c>
      <c r="AE432" s="251" t="s">
        <v>486</v>
      </c>
      <c r="AF432" s="251" t="s">
        <v>486</v>
      </c>
      <c r="AG432" s="251" t="s">
        <v>486</v>
      </c>
      <c r="AH432" s="251" t="s">
        <v>486</v>
      </c>
      <c r="AI432" s="251" t="s">
        <v>486</v>
      </c>
      <c r="AJ432" s="251" t="s">
        <v>486</v>
      </c>
      <c r="AK432" s="251" t="s">
        <v>486</v>
      </c>
      <c r="AL432" s="251" t="s">
        <v>491</v>
      </c>
      <c r="AM432" s="251" t="s">
        <v>486</v>
      </c>
      <c r="AN432" s="251" t="s">
        <v>486</v>
      </c>
      <c r="AO432" s="253" t="s">
        <v>486</v>
      </c>
      <c r="AP432" s="252" t="s">
        <v>486</v>
      </c>
      <c r="AQ432" s="254" t="s">
        <v>486</v>
      </c>
      <c r="AR432" s="251" t="s">
        <v>486</v>
      </c>
    </row>
    <row r="433" spans="1:44" ht="15" x14ac:dyDescent="0.25">
      <c r="A433" s="245" t="str">
        <f>HYPERLINK("http://www.ofsted.gov.uk/inspection-reports/find-inspection-report/provider/ELS/142660 ","Ofsted School Webpage")</f>
        <v>Ofsted School Webpage</v>
      </c>
      <c r="B433" s="246">
        <v>142660</v>
      </c>
      <c r="C433" s="246">
        <v>8256047</v>
      </c>
      <c r="D433" s="246" t="s">
        <v>2250</v>
      </c>
      <c r="E433" s="246" t="s">
        <v>247</v>
      </c>
      <c r="F433" s="246" t="s">
        <v>93</v>
      </c>
      <c r="G433" s="246" t="s">
        <v>71</v>
      </c>
      <c r="H433" s="246" t="s">
        <v>71</v>
      </c>
      <c r="I433" s="246" t="s">
        <v>71</v>
      </c>
      <c r="J433" s="246" t="s">
        <v>1490</v>
      </c>
      <c r="K433" s="246" t="s">
        <v>486</v>
      </c>
      <c r="L433" s="246" t="s">
        <v>487</v>
      </c>
      <c r="M433" s="246" t="s">
        <v>581</v>
      </c>
      <c r="N433" s="246" t="s">
        <v>581</v>
      </c>
      <c r="O433" s="246" t="s">
        <v>714</v>
      </c>
      <c r="P433" s="246" t="s">
        <v>2251</v>
      </c>
      <c r="Q433" s="247">
        <v>10039169</v>
      </c>
      <c r="R433" s="248">
        <v>43067</v>
      </c>
      <c r="S433" s="248">
        <v>43069</v>
      </c>
      <c r="T433" s="248">
        <v>43112</v>
      </c>
      <c r="U433" s="246" t="s">
        <v>499</v>
      </c>
      <c r="V433" s="246">
        <v>2</v>
      </c>
      <c r="W433" s="246" t="s">
        <v>219</v>
      </c>
      <c r="X433" s="246">
        <v>2</v>
      </c>
      <c r="Y433" s="246">
        <v>1</v>
      </c>
      <c r="Z433" s="246">
        <v>2</v>
      </c>
      <c r="AA433" s="246">
        <v>2</v>
      </c>
      <c r="AB433" s="246" t="s">
        <v>486</v>
      </c>
      <c r="AC433" s="246">
        <v>1</v>
      </c>
      <c r="AD433" s="246" t="s">
        <v>490</v>
      </c>
      <c r="AE433" s="246" t="s">
        <v>486</v>
      </c>
      <c r="AF433" s="246" t="s">
        <v>486</v>
      </c>
      <c r="AG433" s="246" t="s">
        <v>486</v>
      </c>
      <c r="AH433" s="246" t="s">
        <v>486</v>
      </c>
      <c r="AI433" s="246" t="s">
        <v>486</v>
      </c>
      <c r="AJ433" s="246" t="s">
        <v>486</v>
      </c>
      <c r="AK433" s="246" t="s">
        <v>486</v>
      </c>
      <c r="AL433" s="246" t="s">
        <v>491</v>
      </c>
      <c r="AM433" s="246" t="s">
        <v>486</v>
      </c>
      <c r="AN433" s="246" t="s">
        <v>486</v>
      </c>
      <c r="AO433" s="248" t="s">
        <v>486</v>
      </c>
      <c r="AP433" s="247" t="s">
        <v>486</v>
      </c>
      <c r="AQ433" s="249" t="s">
        <v>486</v>
      </c>
      <c r="AR433" s="246" t="s">
        <v>486</v>
      </c>
    </row>
    <row r="434" spans="1:44" ht="15" x14ac:dyDescent="0.25">
      <c r="A434" s="250" t="str">
        <f>HYPERLINK("http://www.ofsted.gov.uk/inspection-reports/find-inspection-report/provider/ELS/143018 ","Ofsted School Webpage")</f>
        <v>Ofsted School Webpage</v>
      </c>
      <c r="B434" s="251">
        <v>143018</v>
      </c>
      <c r="C434" s="251">
        <v>9166006</v>
      </c>
      <c r="D434" s="251" t="s">
        <v>1143</v>
      </c>
      <c r="E434" s="251" t="s">
        <v>247</v>
      </c>
      <c r="F434" s="251" t="s">
        <v>93</v>
      </c>
      <c r="G434" s="251" t="s">
        <v>93</v>
      </c>
      <c r="H434" s="251" t="s">
        <v>93</v>
      </c>
      <c r="I434" s="251" t="s">
        <v>90</v>
      </c>
      <c r="J434" s="251" t="s">
        <v>1490</v>
      </c>
      <c r="K434" s="251" t="s">
        <v>486</v>
      </c>
      <c r="L434" s="251" t="s">
        <v>487</v>
      </c>
      <c r="M434" s="251" t="s">
        <v>483</v>
      </c>
      <c r="N434" s="251" t="s">
        <v>483</v>
      </c>
      <c r="O434" s="251" t="s">
        <v>948</v>
      </c>
      <c r="P434" s="251" t="s">
        <v>1144</v>
      </c>
      <c r="Q434" s="252">
        <v>10035559</v>
      </c>
      <c r="R434" s="253">
        <v>43067</v>
      </c>
      <c r="S434" s="253">
        <v>43069</v>
      </c>
      <c r="T434" s="253">
        <v>43123</v>
      </c>
      <c r="U434" s="251" t="s">
        <v>499</v>
      </c>
      <c r="V434" s="251">
        <v>4</v>
      </c>
      <c r="W434" s="251" t="s">
        <v>220</v>
      </c>
      <c r="X434" s="251">
        <v>4</v>
      </c>
      <c r="Y434" s="251">
        <v>4</v>
      </c>
      <c r="Z434" s="251">
        <v>4</v>
      </c>
      <c r="AA434" s="251">
        <v>4</v>
      </c>
      <c r="AB434" s="251" t="s">
        <v>486</v>
      </c>
      <c r="AC434" s="251" t="s">
        <v>486</v>
      </c>
      <c r="AD434" s="251" t="s">
        <v>490</v>
      </c>
      <c r="AE434" s="251" t="s">
        <v>486</v>
      </c>
      <c r="AF434" s="251" t="s">
        <v>486</v>
      </c>
      <c r="AG434" s="251" t="s">
        <v>486</v>
      </c>
      <c r="AH434" s="251" t="s">
        <v>486</v>
      </c>
      <c r="AI434" s="251" t="s">
        <v>486</v>
      </c>
      <c r="AJ434" s="251" t="s">
        <v>486</v>
      </c>
      <c r="AK434" s="251" t="s">
        <v>486</v>
      </c>
      <c r="AL434" s="251" t="s">
        <v>545</v>
      </c>
      <c r="AM434" s="251">
        <v>10055545</v>
      </c>
      <c r="AN434" s="251" t="s">
        <v>1109</v>
      </c>
      <c r="AO434" s="253">
        <v>43361</v>
      </c>
      <c r="AP434" s="252" t="s">
        <v>1523</v>
      </c>
      <c r="AQ434" s="254">
        <v>43382</v>
      </c>
      <c r="AR434" s="251" t="s">
        <v>1136</v>
      </c>
    </row>
    <row r="435" spans="1:44" ht="15" x14ac:dyDescent="0.25">
      <c r="A435" s="245" t="str">
        <f>HYPERLINK("http://www.ofsted.gov.uk/inspection-reports/find-inspection-report/provider/ELS/101953 ","Ofsted School Webpage")</f>
        <v>Ofsted School Webpage</v>
      </c>
      <c r="B435" s="246">
        <v>101953</v>
      </c>
      <c r="C435" s="246">
        <v>3076064</v>
      </c>
      <c r="D435" s="246" t="s">
        <v>2252</v>
      </c>
      <c r="E435" s="246" t="s">
        <v>248</v>
      </c>
      <c r="F435" s="246" t="s">
        <v>93</v>
      </c>
      <c r="G435" s="246" t="s">
        <v>93</v>
      </c>
      <c r="H435" s="246" t="s">
        <v>93</v>
      </c>
      <c r="I435" s="246" t="s">
        <v>90</v>
      </c>
      <c r="J435" s="246" t="s">
        <v>1490</v>
      </c>
      <c r="K435" s="246" t="s">
        <v>486</v>
      </c>
      <c r="L435" s="246" t="s">
        <v>487</v>
      </c>
      <c r="M435" s="246" t="s">
        <v>506</v>
      </c>
      <c r="N435" s="246" t="s">
        <v>506</v>
      </c>
      <c r="O435" s="246" t="s">
        <v>507</v>
      </c>
      <c r="P435" s="246" t="s">
        <v>2253</v>
      </c>
      <c r="Q435" s="247">
        <v>10038156</v>
      </c>
      <c r="R435" s="248">
        <v>43068</v>
      </c>
      <c r="S435" s="248">
        <v>43070</v>
      </c>
      <c r="T435" s="248">
        <v>43115</v>
      </c>
      <c r="U435" s="246" t="s">
        <v>488</v>
      </c>
      <c r="V435" s="246">
        <v>1</v>
      </c>
      <c r="W435" s="246" t="s">
        <v>219</v>
      </c>
      <c r="X435" s="246">
        <v>1</v>
      </c>
      <c r="Y435" s="246">
        <v>1</v>
      </c>
      <c r="Z435" s="246">
        <v>1</v>
      </c>
      <c r="AA435" s="246">
        <v>1</v>
      </c>
      <c r="AB435" s="246" t="s">
        <v>486</v>
      </c>
      <c r="AC435" s="246">
        <v>1</v>
      </c>
      <c r="AD435" s="246" t="s">
        <v>490</v>
      </c>
      <c r="AE435" s="246" t="s">
        <v>486</v>
      </c>
      <c r="AF435" s="246" t="s">
        <v>486</v>
      </c>
      <c r="AG435" s="246" t="s">
        <v>486</v>
      </c>
      <c r="AH435" s="246" t="s">
        <v>486</v>
      </c>
      <c r="AI435" s="246" t="s">
        <v>486</v>
      </c>
      <c r="AJ435" s="246" t="s">
        <v>486</v>
      </c>
      <c r="AK435" s="246" t="s">
        <v>486</v>
      </c>
      <c r="AL435" s="246" t="s">
        <v>491</v>
      </c>
      <c r="AM435" s="246" t="s">
        <v>486</v>
      </c>
      <c r="AN435" s="246" t="s">
        <v>486</v>
      </c>
      <c r="AO435" s="248" t="s">
        <v>486</v>
      </c>
      <c r="AP435" s="247" t="s">
        <v>486</v>
      </c>
      <c r="AQ435" s="249" t="s">
        <v>486</v>
      </c>
      <c r="AR435" s="246" t="s">
        <v>486</v>
      </c>
    </row>
    <row r="436" spans="1:44" ht="15" x14ac:dyDescent="0.25">
      <c r="A436" s="250" t="str">
        <f>HYPERLINK("http://www.ofsted.gov.uk/inspection-reports/find-inspection-report/provider/ELS/115436 ","Ofsted School Webpage")</f>
        <v>Ofsted School Webpage</v>
      </c>
      <c r="B436" s="251">
        <v>115436</v>
      </c>
      <c r="C436" s="251">
        <v>8816041</v>
      </c>
      <c r="D436" s="251" t="s">
        <v>1338</v>
      </c>
      <c r="E436" s="251" t="s">
        <v>247</v>
      </c>
      <c r="F436" s="251" t="s">
        <v>71</v>
      </c>
      <c r="G436" s="251" t="s">
        <v>71</v>
      </c>
      <c r="H436" s="251" t="s">
        <v>71</v>
      </c>
      <c r="I436" s="251" t="s">
        <v>71</v>
      </c>
      <c r="J436" s="251" t="s">
        <v>1490</v>
      </c>
      <c r="K436" s="251" t="s">
        <v>486</v>
      </c>
      <c r="L436" s="251" t="s">
        <v>487</v>
      </c>
      <c r="M436" s="251" t="s">
        <v>516</v>
      </c>
      <c r="N436" s="251" t="s">
        <v>516</v>
      </c>
      <c r="O436" s="251" t="s">
        <v>764</v>
      </c>
      <c r="P436" s="251" t="s">
        <v>1339</v>
      </c>
      <c r="Q436" s="252">
        <v>10040367</v>
      </c>
      <c r="R436" s="253">
        <v>43074</v>
      </c>
      <c r="S436" s="253">
        <v>43076</v>
      </c>
      <c r="T436" s="253">
        <v>43124</v>
      </c>
      <c r="U436" s="251" t="s">
        <v>488</v>
      </c>
      <c r="V436" s="251">
        <v>3</v>
      </c>
      <c r="W436" s="251" t="s">
        <v>219</v>
      </c>
      <c r="X436" s="251">
        <v>3</v>
      </c>
      <c r="Y436" s="251">
        <v>2</v>
      </c>
      <c r="Z436" s="251">
        <v>2</v>
      </c>
      <c r="AA436" s="251">
        <v>2</v>
      </c>
      <c r="AB436" s="251">
        <v>2</v>
      </c>
      <c r="AC436" s="251" t="s">
        <v>486</v>
      </c>
      <c r="AD436" s="251" t="s">
        <v>490</v>
      </c>
      <c r="AE436" s="251" t="s">
        <v>486</v>
      </c>
      <c r="AF436" s="251" t="s">
        <v>486</v>
      </c>
      <c r="AG436" s="251" t="s">
        <v>486</v>
      </c>
      <c r="AH436" s="251" t="s">
        <v>486</v>
      </c>
      <c r="AI436" s="251" t="s">
        <v>486</v>
      </c>
      <c r="AJ436" s="251" t="s">
        <v>486</v>
      </c>
      <c r="AK436" s="251" t="s">
        <v>486</v>
      </c>
      <c r="AL436" s="251" t="s">
        <v>545</v>
      </c>
      <c r="AM436" s="251">
        <v>10090744</v>
      </c>
      <c r="AN436" s="251" t="s">
        <v>1109</v>
      </c>
      <c r="AO436" s="253">
        <v>43497</v>
      </c>
      <c r="AP436" s="252" t="s">
        <v>1523</v>
      </c>
      <c r="AQ436" s="254">
        <v>43528</v>
      </c>
      <c r="AR436" s="251" t="s">
        <v>1136</v>
      </c>
    </row>
    <row r="437" spans="1:44" ht="15" x14ac:dyDescent="0.25">
      <c r="A437" s="245" t="str">
        <f>HYPERLINK("http://www.ofsted.gov.uk/inspection-reports/find-inspection-report/provider/ELS/117662 ","Ofsted School Webpage")</f>
        <v>Ofsted School Webpage</v>
      </c>
      <c r="B437" s="246">
        <v>117662</v>
      </c>
      <c r="C437" s="246">
        <v>9196236</v>
      </c>
      <c r="D437" s="246" t="s">
        <v>2254</v>
      </c>
      <c r="E437" s="246" t="s">
        <v>247</v>
      </c>
      <c r="F437" s="246" t="s">
        <v>93</v>
      </c>
      <c r="G437" s="246" t="s">
        <v>92</v>
      </c>
      <c r="H437" s="246" t="s">
        <v>92</v>
      </c>
      <c r="I437" s="246" t="s">
        <v>90</v>
      </c>
      <c r="J437" s="246" t="s">
        <v>1490</v>
      </c>
      <c r="K437" s="246" t="s">
        <v>486</v>
      </c>
      <c r="L437" s="246" t="s">
        <v>487</v>
      </c>
      <c r="M437" s="246" t="s">
        <v>516</v>
      </c>
      <c r="N437" s="246" t="s">
        <v>516</v>
      </c>
      <c r="O437" s="246" t="s">
        <v>556</v>
      </c>
      <c r="P437" s="246" t="s">
        <v>2255</v>
      </c>
      <c r="Q437" s="247">
        <v>10038902</v>
      </c>
      <c r="R437" s="248">
        <v>43074</v>
      </c>
      <c r="S437" s="248">
        <v>43076</v>
      </c>
      <c r="T437" s="248">
        <v>43129</v>
      </c>
      <c r="U437" s="246" t="s">
        <v>488</v>
      </c>
      <c r="V437" s="246">
        <v>4</v>
      </c>
      <c r="W437" s="246" t="s">
        <v>220</v>
      </c>
      <c r="X437" s="246">
        <v>4</v>
      </c>
      <c r="Y437" s="246">
        <v>4</v>
      </c>
      <c r="Z437" s="246">
        <v>2</v>
      </c>
      <c r="AA437" s="246">
        <v>2</v>
      </c>
      <c r="AB437" s="246">
        <v>4</v>
      </c>
      <c r="AC437" s="246" t="s">
        <v>486</v>
      </c>
      <c r="AD437" s="246" t="s">
        <v>490</v>
      </c>
      <c r="AE437" s="246" t="s">
        <v>486</v>
      </c>
      <c r="AF437" s="246" t="s">
        <v>486</v>
      </c>
      <c r="AG437" s="246" t="s">
        <v>486</v>
      </c>
      <c r="AH437" s="246" t="s">
        <v>486</v>
      </c>
      <c r="AI437" s="246" t="s">
        <v>486</v>
      </c>
      <c r="AJ437" s="246" t="s">
        <v>486</v>
      </c>
      <c r="AK437" s="246" t="s">
        <v>486</v>
      </c>
      <c r="AL437" s="246" t="s">
        <v>545</v>
      </c>
      <c r="AM437" s="246">
        <v>10054098</v>
      </c>
      <c r="AN437" s="246" t="s">
        <v>1109</v>
      </c>
      <c r="AO437" s="248">
        <v>43258</v>
      </c>
      <c r="AP437" s="247" t="s">
        <v>1690</v>
      </c>
      <c r="AQ437" s="249">
        <v>43290</v>
      </c>
      <c r="AR437" s="246" t="s">
        <v>1110</v>
      </c>
    </row>
    <row r="438" spans="1:44" ht="15" x14ac:dyDescent="0.25">
      <c r="A438" s="250" t="str">
        <f>HYPERLINK("http://www.ofsted.gov.uk/inspection-reports/find-inspection-report/provider/ELS/137795 ","Ofsted School Webpage")</f>
        <v>Ofsted School Webpage</v>
      </c>
      <c r="B438" s="251">
        <v>137795</v>
      </c>
      <c r="C438" s="251">
        <v>8866137</v>
      </c>
      <c r="D438" s="251" t="s">
        <v>2256</v>
      </c>
      <c r="E438" s="251" t="s">
        <v>248</v>
      </c>
      <c r="F438" s="251" t="s">
        <v>93</v>
      </c>
      <c r="G438" s="251" t="s">
        <v>93</v>
      </c>
      <c r="H438" s="251" t="s">
        <v>93</v>
      </c>
      <c r="I438" s="251" t="s">
        <v>90</v>
      </c>
      <c r="J438" s="251" t="s">
        <v>1490</v>
      </c>
      <c r="K438" s="251" t="s">
        <v>486</v>
      </c>
      <c r="L438" s="251" t="s">
        <v>487</v>
      </c>
      <c r="M438" s="251" t="s">
        <v>581</v>
      </c>
      <c r="N438" s="251" t="s">
        <v>581</v>
      </c>
      <c r="O438" s="251" t="s">
        <v>694</v>
      </c>
      <c r="P438" s="251" t="s">
        <v>2257</v>
      </c>
      <c r="Q438" s="252">
        <v>10008591</v>
      </c>
      <c r="R438" s="253">
        <v>43074</v>
      </c>
      <c r="S438" s="253">
        <v>43076</v>
      </c>
      <c r="T438" s="253">
        <v>43111</v>
      </c>
      <c r="U438" s="251" t="s">
        <v>488</v>
      </c>
      <c r="V438" s="251">
        <v>2</v>
      </c>
      <c r="W438" s="251" t="s">
        <v>219</v>
      </c>
      <c r="X438" s="251">
        <v>2</v>
      </c>
      <c r="Y438" s="251">
        <v>1</v>
      </c>
      <c r="Z438" s="251">
        <v>2</v>
      </c>
      <c r="AA438" s="251">
        <v>2</v>
      </c>
      <c r="AB438" s="251" t="s">
        <v>486</v>
      </c>
      <c r="AC438" s="251" t="s">
        <v>486</v>
      </c>
      <c r="AD438" s="251" t="s">
        <v>486</v>
      </c>
      <c r="AE438" s="251" t="s">
        <v>486</v>
      </c>
      <c r="AF438" s="251" t="s">
        <v>486</v>
      </c>
      <c r="AG438" s="251" t="s">
        <v>486</v>
      </c>
      <c r="AH438" s="251" t="s">
        <v>486</v>
      </c>
      <c r="AI438" s="251" t="s">
        <v>486</v>
      </c>
      <c r="AJ438" s="251" t="s">
        <v>486</v>
      </c>
      <c r="AK438" s="251" t="s">
        <v>486</v>
      </c>
      <c r="AL438" s="251" t="s">
        <v>491</v>
      </c>
      <c r="AM438" s="251" t="s">
        <v>486</v>
      </c>
      <c r="AN438" s="251" t="s">
        <v>486</v>
      </c>
      <c r="AO438" s="253" t="s">
        <v>486</v>
      </c>
      <c r="AP438" s="252" t="s">
        <v>486</v>
      </c>
      <c r="AQ438" s="254" t="s">
        <v>486</v>
      </c>
      <c r="AR438" s="251" t="s">
        <v>486</v>
      </c>
    </row>
    <row r="439" spans="1:44" ht="15" x14ac:dyDescent="0.25">
      <c r="A439" s="245" t="str">
        <f>HYPERLINK("http://www.ofsted.gov.uk/inspection-reports/find-inspection-report/provider/ELS/139807 ","Ofsted School Webpage")</f>
        <v>Ofsted School Webpage</v>
      </c>
      <c r="B439" s="246">
        <v>139807</v>
      </c>
      <c r="C439" s="246">
        <v>3906001</v>
      </c>
      <c r="D439" s="246" t="s">
        <v>2258</v>
      </c>
      <c r="E439" s="246" t="s">
        <v>248</v>
      </c>
      <c r="F439" s="246" t="s">
        <v>93</v>
      </c>
      <c r="G439" s="246" t="s">
        <v>81</v>
      </c>
      <c r="H439" s="246" t="s">
        <v>81</v>
      </c>
      <c r="I439" s="246" t="s">
        <v>81</v>
      </c>
      <c r="J439" s="246" t="s">
        <v>1490</v>
      </c>
      <c r="K439" s="246" t="s">
        <v>486</v>
      </c>
      <c r="L439" s="246" t="s">
        <v>487</v>
      </c>
      <c r="M439" s="246" t="s">
        <v>523</v>
      </c>
      <c r="N439" s="246" t="s">
        <v>539</v>
      </c>
      <c r="O439" s="246" t="s">
        <v>883</v>
      </c>
      <c r="P439" s="246" t="s">
        <v>2259</v>
      </c>
      <c r="Q439" s="247">
        <v>10040143</v>
      </c>
      <c r="R439" s="248">
        <v>43074</v>
      </c>
      <c r="S439" s="248">
        <v>43076</v>
      </c>
      <c r="T439" s="248">
        <v>43102</v>
      </c>
      <c r="U439" s="246" t="s">
        <v>488</v>
      </c>
      <c r="V439" s="246">
        <v>1</v>
      </c>
      <c r="W439" s="246" t="s">
        <v>219</v>
      </c>
      <c r="X439" s="246">
        <v>1</v>
      </c>
      <c r="Y439" s="246">
        <v>1</v>
      </c>
      <c r="Z439" s="246">
        <v>1</v>
      </c>
      <c r="AA439" s="246">
        <v>1</v>
      </c>
      <c r="AB439" s="246" t="s">
        <v>486</v>
      </c>
      <c r="AC439" s="246">
        <v>1</v>
      </c>
      <c r="AD439" s="246" t="s">
        <v>490</v>
      </c>
      <c r="AE439" s="246" t="s">
        <v>486</v>
      </c>
      <c r="AF439" s="246" t="s">
        <v>486</v>
      </c>
      <c r="AG439" s="246" t="s">
        <v>486</v>
      </c>
      <c r="AH439" s="246" t="s">
        <v>486</v>
      </c>
      <c r="AI439" s="246" t="s">
        <v>486</v>
      </c>
      <c r="AJ439" s="246" t="s">
        <v>486</v>
      </c>
      <c r="AK439" s="246" t="s">
        <v>486</v>
      </c>
      <c r="AL439" s="246" t="s">
        <v>491</v>
      </c>
      <c r="AM439" s="246" t="s">
        <v>486</v>
      </c>
      <c r="AN439" s="246" t="s">
        <v>486</v>
      </c>
      <c r="AO439" s="248" t="s">
        <v>486</v>
      </c>
      <c r="AP439" s="247" t="s">
        <v>486</v>
      </c>
      <c r="AQ439" s="249" t="s">
        <v>486</v>
      </c>
      <c r="AR439" s="246" t="s">
        <v>486</v>
      </c>
    </row>
    <row r="440" spans="1:44" ht="15" x14ac:dyDescent="0.25">
      <c r="A440" s="250" t="str">
        <f>HYPERLINK("http://www.ofsted.gov.uk/inspection-reports/find-inspection-report/provider/ELS/142603 ","Ofsted School Webpage")</f>
        <v>Ofsted School Webpage</v>
      </c>
      <c r="B440" s="251">
        <v>142603</v>
      </c>
      <c r="C440" s="251">
        <v>3366001</v>
      </c>
      <c r="D440" s="251" t="s">
        <v>2260</v>
      </c>
      <c r="E440" s="251" t="s">
        <v>248</v>
      </c>
      <c r="F440" s="251" t="s">
        <v>93</v>
      </c>
      <c r="G440" s="251" t="s">
        <v>93</v>
      </c>
      <c r="H440" s="251" t="s">
        <v>93</v>
      </c>
      <c r="I440" s="251" t="s">
        <v>90</v>
      </c>
      <c r="J440" s="251" t="s">
        <v>1490</v>
      </c>
      <c r="K440" s="251" t="s">
        <v>486</v>
      </c>
      <c r="L440" s="251" t="s">
        <v>487</v>
      </c>
      <c r="M440" s="251" t="s">
        <v>502</v>
      </c>
      <c r="N440" s="251" t="s">
        <v>502</v>
      </c>
      <c r="O440" s="251" t="s">
        <v>569</v>
      </c>
      <c r="P440" s="251" t="s">
        <v>2261</v>
      </c>
      <c r="Q440" s="252">
        <v>10039279</v>
      </c>
      <c r="R440" s="253">
        <v>43074</v>
      </c>
      <c r="S440" s="253">
        <v>43076</v>
      </c>
      <c r="T440" s="253">
        <v>43118</v>
      </c>
      <c r="U440" s="251" t="s">
        <v>499</v>
      </c>
      <c r="V440" s="251">
        <v>1</v>
      </c>
      <c r="W440" s="251" t="s">
        <v>219</v>
      </c>
      <c r="X440" s="251">
        <v>1</v>
      </c>
      <c r="Y440" s="251">
        <v>1</v>
      </c>
      <c r="Z440" s="251">
        <v>1</v>
      </c>
      <c r="AA440" s="251">
        <v>1</v>
      </c>
      <c r="AB440" s="251" t="s">
        <v>486</v>
      </c>
      <c r="AC440" s="251" t="s">
        <v>486</v>
      </c>
      <c r="AD440" s="251" t="s">
        <v>490</v>
      </c>
      <c r="AE440" s="251" t="s">
        <v>486</v>
      </c>
      <c r="AF440" s="251" t="s">
        <v>486</v>
      </c>
      <c r="AG440" s="251" t="s">
        <v>486</v>
      </c>
      <c r="AH440" s="251" t="s">
        <v>486</v>
      </c>
      <c r="AI440" s="251" t="s">
        <v>486</v>
      </c>
      <c r="AJ440" s="251" t="s">
        <v>486</v>
      </c>
      <c r="AK440" s="251" t="s">
        <v>486</v>
      </c>
      <c r="AL440" s="251" t="s">
        <v>491</v>
      </c>
      <c r="AM440" s="251" t="s">
        <v>486</v>
      </c>
      <c r="AN440" s="251" t="s">
        <v>486</v>
      </c>
      <c r="AO440" s="253" t="s">
        <v>486</v>
      </c>
      <c r="AP440" s="252" t="s">
        <v>486</v>
      </c>
      <c r="AQ440" s="254" t="s">
        <v>486</v>
      </c>
      <c r="AR440" s="251" t="s">
        <v>486</v>
      </c>
    </row>
    <row r="441" spans="1:44" ht="15" x14ac:dyDescent="0.25">
      <c r="A441" s="245" t="str">
        <f>HYPERLINK("http://www.ofsted.gov.uk/inspection-reports/find-inspection-report/provider/ELS/142657 ","Ofsted School Webpage")</f>
        <v>Ofsted School Webpage</v>
      </c>
      <c r="B441" s="246">
        <v>142657</v>
      </c>
      <c r="C441" s="246">
        <v>8606043</v>
      </c>
      <c r="D441" s="246" t="s">
        <v>2262</v>
      </c>
      <c r="E441" s="246" t="s">
        <v>247</v>
      </c>
      <c r="F441" s="246" t="s">
        <v>93</v>
      </c>
      <c r="G441" s="246" t="s">
        <v>93</v>
      </c>
      <c r="H441" s="246" t="s">
        <v>93</v>
      </c>
      <c r="I441" s="246" t="s">
        <v>90</v>
      </c>
      <c r="J441" s="246" t="s">
        <v>1490</v>
      </c>
      <c r="K441" s="246" t="s">
        <v>486</v>
      </c>
      <c r="L441" s="246" t="s">
        <v>487</v>
      </c>
      <c r="M441" s="246" t="s">
        <v>502</v>
      </c>
      <c r="N441" s="246" t="s">
        <v>502</v>
      </c>
      <c r="O441" s="246" t="s">
        <v>652</v>
      </c>
      <c r="P441" s="246" t="s">
        <v>2263</v>
      </c>
      <c r="Q441" s="247">
        <v>10039280</v>
      </c>
      <c r="R441" s="248">
        <v>43074</v>
      </c>
      <c r="S441" s="248">
        <v>43076</v>
      </c>
      <c r="T441" s="248">
        <v>43122</v>
      </c>
      <c r="U441" s="246" t="s">
        <v>499</v>
      </c>
      <c r="V441" s="246">
        <v>2</v>
      </c>
      <c r="W441" s="246" t="s">
        <v>219</v>
      </c>
      <c r="X441" s="246">
        <v>2</v>
      </c>
      <c r="Y441" s="246">
        <v>2</v>
      </c>
      <c r="Z441" s="246">
        <v>2</v>
      </c>
      <c r="AA441" s="246">
        <v>2</v>
      </c>
      <c r="AB441" s="246" t="s">
        <v>486</v>
      </c>
      <c r="AC441" s="246" t="s">
        <v>486</v>
      </c>
      <c r="AD441" s="246" t="s">
        <v>490</v>
      </c>
      <c r="AE441" s="246" t="s">
        <v>486</v>
      </c>
      <c r="AF441" s="246" t="s">
        <v>486</v>
      </c>
      <c r="AG441" s="246" t="s">
        <v>486</v>
      </c>
      <c r="AH441" s="246" t="s">
        <v>486</v>
      </c>
      <c r="AI441" s="246" t="s">
        <v>486</v>
      </c>
      <c r="AJ441" s="246" t="s">
        <v>486</v>
      </c>
      <c r="AK441" s="246" t="s">
        <v>486</v>
      </c>
      <c r="AL441" s="246" t="s">
        <v>491</v>
      </c>
      <c r="AM441" s="246" t="s">
        <v>486</v>
      </c>
      <c r="AN441" s="246" t="s">
        <v>486</v>
      </c>
      <c r="AO441" s="248" t="s">
        <v>486</v>
      </c>
      <c r="AP441" s="247" t="s">
        <v>486</v>
      </c>
      <c r="AQ441" s="249" t="s">
        <v>486</v>
      </c>
      <c r="AR441" s="246" t="s">
        <v>486</v>
      </c>
    </row>
    <row r="442" spans="1:44" ht="15" x14ac:dyDescent="0.25">
      <c r="A442" s="250" t="str">
        <f>HYPERLINK("http://www.ofsted.gov.uk/inspection-reports/find-inspection-report/provider/ELS/143429 ","Ofsted School Webpage")</f>
        <v>Ofsted School Webpage</v>
      </c>
      <c r="B442" s="251">
        <v>143429</v>
      </c>
      <c r="C442" s="251">
        <v>8076001</v>
      </c>
      <c r="D442" s="251" t="s">
        <v>1192</v>
      </c>
      <c r="E442" s="251" t="s">
        <v>247</v>
      </c>
      <c r="F442" s="251" t="s">
        <v>93</v>
      </c>
      <c r="G442" s="251" t="s">
        <v>93</v>
      </c>
      <c r="H442" s="251" t="s">
        <v>93</v>
      </c>
      <c r="I442" s="251" t="s">
        <v>90</v>
      </c>
      <c r="J442" s="251" t="s">
        <v>1490</v>
      </c>
      <c r="K442" s="251" t="s">
        <v>486</v>
      </c>
      <c r="L442" s="251" t="s">
        <v>487</v>
      </c>
      <c r="M442" s="251" t="s">
        <v>523</v>
      </c>
      <c r="N442" s="251" t="s">
        <v>539</v>
      </c>
      <c r="O442" s="251" t="s">
        <v>1193</v>
      </c>
      <c r="P442" s="251" t="s">
        <v>1194</v>
      </c>
      <c r="Q442" s="252">
        <v>10040149</v>
      </c>
      <c r="R442" s="253">
        <v>43074</v>
      </c>
      <c r="S442" s="253">
        <v>43076</v>
      </c>
      <c r="T442" s="253">
        <v>43124</v>
      </c>
      <c r="U442" s="251" t="s">
        <v>499</v>
      </c>
      <c r="V442" s="251">
        <v>2</v>
      </c>
      <c r="W442" s="251" t="s">
        <v>219</v>
      </c>
      <c r="X442" s="251">
        <v>2</v>
      </c>
      <c r="Y442" s="251">
        <v>2</v>
      </c>
      <c r="Z442" s="251">
        <v>2</v>
      </c>
      <c r="AA442" s="251">
        <v>2</v>
      </c>
      <c r="AB442" s="251" t="s">
        <v>486</v>
      </c>
      <c r="AC442" s="251" t="s">
        <v>486</v>
      </c>
      <c r="AD442" s="251" t="s">
        <v>490</v>
      </c>
      <c r="AE442" s="251" t="s">
        <v>486</v>
      </c>
      <c r="AF442" s="251" t="s">
        <v>486</v>
      </c>
      <c r="AG442" s="251" t="s">
        <v>486</v>
      </c>
      <c r="AH442" s="251" t="s">
        <v>486</v>
      </c>
      <c r="AI442" s="251" t="s">
        <v>486</v>
      </c>
      <c r="AJ442" s="251" t="s">
        <v>486</v>
      </c>
      <c r="AK442" s="251" t="s">
        <v>486</v>
      </c>
      <c r="AL442" s="251" t="s">
        <v>491</v>
      </c>
      <c r="AM442" s="251" t="s">
        <v>486</v>
      </c>
      <c r="AN442" s="251" t="s">
        <v>486</v>
      </c>
      <c r="AO442" s="253" t="s">
        <v>486</v>
      </c>
      <c r="AP442" s="252" t="s">
        <v>486</v>
      </c>
      <c r="AQ442" s="254" t="s">
        <v>486</v>
      </c>
      <c r="AR442" s="251" t="s">
        <v>486</v>
      </c>
    </row>
    <row r="443" spans="1:44" ht="15" x14ac:dyDescent="0.25">
      <c r="A443" s="245" t="str">
        <f>HYPERLINK("http://www.ofsted.gov.uk/inspection-reports/find-inspection-report/provider/ELS/143911 ","Ofsted School Webpage")</f>
        <v>Ofsted School Webpage</v>
      </c>
      <c r="B443" s="246">
        <v>143911</v>
      </c>
      <c r="C443" s="246">
        <v>9356004</v>
      </c>
      <c r="D443" s="246" t="s">
        <v>2264</v>
      </c>
      <c r="E443" s="246" t="s">
        <v>248</v>
      </c>
      <c r="F443" s="246" t="s">
        <v>93</v>
      </c>
      <c r="G443" s="246" t="s">
        <v>93</v>
      </c>
      <c r="H443" s="246" t="s">
        <v>93</v>
      </c>
      <c r="I443" s="246" t="s">
        <v>90</v>
      </c>
      <c r="J443" s="246" t="s">
        <v>1490</v>
      </c>
      <c r="K443" s="246" t="s">
        <v>486</v>
      </c>
      <c r="L443" s="246" t="s">
        <v>487</v>
      </c>
      <c r="M443" s="246" t="s">
        <v>516</v>
      </c>
      <c r="N443" s="246" t="s">
        <v>516</v>
      </c>
      <c r="O443" s="246" t="s">
        <v>937</v>
      </c>
      <c r="P443" s="246" t="s">
        <v>2265</v>
      </c>
      <c r="Q443" s="247">
        <v>10038910</v>
      </c>
      <c r="R443" s="248">
        <v>43074</v>
      </c>
      <c r="S443" s="248">
        <v>43076</v>
      </c>
      <c r="T443" s="248">
        <v>43116</v>
      </c>
      <c r="U443" s="246" t="s">
        <v>488</v>
      </c>
      <c r="V443" s="246">
        <v>2</v>
      </c>
      <c r="W443" s="246" t="s">
        <v>219</v>
      </c>
      <c r="X443" s="246">
        <v>2</v>
      </c>
      <c r="Y443" s="246">
        <v>2</v>
      </c>
      <c r="Z443" s="246">
        <v>2</v>
      </c>
      <c r="AA443" s="246">
        <v>2</v>
      </c>
      <c r="AB443" s="246" t="s">
        <v>486</v>
      </c>
      <c r="AC443" s="246">
        <v>2</v>
      </c>
      <c r="AD443" s="246" t="s">
        <v>490</v>
      </c>
      <c r="AE443" s="246" t="s">
        <v>486</v>
      </c>
      <c r="AF443" s="246" t="s">
        <v>486</v>
      </c>
      <c r="AG443" s="246" t="s">
        <v>486</v>
      </c>
      <c r="AH443" s="246" t="s">
        <v>486</v>
      </c>
      <c r="AI443" s="246" t="s">
        <v>486</v>
      </c>
      <c r="AJ443" s="246" t="s">
        <v>486</v>
      </c>
      <c r="AK443" s="246" t="s">
        <v>486</v>
      </c>
      <c r="AL443" s="246" t="s">
        <v>491</v>
      </c>
      <c r="AM443" s="246" t="s">
        <v>486</v>
      </c>
      <c r="AN443" s="246" t="s">
        <v>486</v>
      </c>
      <c r="AO443" s="248" t="s">
        <v>486</v>
      </c>
      <c r="AP443" s="247" t="s">
        <v>486</v>
      </c>
      <c r="AQ443" s="249" t="s">
        <v>486</v>
      </c>
      <c r="AR443" s="246" t="s">
        <v>486</v>
      </c>
    </row>
    <row r="444" spans="1:44" ht="15" x14ac:dyDescent="0.25">
      <c r="A444" s="250" t="str">
        <f>HYPERLINK("http://www.ofsted.gov.uk/inspection-reports/find-inspection-report/provider/ELS/144033 ","Ofsted School Webpage")</f>
        <v>Ofsted School Webpage</v>
      </c>
      <c r="B444" s="251">
        <v>144033</v>
      </c>
      <c r="C444" s="251">
        <v>8696019</v>
      </c>
      <c r="D444" s="251" t="s">
        <v>2266</v>
      </c>
      <c r="E444" s="251" t="s">
        <v>248</v>
      </c>
      <c r="F444" s="251" t="s">
        <v>93</v>
      </c>
      <c r="G444" s="251" t="s">
        <v>93</v>
      </c>
      <c r="H444" s="251" t="s">
        <v>93</v>
      </c>
      <c r="I444" s="251" t="s">
        <v>90</v>
      </c>
      <c r="J444" s="251" t="s">
        <v>1490</v>
      </c>
      <c r="K444" s="251" t="s">
        <v>486</v>
      </c>
      <c r="L444" s="251" t="s">
        <v>487</v>
      </c>
      <c r="M444" s="251" t="s">
        <v>581</v>
      </c>
      <c r="N444" s="251" t="s">
        <v>581</v>
      </c>
      <c r="O444" s="251" t="s">
        <v>1519</v>
      </c>
      <c r="P444" s="251" t="s">
        <v>2267</v>
      </c>
      <c r="Q444" s="252">
        <v>10043102</v>
      </c>
      <c r="R444" s="253">
        <v>43074</v>
      </c>
      <c r="S444" s="253">
        <v>43076</v>
      </c>
      <c r="T444" s="253">
        <v>43116</v>
      </c>
      <c r="U444" s="251" t="s">
        <v>499</v>
      </c>
      <c r="V444" s="251">
        <v>2</v>
      </c>
      <c r="W444" s="251" t="s">
        <v>219</v>
      </c>
      <c r="X444" s="251">
        <v>2</v>
      </c>
      <c r="Y444" s="251">
        <v>2</v>
      </c>
      <c r="Z444" s="251">
        <v>2</v>
      </c>
      <c r="AA444" s="251">
        <v>2</v>
      </c>
      <c r="AB444" s="251" t="s">
        <v>486</v>
      </c>
      <c r="AC444" s="251" t="s">
        <v>486</v>
      </c>
      <c r="AD444" s="251" t="s">
        <v>490</v>
      </c>
      <c r="AE444" s="251" t="s">
        <v>486</v>
      </c>
      <c r="AF444" s="251" t="s">
        <v>486</v>
      </c>
      <c r="AG444" s="251" t="s">
        <v>486</v>
      </c>
      <c r="AH444" s="251" t="s">
        <v>486</v>
      </c>
      <c r="AI444" s="251" t="s">
        <v>486</v>
      </c>
      <c r="AJ444" s="251" t="s">
        <v>486</v>
      </c>
      <c r="AK444" s="251" t="s">
        <v>486</v>
      </c>
      <c r="AL444" s="251" t="s">
        <v>491</v>
      </c>
      <c r="AM444" s="251" t="s">
        <v>486</v>
      </c>
      <c r="AN444" s="251" t="s">
        <v>486</v>
      </c>
      <c r="AO444" s="253" t="s">
        <v>486</v>
      </c>
      <c r="AP444" s="252" t="s">
        <v>486</v>
      </c>
      <c r="AQ444" s="254" t="s">
        <v>486</v>
      </c>
      <c r="AR444" s="251" t="s">
        <v>486</v>
      </c>
    </row>
    <row r="445" spans="1:44" ht="15" x14ac:dyDescent="0.25">
      <c r="A445" s="245" t="str">
        <f>HYPERLINK("http://www.ofsted.gov.uk/inspection-reports/find-inspection-report/provider/ELS/131356 ","Ofsted School Webpage")</f>
        <v>Ofsted School Webpage</v>
      </c>
      <c r="B445" s="246">
        <v>131356</v>
      </c>
      <c r="C445" s="246">
        <v>8466043</v>
      </c>
      <c r="D445" s="246" t="s">
        <v>2268</v>
      </c>
      <c r="E445" s="246" t="s">
        <v>248</v>
      </c>
      <c r="F445" s="246" t="s">
        <v>93</v>
      </c>
      <c r="G445" s="246" t="s">
        <v>93</v>
      </c>
      <c r="H445" s="246" t="s">
        <v>93</v>
      </c>
      <c r="I445" s="246" t="s">
        <v>90</v>
      </c>
      <c r="J445" s="246" t="s">
        <v>1490</v>
      </c>
      <c r="K445" s="246" t="s">
        <v>486</v>
      </c>
      <c r="L445" s="246" t="s">
        <v>487</v>
      </c>
      <c r="M445" s="246" t="s">
        <v>581</v>
      </c>
      <c r="N445" s="246" t="s">
        <v>581</v>
      </c>
      <c r="O445" s="246" t="s">
        <v>924</v>
      </c>
      <c r="P445" s="246" t="s">
        <v>2269</v>
      </c>
      <c r="Q445" s="247">
        <v>10044925</v>
      </c>
      <c r="R445" s="248">
        <v>43081</v>
      </c>
      <c r="S445" s="248">
        <v>43083</v>
      </c>
      <c r="T445" s="248">
        <v>43116</v>
      </c>
      <c r="U445" s="246" t="s">
        <v>488</v>
      </c>
      <c r="V445" s="246">
        <v>2</v>
      </c>
      <c r="W445" s="246" t="s">
        <v>219</v>
      </c>
      <c r="X445" s="246">
        <v>2</v>
      </c>
      <c r="Y445" s="246">
        <v>2</v>
      </c>
      <c r="Z445" s="246">
        <v>2</v>
      </c>
      <c r="AA445" s="246">
        <v>2</v>
      </c>
      <c r="AB445" s="246" t="s">
        <v>486</v>
      </c>
      <c r="AC445" s="246" t="s">
        <v>486</v>
      </c>
      <c r="AD445" s="246" t="s">
        <v>490</v>
      </c>
      <c r="AE445" s="246" t="s">
        <v>486</v>
      </c>
      <c r="AF445" s="246" t="s">
        <v>486</v>
      </c>
      <c r="AG445" s="246" t="s">
        <v>486</v>
      </c>
      <c r="AH445" s="246" t="s">
        <v>486</v>
      </c>
      <c r="AI445" s="246" t="s">
        <v>486</v>
      </c>
      <c r="AJ445" s="246" t="s">
        <v>486</v>
      </c>
      <c r="AK445" s="246" t="s">
        <v>486</v>
      </c>
      <c r="AL445" s="246" t="s">
        <v>491</v>
      </c>
      <c r="AM445" s="246" t="s">
        <v>486</v>
      </c>
      <c r="AN445" s="246" t="s">
        <v>486</v>
      </c>
      <c r="AO445" s="248" t="s">
        <v>486</v>
      </c>
      <c r="AP445" s="247" t="s">
        <v>486</v>
      </c>
      <c r="AQ445" s="249" t="s">
        <v>486</v>
      </c>
      <c r="AR445" s="246" t="s">
        <v>486</v>
      </c>
    </row>
    <row r="446" spans="1:44" ht="15" x14ac:dyDescent="0.25">
      <c r="A446" s="250" t="str">
        <f>HYPERLINK("http://www.ofsted.gov.uk/inspection-reports/find-inspection-report/provider/ELS/131978 ","Ofsted School Webpage")</f>
        <v>Ofsted School Webpage</v>
      </c>
      <c r="B446" s="251">
        <v>131978</v>
      </c>
      <c r="C446" s="251">
        <v>2026399</v>
      </c>
      <c r="D446" s="251" t="s">
        <v>2270</v>
      </c>
      <c r="E446" s="251" t="s">
        <v>247</v>
      </c>
      <c r="F446" s="251" t="s">
        <v>93</v>
      </c>
      <c r="G446" s="251" t="s">
        <v>93</v>
      </c>
      <c r="H446" s="251" t="s">
        <v>93</v>
      </c>
      <c r="I446" s="251" t="s">
        <v>90</v>
      </c>
      <c r="J446" s="251" t="s">
        <v>1490</v>
      </c>
      <c r="K446" s="251" t="s">
        <v>486</v>
      </c>
      <c r="L446" s="251" t="s">
        <v>487</v>
      </c>
      <c r="M446" s="251" t="s">
        <v>506</v>
      </c>
      <c r="N446" s="251" t="s">
        <v>506</v>
      </c>
      <c r="O446" s="251" t="s">
        <v>1177</v>
      </c>
      <c r="P446" s="251" t="s">
        <v>2271</v>
      </c>
      <c r="Q446" s="252">
        <v>10035794</v>
      </c>
      <c r="R446" s="253">
        <v>43081</v>
      </c>
      <c r="S446" s="253">
        <v>43083</v>
      </c>
      <c r="T446" s="253">
        <v>43122</v>
      </c>
      <c r="U446" s="251" t="s">
        <v>488</v>
      </c>
      <c r="V446" s="251">
        <v>2</v>
      </c>
      <c r="W446" s="251" t="s">
        <v>219</v>
      </c>
      <c r="X446" s="251">
        <v>2</v>
      </c>
      <c r="Y446" s="251">
        <v>1</v>
      </c>
      <c r="Z446" s="251">
        <v>2</v>
      </c>
      <c r="AA446" s="251">
        <v>2</v>
      </c>
      <c r="AB446" s="251">
        <v>2</v>
      </c>
      <c r="AC446" s="251" t="s">
        <v>486</v>
      </c>
      <c r="AD446" s="251" t="s">
        <v>490</v>
      </c>
      <c r="AE446" s="251" t="s">
        <v>486</v>
      </c>
      <c r="AF446" s="251" t="s">
        <v>486</v>
      </c>
      <c r="AG446" s="251" t="s">
        <v>486</v>
      </c>
      <c r="AH446" s="251" t="s">
        <v>486</v>
      </c>
      <c r="AI446" s="251" t="s">
        <v>486</v>
      </c>
      <c r="AJ446" s="251" t="s">
        <v>486</v>
      </c>
      <c r="AK446" s="251" t="s">
        <v>486</v>
      </c>
      <c r="AL446" s="251" t="s">
        <v>491</v>
      </c>
      <c r="AM446" s="251" t="s">
        <v>486</v>
      </c>
      <c r="AN446" s="251" t="s">
        <v>486</v>
      </c>
      <c r="AO446" s="253" t="s">
        <v>486</v>
      </c>
      <c r="AP446" s="252" t="s">
        <v>486</v>
      </c>
      <c r="AQ446" s="254" t="s">
        <v>486</v>
      </c>
      <c r="AR446" s="251" t="s">
        <v>486</v>
      </c>
    </row>
    <row r="447" spans="1:44" ht="15" x14ac:dyDescent="0.25">
      <c r="A447" s="245" t="str">
        <f>HYPERLINK("http://www.ofsted.gov.uk/inspection-reports/find-inspection-report/provider/ELS/134574 ","Ofsted School Webpage")</f>
        <v>Ofsted School Webpage</v>
      </c>
      <c r="B447" s="246">
        <v>134574</v>
      </c>
      <c r="C447" s="246">
        <v>3736030</v>
      </c>
      <c r="D447" s="246" t="s">
        <v>2272</v>
      </c>
      <c r="E447" s="246" t="s">
        <v>247</v>
      </c>
      <c r="F447" s="246" t="s">
        <v>84</v>
      </c>
      <c r="G447" s="246" t="s">
        <v>84</v>
      </c>
      <c r="H447" s="246" t="s">
        <v>84</v>
      </c>
      <c r="I447" s="246" t="s">
        <v>84</v>
      </c>
      <c r="J447" s="246" t="s">
        <v>1490</v>
      </c>
      <c r="K447" s="246" t="s">
        <v>486</v>
      </c>
      <c r="L447" s="246" t="s">
        <v>487</v>
      </c>
      <c r="M447" s="246" t="s">
        <v>523</v>
      </c>
      <c r="N447" s="246" t="s">
        <v>524</v>
      </c>
      <c r="O447" s="246" t="s">
        <v>553</v>
      </c>
      <c r="P447" s="246" t="s">
        <v>2273</v>
      </c>
      <c r="Q447" s="247">
        <v>10033918</v>
      </c>
      <c r="R447" s="248">
        <v>43081</v>
      </c>
      <c r="S447" s="248">
        <v>43083</v>
      </c>
      <c r="T447" s="248">
        <v>43129</v>
      </c>
      <c r="U447" s="246" t="s">
        <v>488</v>
      </c>
      <c r="V447" s="246">
        <v>2</v>
      </c>
      <c r="W447" s="246" t="s">
        <v>219</v>
      </c>
      <c r="X447" s="246">
        <v>2</v>
      </c>
      <c r="Y447" s="246">
        <v>2</v>
      </c>
      <c r="Z447" s="246">
        <v>2</v>
      </c>
      <c r="AA447" s="246">
        <v>2</v>
      </c>
      <c r="AB447" s="246" t="s">
        <v>486</v>
      </c>
      <c r="AC447" s="246" t="s">
        <v>486</v>
      </c>
      <c r="AD447" s="246" t="s">
        <v>490</v>
      </c>
      <c r="AE447" s="246" t="s">
        <v>486</v>
      </c>
      <c r="AF447" s="246" t="s">
        <v>486</v>
      </c>
      <c r="AG447" s="246" t="s">
        <v>486</v>
      </c>
      <c r="AH447" s="246" t="s">
        <v>486</v>
      </c>
      <c r="AI447" s="246" t="s">
        <v>486</v>
      </c>
      <c r="AJ447" s="246" t="s">
        <v>486</v>
      </c>
      <c r="AK447" s="246" t="s">
        <v>486</v>
      </c>
      <c r="AL447" s="246" t="s">
        <v>491</v>
      </c>
      <c r="AM447" s="246" t="s">
        <v>486</v>
      </c>
      <c r="AN447" s="246" t="s">
        <v>486</v>
      </c>
      <c r="AO447" s="248" t="s">
        <v>486</v>
      </c>
      <c r="AP447" s="247" t="s">
        <v>486</v>
      </c>
      <c r="AQ447" s="249" t="s">
        <v>486</v>
      </c>
      <c r="AR447" s="246" t="s">
        <v>486</v>
      </c>
    </row>
    <row r="448" spans="1:44" ht="15" x14ac:dyDescent="0.25">
      <c r="A448" s="250" t="str">
        <f>HYPERLINK("http://www.ofsted.gov.uk/inspection-reports/find-inspection-report/provider/ELS/134580 ","Ofsted School Webpage")</f>
        <v>Ofsted School Webpage</v>
      </c>
      <c r="B448" s="251">
        <v>134580</v>
      </c>
      <c r="C448" s="251">
        <v>3086068</v>
      </c>
      <c r="D448" s="251" t="s">
        <v>885</v>
      </c>
      <c r="E448" s="251" t="s">
        <v>247</v>
      </c>
      <c r="F448" s="251" t="s">
        <v>93</v>
      </c>
      <c r="G448" s="251" t="s">
        <v>71</v>
      </c>
      <c r="H448" s="251" t="s">
        <v>71</v>
      </c>
      <c r="I448" s="251" t="s">
        <v>71</v>
      </c>
      <c r="J448" s="251" t="s">
        <v>1490</v>
      </c>
      <c r="K448" s="251" t="s">
        <v>486</v>
      </c>
      <c r="L448" s="251" t="s">
        <v>487</v>
      </c>
      <c r="M448" s="251" t="s">
        <v>506</v>
      </c>
      <c r="N448" s="251" t="s">
        <v>506</v>
      </c>
      <c r="O448" s="251" t="s">
        <v>632</v>
      </c>
      <c r="P448" s="251" t="s">
        <v>2274</v>
      </c>
      <c r="Q448" s="252">
        <v>10038169</v>
      </c>
      <c r="R448" s="253">
        <v>43081</v>
      </c>
      <c r="S448" s="253">
        <v>43083</v>
      </c>
      <c r="T448" s="253">
        <v>43126</v>
      </c>
      <c r="U448" s="251" t="s">
        <v>488</v>
      </c>
      <c r="V448" s="251">
        <v>3</v>
      </c>
      <c r="W448" s="251" t="s">
        <v>219</v>
      </c>
      <c r="X448" s="251">
        <v>3</v>
      </c>
      <c r="Y448" s="251">
        <v>2</v>
      </c>
      <c r="Z448" s="251">
        <v>3</v>
      </c>
      <c r="AA448" s="251">
        <v>3</v>
      </c>
      <c r="AB448" s="251" t="s">
        <v>486</v>
      </c>
      <c r="AC448" s="251" t="s">
        <v>486</v>
      </c>
      <c r="AD448" s="251" t="s">
        <v>490</v>
      </c>
      <c r="AE448" s="251" t="s">
        <v>486</v>
      </c>
      <c r="AF448" s="251" t="s">
        <v>486</v>
      </c>
      <c r="AG448" s="251" t="s">
        <v>486</v>
      </c>
      <c r="AH448" s="251" t="s">
        <v>486</v>
      </c>
      <c r="AI448" s="251" t="s">
        <v>486</v>
      </c>
      <c r="AJ448" s="251" t="s">
        <v>486</v>
      </c>
      <c r="AK448" s="251" t="s">
        <v>486</v>
      </c>
      <c r="AL448" s="251" t="s">
        <v>545</v>
      </c>
      <c r="AM448" s="251" t="s">
        <v>486</v>
      </c>
      <c r="AN448" s="251" t="s">
        <v>486</v>
      </c>
      <c r="AO448" s="253" t="s">
        <v>486</v>
      </c>
      <c r="AP448" s="252" t="s">
        <v>486</v>
      </c>
      <c r="AQ448" s="254" t="s">
        <v>486</v>
      </c>
      <c r="AR448" s="251" t="s">
        <v>486</v>
      </c>
    </row>
    <row r="449" spans="1:44" ht="15" x14ac:dyDescent="0.25">
      <c r="A449" s="245" t="str">
        <f>HYPERLINK("http://www.ofsted.gov.uk/inspection-reports/find-inspection-report/provider/ELS/135410 ","Ofsted School Webpage")</f>
        <v>Ofsted School Webpage</v>
      </c>
      <c r="B449" s="246">
        <v>135410</v>
      </c>
      <c r="C449" s="246">
        <v>9096056</v>
      </c>
      <c r="D449" s="246" t="s">
        <v>2275</v>
      </c>
      <c r="E449" s="246" t="s">
        <v>248</v>
      </c>
      <c r="F449" s="246" t="s">
        <v>93</v>
      </c>
      <c r="G449" s="246" t="s">
        <v>93</v>
      </c>
      <c r="H449" s="246" t="s">
        <v>93</v>
      </c>
      <c r="I449" s="246" t="s">
        <v>90</v>
      </c>
      <c r="J449" s="246" t="s">
        <v>1490</v>
      </c>
      <c r="K449" s="246" t="s">
        <v>486</v>
      </c>
      <c r="L449" s="246" t="s">
        <v>487</v>
      </c>
      <c r="M449" s="246" t="s">
        <v>495</v>
      </c>
      <c r="N449" s="246" t="s">
        <v>495</v>
      </c>
      <c r="O449" s="246" t="s">
        <v>663</v>
      </c>
      <c r="P449" s="246" t="s">
        <v>2276</v>
      </c>
      <c r="Q449" s="247">
        <v>10038929</v>
      </c>
      <c r="R449" s="248">
        <v>43081</v>
      </c>
      <c r="S449" s="248">
        <v>43083</v>
      </c>
      <c r="T449" s="248">
        <v>43129</v>
      </c>
      <c r="U449" s="246" t="s">
        <v>2930</v>
      </c>
      <c r="V449" s="246">
        <v>1</v>
      </c>
      <c r="W449" s="246" t="s">
        <v>219</v>
      </c>
      <c r="X449" s="246">
        <v>1</v>
      </c>
      <c r="Y449" s="246">
        <v>1</v>
      </c>
      <c r="Z449" s="246">
        <v>1</v>
      </c>
      <c r="AA449" s="246">
        <v>1</v>
      </c>
      <c r="AB449" s="246" t="s">
        <v>486</v>
      </c>
      <c r="AC449" s="246" t="s">
        <v>486</v>
      </c>
      <c r="AD449" s="246" t="s">
        <v>490</v>
      </c>
      <c r="AE449" s="246" t="s">
        <v>486</v>
      </c>
      <c r="AF449" s="246" t="s">
        <v>486</v>
      </c>
      <c r="AG449" s="246" t="s">
        <v>486</v>
      </c>
      <c r="AH449" s="246" t="s">
        <v>486</v>
      </c>
      <c r="AI449" s="246" t="s">
        <v>486</v>
      </c>
      <c r="AJ449" s="246" t="s">
        <v>486</v>
      </c>
      <c r="AK449" s="246" t="s">
        <v>486</v>
      </c>
      <c r="AL449" s="246" t="s">
        <v>491</v>
      </c>
      <c r="AM449" s="246" t="s">
        <v>486</v>
      </c>
      <c r="AN449" s="246" t="s">
        <v>486</v>
      </c>
      <c r="AO449" s="248" t="s">
        <v>486</v>
      </c>
      <c r="AP449" s="247" t="s">
        <v>486</v>
      </c>
      <c r="AQ449" s="249" t="s">
        <v>486</v>
      </c>
      <c r="AR449" s="246" t="s">
        <v>486</v>
      </c>
    </row>
    <row r="450" spans="1:44" ht="15" x14ac:dyDescent="0.25">
      <c r="A450" s="250" t="str">
        <f>HYPERLINK("http://www.ofsted.gov.uk/inspection-reports/find-inspection-report/provider/ELS/135670 ","Ofsted School Webpage")</f>
        <v>Ofsted School Webpage</v>
      </c>
      <c r="B450" s="251">
        <v>135670</v>
      </c>
      <c r="C450" s="251">
        <v>3056080</v>
      </c>
      <c r="D450" s="251" t="s">
        <v>2277</v>
      </c>
      <c r="E450" s="251" t="s">
        <v>248</v>
      </c>
      <c r="F450" s="251" t="s">
        <v>93</v>
      </c>
      <c r="G450" s="251" t="s">
        <v>93</v>
      </c>
      <c r="H450" s="251" t="s">
        <v>93</v>
      </c>
      <c r="I450" s="251" t="s">
        <v>90</v>
      </c>
      <c r="J450" s="251" t="s">
        <v>1490</v>
      </c>
      <c r="K450" s="251" t="s">
        <v>486</v>
      </c>
      <c r="L450" s="251" t="s">
        <v>487</v>
      </c>
      <c r="M450" s="251" t="s">
        <v>506</v>
      </c>
      <c r="N450" s="251" t="s">
        <v>506</v>
      </c>
      <c r="O450" s="251" t="s">
        <v>679</v>
      </c>
      <c r="P450" s="251" t="s">
        <v>2278</v>
      </c>
      <c r="Q450" s="252">
        <v>10012823</v>
      </c>
      <c r="R450" s="253">
        <v>43081</v>
      </c>
      <c r="S450" s="253">
        <v>43083</v>
      </c>
      <c r="T450" s="253">
        <v>43126</v>
      </c>
      <c r="U450" s="251" t="s">
        <v>488</v>
      </c>
      <c r="V450" s="251">
        <v>2</v>
      </c>
      <c r="W450" s="251" t="s">
        <v>219</v>
      </c>
      <c r="X450" s="251">
        <v>2</v>
      </c>
      <c r="Y450" s="251">
        <v>2</v>
      </c>
      <c r="Z450" s="251">
        <v>2</v>
      </c>
      <c r="AA450" s="251">
        <v>2</v>
      </c>
      <c r="AB450" s="251" t="s">
        <v>486</v>
      </c>
      <c r="AC450" s="251" t="s">
        <v>486</v>
      </c>
      <c r="AD450" s="251" t="s">
        <v>486</v>
      </c>
      <c r="AE450" s="251" t="s">
        <v>486</v>
      </c>
      <c r="AF450" s="251" t="s">
        <v>486</v>
      </c>
      <c r="AG450" s="251" t="s">
        <v>486</v>
      </c>
      <c r="AH450" s="251" t="s">
        <v>486</v>
      </c>
      <c r="AI450" s="251" t="s">
        <v>486</v>
      </c>
      <c r="AJ450" s="251" t="s">
        <v>486</v>
      </c>
      <c r="AK450" s="251" t="s">
        <v>486</v>
      </c>
      <c r="AL450" s="251" t="s">
        <v>491</v>
      </c>
      <c r="AM450" s="251" t="s">
        <v>486</v>
      </c>
      <c r="AN450" s="251" t="s">
        <v>486</v>
      </c>
      <c r="AO450" s="253" t="s">
        <v>486</v>
      </c>
      <c r="AP450" s="252" t="s">
        <v>486</v>
      </c>
      <c r="AQ450" s="254" t="s">
        <v>486</v>
      </c>
      <c r="AR450" s="251" t="s">
        <v>486</v>
      </c>
    </row>
    <row r="451" spans="1:44" ht="15" x14ac:dyDescent="0.25">
      <c r="A451" s="245" t="str">
        <f>HYPERLINK("http://www.ofsted.gov.uk/inspection-reports/find-inspection-report/provider/ELS/140814 ","Ofsted School Webpage")</f>
        <v>Ofsted School Webpage</v>
      </c>
      <c r="B451" s="246">
        <v>140814</v>
      </c>
      <c r="C451" s="246">
        <v>3576004</v>
      </c>
      <c r="D451" s="246" t="s">
        <v>2279</v>
      </c>
      <c r="E451" s="246" t="s">
        <v>248</v>
      </c>
      <c r="F451" s="246" t="s">
        <v>93</v>
      </c>
      <c r="G451" s="246" t="s">
        <v>93</v>
      </c>
      <c r="H451" s="246" t="s">
        <v>93</v>
      </c>
      <c r="I451" s="246" t="s">
        <v>90</v>
      </c>
      <c r="J451" s="246" t="s">
        <v>1490</v>
      </c>
      <c r="K451" s="246" t="s">
        <v>486</v>
      </c>
      <c r="L451" s="246" t="s">
        <v>487</v>
      </c>
      <c r="M451" s="246" t="s">
        <v>495</v>
      </c>
      <c r="N451" s="246" t="s">
        <v>495</v>
      </c>
      <c r="O451" s="246" t="s">
        <v>834</v>
      </c>
      <c r="P451" s="246" t="s">
        <v>2280</v>
      </c>
      <c r="Q451" s="247">
        <v>10043785</v>
      </c>
      <c r="R451" s="248">
        <v>43081</v>
      </c>
      <c r="S451" s="248">
        <v>43083</v>
      </c>
      <c r="T451" s="248">
        <v>43130</v>
      </c>
      <c r="U451" s="246" t="s">
        <v>488</v>
      </c>
      <c r="V451" s="246">
        <v>2</v>
      </c>
      <c r="W451" s="246" t="s">
        <v>219</v>
      </c>
      <c r="X451" s="246">
        <v>2</v>
      </c>
      <c r="Y451" s="246">
        <v>2</v>
      </c>
      <c r="Z451" s="246">
        <v>2</v>
      </c>
      <c r="AA451" s="246">
        <v>2</v>
      </c>
      <c r="AB451" s="246" t="s">
        <v>486</v>
      </c>
      <c r="AC451" s="246" t="s">
        <v>486</v>
      </c>
      <c r="AD451" s="246" t="s">
        <v>490</v>
      </c>
      <c r="AE451" s="246" t="s">
        <v>486</v>
      </c>
      <c r="AF451" s="246" t="s">
        <v>486</v>
      </c>
      <c r="AG451" s="246" t="s">
        <v>486</v>
      </c>
      <c r="AH451" s="246" t="s">
        <v>486</v>
      </c>
      <c r="AI451" s="246" t="s">
        <v>486</v>
      </c>
      <c r="AJ451" s="246" t="s">
        <v>486</v>
      </c>
      <c r="AK451" s="246" t="s">
        <v>486</v>
      </c>
      <c r="AL451" s="246" t="s">
        <v>491</v>
      </c>
      <c r="AM451" s="246" t="s">
        <v>486</v>
      </c>
      <c r="AN451" s="246" t="s">
        <v>486</v>
      </c>
      <c r="AO451" s="248" t="s">
        <v>486</v>
      </c>
      <c r="AP451" s="247" t="s">
        <v>486</v>
      </c>
      <c r="AQ451" s="249" t="s">
        <v>486</v>
      </c>
      <c r="AR451" s="246" t="s">
        <v>486</v>
      </c>
    </row>
    <row r="452" spans="1:44" ht="15" x14ac:dyDescent="0.25">
      <c r="A452" s="250" t="str">
        <f>HYPERLINK("http://www.ofsted.gov.uk/inspection-reports/find-inspection-report/provider/ELS/140816 ","Ofsted School Webpage")</f>
        <v>Ofsted School Webpage</v>
      </c>
      <c r="B452" s="251">
        <v>140816</v>
      </c>
      <c r="C452" s="251">
        <v>3716001</v>
      </c>
      <c r="D452" s="251" t="s">
        <v>2281</v>
      </c>
      <c r="E452" s="251" t="s">
        <v>248</v>
      </c>
      <c r="F452" s="251" t="s">
        <v>93</v>
      </c>
      <c r="G452" s="251" t="s">
        <v>93</v>
      </c>
      <c r="H452" s="251" t="s">
        <v>93</v>
      </c>
      <c r="I452" s="251" t="s">
        <v>90</v>
      </c>
      <c r="J452" s="251" t="s">
        <v>1490</v>
      </c>
      <c r="K452" s="251" t="s">
        <v>486</v>
      </c>
      <c r="L452" s="251" t="s">
        <v>487</v>
      </c>
      <c r="M452" s="251" t="s">
        <v>523</v>
      </c>
      <c r="N452" s="251" t="s">
        <v>524</v>
      </c>
      <c r="O452" s="251" t="s">
        <v>808</v>
      </c>
      <c r="P452" s="251" t="s">
        <v>2282</v>
      </c>
      <c r="Q452" s="252">
        <v>10040146</v>
      </c>
      <c r="R452" s="253">
        <v>43081</v>
      </c>
      <c r="S452" s="253">
        <v>43083</v>
      </c>
      <c r="T452" s="253">
        <v>43115</v>
      </c>
      <c r="U452" s="251" t="s">
        <v>488</v>
      </c>
      <c r="V452" s="251">
        <v>2</v>
      </c>
      <c r="W452" s="251" t="s">
        <v>219</v>
      </c>
      <c r="X452" s="251">
        <v>2</v>
      </c>
      <c r="Y452" s="251">
        <v>2</v>
      </c>
      <c r="Z452" s="251">
        <v>2</v>
      </c>
      <c r="AA452" s="251">
        <v>2</v>
      </c>
      <c r="AB452" s="251" t="s">
        <v>486</v>
      </c>
      <c r="AC452" s="251" t="s">
        <v>486</v>
      </c>
      <c r="AD452" s="251" t="s">
        <v>490</v>
      </c>
      <c r="AE452" s="251" t="s">
        <v>486</v>
      </c>
      <c r="AF452" s="251" t="s">
        <v>486</v>
      </c>
      <c r="AG452" s="251" t="s">
        <v>486</v>
      </c>
      <c r="AH452" s="251" t="s">
        <v>486</v>
      </c>
      <c r="AI452" s="251" t="s">
        <v>486</v>
      </c>
      <c r="AJ452" s="251" t="s">
        <v>486</v>
      </c>
      <c r="AK452" s="251" t="s">
        <v>486</v>
      </c>
      <c r="AL452" s="251" t="s">
        <v>491</v>
      </c>
      <c r="AM452" s="251" t="s">
        <v>486</v>
      </c>
      <c r="AN452" s="251" t="s">
        <v>486</v>
      </c>
      <c r="AO452" s="253" t="s">
        <v>486</v>
      </c>
      <c r="AP452" s="252" t="s">
        <v>486</v>
      </c>
      <c r="AQ452" s="254" t="s">
        <v>486</v>
      </c>
      <c r="AR452" s="251" t="s">
        <v>486</v>
      </c>
    </row>
    <row r="453" spans="1:44" ht="15" x14ac:dyDescent="0.25">
      <c r="A453" s="245" t="str">
        <f>HYPERLINK("http://www.ofsted.gov.uk/inspection-reports/find-inspection-report/provider/ELS/135292 ","Ofsted School Webpage")</f>
        <v>Ofsted School Webpage</v>
      </c>
      <c r="B453" s="246">
        <v>135292</v>
      </c>
      <c r="C453" s="246">
        <v>8886098</v>
      </c>
      <c r="D453" s="246" t="s">
        <v>2283</v>
      </c>
      <c r="E453" s="246" t="s">
        <v>248</v>
      </c>
      <c r="F453" s="246" t="s">
        <v>93</v>
      </c>
      <c r="G453" s="246" t="s">
        <v>89</v>
      </c>
      <c r="H453" s="246" t="s">
        <v>89</v>
      </c>
      <c r="I453" s="246" t="s">
        <v>90</v>
      </c>
      <c r="J453" s="246" t="s">
        <v>1490</v>
      </c>
      <c r="K453" s="246" t="s">
        <v>486</v>
      </c>
      <c r="L453" s="246" t="s">
        <v>487</v>
      </c>
      <c r="M453" s="246" t="s">
        <v>495</v>
      </c>
      <c r="N453" s="246" t="s">
        <v>495</v>
      </c>
      <c r="O453" s="246" t="s">
        <v>534</v>
      </c>
      <c r="P453" s="246" t="s">
        <v>2284</v>
      </c>
      <c r="Q453" s="247">
        <v>10038844</v>
      </c>
      <c r="R453" s="248">
        <v>43109</v>
      </c>
      <c r="S453" s="248">
        <v>43110</v>
      </c>
      <c r="T453" s="248">
        <v>43130</v>
      </c>
      <c r="U453" s="246" t="s">
        <v>488</v>
      </c>
      <c r="V453" s="246">
        <v>2</v>
      </c>
      <c r="W453" s="246" t="s">
        <v>219</v>
      </c>
      <c r="X453" s="246">
        <v>2</v>
      </c>
      <c r="Y453" s="246">
        <v>1</v>
      </c>
      <c r="Z453" s="246">
        <v>2</v>
      </c>
      <c r="AA453" s="246">
        <v>2</v>
      </c>
      <c r="AB453" s="246" t="s">
        <v>486</v>
      </c>
      <c r="AC453" s="246" t="s">
        <v>486</v>
      </c>
      <c r="AD453" s="246" t="s">
        <v>490</v>
      </c>
      <c r="AE453" s="246" t="s">
        <v>486</v>
      </c>
      <c r="AF453" s="246" t="s">
        <v>486</v>
      </c>
      <c r="AG453" s="246" t="s">
        <v>486</v>
      </c>
      <c r="AH453" s="246" t="s">
        <v>486</v>
      </c>
      <c r="AI453" s="246" t="s">
        <v>486</v>
      </c>
      <c r="AJ453" s="246" t="s">
        <v>486</v>
      </c>
      <c r="AK453" s="246" t="s">
        <v>486</v>
      </c>
      <c r="AL453" s="246" t="s">
        <v>491</v>
      </c>
      <c r="AM453" s="246" t="s">
        <v>486</v>
      </c>
      <c r="AN453" s="246" t="s">
        <v>486</v>
      </c>
      <c r="AO453" s="248" t="s">
        <v>486</v>
      </c>
      <c r="AP453" s="247" t="s">
        <v>486</v>
      </c>
      <c r="AQ453" s="249" t="s">
        <v>486</v>
      </c>
      <c r="AR453" s="246" t="s">
        <v>486</v>
      </c>
    </row>
    <row r="454" spans="1:44" ht="15" x14ac:dyDescent="0.25">
      <c r="A454" s="250" t="str">
        <f>HYPERLINK("http://www.ofsted.gov.uk/inspection-reports/find-inspection-report/provider/ELS/100296 ","Ofsted School Webpage")</f>
        <v>Ofsted School Webpage</v>
      </c>
      <c r="B454" s="251">
        <v>100296</v>
      </c>
      <c r="C454" s="251">
        <v>2046377</v>
      </c>
      <c r="D454" s="251" t="s">
        <v>2285</v>
      </c>
      <c r="E454" s="251" t="s">
        <v>247</v>
      </c>
      <c r="F454" s="251" t="s">
        <v>93</v>
      </c>
      <c r="G454" s="251" t="s">
        <v>81</v>
      </c>
      <c r="H454" s="251" t="s">
        <v>81</v>
      </c>
      <c r="I454" s="251" t="s">
        <v>81</v>
      </c>
      <c r="J454" s="251" t="s">
        <v>1490</v>
      </c>
      <c r="K454" s="251" t="s">
        <v>486</v>
      </c>
      <c r="L454" s="251" t="s">
        <v>487</v>
      </c>
      <c r="M454" s="251" t="s">
        <v>506</v>
      </c>
      <c r="N454" s="251" t="s">
        <v>506</v>
      </c>
      <c r="O454" s="251" t="s">
        <v>617</v>
      </c>
      <c r="P454" s="251" t="s">
        <v>2286</v>
      </c>
      <c r="Q454" s="252">
        <v>10035771</v>
      </c>
      <c r="R454" s="253">
        <v>43109</v>
      </c>
      <c r="S454" s="253">
        <v>43111</v>
      </c>
      <c r="T454" s="253">
        <v>43173</v>
      </c>
      <c r="U454" s="251" t="s">
        <v>488</v>
      </c>
      <c r="V454" s="251">
        <v>4</v>
      </c>
      <c r="W454" s="251" t="s">
        <v>220</v>
      </c>
      <c r="X454" s="251">
        <v>4</v>
      </c>
      <c r="Y454" s="251">
        <v>4</v>
      </c>
      <c r="Z454" s="251">
        <v>4</v>
      </c>
      <c r="AA454" s="251">
        <v>4</v>
      </c>
      <c r="AB454" s="251">
        <v>4</v>
      </c>
      <c r="AC454" s="251" t="s">
        <v>486</v>
      </c>
      <c r="AD454" s="251" t="s">
        <v>512</v>
      </c>
      <c r="AE454" s="251" t="s">
        <v>486</v>
      </c>
      <c r="AF454" s="251" t="s">
        <v>486</v>
      </c>
      <c r="AG454" s="251" t="s">
        <v>490</v>
      </c>
      <c r="AH454" s="251" t="s">
        <v>490</v>
      </c>
      <c r="AI454" s="251" t="s">
        <v>486</v>
      </c>
      <c r="AJ454" s="251" t="s">
        <v>486</v>
      </c>
      <c r="AK454" s="251" t="s">
        <v>486</v>
      </c>
      <c r="AL454" s="251" t="s">
        <v>545</v>
      </c>
      <c r="AM454" s="251" t="s">
        <v>486</v>
      </c>
      <c r="AN454" s="251" t="s">
        <v>486</v>
      </c>
      <c r="AO454" s="253" t="s">
        <v>486</v>
      </c>
      <c r="AP454" s="252" t="s">
        <v>486</v>
      </c>
      <c r="AQ454" s="254" t="s">
        <v>486</v>
      </c>
      <c r="AR454" s="251" t="s">
        <v>486</v>
      </c>
    </row>
    <row r="455" spans="1:44" ht="15" x14ac:dyDescent="0.25">
      <c r="A455" s="245" t="str">
        <f>HYPERLINK("http://www.ofsted.gov.uk/inspection-reports/find-inspection-report/provider/ELS/101077 ","Ofsted School Webpage")</f>
        <v>Ofsted School Webpage</v>
      </c>
      <c r="B455" s="246">
        <v>101077</v>
      </c>
      <c r="C455" s="246">
        <v>2126368</v>
      </c>
      <c r="D455" s="246" t="s">
        <v>2287</v>
      </c>
      <c r="E455" s="246" t="s">
        <v>248</v>
      </c>
      <c r="F455" s="246" t="s">
        <v>93</v>
      </c>
      <c r="G455" s="246" t="s">
        <v>93</v>
      </c>
      <c r="H455" s="246" t="s">
        <v>93</v>
      </c>
      <c r="I455" s="246" t="s">
        <v>90</v>
      </c>
      <c r="J455" s="246" t="s">
        <v>1490</v>
      </c>
      <c r="K455" s="246" t="s">
        <v>486</v>
      </c>
      <c r="L455" s="246" t="s">
        <v>487</v>
      </c>
      <c r="M455" s="246" t="s">
        <v>506</v>
      </c>
      <c r="N455" s="246" t="s">
        <v>506</v>
      </c>
      <c r="O455" s="246" t="s">
        <v>837</v>
      </c>
      <c r="P455" s="246" t="s">
        <v>2288</v>
      </c>
      <c r="Q455" s="247">
        <v>10041395</v>
      </c>
      <c r="R455" s="248">
        <v>43109</v>
      </c>
      <c r="S455" s="248">
        <v>43111</v>
      </c>
      <c r="T455" s="248">
        <v>43157</v>
      </c>
      <c r="U455" s="246" t="s">
        <v>488</v>
      </c>
      <c r="V455" s="246">
        <v>2</v>
      </c>
      <c r="W455" s="246" t="s">
        <v>219</v>
      </c>
      <c r="X455" s="246">
        <v>2</v>
      </c>
      <c r="Y455" s="246">
        <v>1</v>
      </c>
      <c r="Z455" s="246">
        <v>2</v>
      </c>
      <c r="AA455" s="246">
        <v>2</v>
      </c>
      <c r="AB455" s="246" t="s">
        <v>486</v>
      </c>
      <c r="AC455" s="246" t="s">
        <v>486</v>
      </c>
      <c r="AD455" s="246" t="s">
        <v>490</v>
      </c>
      <c r="AE455" s="246" t="s">
        <v>486</v>
      </c>
      <c r="AF455" s="246" t="s">
        <v>486</v>
      </c>
      <c r="AG455" s="246" t="s">
        <v>486</v>
      </c>
      <c r="AH455" s="246" t="s">
        <v>486</v>
      </c>
      <c r="AI455" s="246" t="s">
        <v>486</v>
      </c>
      <c r="AJ455" s="246" t="s">
        <v>486</v>
      </c>
      <c r="AK455" s="246" t="s">
        <v>486</v>
      </c>
      <c r="AL455" s="246" t="s">
        <v>491</v>
      </c>
      <c r="AM455" s="246" t="s">
        <v>486</v>
      </c>
      <c r="AN455" s="246" t="s">
        <v>486</v>
      </c>
      <c r="AO455" s="248" t="s">
        <v>486</v>
      </c>
      <c r="AP455" s="247" t="s">
        <v>486</v>
      </c>
      <c r="AQ455" s="249" t="s">
        <v>486</v>
      </c>
      <c r="AR455" s="246" t="s">
        <v>486</v>
      </c>
    </row>
    <row r="456" spans="1:44" ht="15" x14ac:dyDescent="0.25">
      <c r="A456" s="250" t="str">
        <f>HYPERLINK("http://www.ofsted.gov.uk/inspection-reports/find-inspection-report/provider/ELS/112461 ","Ofsted School Webpage")</f>
        <v>Ofsted School Webpage</v>
      </c>
      <c r="B456" s="251">
        <v>112461</v>
      </c>
      <c r="C456" s="251">
        <v>9096044</v>
      </c>
      <c r="D456" s="251" t="s">
        <v>2289</v>
      </c>
      <c r="E456" s="251" t="s">
        <v>248</v>
      </c>
      <c r="F456" s="251" t="s">
        <v>93</v>
      </c>
      <c r="G456" s="251" t="s">
        <v>93</v>
      </c>
      <c r="H456" s="251" t="s">
        <v>93</v>
      </c>
      <c r="I456" s="251" t="s">
        <v>90</v>
      </c>
      <c r="J456" s="251" t="s">
        <v>1490</v>
      </c>
      <c r="K456" s="251" t="s">
        <v>486</v>
      </c>
      <c r="L456" s="251" t="s">
        <v>487</v>
      </c>
      <c r="M456" s="251" t="s">
        <v>495</v>
      </c>
      <c r="N456" s="251" t="s">
        <v>495</v>
      </c>
      <c r="O456" s="251" t="s">
        <v>663</v>
      </c>
      <c r="P456" s="251" t="s">
        <v>2290</v>
      </c>
      <c r="Q456" s="252">
        <v>10008938</v>
      </c>
      <c r="R456" s="253">
        <v>43109</v>
      </c>
      <c r="S456" s="253">
        <v>43111</v>
      </c>
      <c r="T456" s="253">
        <v>43146</v>
      </c>
      <c r="U456" s="251" t="s">
        <v>488</v>
      </c>
      <c r="V456" s="251">
        <v>1</v>
      </c>
      <c r="W456" s="251" t="s">
        <v>219</v>
      </c>
      <c r="X456" s="251">
        <v>1</v>
      </c>
      <c r="Y456" s="251">
        <v>1</v>
      </c>
      <c r="Z456" s="251">
        <v>1</v>
      </c>
      <c r="AA456" s="251">
        <v>1</v>
      </c>
      <c r="AB456" s="251" t="s">
        <v>486</v>
      </c>
      <c r="AC456" s="251">
        <v>1</v>
      </c>
      <c r="AD456" s="251" t="s">
        <v>490</v>
      </c>
      <c r="AE456" s="251" t="s">
        <v>486</v>
      </c>
      <c r="AF456" s="251" t="s">
        <v>486</v>
      </c>
      <c r="AG456" s="251" t="s">
        <v>486</v>
      </c>
      <c r="AH456" s="251" t="s">
        <v>486</v>
      </c>
      <c r="AI456" s="251" t="s">
        <v>486</v>
      </c>
      <c r="AJ456" s="251" t="s">
        <v>486</v>
      </c>
      <c r="AK456" s="251" t="s">
        <v>486</v>
      </c>
      <c r="AL456" s="251" t="s">
        <v>491</v>
      </c>
      <c r="AM456" s="251" t="s">
        <v>486</v>
      </c>
      <c r="AN456" s="251" t="s">
        <v>486</v>
      </c>
      <c r="AO456" s="253" t="s">
        <v>486</v>
      </c>
      <c r="AP456" s="252" t="s">
        <v>486</v>
      </c>
      <c r="AQ456" s="254" t="s">
        <v>486</v>
      </c>
      <c r="AR456" s="251" t="s">
        <v>486</v>
      </c>
    </row>
    <row r="457" spans="1:44" ht="15" x14ac:dyDescent="0.25">
      <c r="A457" s="245" t="str">
        <f>HYPERLINK("http://www.ofsted.gov.uk/inspection-reports/find-inspection-report/provider/ELS/131388 ","Ofsted School Webpage")</f>
        <v>Ofsted School Webpage</v>
      </c>
      <c r="B457" s="246">
        <v>131388</v>
      </c>
      <c r="C457" s="246">
        <v>2116387</v>
      </c>
      <c r="D457" s="246" t="s">
        <v>2291</v>
      </c>
      <c r="E457" s="246" t="s">
        <v>247</v>
      </c>
      <c r="F457" s="246" t="s">
        <v>93</v>
      </c>
      <c r="G457" s="246" t="s">
        <v>84</v>
      </c>
      <c r="H457" s="246" t="s">
        <v>84</v>
      </c>
      <c r="I457" s="246" t="s">
        <v>84</v>
      </c>
      <c r="J457" s="246" t="s">
        <v>1490</v>
      </c>
      <c r="K457" s="246" t="s">
        <v>486</v>
      </c>
      <c r="L457" s="246" t="s">
        <v>487</v>
      </c>
      <c r="M457" s="246" t="s">
        <v>506</v>
      </c>
      <c r="N457" s="246" t="s">
        <v>506</v>
      </c>
      <c r="O457" s="246" t="s">
        <v>849</v>
      </c>
      <c r="P457" s="246" t="s">
        <v>2292</v>
      </c>
      <c r="Q457" s="247">
        <v>10038161</v>
      </c>
      <c r="R457" s="248">
        <v>43109</v>
      </c>
      <c r="S457" s="248">
        <v>43111</v>
      </c>
      <c r="T457" s="248">
        <v>43228</v>
      </c>
      <c r="U457" s="246" t="s">
        <v>488</v>
      </c>
      <c r="V457" s="246">
        <v>2</v>
      </c>
      <c r="W457" s="246" t="s">
        <v>219</v>
      </c>
      <c r="X457" s="246">
        <v>2</v>
      </c>
      <c r="Y457" s="246">
        <v>1</v>
      </c>
      <c r="Z457" s="246">
        <v>2</v>
      </c>
      <c r="AA457" s="246">
        <v>2</v>
      </c>
      <c r="AB457" s="246" t="s">
        <v>486</v>
      </c>
      <c r="AC457" s="246" t="s">
        <v>486</v>
      </c>
      <c r="AD457" s="246" t="s">
        <v>490</v>
      </c>
      <c r="AE457" s="246" t="s">
        <v>486</v>
      </c>
      <c r="AF457" s="246" t="s">
        <v>486</v>
      </c>
      <c r="AG457" s="246" t="s">
        <v>486</v>
      </c>
      <c r="AH457" s="246" t="s">
        <v>486</v>
      </c>
      <c r="AI457" s="246" t="s">
        <v>486</v>
      </c>
      <c r="AJ457" s="246" t="s">
        <v>486</v>
      </c>
      <c r="AK457" s="246" t="s">
        <v>486</v>
      </c>
      <c r="AL457" s="246" t="s">
        <v>491</v>
      </c>
      <c r="AM457" s="246" t="s">
        <v>486</v>
      </c>
      <c r="AN457" s="246" t="s">
        <v>486</v>
      </c>
      <c r="AO457" s="248" t="s">
        <v>486</v>
      </c>
      <c r="AP457" s="247" t="s">
        <v>486</v>
      </c>
      <c r="AQ457" s="249" t="s">
        <v>486</v>
      </c>
      <c r="AR457" s="246" t="s">
        <v>486</v>
      </c>
    </row>
    <row r="458" spans="1:44" ht="15" x14ac:dyDescent="0.25">
      <c r="A458" s="250" t="str">
        <f>HYPERLINK("http://www.ofsted.gov.uk/inspection-reports/find-inspection-report/provider/ELS/131788 ","Ofsted School Webpage")</f>
        <v>Ofsted School Webpage</v>
      </c>
      <c r="B458" s="251">
        <v>131788</v>
      </c>
      <c r="C458" s="251">
        <v>3076080</v>
      </c>
      <c r="D458" s="251" t="s">
        <v>1226</v>
      </c>
      <c r="E458" s="251" t="s">
        <v>247</v>
      </c>
      <c r="F458" s="251" t="s">
        <v>93</v>
      </c>
      <c r="G458" s="251" t="s">
        <v>76</v>
      </c>
      <c r="H458" s="251" t="s">
        <v>76</v>
      </c>
      <c r="I458" s="251" t="s">
        <v>71</v>
      </c>
      <c r="J458" s="251" t="s">
        <v>1490</v>
      </c>
      <c r="K458" s="251" t="s">
        <v>486</v>
      </c>
      <c r="L458" s="251" t="s">
        <v>487</v>
      </c>
      <c r="M458" s="251" t="s">
        <v>506</v>
      </c>
      <c r="N458" s="251" t="s">
        <v>506</v>
      </c>
      <c r="O458" s="251" t="s">
        <v>507</v>
      </c>
      <c r="P458" s="251" t="s">
        <v>1227</v>
      </c>
      <c r="Q458" s="252">
        <v>10035792</v>
      </c>
      <c r="R458" s="253">
        <v>43109</v>
      </c>
      <c r="S458" s="253">
        <v>43111</v>
      </c>
      <c r="T458" s="253">
        <v>43138</v>
      </c>
      <c r="U458" s="251" t="s">
        <v>488</v>
      </c>
      <c r="V458" s="251">
        <v>3</v>
      </c>
      <c r="W458" s="251" t="s">
        <v>219</v>
      </c>
      <c r="X458" s="251">
        <v>3</v>
      </c>
      <c r="Y458" s="251">
        <v>2</v>
      </c>
      <c r="Z458" s="251">
        <v>2</v>
      </c>
      <c r="AA458" s="251">
        <v>2</v>
      </c>
      <c r="AB458" s="251">
        <v>2</v>
      </c>
      <c r="AC458" s="251" t="s">
        <v>486</v>
      </c>
      <c r="AD458" s="251" t="s">
        <v>490</v>
      </c>
      <c r="AE458" s="251" t="s">
        <v>486</v>
      </c>
      <c r="AF458" s="251" t="s">
        <v>486</v>
      </c>
      <c r="AG458" s="251" t="s">
        <v>486</v>
      </c>
      <c r="AH458" s="251" t="s">
        <v>486</v>
      </c>
      <c r="AI458" s="251" t="s">
        <v>486</v>
      </c>
      <c r="AJ458" s="251" t="s">
        <v>486</v>
      </c>
      <c r="AK458" s="251" t="s">
        <v>486</v>
      </c>
      <c r="AL458" s="251" t="s">
        <v>545</v>
      </c>
      <c r="AM458" s="251">
        <v>10056883</v>
      </c>
      <c r="AN458" s="251" t="s">
        <v>1109</v>
      </c>
      <c r="AO458" s="253">
        <v>43409</v>
      </c>
      <c r="AP458" s="252" t="s">
        <v>1523</v>
      </c>
      <c r="AQ458" s="254">
        <v>43480</v>
      </c>
      <c r="AR458" s="251" t="s">
        <v>1136</v>
      </c>
    </row>
    <row r="459" spans="1:44" ht="15" x14ac:dyDescent="0.25">
      <c r="A459" s="245" t="str">
        <f>HYPERLINK("http://www.ofsted.gov.uk/inspection-reports/find-inspection-report/provider/ELS/133603 ","Ofsted School Webpage")</f>
        <v>Ofsted School Webpage</v>
      </c>
      <c r="B459" s="246">
        <v>133603</v>
      </c>
      <c r="C459" s="246">
        <v>3306103</v>
      </c>
      <c r="D459" s="246" t="s">
        <v>2293</v>
      </c>
      <c r="E459" s="246" t="s">
        <v>247</v>
      </c>
      <c r="F459" s="246" t="s">
        <v>83</v>
      </c>
      <c r="G459" s="246" t="s">
        <v>83</v>
      </c>
      <c r="H459" s="246" t="s">
        <v>83</v>
      </c>
      <c r="I459" s="246" t="s">
        <v>84</v>
      </c>
      <c r="J459" s="246" t="s">
        <v>1490</v>
      </c>
      <c r="K459" s="246" t="s">
        <v>486</v>
      </c>
      <c r="L459" s="246" t="s">
        <v>487</v>
      </c>
      <c r="M459" s="246" t="s">
        <v>502</v>
      </c>
      <c r="N459" s="246" t="s">
        <v>502</v>
      </c>
      <c r="O459" s="246" t="s">
        <v>909</v>
      </c>
      <c r="P459" s="246" t="s">
        <v>2294</v>
      </c>
      <c r="Q459" s="247">
        <v>10038831</v>
      </c>
      <c r="R459" s="248">
        <v>43109</v>
      </c>
      <c r="S459" s="248">
        <v>43111</v>
      </c>
      <c r="T459" s="248">
        <v>43199</v>
      </c>
      <c r="U459" s="246" t="s">
        <v>488</v>
      </c>
      <c r="V459" s="246">
        <v>4</v>
      </c>
      <c r="W459" s="246" t="s">
        <v>219</v>
      </c>
      <c r="X459" s="246">
        <v>4</v>
      </c>
      <c r="Y459" s="246">
        <v>2</v>
      </c>
      <c r="Z459" s="246">
        <v>3</v>
      </c>
      <c r="AA459" s="246">
        <v>3</v>
      </c>
      <c r="AB459" s="246" t="s">
        <v>486</v>
      </c>
      <c r="AC459" s="246" t="s">
        <v>486</v>
      </c>
      <c r="AD459" s="246" t="s">
        <v>512</v>
      </c>
      <c r="AE459" s="246" t="s">
        <v>486</v>
      </c>
      <c r="AF459" s="246" t="s">
        <v>486</v>
      </c>
      <c r="AG459" s="246" t="s">
        <v>486</v>
      </c>
      <c r="AH459" s="246" t="s">
        <v>486</v>
      </c>
      <c r="AI459" s="246" t="s">
        <v>486</v>
      </c>
      <c r="AJ459" s="246" t="s">
        <v>486</v>
      </c>
      <c r="AK459" s="246" t="s">
        <v>486</v>
      </c>
      <c r="AL459" s="246" t="s">
        <v>545</v>
      </c>
      <c r="AM459" s="246" t="s">
        <v>486</v>
      </c>
      <c r="AN459" s="246" t="s">
        <v>486</v>
      </c>
      <c r="AO459" s="248" t="s">
        <v>486</v>
      </c>
      <c r="AP459" s="247" t="s">
        <v>486</v>
      </c>
      <c r="AQ459" s="249" t="s">
        <v>486</v>
      </c>
      <c r="AR459" s="246" t="s">
        <v>486</v>
      </c>
    </row>
    <row r="460" spans="1:44" ht="15" x14ac:dyDescent="0.25">
      <c r="A460" s="250" t="str">
        <f>HYPERLINK("http://www.ofsted.gov.uk/inspection-reports/find-inspection-report/provider/ELS/136015 ","Ofsted School Webpage")</f>
        <v>Ofsted School Webpage</v>
      </c>
      <c r="B460" s="251">
        <v>136015</v>
      </c>
      <c r="C460" s="251">
        <v>2046073</v>
      </c>
      <c r="D460" s="251" t="s">
        <v>2295</v>
      </c>
      <c r="E460" s="251" t="s">
        <v>247</v>
      </c>
      <c r="F460" s="251" t="s">
        <v>82</v>
      </c>
      <c r="G460" s="251" t="s">
        <v>81</v>
      </c>
      <c r="H460" s="251" t="s">
        <v>82</v>
      </c>
      <c r="I460" s="251" t="s">
        <v>81</v>
      </c>
      <c r="J460" s="251" t="s">
        <v>1490</v>
      </c>
      <c r="K460" s="251" t="s">
        <v>486</v>
      </c>
      <c r="L460" s="251" t="s">
        <v>487</v>
      </c>
      <c r="M460" s="251" t="s">
        <v>506</v>
      </c>
      <c r="N460" s="251" t="s">
        <v>506</v>
      </c>
      <c r="O460" s="251" t="s">
        <v>617</v>
      </c>
      <c r="P460" s="251" t="s">
        <v>774</v>
      </c>
      <c r="Q460" s="252">
        <v>10035806</v>
      </c>
      <c r="R460" s="253">
        <v>43109</v>
      </c>
      <c r="S460" s="253">
        <v>43111</v>
      </c>
      <c r="T460" s="253">
        <v>43280</v>
      </c>
      <c r="U460" s="251" t="s">
        <v>488</v>
      </c>
      <c r="V460" s="251">
        <v>4</v>
      </c>
      <c r="W460" s="251" t="s">
        <v>219</v>
      </c>
      <c r="X460" s="251">
        <v>4</v>
      </c>
      <c r="Y460" s="251">
        <v>3</v>
      </c>
      <c r="Z460" s="251">
        <v>3</v>
      </c>
      <c r="AA460" s="251">
        <v>3</v>
      </c>
      <c r="AB460" s="251">
        <v>3</v>
      </c>
      <c r="AC460" s="251" t="s">
        <v>486</v>
      </c>
      <c r="AD460" s="251" t="s">
        <v>512</v>
      </c>
      <c r="AE460" s="251" t="s">
        <v>486</v>
      </c>
      <c r="AF460" s="251" t="s">
        <v>490</v>
      </c>
      <c r="AG460" s="251" t="s">
        <v>490</v>
      </c>
      <c r="AH460" s="251" t="s">
        <v>486</v>
      </c>
      <c r="AI460" s="251" t="s">
        <v>486</v>
      </c>
      <c r="AJ460" s="251" t="s">
        <v>486</v>
      </c>
      <c r="AK460" s="251" t="s">
        <v>486</v>
      </c>
      <c r="AL460" s="251" t="s">
        <v>545</v>
      </c>
      <c r="AM460" s="251" t="s">
        <v>486</v>
      </c>
      <c r="AN460" s="251" t="s">
        <v>486</v>
      </c>
      <c r="AO460" s="253" t="s">
        <v>486</v>
      </c>
      <c r="AP460" s="252" t="s">
        <v>486</v>
      </c>
      <c r="AQ460" s="254" t="s">
        <v>486</v>
      </c>
      <c r="AR460" s="251" t="s">
        <v>486</v>
      </c>
    </row>
    <row r="461" spans="1:44" ht="15" x14ac:dyDescent="0.25">
      <c r="A461" s="245" t="str">
        <f>HYPERLINK("http://www.ofsted.gov.uk/inspection-reports/find-inspection-report/provider/ELS/136057 ","Ofsted School Webpage")</f>
        <v>Ofsted School Webpage</v>
      </c>
      <c r="B461" s="246">
        <v>136057</v>
      </c>
      <c r="C461" s="246">
        <v>2076005</v>
      </c>
      <c r="D461" s="246" t="s">
        <v>2296</v>
      </c>
      <c r="E461" s="246" t="s">
        <v>247</v>
      </c>
      <c r="F461" s="246" t="s">
        <v>93</v>
      </c>
      <c r="G461" s="246" t="s">
        <v>93</v>
      </c>
      <c r="H461" s="246" t="s">
        <v>93</v>
      </c>
      <c r="I461" s="246" t="s">
        <v>90</v>
      </c>
      <c r="J461" s="246" t="s">
        <v>1490</v>
      </c>
      <c r="K461" s="246" t="s">
        <v>486</v>
      </c>
      <c r="L461" s="246" t="s">
        <v>487</v>
      </c>
      <c r="M461" s="246" t="s">
        <v>506</v>
      </c>
      <c r="N461" s="246" t="s">
        <v>506</v>
      </c>
      <c r="O461" s="246" t="s">
        <v>640</v>
      </c>
      <c r="P461" s="246" t="s">
        <v>2297</v>
      </c>
      <c r="Q461" s="247">
        <v>10038172</v>
      </c>
      <c r="R461" s="248">
        <v>43109</v>
      </c>
      <c r="S461" s="248">
        <v>43111</v>
      </c>
      <c r="T461" s="248">
        <v>43140</v>
      </c>
      <c r="U461" s="246" t="s">
        <v>488</v>
      </c>
      <c r="V461" s="246">
        <v>1</v>
      </c>
      <c r="W461" s="246" t="s">
        <v>219</v>
      </c>
      <c r="X461" s="246">
        <v>1</v>
      </c>
      <c r="Y461" s="246">
        <v>1</v>
      </c>
      <c r="Z461" s="246">
        <v>1</v>
      </c>
      <c r="AA461" s="246">
        <v>1</v>
      </c>
      <c r="AB461" s="246">
        <v>1</v>
      </c>
      <c r="AC461" s="246" t="s">
        <v>486</v>
      </c>
      <c r="AD461" s="246" t="s">
        <v>490</v>
      </c>
      <c r="AE461" s="246" t="s">
        <v>486</v>
      </c>
      <c r="AF461" s="246" t="s">
        <v>486</v>
      </c>
      <c r="AG461" s="246" t="s">
        <v>486</v>
      </c>
      <c r="AH461" s="246" t="s">
        <v>486</v>
      </c>
      <c r="AI461" s="246" t="s">
        <v>486</v>
      </c>
      <c r="AJ461" s="246" t="s">
        <v>486</v>
      </c>
      <c r="AK461" s="246" t="s">
        <v>486</v>
      </c>
      <c r="AL461" s="246" t="s">
        <v>491</v>
      </c>
      <c r="AM461" s="246" t="s">
        <v>486</v>
      </c>
      <c r="AN461" s="246" t="s">
        <v>486</v>
      </c>
      <c r="AO461" s="248" t="s">
        <v>486</v>
      </c>
      <c r="AP461" s="247" t="s">
        <v>486</v>
      </c>
      <c r="AQ461" s="249" t="s">
        <v>486</v>
      </c>
      <c r="AR461" s="246" t="s">
        <v>486</v>
      </c>
    </row>
    <row r="462" spans="1:44" ht="15" x14ac:dyDescent="0.25">
      <c r="A462" s="250" t="str">
        <f>HYPERLINK("http://www.ofsted.gov.uk/inspection-reports/find-inspection-report/provider/ELS/136250 ","Ofsted School Webpage")</f>
        <v>Ofsted School Webpage</v>
      </c>
      <c r="B462" s="251">
        <v>136250</v>
      </c>
      <c r="C462" s="251">
        <v>2116399</v>
      </c>
      <c r="D462" s="251" t="s">
        <v>2298</v>
      </c>
      <c r="E462" s="251" t="s">
        <v>247</v>
      </c>
      <c r="F462" s="251" t="s">
        <v>93</v>
      </c>
      <c r="G462" s="251" t="s">
        <v>93</v>
      </c>
      <c r="H462" s="251" t="s">
        <v>93</v>
      </c>
      <c r="I462" s="251" t="s">
        <v>90</v>
      </c>
      <c r="J462" s="251" t="s">
        <v>1490</v>
      </c>
      <c r="K462" s="251" t="s">
        <v>486</v>
      </c>
      <c r="L462" s="251" t="s">
        <v>487</v>
      </c>
      <c r="M462" s="251" t="s">
        <v>506</v>
      </c>
      <c r="N462" s="251" t="s">
        <v>506</v>
      </c>
      <c r="O462" s="251" t="s">
        <v>849</v>
      </c>
      <c r="P462" s="251" t="s">
        <v>2299</v>
      </c>
      <c r="Q462" s="252">
        <v>10041400</v>
      </c>
      <c r="R462" s="253">
        <v>43109</v>
      </c>
      <c r="S462" s="253">
        <v>43111</v>
      </c>
      <c r="T462" s="253">
        <v>43140</v>
      </c>
      <c r="U462" s="251" t="s">
        <v>488</v>
      </c>
      <c r="V462" s="251">
        <v>2</v>
      </c>
      <c r="W462" s="251" t="s">
        <v>219</v>
      </c>
      <c r="X462" s="251">
        <v>2</v>
      </c>
      <c r="Y462" s="251">
        <v>1</v>
      </c>
      <c r="Z462" s="251">
        <v>2</v>
      </c>
      <c r="AA462" s="251">
        <v>2</v>
      </c>
      <c r="AB462" s="251" t="s">
        <v>486</v>
      </c>
      <c r="AC462" s="251" t="s">
        <v>486</v>
      </c>
      <c r="AD462" s="251" t="s">
        <v>490</v>
      </c>
      <c r="AE462" s="251" t="s">
        <v>486</v>
      </c>
      <c r="AF462" s="251" t="s">
        <v>486</v>
      </c>
      <c r="AG462" s="251" t="s">
        <v>486</v>
      </c>
      <c r="AH462" s="251" t="s">
        <v>486</v>
      </c>
      <c r="AI462" s="251" t="s">
        <v>486</v>
      </c>
      <c r="AJ462" s="251" t="s">
        <v>486</v>
      </c>
      <c r="AK462" s="251" t="s">
        <v>486</v>
      </c>
      <c r="AL462" s="251" t="s">
        <v>491</v>
      </c>
      <c r="AM462" s="251" t="s">
        <v>486</v>
      </c>
      <c r="AN462" s="251" t="s">
        <v>486</v>
      </c>
      <c r="AO462" s="253" t="s">
        <v>486</v>
      </c>
      <c r="AP462" s="252" t="s">
        <v>486</v>
      </c>
      <c r="AQ462" s="254" t="s">
        <v>486</v>
      </c>
      <c r="AR462" s="251" t="s">
        <v>486</v>
      </c>
    </row>
    <row r="463" spans="1:44" ht="15" x14ac:dyDescent="0.25">
      <c r="A463" s="245" t="str">
        <f>HYPERLINK("http://www.ofsted.gov.uk/inspection-reports/find-inspection-report/provider/ELS/136503 ","Ofsted School Webpage")</f>
        <v>Ofsted School Webpage</v>
      </c>
      <c r="B463" s="246">
        <v>136503</v>
      </c>
      <c r="C463" s="246">
        <v>3556058</v>
      </c>
      <c r="D463" s="246" t="s">
        <v>2300</v>
      </c>
      <c r="E463" s="246" t="s">
        <v>247</v>
      </c>
      <c r="F463" s="246" t="s">
        <v>93</v>
      </c>
      <c r="G463" s="246" t="s">
        <v>81</v>
      </c>
      <c r="H463" s="246" t="s">
        <v>81</v>
      </c>
      <c r="I463" s="246" t="s">
        <v>81</v>
      </c>
      <c r="J463" s="246" t="s">
        <v>1490</v>
      </c>
      <c r="K463" s="246" t="s">
        <v>486</v>
      </c>
      <c r="L463" s="246" t="s">
        <v>487</v>
      </c>
      <c r="M463" s="246" t="s">
        <v>495</v>
      </c>
      <c r="N463" s="246" t="s">
        <v>495</v>
      </c>
      <c r="O463" s="246" t="s">
        <v>601</v>
      </c>
      <c r="P463" s="246" t="s">
        <v>2301</v>
      </c>
      <c r="Q463" s="247">
        <v>10038933</v>
      </c>
      <c r="R463" s="248">
        <v>43109</v>
      </c>
      <c r="S463" s="248">
        <v>43111</v>
      </c>
      <c r="T463" s="248">
        <v>43146</v>
      </c>
      <c r="U463" s="246" t="s">
        <v>488</v>
      </c>
      <c r="V463" s="246">
        <v>3</v>
      </c>
      <c r="W463" s="246" t="s">
        <v>219</v>
      </c>
      <c r="X463" s="246">
        <v>3</v>
      </c>
      <c r="Y463" s="246">
        <v>3</v>
      </c>
      <c r="Z463" s="246">
        <v>3</v>
      </c>
      <c r="AA463" s="246">
        <v>3</v>
      </c>
      <c r="AB463" s="246">
        <v>3</v>
      </c>
      <c r="AC463" s="246" t="s">
        <v>486</v>
      </c>
      <c r="AD463" s="246" t="s">
        <v>512</v>
      </c>
      <c r="AE463" s="246" t="s">
        <v>486</v>
      </c>
      <c r="AF463" s="246" t="s">
        <v>486</v>
      </c>
      <c r="AG463" s="246" t="s">
        <v>490</v>
      </c>
      <c r="AH463" s="246" t="s">
        <v>490</v>
      </c>
      <c r="AI463" s="246" t="s">
        <v>486</v>
      </c>
      <c r="AJ463" s="246" t="s">
        <v>486</v>
      </c>
      <c r="AK463" s="246" t="s">
        <v>486</v>
      </c>
      <c r="AL463" s="246" t="s">
        <v>491</v>
      </c>
      <c r="AM463" s="246" t="s">
        <v>486</v>
      </c>
      <c r="AN463" s="246" t="s">
        <v>486</v>
      </c>
      <c r="AO463" s="248" t="s">
        <v>486</v>
      </c>
      <c r="AP463" s="247" t="s">
        <v>486</v>
      </c>
      <c r="AQ463" s="249" t="s">
        <v>486</v>
      </c>
      <c r="AR463" s="246" t="s">
        <v>486</v>
      </c>
    </row>
    <row r="464" spans="1:44" ht="15" x14ac:dyDescent="0.25">
      <c r="A464" s="250" t="str">
        <f>HYPERLINK("http://www.ofsted.gov.uk/inspection-reports/find-inspection-report/provider/ELS/136143 ","Ofsted School Webpage")</f>
        <v>Ofsted School Webpage</v>
      </c>
      <c r="B464" s="251">
        <v>136143</v>
      </c>
      <c r="C464" s="251">
        <v>3556039</v>
      </c>
      <c r="D464" s="251" t="s">
        <v>2302</v>
      </c>
      <c r="E464" s="251" t="s">
        <v>247</v>
      </c>
      <c r="F464" s="251" t="s">
        <v>93</v>
      </c>
      <c r="G464" s="251" t="s">
        <v>81</v>
      </c>
      <c r="H464" s="251" t="s">
        <v>81</v>
      </c>
      <c r="I464" s="251" t="s">
        <v>81</v>
      </c>
      <c r="J464" s="251" t="s">
        <v>1490</v>
      </c>
      <c r="K464" s="251" t="s">
        <v>486</v>
      </c>
      <c r="L464" s="251" t="s">
        <v>487</v>
      </c>
      <c r="M464" s="251" t="s">
        <v>495</v>
      </c>
      <c r="N464" s="251" t="s">
        <v>495</v>
      </c>
      <c r="O464" s="251" t="s">
        <v>601</v>
      </c>
      <c r="P464" s="251" t="s">
        <v>2303</v>
      </c>
      <c r="Q464" s="252">
        <v>10034032</v>
      </c>
      <c r="R464" s="253">
        <v>43110</v>
      </c>
      <c r="S464" s="253">
        <v>43112</v>
      </c>
      <c r="T464" s="253">
        <v>43136</v>
      </c>
      <c r="U464" s="251" t="s">
        <v>488</v>
      </c>
      <c r="V464" s="251">
        <v>2</v>
      </c>
      <c r="W464" s="251" t="s">
        <v>219</v>
      </c>
      <c r="X464" s="251">
        <v>2</v>
      </c>
      <c r="Y464" s="251">
        <v>1</v>
      </c>
      <c r="Z464" s="251">
        <v>2</v>
      </c>
      <c r="AA464" s="251">
        <v>2</v>
      </c>
      <c r="AB464" s="251">
        <v>2</v>
      </c>
      <c r="AC464" s="251" t="s">
        <v>486</v>
      </c>
      <c r="AD464" s="251" t="s">
        <v>490</v>
      </c>
      <c r="AE464" s="251" t="s">
        <v>486</v>
      </c>
      <c r="AF464" s="251" t="s">
        <v>486</v>
      </c>
      <c r="AG464" s="251" t="s">
        <v>486</v>
      </c>
      <c r="AH464" s="251" t="s">
        <v>486</v>
      </c>
      <c r="AI464" s="251" t="s">
        <v>486</v>
      </c>
      <c r="AJ464" s="251" t="s">
        <v>486</v>
      </c>
      <c r="AK464" s="251" t="s">
        <v>486</v>
      </c>
      <c r="AL464" s="251" t="s">
        <v>491</v>
      </c>
      <c r="AM464" s="251" t="s">
        <v>486</v>
      </c>
      <c r="AN464" s="251" t="s">
        <v>486</v>
      </c>
      <c r="AO464" s="253" t="s">
        <v>486</v>
      </c>
      <c r="AP464" s="252" t="s">
        <v>486</v>
      </c>
      <c r="AQ464" s="254" t="s">
        <v>486</v>
      </c>
      <c r="AR464" s="251" t="s">
        <v>486</v>
      </c>
    </row>
    <row r="465" spans="1:44" ht="15" x14ac:dyDescent="0.25">
      <c r="A465" s="245" t="str">
        <f>HYPERLINK("http://www.ofsted.gov.uk/inspection-reports/find-inspection-report/provider/ELS/100518 ","Ofsted School Webpage")</f>
        <v>Ofsted School Webpage</v>
      </c>
      <c r="B465" s="246">
        <v>100518</v>
      </c>
      <c r="C465" s="246">
        <v>2076188</v>
      </c>
      <c r="D465" s="246" t="s">
        <v>2304</v>
      </c>
      <c r="E465" s="246" t="s">
        <v>247</v>
      </c>
      <c r="F465" s="246" t="s">
        <v>93</v>
      </c>
      <c r="G465" s="246" t="s">
        <v>93</v>
      </c>
      <c r="H465" s="246" t="s">
        <v>93</v>
      </c>
      <c r="I465" s="246" t="s">
        <v>90</v>
      </c>
      <c r="J465" s="246" t="s">
        <v>1490</v>
      </c>
      <c r="K465" s="246" t="s">
        <v>486</v>
      </c>
      <c r="L465" s="246" t="s">
        <v>487</v>
      </c>
      <c r="M465" s="246" t="s">
        <v>506</v>
      </c>
      <c r="N465" s="246" t="s">
        <v>506</v>
      </c>
      <c r="O465" s="246" t="s">
        <v>640</v>
      </c>
      <c r="P465" s="246" t="s">
        <v>2305</v>
      </c>
      <c r="Q465" s="247">
        <v>10038150</v>
      </c>
      <c r="R465" s="248">
        <v>43116</v>
      </c>
      <c r="S465" s="248">
        <v>43118</v>
      </c>
      <c r="T465" s="248">
        <v>43157</v>
      </c>
      <c r="U465" s="246" t="s">
        <v>488</v>
      </c>
      <c r="V465" s="246">
        <v>2</v>
      </c>
      <c r="W465" s="246" t="s">
        <v>219</v>
      </c>
      <c r="X465" s="246">
        <v>2</v>
      </c>
      <c r="Y465" s="246">
        <v>1</v>
      </c>
      <c r="Z465" s="246">
        <v>2</v>
      </c>
      <c r="AA465" s="246">
        <v>2</v>
      </c>
      <c r="AB465" s="246">
        <v>2</v>
      </c>
      <c r="AC465" s="246" t="s">
        <v>486</v>
      </c>
      <c r="AD465" s="246" t="s">
        <v>490</v>
      </c>
      <c r="AE465" s="246" t="s">
        <v>486</v>
      </c>
      <c r="AF465" s="246" t="s">
        <v>486</v>
      </c>
      <c r="AG465" s="246" t="s">
        <v>486</v>
      </c>
      <c r="AH465" s="246" t="s">
        <v>486</v>
      </c>
      <c r="AI465" s="246" t="s">
        <v>486</v>
      </c>
      <c r="AJ465" s="246" t="s">
        <v>486</v>
      </c>
      <c r="AK465" s="246" t="s">
        <v>486</v>
      </c>
      <c r="AL465" s="246" t="s">
        <v>491</v>
      </c>
      <c r="AM465" s="246" t="s">
        <v>486</v>
      </c>
      <c r="AN465" s="246" t="s">
        <v>486</v>
      </c>
      <c r="AO465" s="248" t="s">
        <v>486</v>
      </c>
      <c r="AP465" s="247" t="s">
        <v>486</v>
      </c>
      <c r="AQ465" s="249" t="s">
        <v>486</v>
      </c>
      <c r="AR465" s="246" t="s">
        <v>486</v>
      </c>
    </row>
    <row r="466" spans="1:44" ht="15" x14ac:dyDescent="0.25">
      <c r="A466" s="250" t="str">
        <f>HYPERLINK("http://www.ofsted.gov.uk/inspection-reports/find-inspection-report/provider/ELS/110931 ","Ofsted School Webpage")</f>
        <v>Ofsted School Webpage</v>
      </c>
      <c r="B466" s="251">
        <v>110931</v>
      </c>
      <c r="C466" s="251">
        <v>8736018</v>
      </c>
      <c r="D466" s="251" t="s">
        <v>2306</v>
      </c>
      <c r="E466" s="251" t="s">
        <v>248</v>
      </c>
      <c r="F466" s="251" t="s">
        <v>93</v>
      </c>
      <c r="G466" s="251" t="s">
        <v>93</v>
      </c>
      <c r="H466" s="251" t="s">
        <v>93</v>
      </c>
      <c r="I466" s="251" t="s">
        <v>90</v>
      </c>
      <c r="J466" s="251" t="s">
        <v>1490</v>
      </c>
      <c r="K466" s="251" t="s">
        <v>486</v>
      </c>
      <c r="L466" s="251" t="s">
        <v>487</v>
      </c>
      <c r="M466" s="251" t="s">
        <v>516</v>
      </c>
      <c r="N466" s="251" t="s">
        <v>516</v>
      </c>
      <c r="O466" s="251" t="s">
        <v>867</v>
      </c>
      <c r="P466" s="251" t="s">
        <v>2307</v>
      </c>
      <c r="Q466" s="252">
        <v>10038901</v>
      </c>
      <c r="R466" s="253">
        <v>43116</v>
      </c>
      <c r="S466" s="253">
        <v>43118</v>
      </c>
      <c r="T466" s="253">
        <v>43153</v>
      </c>
      <c r="U466" s="251" t="s">
        <v>488</v>
      </c>
      <c r="V466" s="251">
        <v>2</v>
      </c>
      <c r="W466" s="251" t="s">
        <v>219</v>
      </c>
      <c r="X466" s="251">
        <v>2</v>
      </c>
      <c r="Y466" s="251">
        <v>1</v>
      </c>
      <c r="Z466" s="251">
        <v>2</v>
      </c>
      <c r="AA466" s="251">
        <v>2</v>
      </c>
      <c r="AB466" s="251" t="s">
        <v>486</v>
      </c>
      <c r="AC466" s="251" t="s">
        <v>486</v>
      </c>
      <c r="AD466" s="251" t="s">
        <v>490</v>
      </c>
      <c r="AE466" s="251" t="s">
        <v>486</v>
      </c>
      <c r="AF466" s="251" t="s">
        <v>486</v>
      </c>
      <c r="AG466" s="251" t="s">
        <v>486</v>
      </c>
      <c r="AH466" s="251" t="s">
        <v>486</v>
      </c>
      <c r="AI466" s="251" t="s">
        <v>486</v>
      </c>
      <c r="AJ466" s="251" t="s">
        <v>486</v>
      </c>
      <c r="AK466" s="251" t="s">
        <v>486</v>
      </c>
      <c r="AL466" s="251" t="s">
        <v>491</v>
      </c>
      <c r="AM466" s="251" t="s">
        <v>486</v>
      </c>
      <c r="AN466" s="251" t="s">
        <v>486</v>
      </c>
      <c r="AO466" s="253" t="s">
        <v>486</v>
      </c>
      <c r="AP466" s="252" t="s">
        <v>486</v>
      </c>
      <c r="AQ466" s="254" t="s">
        <v>486</v>
      </c>
      <c r="AR466" s="251" t="s">
        <v>486</v>
      </c>
    </row>
    <row r="467" spans="1:44" ht="15" x14ac:dyDescent="0.25">
      <c r="A467" s="245" t="str">
        <f>HYPERLINK("http://www.ofsted.gov.uk/inspection-reports/find-inspection-report/provider/ELS/112452 ","Ofsted School Webpage")</f>
        <v>Ofsted School Webpage</v>
      </c>
      <c r="B467" s="246">
        <v>112452</v>
      </c>
      <c r="C467" s="246">
        <v>9096027</v>
      </c>
      <c r="D467" s="246" t="s">
        <v>2308</v>
      </c>
      <c r="E467" s="246" t="s">
        <v>248</v>
      </c>
      <c r="F467" s="246" t="s">
        <v>93</v>
      </c>
      <c r="G467" s="246" t="s">
        <v>93</v>
      </c>
      <c r="H467" s="246" t="s">
        <v>93</v>
      </c>
      <c r="I467" s="246" t="s">
        <v>90</v>
      </c>
      <c r="J467" s="246" t="s">
        <v>1490</v>
      </c>
      <c r="K467" s="246" t="s">
        <v>486</v>
      </c>
      <c r="L467" s="246" t="s">
        <v>487</v>
      </c>
      <c r="M467" s="246" t="s">
        <v>495</v>
      </c>
      <c r="N467" s="246" t="s">
        <v>495</v>
      </c>
      <c r="O467" s="246" t="s">
        <v>663</v>
      </c>
      <c r="P467" s="246" t="s">
        <v>2309</v>
      </c>
      <c r="Q467" s="247">
        <v>10043369</v>
      </c>
      <c r="R467" s="248">
        <v>43116</v>
      </c>
      <c r="S467" s="248">
        <v>43118</v>
      </c>
      <c r="T467" s="248">
        <v>43157</v>
      </c>
      <c r="U467" s="246" t="s">
        <v>488</v>
      </c>
      <c r="V467" s="246">
        <v>2</v>
      </c>
      <c r="W467" s="246" t="s">
        <v>219</v>
      </c>
      <c r="X467" s="246">
        <v>2</v>
      </c>
      <c r="Y467" s="246">
        <v>2</v>
      </c>
      <c r="Z467" s="246">
        <v>2</v>
      </c>
      <c r="AA467" s="246">
        <v>2</v>
      </c>
      <c r="AB467" s="246" t="s">
        <v>486</v>
      </c>
      <c r="AC467" s="246">
        <v>2</v>
      </c>
      <c r="AD467" s="246" t="s">
        <v>490</v>
      </c>
      <c r="AE467" s="246" t="s">
        <v>486</v>
      </c>
      <c r="AF467" s="246" t="s">
        <v>486</v>
      </c>
      <c r="AG467" s="246" t="s">
        <v>486</v>
      </c>
      <c r="AH467" s="246" t="s">
        <v>486</v>
      </c>
      <c r="AI467" s="246" t="s">
        <v>486</v>
      </c>
      <c r="AJ467" s="246" t="s">
        <v>486</v>
      </c>
      <c r="AK467" s="246" t="s">
        <v>486</v>
      </c>
      <c r="AL467" s="246" t="s">
        <v>491</v>
      </c>
      <c r="AM467" s="246" t="s">
        <v>486</v>
      </c>
      <c r="AN467" s="246" t="s">
        <v>486</v>
      </c>
      <c r="AO467" s="248" t="s">
        <v>486</v>
      </c>
      <c r="AP467" s="247" t="s">
        <v>486</v>
      </c>
      <c r="AQ467" s="249" t="s">
        <v>486</v>
      </c>
      <c r="AR467" s="246" t="s">
        <v>486</v>
      </c>
    </row>
    <row r="468" spans="1:44" ht="15" x14ac:dyDescent="0.25">
      <c r="A468" s="250" t="str">
        <f>HYPERLINK("http://www.ofsted.gov.uk/inspection-reports/find-inspection-report/provider/ELS/130331 ","Ofsted School Webpage")</f>
        <v>Ofsted School Webpage</v>
      </c>
      <c r="B468" s="251">
        <v>130331</v>
      </c>
      <c r="C468" s="251">
        <v>8216001</v>
      </c>
      <c r="D468" s="251" t="s">
        <v>2310</v>
      </c>
      <c r="E468" s="251" t="s">
        <v>247</v>
      </c>
      <c r="F468" s="251" t="s">
        <v>93</v>
      </c>
      <c r="G468" s="251" t="s">
        <v>84</v>
      </c>
      <c r="H468" s="251" t="s">
        <v>84</v>
      </c>
      <c r="I468" s="251" t="s">
        <v>84</v>
      </c>
      <c r="J468" s="251" t="s">
        <v>1490</v>
      </c>
      <c r="K468" s="251" t="s">
        <v>486</v>
      </c>
      <c r="L468" s="251" t="s">
        <v>487</v>
      </c>
      <c r="M468" s="251" t="s">
        <v>516</v>
      </c>
      <c r="N468" s="251" t="s">
        <v>516</v>
      </c>
      <c r="O468" s="251" t="s">
        <v>517</v>
      </c>
      <c r="P468" s="251" t="s">
        <v>1233</v>
      </c>
      <c r="Q468" s="252">
        <v>10043844</v>
      </c>
      <c r="R468" s="253">
        <v>43116</v>
      </c>
      <c r="S468" s="253">
        <v>43118</v>
      </c>
      <c r="T468" s="253">
        <v>43171</v>
      </c>
      <c r="U468" s="251" t="s">
        <v>488</v>
      </c>
      <c r="V468" s="251">
        <v>4</v>
      </c>
      <c r="W468" s="251" t="s">
        <v>220</v>
      </c>
      <c r="X468" s="251">
        <v>4</v>
      </c>
      <c r="Y468" s="251">
        <v>4</v>
      </c>
      <c r="Z468" s="251">
        <v>4</v>
      </c>
      <c r="AA468" s="251">
        <v>3</v>
      </c>
      <c r="AB468" s="251" t="s">
        <v>486</v>
      </c>
      <c r="AC468" s="251" t="s">
        <v>486</v>
      </c>
      <c r="AD468" s="251" t="s">
        <v>490</v>
      </c>
      <c r="AE468" s="251" t="s">
        <v>486</v>
      </c>
      <c r="AF468" s="251" t="s">
        <v>486</v>
      </c>
      <c r="AG468" s="251" t="s">
        <v>486</v>
      </c>
      <c r="AH468" s="251" t="s">
        <v>486</v>
      </c>
      <c r="AI468" s="251" t="s">
        <v>486</v>
      </c>
      <c r="AJ468" s="251" t="s">
        <v>486</v>
      </c>
      <c r="AK468" s="251" t="s">
        <v>486</v>
      </c>
      <c r="AL468" s="251" t="s">
        <v>545</v>
      </c>
      <c r="AM468" s="251">
        <v>10081702</v>
      </c>
      <c r="AN468" s="251" t="s">
        <v>1109</v>
      </c>
      <c r="AO468" s="253">
        <v>43411</v>
      </c>
      <c r="AP468" s="252" t="s">
        <v>1523</v>
      </c>
      <c r="AQ468" s="254">
        <v>43440</v>
      </c>
      <c r="AR468" s="251" t="s">
        <v>1136</v>
      </c>
    </row>
    <row r="469" spans="1:44" ht="15" x14ac:dyDescent="0.25">
      <c r="A469" s="245" t="str">
        <f>HYPERLINK("http://www.ofsted.gov.uk/inspection-reports/find-inspection-report/provider/ELS/132750 ","Ofsted School Webpage")</f>
        <v>Ofsted School Webpage</v>
      </c>
      <c r="B469" s="246">
        <v>132750</v>
      </c>
      <c r="C469" s="246">
        <v>3356010</v>
      </c>
      <c r="D469" s="246" t="s">
        <v>2311</v>
      </c>
      <c r="E469" s="246" t="s">
        <v>247</v>
      </c>
      <c r="F469" s="246" t="s">
        <v>93</v>
      </c>
      <c r="G469" s="246" t="s">
        <v>84</v>
      </c>
      <c r="H469" s="246" t="s">
        <v>84</v>
      </c>
      <c r="I469" s="246" t="s">
        <v>84</v>
      </c>
      <c r="J469" s="246" t="s">
        <v>1490</v>
      </c>
      <c r="K469" s="246" t="s">
        <v>486</v>
      </c>
      <c r="L469" s="246" t="s">
        <v>487</v>
      </c>
      <c r="M469" s="246" t="s">
        <v>502</v>
      </c>
      <c r="N469" s="246" t="s">
        <v>502</v>
      </c>
      <c r="O469" s="246" t="s">
        <v>2187</v>
      </c>
      <c r="P469" s="246" t="s">
        <v>2312</v>
      </c>
      <c r="Q469" s="247">
        <v>10038830</v>
      </c>
      <c r="R469" s="248">
        <v>43116</v>
      </c>
      <c r="S469" s="248">
        <v>43118</v>
      </c>
      <c r="T469" s="248">
        <v>43139</v>
      </c>
      <c r="U469" s="246" t="s">
        <v>488</v>
      </c>
      <c r="V469" s="246">
        <v>2</v>
      </c>
      <c r="W469" s="246" t="s">
        <v>219</v>
      </c>
      <c r="X469" s="246">
        <v>2</v>
      </c>
      <c r="Y469" s="246">
        <v>1</v>
      </c>
      <c r="Z469" s="246">
        <v>2</v>
      </c>
      <c r="AA469" s="246">
        <v>2</v>
      </c>
      <c r="AB469" s="246">
        <v>2</v>
      </c>
      <c r="AC469" s="246" t="s">
        <v>486</v>
      </c>
      <c r="AD469" s="246" t="s">
        <v>490</v>
      </c>
      <c r="AE469" s="246" t="s">
        <v>486</v>
      </c>
      <c r="AF469" s="246" t="s">
        <v>486</v>
      </c>
      <c r="AG469" s="246" t="s">
        <v>486</v>
      </c>
      <c r="AH469" s="246" t="s">
        <v>486</v>
      </c>
      <c r="AI469" s="246" t="s">
        <v>486</v>
      </c>
      <c r="AJ469" s="246" t="s">
        <v>486</v>
      </c>
      <c r="AK469" s="246" t="s">
        <v>486</v>
      </c>
      <c r="AL469" s="246" t="s">
        <v>491</v>
      </c>
      <c r="AM469" s="246" t="s">
        <v>486</v>
      </c>
      <c r="AN469" s="246" t="s">
        <v>486</v>
      </c>
      <c r="AO469" s="248" t="s">
        <v>486</v>
      </c>
      <c r="AP469" s="247" t="s">
        <v>486</v>
      </c>
      <c r="AQ469" s="249" t="s">
        <v>486</v>
      </c>
      <c r="AR469" s="246" t="s">
        <v>486</v>
      </c>
    </row>
    <row r="470" spans="1:44" ht="15" x14ac:dyDescent="0.25">
      <c r="A470" s="250" t="str">
        <f>HYPERLINK("http://www.ofsted.gov.uk/inspection-reports/find-inspection-report/provider/ELS/133517 ","Ofsted School Webpage")</f>
        <v>Ofsted School Webpage</v>
      </c>
      <c r="B470" s="251">
        <v>133517</v>
      </c>
      <c r="C470" s="251">
        <v>3206061</v>
      </c>
      <c r="D470" s="251" t="s">
        <v>2313</v>
      </c>
      <c r="E470" s="251" t="s">
        <v>247</v>
      </c>
      <c r="F470" s="251" t="s">
        <v>83</v>
      </c>
      <c r="G470" s="251" t="s">
        <v>84</v>
      </c>
      <c r="H470" s="251" t="s">
        <v>83</v>
      </c>
      <c r="I470" s="251" t="s">
        <v>84</v>
      </c>
      <c r="J470" s="251" t="s">
        <v>1490</v>
      </c>
      <c r="K470" s="251" t="s">
        <v>486</v>
      </c>
      <c r="L470" s="251" t="s">
        <v>487</v>
      </c>
      <c r="M470" s="251" t="s">
        <v>506</v>
      </c>
      <c r="N470" s="251" t="s">
        <v>506</v>
      </c>
      <c r="O470" s="251" t="s">
        <v>671</v>
      </c>
      <c r="P470" s="251" t="s">
        <v>2314</v>
      </c>
      <c r="Q470" s="252">
        <v>10012847</v>
      </c>
      <c r="R470" s="253">
        <v>43116</v>
      </c>
      <c r="S470" s="253">
        <v>43118</v>
      </c>
      <c r="T470" s="253">
        <v>43171</v>
      </c>
      <c r="U470" s="251" t="s">
        <v>488</v>
      </c>
      <c r="V470" s="251">
        <v>2</v>
      </c>
      <c r="W470" s="251" t="s">
        <v>219</v>
      </c>
      <c r="X470" s="251">
        <v>2</v>
      </c>
      <c r="Y470" s="251">
        <v>2</v>
      </c>
      <c r="Z470" s="251">
        <v>2</v>
      </c>
      <c r="AA470" s="251">
        <v>2</v>
      </c>
      <c r="AB470" s="251">
        <v>2</v>
      </c>
      <c r="AC470" s="251" t="s">
        <v>486</v>
      </c>
      <c r="AD470" s="251" t="s">
        <v>490</v>
      </c>
      <c r="AE470" s="251" t="s">
        <v>486</v>
      </c>
      <c r="AF470" s="251" t="s">
        <v>486</v>
      </c>
      <c r="AG470" s="251" t="s">
        <v>486</v>
      </c>
      <c r="AH470" s="251" t="s">
        <v>486</v>
      </c>
      <c r="AI470" s="251" t="s">
        <v>486</v>
      </c>
      <c r="AJ470" s="251" t="s">
        <v>486</v>
      </c>
      <c r="AK470" s="251" t="s">
        <v>486</v>
      </c>
      <c r="AL470" s="251" t="s">
        <v>491</v>
      </c>
      <c r="AM470" s="251" t="s">
        <v>486</v>
      </c>
      <c r="AN470" s="251" t="s">
        <v>486</v>
      </c>
      <c r="AO470" s="253" t="s">
        <v>486</v>
      </c>
      <c r="AP470" s="252" t="s">
        <v>486</v>
      </c>
      <c r="AQ470" s="254" t="s">
        <v>486</v>
      </c>
      <c r="AR470" s="251" t="s">
        <v>486</v>
      </c>
    </row>
    <row r="471" spans="1:44" ht="15" x14ac:dyDescent="0.25">
      <c r="A471" s="245" t="str">
        <f>HYPERLINK("http://www.ofsted.gov.uk/inspection-reports/find-inspection-report/provider/ELS/135278 ","Ofsted School Webpage")</f>
        <v>Ofsted School Webpage</v>
      </c>
      <c r="B471" s="246">
        <v>135278</v>
      </c>
      <c r="C471" s="246">
        <v>9336215</v>
      </c>
      <c r="D471" s="246" t="s">
        <v>1134</v>
      </c>
      <c r="E471" s="246" t="s">
        <v>248</v>
      </c>
      <c r="F471" s="246" t="s">
        <v>93</v>
      </c>
      <c r="G471" s="246" t="s">
        <v>93</v>
      </c>
      <c r="H471" s="246" t="s">
        <v>93</v>
      </c>
      <c r="I471" s="246" t="s">
        <v>90</v>
      </c>
      <c r="J471" s="246" t="s">
        <v>1490</v>
      </c>
      <c r="K471" s="246" t="s">
        <v>486</v>
      </c>
      <c r="L471" s="246" t="s">
        <v>487</v>
      </c>
      <c r="M471" s="246" t="s">
        <v>483</v>
      </c>
      <c r="N471" s="246" t="s">
        <v>483</v>
      </c>
      <c r="O471" s="246" t="s">
        <v>531</v>
      </c>
      <c r="P471" s="246" t="s">
        <v>1135</v>
      </c>
      <c r="Q471" s="247">
        <v>10041376</v>
      </c>
      <c r="R471" s="248">
        <v>43116</v>
      </c>
      <c r="S471" s="248">
        <v>43118</v>
      </c>
      <c r="T471" s="248">
        <v>43171</v>
      </c>
      <c r="U471" s="246" t="s">
        <v>2930</v>
      </c>
      <c r="V471" s="246">
        <v>4</v>
      </c>
      <c r="W471" s="246" t="s">
        <v>219</v>
      </c>
      <c r="X471" s="246">
        <v>4</v>
      </c>
      <c r="Y471" s="246">
        <v>3</v>
      </c>
      <c r="Z471" s="246">
        <v>4</v>
      </c>
      <c r="AA471" s="246">
        <v>4</v>
      </c>
      <c r="AB471" s="246" t="s">
        <v>486</v>
      </c>
      <c r="AC471" s="246" t="s">
        <v>486</v>
      </c>
      <c r="AD471" s="246" t="s">
        <v>490</v>
      </c>
      <c r="AE471" s="246" t="s">
        <v>486</v>
      </c>
      <c r="AF471" s="246" t="s">
        <v>486</v>
      </c>
      <c r="AG471" s="246" t="s">
        <v>486</v>
      </c>
      <c r="AH471" s="246" t="s">
        <v>486</v>
      </c>
      <c r="AI471" s="246" t="s">
        <v>486</v>
      </c>
      <c r="AJ471" s="246" t="s">
        <v>486</v>
      </c>
      <c r="AK471" s="246" t="s">
        <v>486</v>
      </c>
      <c r="AL471" s="246" t="s">
        <v>545</v>
      </c>
      <c r="AM471" s="246">
        <v>10068087</v>
      </c>
      <c r="AN471" s="246" t="s">
        <v>1109</v>
      </c>
      <c r="AO471" s="248">
        <v>43354</v>
      </c>
      <c r="AP471" s="247" t="s">
        <v>1523</v>
      </c>
      <c r="AQ471" s="249">
        <v>43388</v>
      </c>
      <c r="AR471" s="246" t="s">
        <v>1136</v>
      </c>
    </row>
    <row r="472" spans="1:44" ht="15" x14ac:dyDescent="0.25">
      <c r="A472" s="250" t="str">
        <f>HYPERLINK("http://www.ofsted.gov.uk/inspection-reports/find-inspection-report/provider/ELS/136259 ","Ofsted School Webpage")</f>
        <v>Ofsted School Webpage</v>
      </c>
      <c r="B472" s="251">
        <v>136259</v>
      </c>
      <c r="C472" s="251">
        <v>8066002</v>
      </c>
      <c r="D472" s="251" t="s">
        <v>2315</v>
      </c>
      <c r="E472" s="251" t="s">
        <v>247</v>
      </c>
      <c r="F472" s="251" t="s">
        <v>93</v>
      </c>
      <c r="G472" s="251" t="s">
        <v>93</v>
      </c>
      <c r="H472" s="251" t="s">
        <v>93</v>
      </c>
      <c r="I472" s="251" t="s">
        <v>90</v>
      </c>
      <c r="J472" s="251" t="s">
        <v>1490</v>
      </c>
      <c r="K472" s="251" t="s">
        <v>486</v>
      </c>
      <c r="L472" s="251" t="s">
        <v>487</v>
      </c>
      <c r="M472" s="251" t="s">
        <v>523</v>
      </c>
      <c r="N472" s="251" t="s">
        <v>539</v>
      </c>
      <c r="O472" s="251" t="s">
        <v>2316</v>
      </c>
      <c r="P472" s="251" t="s">
        <v>2317</v>
      </c>
      <c r="Q472" s="252">
        <v>10043657</v>
      </c>
      <c r="R472" s="253">
        <v>43116</v>
      </c>
      <c r="S472" s="253">
        <v>43118</v>
      </c>
      <c r="T472" s="253">
        <v>43157</v>
      </c>
      <c r="U472" s="251" t="s">
        <v>488</v>
      </c>
      <c r="V472" s="251">
        <v>3</v>
      </c>
      <c r="W472" s="251" t="s">
        <v>219</v>
      </c>
      <c r="X472" s="251">
        <v>3</v>
      </c>
      <c r="Y472" s="251">
        <v>3</v>
      </c>
      <c r="Z472" s="251">
        <v>3</v>
      </c>
      <c r="AA472" s="251">
        <v>3</v>
      </c>
      <c r="AB472" s="251" t="s">
        <v>486</v>
      </c>
      <c r="AC472" s="251" t="s">
        <v>486</v>
      </c>
      <c r="AD472" s="251" t="s">
        <v>490</v>
      </c>
      <c r="AE472" s="251" t="s">
        <v>486</v>
      </c>
      <c r="AF472" s="251" t="s">
        <v>486</v>
      </c>
      <c r="AG472" s="251" t="s">
        <v>486</v>
      </c>
      <c r="AH472" s="251" t="s">
        <v>486</v>
      </c>
      <c r="AI472" s="251" t="s">
        <v>486</v>
      </c>
      <c r="AJ472" s="251" t="s">
        <v>486</v>
      </c>
      <c r="AK472" s="251" t="s">
        <v>486</v>
      </c>
      <c r="AL472" s="251" t="s">
        <v>545</v>
      </c>
      <c r="AM472" s="251" t="s">
        <v>486</v>
      </c>
      <c r="AN472" s="251" t="s">
        <v>486</v>
      </c>
      <c r="AO472" s="253" t="s">
        <v>486</v>
      </c>
      <c r="AP472" s="252" t="s">
        <v>486</v>
      </c>
      <c r="AQ472" s="254" t="s">
        <v>486</v>
      </c>
      <c r="AR472" s="251" t="s">
        <v>486</v>
      </c>
    </row>
    <row r="473" spans="1:44" ht="15" x14ac:dyDescent="0.25">
      <c r="A473" s="245" t="str">
        <f>HYPERLINK("http://www.ofsted.gov.uk/inspection-reports/find-inspection-report/provider/ELS/137956 ","Ofsted School Webpage")</f>
        <v>Ofsted School Webpage</v>
      </c>
      <c r="B473" s="246">
        <v>137956</v>
      </c>
      <c r="C473" s="246">
        <v>8606039</v>
      </c>
      <c r="D473" s="246" t="s">
        <v>1368</v>
      </c>
      <c r="E473" s="246" t="s">
        <v>248</v>
      </c>
      <c r="F473" s="246" t="s">
        <v>93</v>
      </c>
      <c r="G473" s="246" t="s">
        <v>93</v>
      </c>
      <c r="H473" s="246" t="s">
        <v>93</v>
      </c>
      <c r="I473" s="246" t="s">
        <v>90</v>
      </c>
      <c r="J473" s="246" t="s">
        <v>1490</v>
      </c>
      <c r="K473" s="246" t="s">
        <v>486</v>
      </c>
      <c r="L473" s="246" t="s">
        <v>487</v>
      </c>
      <c r="M473" s="246" t="s">
        <v>502</v>
      </c>
      <c r="N473" s="246" t="s">
        <v>502</v>
      </c>
      <c r="O473" s="246" t="s">
        <v>652</v>
      </c>
      <c r="P473" s="246" t="s">
        <v>1369</v>
      </c>
      <c r="Q473" s="247">
        <v>10041366</v>
      </c>
      <c r="R473" s="248">
        <v>43116</v>
      </c>
      <c r="S473" s="248">
        <v>43118</v>
      </c>
      <c r="T473" s="248">
        <v>43139</v>
      </c>
      <c r="U473" s="246" t="s">
        <v>488</v>
      </c>
      <c r="V473" s="246">
        <v>3</v>
      </c>
      <c r="W473" s="246" t="s">
        <v>219</v>
      </c>
      <c r="X473" s="246">
        <v>3</v>
      </c>
      <c r="Y473" s="246">
        <v>3</v>
      </c>
      <c r="Z473" s="246">
        <v>3</v>
      </c>
      <c r="AA473" s="246">
        <v>3</v>
      </c>
      <c r="AB473" s="246" t="s">
        <v>486</v>
      </c>
      <c r="AC473" s="246">
        <v>3</v>
      </c>
      <c r="AD473" s="246" t="s">
        <v>490</v>
      </c>
      <c r="AE473" s="246" t="s">
        <v>486</v>
      </c>
      <c r="AF473" s="246" t="s">
        <v>486</v>
      </c>
      <c r="AG473" s="246" t="s">
        <v>486</v>
      </c>
      <c r="AH473" s="246" t="s">
        <v>486</v>
      </c>
      <c r="AI473" s="246" t="s">
        <v>486</v>
      </c>
      <c r="AJ473" s="246" t="s">
        <v>486</v>
      </c>
      <c r="AK473" s="246" t="s">
        <v>486</v>
      </c>
      <c r="AL473" s="246" t="s">
        <v>545</v>
      </c>
      <c r="AM473" s="246">
        <v>10094675</v>
      </c>
      <c r="AN473" s="246" t="s">
        <v>1109</v>
      </c>
      <c r="AO473" s="248">
        <v>43524</v>
      </c>
      <c r="AP473" s="247" t="s">
        <v>1523</v>
      </c>
      <c r="AQ473" s="249">
        <v>43550</v>
      </c>
      <c r="AR473" s="246" t="s">
        <v>1110</v>
      </c>
    </row>
    <row r="474" spans="1:44" ht="15" x14ac:dyDescent="0.25">
      <c r="A474" s="250" t="str">
        <f>HYPERLINK("http://www.ofsted.gov.uk/inspection-reports/find-inspection-report/provider/ELS/139831 ","Ofsted School Webpage")</f>
        <v>Ofsted School Webpage</v>
      </c>
      <c r="B474" s="251">
        <v>139831</v>
      </c>
      <c r="C474" s="251">
        <v>3526008</v>
      </c>
      <c r="D474" s="251" t="s">
        <v>2318</v>
      </c>
      <c r="E474" s="251" t="s">
        <v>247</v>
      </c>
      <c r="F474" s="251" t="s">
        <v>93</v>
      </c>
      <c r="G474" s="251" t="s">
        <v>71</v>
      </c>
      <c r="H474" s="251" t="s">
        <v>71</v>
      </c>
      <c r="I474" s="251" t="s">
        <v>71</v>
      </c>
      <c r="J474" s="251" t="s">
        <v>1490</v>
      </c>
      <c r="K474" s="251" t="s">
        <v>486</v>
      </c>
      <c r="L474" s="251" t="s">
        <v>487</v>
      </c>
      <c r="M474" s="251" t="s">
        <v>495</v>
      </c>
      <c r="N474" s="251" t="s">
        <v>495</v>
      </c>
      <c r="O474" s="251" t="s">
        <v>744</v>
      </c>
      <c r="P474" s="251" t="s">
        <v>2319</v>
      </c>
      <c r="Q474" s="252">
        <v>10038934</v>
      </c>
      <c r="R474" s="253">
        <v>43116</v>
      </c>
      <c r="S474" s="253">
        <v>43118</v>
      </c>
      <c r="T474" s="253">
        <v>43174</v>
      </c>
      <c r="U474" s="251" t="s">
        <v>488</v>
      </c>
      <c r="V474" s="251">
        <v>3</v>
      </c>
      <c r="W474" s="251" t="s">
        <v>219</v>
      </c>
      <c r="X474" s="251">
        <v>3</v>
      </c>
      <c r="Y474" s="251">
        <v>2</v>
      </c>
      <c r="Z474" s="251">
        <v>3</v>
      </c>
      <c r="AA474" s="251">
        <v>3</v>
      </c>
      <c r="AB474" s="251">
        <v>2</v>
      </c>
      <c r="AC474" s="251" t="s">
        <v>486</v>
      </c>
      <c r="AD474" s="251" t="s">
        <v>490</v>
      </c>
      <c r="AE474" s="251" t="s">
        <v>486</v>
      </c>
      <c r="AF474" s="251" t="s">
        <v>486</v>
      </c>
      <c r="AG474" s="251" t="s">
        <v>486</v>
      </c>
      <c r="AH474" s="251" t="s">
        <v>486</v>
      </c>
      <c r="AI474" s="251" t="s">
        <v>486</v>
      </c>
      <c r="AJ474" s="251" t="s">
        <v>486</v>
      </c>
      <c r="AK474" s="251" t="s">
        <v>486</v>
      </c>
      <c r="AL474" s="251" t="s">
        <v>491</v>
      </c>
      <c r="AM474" s="251" t="s">
        <v>486</v>
      </c>
      <c r="AN474" s="251" t="s">
        <v>486</v>
      </c>
      <c r="AO474" s="253" t="s">
        <v>486</v>
      </c>
      <c r="AP474" s="252" t="s">
        <v>486</v>
      </c>
      <c r="AQ474" s="254" t="s">
        <v>486</v>
      </c>
      <c r="AR474" s="251" t="s">
        <v>486</v>
      </c>
    </row>
    <row r="475" spans="1:44" ht="15" x14ac:dyDescent="0.25">
      <c r="A475" s="245" t="str">
        <f>HYPERLINK("http://www.ofsted.gov.uk/inspection-reports/find-inspection-report/provider/ELS/142568 ","Ofsted School Webpage")</f>
        <v>Ofsted School Webpage</v>
      </c>
      <c r="B475" s="246">
        <v>142568</v>
      </c>
      <c r="C475" s="246">
        <v>8876010</v>
      </c>
      <c r="D475" s="246" t="s">
        <v>2320</v>
      </c>
      <c r="E475" s="246" t="s">
        <v>247</v>
      </c>
      <c r="F475" s="246" t="s">
        <v>93</v>
      </c>
      <c r="G475" s="246" t="s">
        <v>93</v>
      </c>
      <c r="H475" s="246" t="s">
        <v>93</v>
      </c>
      <c r="I475" s="246" t="s">
        <v>90</v>
      </c>
      <c r="J475" s="246" t="s">
        <v>1490</v>
      </c>
      <c r="K475" s="246" t="s">
        <v>486</v>
      </c>
      <c r="L475" s="246" t="s">
        <v>487</v>
      </c>
      <c r="M475" s="246" t="s">
        <v>581</v>
      </c>
      <c r="N475" s="246" t="s">
        <v>581</v>
      </c>
      <c r="O475" s="246" t="s">
        <v>794</v>
      </c>
      <c r="P475" s="246" t="s">
        <v>2321</v>
      </c>
      <c r="Q475" s="247">
        <v>10044261</v>
      </c>
      <c r="R475" s="248">
        <v>43116</v>
      </c>
      <c r="S475" s="248">
        <v>43118</v>
      </c>
      <c r="T475" s="248">
        <v>43137</v>
      </c>
      <c r="U475" s="246" t="s">
        <v>488</v>
      </c>
      <c r="V475" s="246">
        <v>3</v>
      </c>
      <c r="W475" s="246" t="s">
        <v>219</v>
      </c>
      <c r="X475" s="246">
        <v>3</v>
      </c>
      <c r="Y475" s="246">
        <v>2</v>
      </c>
      <c r="Z475" s="246">
        <v>3</v>
      </c>
      <c r="AA475" s="246">
        <v>3</v>
      </c>
      <c r="AB475" s="246" t="s">
        <v>486</v>
      </c>
      <c r="AC475" s="246" t="s">
        <v>486</v>
      </c>
      <c r="AD475" s="246" t="s">
        <v>490</v>
      </c>
      <c r="AE475" s="246" t="s">
        <v>486</v>
      </c>
      <c r="AF475" s="246" t="s">
        <v>486</v>
      </c>
      <c r="AG475" s="246" t="s">
        <v>486</v>
      </c>
      <c r="AH475" s="246" t="s">
        <v>486</v>
      </c>
      <c r="AI475" s="246" t="s">
        <v>486</v>
      </c>
      <c r="AJ475" s="246" t="s">
        <v>486</v>
      </c>
      <c r="AK475" s="246" t="s">
        <v>486</v>
      </c>
      <c r="AL475" s="246" t="s">
        <v>491</v>
      </c>
      <c r="AM475" s="246" t="s">
        <v>486</v>
      </c>
      <c r="AN475" s="246" t="s">
        <v>486</v>
      </c>
      <c r="AO475" s="248" t="s">
        <v>486</v>
      </c>
      <c r="AP475" s="247" t="s">
        <v>486</v>
      </c>
      <c r="AQ475" s="249" t="s">
        <v>486</v>
      </c>
      <c r="AR475" s="246" t="s">
        <v>486</v>
      </c>
    </row>
    <row r="476" spans="1:44" ht="15" x14ac:dyDescent="0.25">
      <c r="A476" s="250" t="str">
        <f>HYPERLINK("http://www.ofsted.gov.uk/inspection-reports/find-inspection-report/provider/ELS/142832 ","Ofsted School Webpage")</f>
        <v>Ofsted School Webpage</v>
      </c>
      <c r="B476" s="251">
        <v>142832</v>
      </c>
      <c r="C476" s="251">
        <v>3046003</v>
      </c>
      <c r="D476" s="251" t="s">
        <v>2322</v>
      </c>
      <c r="E476" s="251" t="s">
        <v>247</v>
      </c>
      <c r="F476" s="251" t="s">
        <v>93</v>
      </c>
      <c r="G476" s="251" t="s">
        <v>71</v>
      </c>
      <c r="H476" s="251" t="s">
        <v>71</v>
      </c>
      <c r="I476" s="251" t="s">
        <v>71</v>
      </c>
      <c r="J476" s="251" t="s">
        <v>1490</v>
      </c>
      <c r="K476" s="251" t="s">
        <v>486</v>
      </c>
      <c r="L476" s="251" t="s">
        <v>487</v>
      </c>
      <c r="M476" s="251" t="s">
        <v>506</v>
      </c>
      <c r="N476" s="251" t="s">
        <v>506</v>
      </c>
      <c r="O476" s="251" t="s">
        <v>543</v>
      </c>
      <c r="P476" s="251" t="s">
        <v>2323</v>
      </c>
      <c r="Q476" s="252">
        <v>10041406</v>
      </c>
      <c r="R476" s="253">
        <v>43116</v>
      </c>
      <c r="S476" s="253">
        <v>43118</v>
      </c>
      <c r="T476" s="253">
        <v>43146</v>
      </c>
      <c r="U476" s="251" t="s">
        <v>499</v>
      </c>
      <c r="V476" s="251">
        <v>3</v>
      </c>
      <c r="W476" s="251" t="s">
        <v>219</v>
      </c>
      <c r="X476" s="251">
        <v>3</v>
      </c>
      <c r="Y476" s="251">
        <v>3</v>
      </c>
      <c r="Z476" s="251">
        <v>3</v>
      </c>
      <c r="AA476" s="251">
        <v>3</v>
      </c>
      <c r="AB476" s="251" t="s">
        <v>486</v>
      </c>
      <c r="AC476" s="251" t="s">
        <v>486</v>
      </c>
      <c r="AD476" s="251" t="s">
        <v>490</v>
      </c>
      <c r="AE476" s="251" t="s">
        <v>486</v>
      </c>
      <c r="AF476" s="251" t="s">
        <v>486</v>
      </c>
      <c r="AG476" s="251" t="s">
        <v>486</v>
      </c>
      <c r="AH476" s="251" t="s">
        <v>486</v>
      </c>
      <c r="AI476" s="251" t="s">
        <v>486</v>
      </c>
      <c r="AJ476" s="251" t="s">
        <v>486</v>
      </c>
      <c r="AK476" s="251" t="s">
        <v>486</v>
      </c>
      <c r="AL476" s="251" t="s">
        <v>491</v>
      </c>
      <c r="AM476" s="251" t="s">
        <v>486</v>
      </c>
      <c r="AN476" s="251" t="s">
        <v>486</v>
      </c>
      <c r="AO476" s="253" t="s">
        <v>486</v>
      </c>
      <c r="AP476" s="252" t="s">
        <v>486</v>
      </c>
      <c r="AQ476" s="254" t="s">
        <v>486</v>
      </c>
      <c r="AR476" s="251" t="s">
        <v>486</v>
      </c>
    </row>
    <row r="477" spans="1:44" ht="15" x14ac:dyDescent="0.25">
      <c r="A477" s="245" t="str">
        <f>HYPERLINK("http://www.ofsted.gov.uk/inspection-reports/find-inspection-report/provider/ELS/142939 ","Ofsted School Webpage")</f>
        <v>Ofsted School Webpage</v>
      </c>
      <c r="B477" s="246">
        <v>142939</v>
      </c>
      <c r="C477" s="246">
        <v>8556038</v>
      </c>
      <c r="D477" s="246" t="s">
        <v>2324</v>
      </c>
      <c r="E477" s="246" t="s">
        <v>247</v>
      </c>
      <c r="F477" s="246" t="s">
        <v>93</v>
      </c>
      <c r="G477" s="246" t="s">
        <v>93</v>
      </c>
      <c r="H477" s="246" t="s">
        <v>93</v>
      </c>
      <c r="I477" s="246" t="s">
        <v>90</v>
      </c>
      <c r="J477" s="246" t="s">
        <v>1490</v>
      </c>
      <c r="K477" s="246" t="s">
        <v>486</v>
      </c>
      <c r="L477" s="246" t="s">
        <v>487</v>
      </c>
      <c r="M477" s="246" t="s">
        <v>572</v>
      </c>
      <c r="N477" s="246" t="s">
        <v>572</v>
      </c>
      <c r="O477" s="246" t="s">
        <v>966</v>
      </c>
      <c r="P477" s="246" t="s">
        <v>2325</v>
      </c>
      <c r="Q477" s="247">
        <v>10039198</v>
      </c>
      <c r="R477" s="248">
        <v>43116</v>
      </c>
      <c r="S477" s="248">
        <v>43118</v>
      </c>
      <c r="T477" s="248">
        <v>43143</v>
      </c>
      <c r="U477" s="246" t="s">
        <v>499</v>
      </c>
      <c r="V477" s="246">
        <v>2</v>
      </c>
      <c r="W477" s="246" t="s">
        <v>219</v>
      </c>
      <c r="X477" s="246">
        <v>2</v>
      </c>
      <c r="Y477" s="246">
        <v>2</v>
      </c>
      <c r="Z477" s="246">
        <v>2</v>
      </c>
      <c r="AA477" s="246">
        <v>2</v>
      </c>
      <c r="AB477" s="246" t="s">
        <v>486</v>
      </c>
      <c r="AC477" s="246" t="s">
        <v>486</v>
      </c>
      <c r="AD477" s="246" t="s">
        <v>490</v>
      </c>
      <c r="AE477" s="246" t="s">
        <v>486</v>
      </c>
      <c r="AF477" s="246" t="s">
        <v>486</v>
      </c>
      <c r="AG477" s="246" t="s">
        <v>486</v>
      </c>
      <c r="AH477" s="246" t="s">
        <v>486</v>
      </c>
      <c r="AI477" s="246" t="s">
        <v>486</v>
      </c>
      <c r="AJ477" s="246" t="s">
        <v>486</v>
      </c>
      <c r="AK477" s="246" t="s">
        <v>486</v>
      </c>
      <c r="AL477" s="246" t="s">
        <v>491</v>
      </c>
      <c r="AM477" s="246" t="s">
        <v>486</v>
      </c>
      <c r="AN477" s="246" t="s">
        <v>486</v>
      </c>
      <c r="AO477" s="248" t="s">
        <v>486</v>
      </c>
      <c r="AP477" s="247" t="s">
        <v>486</v>
      </c>
      <c r="AQ477" s="249" t="s">
        <v>486</v>
      </c>
      <c r="AR477" s="246" t="s">
        <v>486</v>
      </c>
    </row>
    <row r="478" spans="1:44" ht="15" x14ac:dyDescent="0.25">
      <c r="A478" s="250" t="str">
        <f>HYPERLINK("http://www.ofsted.gov.uk/inspection-reports/find-inspection-report/provider/ELS/144857 ","Ofsted School Webpage")</f>
        <v>Ofsted School Webpage</v>
      </c>
      <c r="B478" s="251">
        <v>144857</v>
      </c>
      <c r="C478" s="251">
        <v>3826008</v>
      </c>
      <c r="D478" s="251" t="s">
        <v>2326</v>
      </c>
      <c r="E478" s="251" t="s">
        <v>247</v>
      </c>
      <c r="F478" s="251" t="s">
        <v>93</v>
      </c>
      <c r="G478" s="251" t="s">
        <v>93</v>
      </c>
      <c r="H478" s="251" t="s">
        <v>93</v>
      </c>
      <c r="I478" s="251" t="s">
        <v>90</v>
      </c>
      <c r="J478" s="251" t="s">
        <v>1490</v>
      </c>
      <c r="K478" s="251" t="s">
        <v>486</v>
      </c>
      <c r="L478" s="251" t="s">
        <v>487</v>
      </c>
      <c r="M478" s="251" t="s">
        <v>523</v>
      </c>
      <c r="N478" s="251" t="s">
        <v>524</v>
      </c>
      <c r="O478" s="251" t="s">
        <v>767</v>
      </c>
      <c r="P478" s="251" t="s">
        <v>2327</v>
      </c>
      <c r="Q478" s="252">
        <v>10044626</v>
      </c>
      <c r="R478" s="253">
        <v>43116</v>
      </c>
      <c r="S478" s="253">
        <v>43118</v>
      </c>
      <c r="T478" s="253">
        <v>43161</v>
      </c>
      <c r="U478" s="251" t="s">
        <v>499</v>
      </c>
      <c r="V478" s="251">
        <v>2</v>
      </c>
      <c r="W478" s="251" t="s">
        <v>219</v>
      </c>
      <c r="X478" s="251">
        <v>2</v>
      </c>
      <c r="Y478" s="251">
        <v>2</v>
      </c>
      <c r="Z478" s="251">
        <v>2</v>
      </c>
      <c r="AA478" s="251">
        <v>2</v>
      </c>
      <c r="AB478" s="251" t="s">
        <v>486</v>
      </c>
      <c r="AC478" s="251" t="s">
        <v>486</v>
      </c>
      <c r="AD478" s="251" t="s">
        <v>490</v>
      </c>
      <c r="AE478" s="251" t="s">
        <v>486</v>
      </c>
      <c r="AF478" s="251" t="s">
        <v>486</v>
      </c>
      <c r="AG478" s="251" t="s">
        <v>486</v>
      </c>
      <c r="AH478" s="251" t="s">
        <v>486</v>
      </c>
      <c r="AI478" s="251" t="s">
        <v>486</v>
      </c>
      <c r="AJ478" s="251" t="s">
        <v>486</v>
      </c>
      <c r="AK478" s="251" t="s">
        <v>486</v>
      </c>
      <c r="AL478" s="251" t="s">
        <v>491</v>
      </c>
      <c r="AM478" s="251" t="s">
        <v>486</v>
      </c>
      <c r="AN478" s="251" t="s">
        <v>486</v>
      </c>
      <c r="AO478" s="253" t="s">
        <v>486</v>
      </c>
      <c r="AP478" s="252" t="s">
        <v>486</v>
      </c>
      <c r="AQ478" s="254" t="s">
        <v>486</v>
      </c>
      <c r="AR478" s="251" t="s">
        <v>486</v>
      </c>
    </row>
    <row r="479" spans="1:44" ht="15" x14ac:dyDescent="0.25">
      <c r="A479" s="245" t="str">
        <f>HYPERLINK("http://www.ofsted.gov.uk/inspection-reports/find-inspection-report/provider/ELS/131031 ","Ofsted School Webpage")</f>
        <v>Ofsted School Webpage</v>
      </c>
      <c r="B479" s="246">
        <v>131031</v>
      </c>
      <c r="C479" s="246">
        <v>3166068</v>
      </c>
      <c r="D479" s="246" t="s">
        <v>1184</v>
      </c>
      <c r="E479" s="246" t="s">
        <v>247</v>
      </c>
      <c r="F479" s="246" t="s">
        <v>93</v>
      </c>
      <c r="G479" s="246" t="s">
        <v>71</v>
      </c>
      <c r="H479" s="246" t="s">
        <v>71</v>
      </c>
      <c r="I479" s="246" t="s">
        <v>71</v>
      </c>
      <c r="J479" s="246" t="s">
        <v>1490</v>
      </c>
      <c r="K479" s="246" t="s">
        <v>486</v>
      </c>
      <c r="L479" s="246" t="s">
        <v>487</v>
      </c>
      <c r="M479" s="246" t="s">
        <v>506</v>
      </c>
      <c r="N479" s="246" t="s">
        <v>506</v>
      </c>
      <c r="O479" s="246" t="s">
        <v>799</v>
      </c>
      <c r="P479" s="246" t="s">
        <v>1185</v>
      </c>
      <c r="Q479" s="247">
        <v>10026282</v>
      </c>
      <c r="R479" s="248">
        <v>43117</v>
      </c>
      <c r="S479" s="248">
        <v>43119</v>
      </c>
      <c r="T479" s="248">
        <v>43178</v>
      </c>
      <c r="U479" s="246" t="s">
        <v>488</v>
      </c>
      <c r="V479" s="246">
        <v>4</v>
      </c>
      <c r="W479" s="246" t="s">
        <v>220</v>
      </c>
      <c r="X479" s="246">
        <v>4</v>
      </c>
      <c r="Y479" s="246">
        <v>4</v>
      </c>
      <c r="Z479" s="246">
        <v>4</v>
      </c>
      <c r="AA479" s="246">
        <v>4</v>
      </c>
      <c r="AB479" s="246" t="s">
        <v>486</v>
      </c>
      <c r="AC479" s="246" t="s">
        <v>486</v>
      </c>
      <c r="AD479" s="246" t="s">
        <v>512</v>
      </c>
      <c r="AE479" s="246" t="s">
        <v>486</v>
      </c>
      <c r="AF479" s="246" t="s">
        <v>486</v>
      </c>
      <c r="AG479" s="246" t="s">
        <v>490</v>
      </c>
      <c r="AH479" s="246" t="s">
        <v>486</v>
      </c>
      <c r="AI479" s="246" t="s">
        <v>486</v>
      </c>
      <c r="AJ479" s="246" t="s">
        <v>486</v>
      </c>
      <c r="AK479" s="246" t="s">
        <v>486</v>
      </c>
      <c r="AL479" s="246" t="s">
        <v>545</v>
      </c>
      <c r="AM479" s="246">
        <v>10067093</v>
      </c>
      <c r="AN479" s="246" t="s">
        <v>1109</v>
      </c>
      <c r="AO479" s="248">
        <v>43376</v>
      </c>
      <c r="AP479" s="247" t="s">
        <v>1523</v>
      </c>
      <c r="AQ479" s="249">
        <v>43420</v>
      </c>
      <c r="AR479" s="246" t="s">
        <v>1136</v>
      </c>
    </row>
    <row r="480" spans="1:44" ht="15" x14ac:dyDescent="0.25">
      <c r="A480" s="250" t="str">
        <f>HYPERLINK("http://www.ofsted.gov.uk/inspection-reports/find-inspection-report/provider/ELS/100086 ","Ofsted School Webpage")</f>
        <v>Ofsted School Webpage</v>
      </c>
      <c r="B480" s="251">
        <v>100086</v>
      </c>
      <c r="C480" s="251">
        <v>2026390</v>
      </c>
      <c r="D480" s="251" t="s">
        <v>2328</v>
      </c>
      <c r="E480" s="251" t="s">
        <v>247</v>
      </c>
      <c r="F480" s="251" t="s">
        <v>93</v>
      </c>
      <c r="G480" s="251" t="s">
        <v>93</v>
      </c>
      <c r="H480" s="251" t="s">
        <v>93</v>
      </c>
      <c r="I480" s="251" t="s">
        <v>90</v>
      </c>
      <c r="J480" s="251" t="s">
        <v>1490</v>
      </c>
      <c r="K480" s="251" t="s">
        <v>486</v>
      </c>
      <c r="L480" s="251" t="s">
        <v>487</v>
      </c>
      <c r="M480" s="251" t="s">
        <v>506</v>
      </c>
      <c r="N480" s="251" t="s">
        <v>506</v>
      </c>
      <c r="O480" s="251" t="s">
        <v>1177</v>
      </c>
      <c r="P480" s="251" t="s">
        <v>2329</v>
      </c>
      <c r="Q480" s="252">
        <v>10020718</v>
      </c>
      <c r="R480" s="253">
        <v>43123</v>
      </c>
      <c r="S480" s="253">
        <v>43125</v>
      </c>
      <c r="T480" s="253">
        <v>43157</v>
      </c>
      <c r="U480" s="251" t="s">
        <v>488</v>
      </c>
      <c r="V480" s="251">
        <v>2</v>
      </c>
      <c r="W480" s="251" t="s">
        <v>219</v>
      </c>
      <c r="X480" s="251">
        <v>2</v>
      </c>
      <c r="Y480" s="251">
        <v>1</v>
      </c>
      <c r="Z480" s="251">
        <v>2</v>
      </c>
      <c r="AA480" s="251">
        <v>2</v>
      </c>
      <c r="AB480" s="251">
        <v>2</v>
      </c>
      <c r="AC480" s="251" t="s">
        <v>486</v>
      </c>
      <c r="AD480" s="251" t="s">
        <v>490</v>
      </c>
      <c r="AE480" s="251" t="s">
        <v>486</v>
      </c>
      <c r="AF480" s="251" t="s">
        <v>486</v>
      </c>
      <c r="AG480" s="251" t="s">
        <v>486</v>
      </c>
      <c r="AH480" s="251" t="s">
        <v>486</v>
      </c>
      <c r="AI480" s="251" t="s">
        <v>486</v>
      </c>
      <c r="AJ480" s="251" t="s">
        <v>486</v>
      </c>
      <c r="AK480" s="251" t="s">
        <v>486</v>
      </c>
      <c r="AL480" s="251" t="s">
        <v>491</v>
      </c>
      <c r="AM480" s="251" t="s">
        <v>486</v>
      </c>
      <c r="AN480" s="251" t="s">
        <v>486</v>
      </c>
      <c r="AO480" s="253" t="s">
        <v>486</v>
      </c>
      <c r="AP480" s="252" t="s">
        <v>486</v>
      </c>
      <c r="AQ480" s="254" t="s">
        <v>486</v>
      </c>
      <c r="AR480" s="251" t="s">
        <v>486</v>
      </c>
    </row>
    <row r="481" spans="1:44" ht="15" x14ac:dyDescent="0.25">
      <c r="A481" s="245" t="str">
        <f>HYPERLINK("http://www.ofsted.gov.uk/inspection-reports/find-inspection-report/provider/ELS/101694 ","Ofsted School Webpage")</f>
        <v>Ofsted School Webpage</v>
      </c>
      <c r="B481" s="246">
        <v>101694</v>
      </c>
      <c r="C481" s="246">
        <v>3056075</v>
      </c>
      <c r="D481" s="246" t="s">
        <v>2330</v>
      </c>
      <c r="E481" s="246" t="s">
        <v>247</v>
      </c>
      <c r="F481" s="246" t="s">
        <v>93</v>
      </c>
      <c r="G481" s="246" t="s">
        <v>93</v>
      </c>
      <c r="H481" s="246" t="s">
        <v>93</v>
      </c>
      <c r="I481" s="246" t="s">
        <v>90</v>
      </c>
      <c r="J481" s="246" t="s">
        <v>1490</v>
      </c>
      <c r="K481" s="246" t="s">
        <v>486</v>
      </c>
      <c r="L481" s="246" t="s">
        <v>487</v>
      </c>
      <c r="M481" s="246" t="s">
        <v>506</v>
      </c>
      <c r="N481" s="246" t="s">
        <v>506</v>
      </c>
      <c r="O481" s="246" t="s">
        <v>679</v>
      </c>
      <c r="P481" s="246" t="s">
        <v>2331</v>
      </c>
      <c r="Q481" s="247">
        <v>10026277</v>
      </c>
      <c r="R481" s="248">
        <v>43123</v>
      </c>
      <c r="S481" s="248">
        <v>43125</v>
      </c>
      <c r="T481" s="248">
        <v>43144</v>
      </c>
      <c r="U481" s="246" t="s">
        <v>488</v>
      </c>
      <c r="V481" s="246">
        <v>3</v>
      </c>
      <c r="W481" s="246" t="s">
        <v>219</v>
      </c>
      <c r="X481" s="246">
        <v>3</v>
      </c>
      <c r="Y481" s="246">
        <v>2</v>
      </c>
      <c r="Z481" s="246">
        <v>3</v>
      </c>
      <c r="AA481" s="246">
        <v>3</v>
      </c>
      <c r="AB481" s="246">
        <v>3</v>
      </c>
      <c r="AC481" s="246" t="s">
        <v>486</v>
      </c>
      <c r="AD481" s="246" t="s">
        <v>490</v>
      </c>
      <c r="AE481" s="246" t="s">
        <v>486</v>
      </c>
      <c r="AF481" s="246" t="s">
        <v>486</v>
      </c>
      <c r="AG481" s="246" t="s">
        <v>486</v>
      </c>
      <c r="AH481" s="246" t="s">
        <v>486</v>
      </c>
      <c r="AI481" s="246" t="s">
        <v>486</v>
      </c>
      <c r="AJ481" s="246" t="s">
        <v>486</v>
      </c>
      <c r="AK481" s="246" t="s">
        <v>486</v>
      </c>
      <c r="AL481" s="246" t="s">
        <v>491</v>
      </c>
      <c r="AM481" s="246" t="s">
        <v>486</v>
      </c>
      <c r="AN481" s="246" t="s">
        <v>486</v>
      </c>
      <c r="AO481" s="248" t="s">
        <v>486</v>
      </c>
      <c r="AP481" s="247" t="s">
        <v>486</v>
      </c>
      <c r="AQ481" s="249" t="s">
        <v>486</v>
      </c>
      <c r="AR481" s="246" t="s">
        <v>486</v>
      </c>
    </row>
    <row r="482" spans="1:44" ht="15" x14ac:dyDescent="0.25">
      <c r="A482" s="250" t="str">
        <f>HYPERLINK("http://www.ofsted.gov.uk/inspection-reports/find-inspection-report/provider/ELS/109364 ","Ofsted School Webpage")</f>
        <v>Ofsted School Webpage</v>
      </c>
      <c r="B482" s="251">
        <v>109364</v>
      </c>
      <c r="C482" s="251">
        <v>8026004</v>
      </c>
      <c r="D482" s="251" t="s">
        <v>2332</v>
      </c>
      <c r="E482" s="251" t="s">
        <v>247</v>
      </c>
      <c r="F482" s="251" t="s">
        <v>93</v>
      </c>
      <c r="G482" s="251" t="s">
        <v>93</v>
      </c>
      <c r="H482" s="251" t="s">
        <v>93</v>
      </c>
      <c r="I482" s="251" t="s">
        <v>90</v>
      </c>
      <c r="J482" s="251" t="s">
        <v>1490</v>
      </c>
      <c r="K482" s="251" t="s">
        <v>486</v>
      </c>
      <c r="L482" s="251" t="s">
        <v>487</v>
      </c>
      <c r="M482" s="251" t="s">
        <v>483</v>
      </c>
      <c r="N482" s="251" t="s">
        <v>483</v>
      </c>
      <c r="O482" s="251" t="s">
        <v>2333</v>
      </c>
      <c r="P482" s="251" t="s">
        <v>2334</v>
      </c>
      <c r="Q482" s="252">
        <v>10041373</v>
      </c>
      <c r="R482" s="253">
        <v>43123</v>
      </c>
      <c r="S482" s="253">
        <v>43125</v>
      </c>
      <c r="T482" s="253">
        <v>43151</v>
      </c>
      <c r="U482" s="251" t="s">
        <v>488</v>
      </c>
      <c r="V482" s="251">
        <v>2</v>
      </c>
      <c r="W482" s="251" t="s">
        <v>219</v>
      </c>
      <c r="X482" s="251">
        <v>2</v>
      </c>
      <c r="Y482" s="251">
        <v>1</v>
      </c>
      <c r="Z482" s="251">
        <v>2</v>
      </c>
      <c r="AA482" s="251">
        <v>2</v>
      </c>
      <c r="AB482" s="251">
        <v>2</v>
      </c>
      <c r="AC482" s="251" t="s">
        <v>486</v>
      </c>
      <c r="AD482" s="251" t="s">
        <v>490</v>
      </c>
      <c r="AE482" s="251" t="s">
        <v>486</v>
      </c>
      <c r="AF482" s="251" t="s">
        <v>486</v>
      </c>
      <c r="AG482" s="251" t="s">
        <v>486</v>
      </c>
      <c r="AH482" s="251" t="s">
        <v>486</v>
      </c>
      <c r="AI482" s="251" t="s">
        <v>486</v>
      </c>
      <c r="AJ482" s="251" t="s">
        <v>486</v>
      </c>
      <c r="AK482" s="251" t="s">
        <v>486</v>
      </c>
      <c r="AL482" s="251" t="s">
        <v>491</v>
      </c>
      <c r="AM482" s="251" t="s">
        <v>486</v>
      </c>
      <c r="AN482" s="251" t="s">
        <v>486</v>
      </c>
      <c r="AO482" s="253" t="s">
        <v>486</v>
      </c>
      <c r="AP482" s="252" t="s">
        <v>486</v>
      </c>
      <c r="AQ482" s="254" t="s">
        <v>486</v>
      </c>
      <c r="AR482" s="251" t="s">
        <v>486</v>
      </c>
    </row>
    <row r="483" spans="1:44" ht="15" x14ac:dyDescent="0.25">
      <c r="A483" s="245" t="str">
        <f>HYPERLINK("http://www.ofsted.gov.uk/inspection-reports/find-inspection-report/provider/ELS/119849 ","Ofsted School Webpage")</f>
        <v>Ofsted School Webpage</v>
      </c>
      <c r="B483" s="246">
        <v>119849</v>
      </c>
      <c r="C483" s="246">
        <v>8886022</v>
      </c>
      <c r="D483" s="246" t="s">
        <v>2335</v>
      </c>
      <c r="E483" s="246" t="s">
        <v>248</v>
      </c>
      <c r="F483" s="246" t="s">
        <v>93</v>
      </c>
      <c r="G483" s="246" t="s">
        <v>93</v>
      </c>
      <c r="H483" s="246" t="s">
        <v>93</v>
      </c>
      <c r="I483" s="246" t="s">
        <v>90</v>
      </c>
      <c r="J483" s="246" t="s">
        <v>1490</v>
      </c>
      <c r="K483" s="246" t="s">
        <v>486</v>
      </c>
      <c r="L483" s="246" t="s">
        <v>487</v>
      </c>
      <c r="M483" s="246" t="s">
        <v>495</v>
      </c>
      <c r="N483" s="246" t="s">
        <v>495</v>
      </c>
      <c r="O483" s="246" t="s">
        <v>534</v>
      </c>
      <c r="P483" s="246" t="s">
        <v>2336</v>
      </c>
      <c r="Q483" s="247">
        <v>10038839</v>
      </c>
      <c r="R483" s="248">
        <v>43123</v>
      </c>
      <c r="S483" s="248">
        <v>43125</v>
      </c>
      <c r="T483" s="248">
        <v>43157</v>
      </c>
      <c r="U483" s="246" t="s">
        <v>488</v>
      </c>
      <c r="V483" s="246">
        <v>2</v>
      </c>
      <c r="W483" s="246" t="s">
        <v>219</v>
      </c>
      <c r="X483" s="246">
        <v>2</v>
      </c>
      <c r="Y483" s="246">
        <v>2</v>
      </c>
      <c r="Z483" s="246">
        <v>2</v>
      </c>
      <c r="AA483" s="246">
        <v>2</v>
      </c>
      <c r="AB483" s="246" t="s">
        <v>486</v>
      </c>
      <c r="AC483" s="246">
        <v>2</v>
      </c>
      <c r="AD483" s="246" t="s">
        <v>490</v>
      </c>
      <c r="AE483" s="246" t="s">
        <v>486</v>
      </c>
      <c r="AF483" s="246" t="s">
        <v>486</v>
      </c>
      <c r="AG483" s="246" t="s">
        <v>486</v>
      </c>
      <c r="AH483" s="246" t="s">
        <v>486</v>
      </c>
      <c r="AI483" s="246" t="s">
        <v>486</v>
      </c>
      <c r="AJ483" s="246" t="s">
        <v>486</v>
      </c>
      <c r="AK483" s="246" t="s">
        <v>486</v>
      </c>
      <c r="AL483" s="246" t="s">
        <v>491</v>
      </c>
      <c r="AM483" s="246" t="s">
        <v>486</v>
      </c>
      <c r="AN483" s="246" t="s">
        <v>486</v>
      </c>
      <c r="AO483" s="248" t="s">
        <v>486</v>
      </c>
      <c r="AP483" s="247" t="s">
        <v>486</v>
      </c>
      <c r="AQ483" s="249" t="s">
        <v>486</v>
      </c>
      <c r="AR483" s="246" t="s">
        <v>486</v>
      </c>
    </row>
    <row r="484" spans="1:44" ht="15" x14ac:dyDescent="0.25">
      <c r="A484" s="250" t="str">
        <f>HYPERLINK("http://www.ofsted.gov.uk/inspection-reports/find-inspection-report/provider/ELS/130398 ","Ofsted School Webpage")</f>
        <v>Ofsted School Webpage</v>
      </c>
      <c r="B484" s="251">
        <v>130398</v>
      </c>
      <c r="C484" s="251">
        <v>2126398</v>
      </c>
      <c r="D484" s="251" t="s">
        <v>2337</v>
      </c>
      <c r="E484" s="251" t="s">
        <v>247</v>
      </c>
      <c r="F484" s="251" t="s">
        <v>93</v>
      </c>
      <c r="G484" s="251" t="s">
        <v>93</v>
      </c>
      <c r="H484" s="251" t="s">
        <v>93</v>
      </c>
      <c r="I484" s="251" t="s">
        <v>90</v>
      </c>
      <c r="J484" s="251" t="s">
        <v>1490</v>
      </c>
      <c r="K484" s="251" t="s">
        <v>486</v>
      </c>
      <c r="L484" s="251" t="s">
        <v>487</v>
      </c>
      <c r="M484" s="251" t="s">
        <v>506</v>
      </c>
      <c r="N484" s="251" t="s">
        <v>506</v>
      </c>
      <c r="O484" s="251" t="s">
        <v>837</v>
      </c>
      <c r="P484" s="251" t="s">
        <v>2338</v>
      </c>
      <c r="Q484" s="252">
        <v>10026281</v>
      </c>
      <c r="R484" s="253">
        <v>43123</v>
      </c>
      <c r="S484" s="253">
        <v>43125</v>
      </c>
      <c r="T484" s="253">
        <v>43158</v>
      </c>
      <c r="U484" s="251" t="s">
        <v>488</v>
      </c>
      <c r="V484" s="251">
        <v>1</v>
      </c>
      <c r="W484" s="251" t="s">
        <v>219</v>
      </c>
      <c r="X484" s="251">
        <v>1</v>
      </c>
      <c r="Y484" s="251">
        <v>1</v>
      </c>
      <c r="Z484" s="251">
        <v>1</v>
      </c>
      <c r="AA484" s="251">
        <v>1</v>
      </c>
      <c r="AB484" s="251">
        <v>1</v>
      </c>
      <c r="AC484" s="251" t="s">
        <v>486</v>
      </c>
      <c r="AD484" s="251" t="s">
        <v>490</v>
      </c>
      <c r="AE484" s="251" t="s">
        <v>486</v>
      </c>
      <c r="AF484" s="251" t="s">
        <v>486</v>
      </c>
      <c r="AG484" s="251" t="s">
        <v>486</v>
      </c>
      <c r="AH484" s="251" t="s">
        <v>486</v>
      </c>
      <c r="AI484" s="251" t="s">
        <v>486</v>
      </c>
      <c r="AJ484" s="251" t="s">
        <v>486</v>
      </c>
      <c r="AK484" s="251" t="s">
        <v>486</v>
      </c>
      <c r="AL484" s="251" t="s">
        <v>491</v>
      </c>
      <c r="AM484" s="251" t="s">
        <v>486</v>
      </c>
      <c r="AN484" s="251" t="s">
        <v>486</v>
      </c>
      <c r="AO484" s="253" t="s">
        <v>486</v>
      </c>
      <c r="AP484" s="252" t="s">
        <v>486</v>
      </c>
      <c r="AQ484" s="254" t="s">
        <v>486</v>
      </c>
      <c r="AR484" s="251" t="s">
        <v>486</v>
      </c>
    </row>
    <row r="485" spans="1:44" ht="15" x14ac:dyDescent="0.25">
      <c r="A485" s="245" t="str">
        <f>HYPERLINK("http://www.ofsted.gov.uk/inspection-reports/find-inspection-report/provider/ELS/135072 ","Ofsted School Webpage")</f>
        <v>Ofsted School Webpage</v>
      </c>
      <c r="B485" s="246">
        <v>135072</v>
      </c>
      <c r="C485" s="246">
        <v>3026118</v>
      </c>
      <c r="D485" s="246" t="s">
        <v>2339</v>
      </c>
      <c r="E485" s="246" t="s">
        <v>247</v>
      </c>
      <c r="F485" s="246" t="s">
        <v>93</v>
      </c>
      <c r="G485" s="246" t="s">
        <v>93</v>
      </c>
      <c r="H485" s="246" t="s">
        <v>93</v>
      </c>
      <c r="I485" s="246" t="s">
        <v>90</v>
      </c>
      <c r="J485" s="246" t="s">
        <v>1490</v>
      </c>
      <c r="K485" s="246" t="s">
        <v>486</v>
      </c>
      <c r="L485" s="246" t="s">
        <v>487</v>
      </c>
      <c r="M485" s="246" t="s">
        <v>506</v>
      </c>
      <c r="N485" s="246" t="s">
        <v>506</v>
      </c>
      <c r="O485" s="246" t="s">
        <v>614</v>
      </c>
      <c r="P485" s="246" t="s">
        <v>2340</v>
      </c>
      <c r="Q485" s="247">
        <v>10038171</v>
      </c>
      <c r="R485" s="248">
        <v>43123</v>
      </c>
      <c r="S485" s="248">
        <v>43125</v>
      </c>
      <c r="T485" s="248">
        <v>43164</v>
      </c>
      <c r="U485" s="246" t="s">
        <v>488</v>
      </c>
      <c r="V485" s="246">
        <v>1</v>
      </c>
      <c r="W485" s="246" t="s">
        <v>219</v>
      </c>
      <c r="X485" s="246">
        <v>1</v>
      </c>
      <c r="Y485" s="246">
        <v>1</v>
      </c>
      <c r="Z485" s="246">
        <v>1</v>
      </c>
      <c r="AA485" s="246">
        <v>1</v>
      </c>
      <c r="AB485" s="246" t="s">
        <v>486</v>
      </c>
      <c r="AC485" s="246">
        <v>1</v>
      </c>
      <c r="AD485" s="246" t="s">
        <v>490</v>
      </c>
      <c r="AE485" s="246" t="s">
        <v>486</v>
      </c>
      <c r="AF485" s="246" t="s">
        <v>490</v>
      </c>
      <c r="AG485" s="246" t="s">
        <v>490</v>
      </c>
      <c r="AH485" s="246" t="s">
        <v>490</v>
      </c>
      <c r="AI485" s="246" t="s">
        <v>486</v>
      </c>
      <c r="AJ485" s="246" t="s">
        <v>486</v>
      </c>
      <c r="AK485" s="246" t="s">
        <v>486</v>
      </c>
      <c r="AL485" s="246" t="s">
        <v>491</v>
      </c>
      <c r="AM485" s="246" t="s">
        <v>486</v>
      </c>
      <c r="AN485" s="246" t="s">
        <v>486</v>
      </c>
      <c r="AO485" s="248" t="s">
        <v>486</v>
      </c>
      <c r="AP485" s="247" t="s">
        <v>486</v>
      </c>
      <c r="AQ485" s="249" t="s">
        <v>486</v>
      </c>
      <c r="AR485" s="246" t="s">
        <v>486</v>
      </c>
    </row>
    <row r="486" spans="1:44" ht="15" x14ac:dyDescent="0.25">
      <c r="A486" s="250" t="str">
        <f>HYPERLINK("http://www.ofsted.gov.uk/inspection-reports/find-inspection-report/provider/ELS/135240 ","Ofsted School Webpage")</f>
        <v>Ofsted School Webpage</v>
      </c>
      <c r="B486" s="251">
        <v>135240</v>
      </c>
      <c r="C486" s="251">
        <v>8506088</v>
      </c>
      <c r="D486" s="251" t="s">
        <v>2341</v>
      </c>
      <c r="E486" s="251" t="s">
        <v>247</v>
      </c>
      <c r="F486" s="251" t="s">
        <v>93</v>
      </c>
      <c r="G486" s="251" t="s">
        <v>93</v>
      </c>
      <c r="H486" s="251" t="s">
        <v>93</v>
      </c>
      <c r="I486" s="251" t="s">
        <v>90</v>
      </c>
      <c r="J486" s="251" t="s">
        <v>1490</v>
      </c>
      <c r="K486" s="251" t="s">
        <v>486</v>
      </c>
      <c r="L486" s="251" t="s">
        <v>487</v>
      </c>
      <c r="M486" s="251" t="s">
        <v>581</v>
      </c>
      <c r="N486" s="251" t="s">
        <v>581</v>
      </c>
      <c r="O486" s="251" t="s">
        <v>582</v>
      </c>
      <c r="P486" s="251" t="s">
        <v>2342</v>
      </c>
      <c r="Q486" s="252">
        <v>10033952</v>
      </c>
      <c r="R486" s="253">
        <v>43123</v>
      </c>
      <c r="S486" s="253">
        <v>43125</v>
      </c>
      <c r="T486" s="253">
        <v>43166</v>
      </c>
      <c r="U486" s="251" t="s">
        <v>488</v>
      </c>
      <c r="V486" s="251">
        <v>1</v>
      </c>
      <c r="W486" s="251" t="s">
        <v>219</v>
      </c>
      <c r="X486" s="251">
        <v>1</v>
      </c>
      <c r="Y486" s="251">
        <v>1</v>
      </c>
      <c r="Z486" s="251">
        <v>1</v>
      </c>
      <c r="AA486" s="251">
        <v>1</v>
      </c>
      <c r="AB486" s="251" t="s">
        <v>486</v>
      </c>
      <c r="AC486" s="251">
        <v>1</v>
      </c>
      <c r="AD486" s="251" t="s">
        <v>490</v>
      </c>
      <c r="AE486" s="251" t="s">
        <v>486</v>
      </c>
      <c r="AF486" s="251" t="s">
        <v>486</v>
      </c>
      <c r="AG486" s="251" t="s">
        <v>486</v>
      </c>
      <c r="AH486" s="251" t="s">
        <v>486</v>
      </c>
      <c r="AI486" s="251" t="s">
        <v>486</v>
      </c>
      <c r="AJ486" s="251" t="s">
        <v>486</v>
      </c>
      <c r="AK486" s="251" t="s">
        <v>486</v>
      </c>
      <c r="AL486" s="251" t="s">
        <v>491</v>
      </c>
      <c r="AM486" s="251" t="s">
        <v>486</v>
      </c>
      <c r="AN486" s="251" t="s">
        <v>486</v>
      </c>
      <c r="AO486" s="253" t="s">
        <v>486</v>
      </c>
      <c r="AP486" s="252" t="s">
        <v>486</v>
      </c>
      <c r="AQ486" s="254" t="s">
        <v>486</v>
      </c>
      <c r="AR486" s="251" t="s">
        <v>486</v>
      </c>
    </row>
    <row r="487" spans="1:44" ht="15" x14ac:dyDescent="0.25">
      <c r="A487" s="245" t="str">
        <f>HYPERLINK("http://www.ofsted.gov.uk/inspection-reports/find-inspection-report/provider/ELS/136263 ","Ofsted School Webpage")</f>
        <v>Ofsted School Webpage</v>
      </c>
      <c r="B487" s="246">
        <v>136263</v>
      </c>
      <c r="C487" s="246">
        <v>3026201</v>
      </c>
      <c r="D487" s="246" t="s">
        <v>2343</v>
      </c>
      <c r="E487" s="246" t="s">
        <v>248</v>
      </c>
      <c r="F487" s="246" t="s">
        <v>93</v>
      </c>
      <c r="G487" s="246" t="s">
        <v>93</v>
      </c>
      <c r="H487" s="246" t="s">
        <v>93</v>
      </c>
      <c r="I487" s="246" t="s">
        <v>90</v>
      </c>
      <c r="J487" s="246" t="s">
        <v>1490</v>
      </c>
      <c r="K487" s="246" t="s">
        <v>486</v>
      </c>
      <c r="L487" s="246" t="s">
        <v>487</v>
      </c>
      <c r="M487" s="246" t="s">
        <v>506</v>
      </c>
      <c r="N487" s="246" t="s">
        <v>506</v>
      </c>
      <c r="O487" s="246" t="s">
        <v>614</v>
      </c>
      <c r="P487" s="246" t="s">
        <v>2344</v>
      </c>
      <c r="Q487" s="247">
        <v>10041401</v>
      </c>
      <c r="R487" s="248">
        <v>43123</v>
      </c>
      <c r="S487" s="248">
        <v>43125</v>
      </c>
      <c r="T487" s="248">
        <v>43145</v>
      </c>
      <c r="U487" s="246" t="s">
        <v>488</v>
      </c>
      <c r="V487" s="246">
        <v>2</v>
      </c>
      <c r="W487" s="246" t="s">
        <v>219</v>
      </c>
      <c r="X487" s="246">
        <v>1</v>
      </c>
      <c r="Y487" s="246">
        <v>1</v>
      </c>
      <c r="Z487" s="246">
        <v>2</v>
      </c>
      <c r="AA487" s="246">
        <v>2</v>
      </c>
      <c r="AB487" s="246" t="s">
        <v>486</v>
      </c>
      <c r="AC487" s="246">
        <v>1</v>
      </c>
      <c r="AD487" s="246" t="s">
        <v>490</v>
      </c>
      <c r="AE487" s="246" t="s">
        <v>486</v>
      </c>
      <c r="AF487" s="246" t="s">
        <v>486</v>
      </c>
      <c r="AG487" s="246" t="s">
        <v>486</v>
      </c>
      <c r="AH487" s="246" t="s">
        <v>486</v>
      </c>
      <c r="AI487" s="246" t="s">
        <v>486</v>
      </c>
      <c r="AJ487" s="246" t="s">
        <v>486</v>
      </c>
      <c r="AK487" s="246" t="s">
        <v>486</v>
      </c>
      <c r="AL487" s="246" t="s">
        <v>491</v>
      </c>
      <c r="AM487" s="246" t="s">
        <v>486</v>
      </c>
      <c r="AN487" s="246" t="s">
        <v>486</v>
      </c>
      <c r="AO487" s="248" t="s">
        <v>486</v>
      </c>
      <c r="AP487" s="247" t="s">
        <v>486</v>
      </c>
      <c r="AQ487" s="249" t="s">
        <v>486</v>
      </c>
      <c r="AR487" s="246" t="s">
        <v>486</v>
      </c>
    </row>
    <row r="488" spans="1:44" ht="15" x14ac:dyDescent="0.25">
      <c r="A488" s="250" t="str">
        <f>HYPERLINK("http://www.ofsted.gov.uk/inspection-reports/find-inspection-report/provider/ELS/137892 ","Ofsted School Webpage")</f>
        <v>Ofsted School Webpage</v>
      </c>
      <c r="B488" s="251">
        <v>137892</v>
      </c>
      <c r="C488" s="251">
        <v>8616007</v>
      </c>
      <c r="D488" s="251" t="s">
        <v>2345</v>
      </c>
      <c r="E488" s="251" t="s">
        <v>247</v>
      </c>
      <c r="F488" s="251" t="s">
        <v>93</v>
      </c>
      <c r="G488" s="251" t="s">
        <v>93</v>
      </c>
      <c r="H488" s="251" t="s">
        <v>93</v>
      </c>
      <c r="I488" s="251" t="s">
        <v>90</v>
      </c>
      <c r="J488" s="251" t="s">
        <v>1490</v>
      </c>
      <c r="K488" s="251" t="s">
        <v>486</v>
      </c>
      <c r="L488" s="251" t="s">
        <v>487</v>
      </c>
      <c r="M488" s="251" t="s">
        <v>502</v>
      </c>
      <c r="N488" s="251" t="s">
        <v>502</v>
      </c>
      <c r="O488" s="251" t="s">
        <v>655</v>
      </c>
      <c r="P488" s="251" t="s">
        <v>2346</v>
      </c>
      <c r="Q488" s="252">
        <v>10026111</v>
      </c>
      <c r="R488" s="253">
        <v>43123</v>
      </c>
      <c r="S488" s="253">
        <v>43125</v>
      </c>
      <c r="T488" s="253">
        <v>43145</v>
      </c>
      <c r="U488" s="251" t="s">
        <v>488</v>
      </c>
      <c r="V488" s="251">
        <v>2</v>
      </c>
      <c r="W488" s="251" t="s">
        <v>219</v>
      </c>
      <c r="X488" s="251">
        <v>2</v>
      </c>
      <c r="Y488" s="251">
        <v>2</v>
      </c>
      <c r="Z488" s="251">
        <v>2</v>
      </c>
      <c r="AA488" s="251">
        <v>2</v>
      </c>
      <c r="AB488" s="251" t="s">
        <v>486</v>
      </c>
      <c r="AC488" s="251" t="s">
        <v>486</v>
      </c>
      <c r="AD488" s="251" t="s">
        <v>490</v>
      </c>
      <c r="AE488" s="251" t="s">
        <v>486</v>
      </c>
      <c r="AF488" s="251" t="s">
        <v>486</v>
      </c>
      <c r="AG488" s="251" t="s">
        <v>486</v>
      </c>
      <c r="AH488" s="251" t="s">
        <v>486</v>
      </c>
      <c r="AI488" s="251" t="s">
        <v>486</v>
      </c>
      <c r="AJ488" s="251" t="s">
        <v>486</v>
      </c>
      <c r="AK488" s="251" t="s">
        <v>486</v>
      </c>
      <c r="AL488" s="251" t="s">
        <v>491</v>
      </c>
      <c r="AM488" s="251" t="s">
        <v>486</v>
      </c>
      <c r="AN488" s="251" t="s">
        <v>486</v>
      </c>
      <c r="AO488" s="253" t="s">
        <v>486</v>
      </c>
      <c r="AP488" s="252" t="s">
        <v>486</v>
      </c>
      <c r="AQ488" s="254" t="s">
        <v>486</v>
      </c>
      <c r="AR488" s="251" t="s">
        <v>486</v>
      </c>
    </row>
    <row r="489" spans="1:44" ht="15" x14ac:dyDescent="0.25">
      <c r="A489" s="245" t="str">
        <f>HYPERLINK("http://www.ofsted.gov.uk/inspection-reports/find-inspection-report/provider/ELS/138384 ","Ofsted School Webpage")</f>
        <v>Ofsted School Webpage</v>
      </c>
      <c r="B489" s="246">
        <v>138384</v>
      </c>
      <c r="C489" s="246">
        <v>3056009</v>
      </c>
      <c r="D489" s="246" t="s">
        <v>2347</v>
      </c>
      <c r="E489" s="246" t="s">
        <v>247</v>
      </c>
      <c r="F489" s="246" t="s">
        <v>93</v>
      </c>
      <c r="G489" s="246" t="s">
        <v>93</v>
      </c>
      <c r="H489" s="246" t="s">
        <v>93</v>
      </c>
      <c r="I489" s="246" t="s">
        <v>90</v>
      </c>
      <c r="J489" s="246" t="s">
        <v>1490</v>
      </c>
      <c r="K489" s="246" t="s">
        <v>486</v>
      </c>
      <c r="L489" s="246" t="s">
        <v>487</v>
      </c>
      <c r="M489" s="246" t="s">
        <v>506</v>
      </c>
      <c r="N489" s="246" t="s">
        <v>506</v>
      </c>
      <c r="O489" s="246" t="s">
        <v>679</v>
      </c>
      <c r="P489" s="246" t="s">
        <v>2348</v>
      </c>
      <c r="Q489" s="247">
        <v>10020778</v>
      </c>
      <c r="R489" s="248">
        <v>43123</v>
      </c>
      <c r="S489" s="248">
        <v>43125</v>
      </c>
      <c r="T489" s="248">
        <v>43159</v>
      </c>
      <c r="U489" s="246" t="s">
        <v>488</v>
      </c>
      <c r="V489" s="246">
        <v>2</v>
      </c>
      <c r="W489" s="246" t="s">
        <v>219</v>
      </c>
      <c r="X489" s="246">
        <v>2</v>
      </c>
      <c r="Y489" s="246">
        <v>1</v>
      </c>
      <c r="Z489" s="246">
        <v>2</v>
      </c>
      <c r="AA489" s="246">
        <v>2</v>
      </c>
      <c r="AB489" s="246" t="s">
        <v>486</v>
      </c>
      <c r="AC489" s="246" t="s">
        <v>486</v>
      </c>
      <c r="AD489" s="246" t="s">
        <v>490</v>
      </c>
      <c r="AE489" s="246" t="s">
        <v>486</v>
      </c>
      <c r="AF489" s="246" t="s">
        <v>486</v>
      </c>
      <c r="AG489" s="246" t="s">
        <v>486</v>
      </c>
      <c r="AH489" s="246" t="s">
        <v>486</v>
      </c>
      <c r="AI489" s="246" t="s">
        <v>486</v>
      </c>
      <c r="AJ489" s="246" t="s">
        <v>486</v>
      </c>
      <c r="AK489" s="246" t="s">
        <v>486</v>
      </c>
      <c r="AL489" s="246" t="s">
        <v>491</v>
      </c>
      <c r="AM489" s="246" t="s">
        <v>486</v>
      </c>
      <c r="AN489" s="246" t="s">
        <v>486</v>
      </c>
      <c r="AO489" s="248" t="s">
        <v>486</v>
      </c>
      <c r="AP489" s="247" t="s">
        <v>486</v>
      </c>
      <c r="AQ489" s="249" t="s">
        <v>486</v>
      </c>
      <c r="AR489" s="246" t="s">
        <v>486</v>
      </c>
    </row>
    <row r="490" spans="1:44" ht="15" x14ac:dyDescent="0.25">
      <c r="A490" s="250" t="str">
        <f>HYPERLINK("http://www.ofsted.gov.uk/inspection-reports/find-inspection-report/provider/ELS/141127 ","Ofsted School Webpage")</f>
        <v>Ofsted School Webpage</v>
      </c>
      <c r="B490" s="251">
        <v>141127</v>
      </c>
      <c r="C490" s="251">
        <v>8556033</v>
      </c>
      <c r="D490" s="251" t="s">
        <v>2349</v>
      </c>
      <c r="E490" s="251" t="s">
        <v>248</v>
      </c>
      <c r="F490" s="251" t="s">
        <v>93</v>
      </c>
      <c r="G490" s="251" t="s">
        <v>93</v>
      </c>
      <c r="H490" s="251" t="s">
        <v>93</v>
      </c>
      <c r="I490" s="251" t="s">
        <v>90</v>
      </c>
      <c r="J490" s="251" t="s">
        <v>1490</v>
      </c>
      <c r="K490" s="251" t="s">
        <v>486</v>
      </c>
      <c r="L490" s="251" t="s">
        <v>487</v>
      </c>
      <c r="M490" s="251" t="s">
        <v>572</v>
      </c>
      <c r="N490" s="251" t="s">
        <v>572</v>
      </c>
      <c r="O490" s="251" t="s">
        <v>966</v>
      </c>
      <c r="P490" s="251" t="s">
        <v>2350</v>
      </c>
      <c r="Q490" s="252">
        <v>10043801</v>
      </c>
      <c r="R490" s="253">
        <v>43123</v>
      </c>
      <c r="S490" s="253">
        <v>43125</v>
      </c>
      <c r="T490" s="253">
        <v>43164</v>
      </c>
      <c r="U490" s="251" t="s">
        <v>488</v>
      </c>
      <c r="V490" s="251">
        <v>1</v>
      </c>
      <c r="W490" s="251" t="s">
        <v>219</v>
      </c>
      <c r="X490" s="251">
        <v>1</v>
      </c>
      <c r="Y490" s="251">
        <v>1</v>
      </c>
      <c r="Z490" s="251">
        <v>1</v>
      </c>
      <c r="AA490" s="251">
        <v>1</v>
      </c>
      <c r="AB490" s="251" t="s">
        <v>486</v>
      </c>
      <c r="AC490" s="251">
        <v>1</v>
      </c>
      <c r="AD490" s="251" t="s">
        <v>490</v>
      </c>
      <c r="AE490" s="251" t="s">
        <v>486</v>
      </c>
      <c r="AF490" s="251" t="s">
        <v>486</v>
      </c>
      <c r="AG490" s="251" t="s">
        <v>486</v>
      </c>
      <c r="AH490" s="251" t="s">
        <v>486</v>
      </c>
      <c r="AI490" s="251" t="s">
        <v>486</v>
      </c>
      <c r="AJ490" s="251" t="s">
        <v>486</v>
      </c>
      <c r="AK490" s="251" t="s">
        <v>486</v>
      </c>
      <c r="AL490" s="251" t="s">
        <v>491</v>
      </c>
      <c r="AM490" s="251" t="s">
        <v>486</v>
      </c>
      <c r="AN490" s="251" t="s">
        <v>486</v>
      </c>
      <c r="AO490" s="253" t="s">
        <v>486</v>
      </c>
      <c r="AP490" s="252" t="s">
        <v>486</v>
      </c>
      <c r="AQ490" s="254" t="s">
        <v>486</v>
      </c>
      <c r="AR490" s="251" t="s">
        <v>486</v>
      </c>
    </row>
    <row r="491" spans="1:44" ht="15" x14ac:dyDescent="0.25">
      <c r="A491" s="245" t="str">
        <f>HYPERLINK("http://www.ofsted.gov.uk/inspection-reports/find-inspection-report/provider/ELS/142672 ","Ofsted School Webpage")</f>
        <v>Ofsted School Webpage</v>
      </c>
      <c r="B491" s="246">
        <v>142672</v>
      </c>
      <c r="C491" s="246">
        <v>8216013</v>
      </c>
      <c r="D491" s="246" t="s">
        <v>2351</v>
      </c>
      <c r="E491" s="246" t="s">
        <v>248</v>
      </c>
      <c r="F491" s="246" t="s">
        <v>93</v>
      </c>
      <c r="G491" s="246" t="s">
        <v>93</v>
      </c>
      <c r="H491" s="246" t="s">
        <v>93</v>
      </c>
      <c r="I491" s="246" t="s">
        <v>90</v>
      </c>
      <c r="J491" s="246" t="s">
        <v>1490</v>
      </c>
      <c r="K491" s="246" t="s">
        <v>486</v>
      </c>
      <c r="L491" s="246" t="s">
        <v>487</v>
      </c>
      <c r="M491" s="246" t="s">
        <v>516</v>
      </c>
      <c r="N491" s="246" t="s">
        <v>516</v>
      </c>
      <c r="O491" s="246" t="s">
        <v>517</v>
      </c>
      <c r="P491" s="246" t="s">
        <v>2352</v>
      </c>
      <c r="Q491" s="247">
        <v>10043522</v>
      </c>
      <c r="R491" s="248">
        <v>43123</v>
      </c>
      <c r="S491" s="248">
        <v>43125</v>
      </c>
      <c r="T491" s="248">
        <v>43164</v>
      </c>
      <c r="U491" s="246" t="s">
        <v>499</v>
      </c>
      <c r="V491" s="246">
        <v>2</v>
      </c>
      <c r="W491" s="246" t="s">
        <v>219</v>
      </c>
      <c r="X491" s="246">
        <v>2</v>
      </c>
      <c r="Y491" s="246">
        <v>2</v>
      </c>
      <c r="Z491" s="246">
        <v>2</v>
      </c>
      <c r="AA491" s="246">
        <v>2</v>
      </c>
      <c r="AB491" s="246" t="s">
        <v>486</v>
      </c>
      <c r="AC491" s="246" t="s">
        <v>486</v>
      </c>
      <c r="AD491" s="246" t="s">
        <v>490</v>
      </c>
      <c r="AE491" s="246" t="s">
        <v>486</v>
      </c>
      <c r="AF491" s="246" t="s">
        <v>486</v>
      </c>
      <c r="AG491" s="246" t="s">
        <v>486</v>
      </c>
      <c r="AH491" s="246" t="s">
        <v>486</v>
      </c>
      <c r="AI491" s="246" t="s">
        <v>486</v>
      </c>
      <c r="AJ491" s="246" t="s">
        <v>486</v>
      </c>
      <c r="AK491" s="246" t="s">
        <v>486</v>
      </c>
      <c r="AL491" s="246" t="s">
        <v>491</v>
      </c>
      <c r="AM491" s="246" t="s">
        <v>486</v>
      </c>
      <c r="AN491" s="246" t="s">
        <v>486</v>
      </c>
      <c r="AO491" s="248" t="s">
        <v>486</v>
      </c>
      <c r="AP491" s="247" t="s">
        <v>486</v>
      </c>
      <c r="AQ491" s="249" t="s">
        <v>486</v>
      </c>
      <c r="AR491" s="246" t="s">
        <v>486</v>
      </c>
    </row>
    <row r="492" spans="1:44" ht="15" x14ac:dyDescent="0.25">
      <c r="A492" s="250" t="str">
        <f>HYPERLINK("http://www.ofsted.gov.uk/inspection-reports/find-inspection-report/provider/ELS/138597 ","Ofsted School Webpage")</f>
        <v>Ofsted School Webpage</v>
      </c>
      <c r="B492" s="251">
        <v>138597</v>
      </c>
      <c r="C492" s="251">
        <v>8766014</v>
      </c>
      <c r="D492" s="251" t="s">
        <v>2353</v>
      </c>
      <c r="E492" s="251" t="s">
        <v>248</v>
      </c>
      <c r="F492" s="251" t="s">
        <v>93</v>
      </c>
      <c r="G492" s="251" t="s">
        <v>71</v>
      </c>
      <c r="H492" s="251" t="s">
        <v>71</v>
      </c>
      <c r="I492" s="251" t="s">
        <v>71</v>
      </c>
      <c r="J492" s="251" t="s">
        <v>1490</v>
      </c>
      <c r="K492" s="251" t="s">
        <v>486</v>
      </c>
      <c r="L492" s="251" t="s">
        <v>487</v>
      </c>
      <c r="M492" s="251" t="s">
        <v>495</v>
      </c>
      <c r="N492" s="251" t="s">
        <v>495</v>
      </c>
      <c r="O492" s="251" t="s">
        <v>646</v>
      </c>
      <c r="P492" s="251" t="s">
        <v>2354</v>
      </c>
      <c r="Q492" s="252">
        <v>10012923</v>
      </c>
      <c r="R492" s="253">
        <v>43129</v>
      </c>
      <c r="S492" s="253">
        <v>43131</v>
      </c>
      <c r="T492" s="253">
        <v>43158</v>
      </c>
      <c r="U492" s="251" t="s">
        <v>488</v>
      </c>
      <c r="V492" s="251">
        <v>2</v>
      </c>
      <c r="W492" s="251" t="s">
        <v>219</v>
      </c>
      <c r="X492" s="251">
        <v>2</v>
      </c>
      <c r="Y492" s="251">
        <v>2</v>
      </c>
      <c r="Z492" s="251">
        <v>2</v>
      </c>
      <c r="AA492" s="251">
        <v>2</v>
      </c>
      <c r="AB492" s="251" t="s">
        <v>486</v>
      </c>
      <c r="AC492" s="251" t="s">
        <v>486</v>
      </c>
      <c r="AD492" s="251" t="s">
        <v>486</v>
      </c>
      <c r="AE492" s="251" t="s">
        <v>486</v>
      </c>
      <c r="AF492" s="251" t="s">
        <v>486</v>
      </c>
      <c r="AG492" s="251" t="s">
        <v>486</v>
      </c>
      <c r="AH492" s="251" t="s">
        <v>486</v>
      </c>
      <c r="AI492" s="251" t="s">
        <v>486</v>
      </c>
      <c r="AJ492" s="251" t="s">
        <v>486</v>
      </c>
      <c r="AK492" s="251" t="s">
        <v>486</v>
      </c>
      <c r="AL492" s="251" t="s">
        <v>491</v>
      </c>
      <c r="AM492" s="251" t="s">
        <v>486</v>
      </c>
      <c r="AN492" s="251" t="s">
        <v>486</v>
      </c>
      <c r="AO492" s="253" t="s">
        <v>486</v>
      </c>
      <c r="AP492" s="252" t="s">
        <v>486</v>
      </c>
      <c r="AQ492" s="254" t="s">
        <v>486</v>
      </c>
      <c r="AR492" s="251" t="s">
        <v>486</v>
      </c>
    </row>
    <row r="493" spans="1:44" ht="15" x14ac:dyDescent="0.25">
      <c r="A493" s="245" t="str">
        <f>HYPERLINK("http://www.ofsted.gov.uk/inspection-reports/find-inspection-report/provider/ELS/120345 ","Ofsted School Webpage")</f>
        <v>Ofsted School Webpage</v>
      </c>
      <c r="B493" s="246">
        <v>120345</v>
      </c>
      <c r="C493" s="246">
        <v>8566004</v>
      </c>
      <c r="D493" s="246" t="s">
        <v>1228</v>
      </c>
      <c r="E493" s="246" t="s">
        <v>247</v>
      </c>
      <c r="F493" s="246" t="s">
        <v>93</v>
      </c>
      <c r="G493" s="246" t="s">
        <v>84</v>
      </c>
      <c r="H493" s="246" t="s">
        <v>84</v>
      </c>
      <c r="I493" s="246" t="s">
        <v>84</v>
      </c>
      <c r="J493" s="246" t="s">
        <v>1490</v>
      </c>
      <c r="K493" s="246" t="s">
        <v>486</v>
      </c>
      <c r="L493" s="246" t="s">
        <v>487</v>
      </c>
      <c r="M493" s="246" t="s">
        <v>572</v>
      </c>
      <c r="N493" s="246" t="s">
        <v>572</v>
      </c>
      <c r="O493" s="246" t="s">
        <v>589</v>
      </c>
      <c r="P493" s="246" t="s">
        <v>1229</v>
      </c>
      <c r="Q493" s="247">
        <v>10039181</v>
      </c>
      <c r="R493" s="248">
        <v>43130</v>
      </c>
      <c r="S493" s="248">
        <v>43132</v>
      </c>
      <c r="T493" s="248">
        <v>43165</v>
      </c>
      <c r="U493" s="246" t="s">
        <v>624</v>
      </c>
      <c r="V493" s="246">
        <v>3</v>
      </c>
      <c r="W493" s="246" t="s">
        <v>219</v>
      </c>
      <c r="X493" s="246">
        <v>3</v>
      </c>
      <c r="Y493" s="246">
        <v>3</v>
      </c>
      <c r="Z493" s="246">
        <v>3</v>
      </c>
      <c r="AA493" s="246">
        <v>3</v>
      </c>
      <c r="AB493" s="246" t="s">
        <v>486</v>
      </c>
      <c r="AC493" s="246">
        <v>3</v>
      </c>
      <c r="AD493" s="246" t="s">
        <v>490</v>
      </c>
      <c r="AE493" s="246" t="s">
        <v>486</v>
      </c>
      <c r="AF493" s="246" t="s">
        <v>486</v>
      </c>
      <c r="AG493" s="246" t="s">
        <v>486</v>
      </c>
      <c r="AH493" s="246" t="s">
        <v>486</v>
      </c>
      <c r="AI493" s="246" t="s">
        <v>486</v>
      </c>
      <c r="AJ493" s="246" t="s">
        <v>486</v>
      </c>
      <c r="AK493" s="246" t="s">
        <v>486</v>
      </c>
      <c r="AL493" s="246" t="s">
        <v>545</v>
      </c>
      <c r="AM493" s="246">
        <v>10068435</v>
      </c>
      <c r="AN493" s="246" t="s">
        <v>1202</v>
      </c>
      <c r="AO493" s="248">
        <v>43410</v>
      </c>
      <c r="AP493" s="247" t="s">
        <v>1523</v>
      </c>
      <c r="AQ493" s="249">
        <v>43440</v>
      </c>
      <c r="AR493" s="246" t="s">
        <v>1110</v>
      </c>
    </row>
    <row r="494" spans="1:44" ht="15" x14ac:dyDescent="0.25">
      <c r="A494" s="250" t="str">
        <f>HYPERLINK("http://www.ofsted.gov.uk/inspection-reports/find-inspection-report/provider/ELS/124890 ","Ofsted School Webpage")</f>
        <v>Ofsted School Webpage</v>
      </c>
      <c r="B494" s="251">
        <v>124890</v>
      </c>
      <c r="C494" s="251">
        <v>9356058</v>
      </c>
      <c r="D494" s="251" t="s">
        <v>2355</v>
      </c>
      <c r="E494" s="251" t="s">
        <v>248</v>
      </c>
      <c r="F494" s="251" t="s">
        <v>93</v>
      </c>
      <c r="G494" s="251" t="s">
        <v>75</v>
      </c>
      <c r="H494" s="251" t="s">
        <v>75</v>
      </c>
      <c r="I494" s="251" t="s">
        <v>71</v>
      </c>
      <c r="J494" s="251" t="s">
        <v>1490</v>
      </c>
      <c r="K494" s="251" t="s">
        <v>486</v>
      </c>
      <c r="L494" s="251" t="s">
        <v>487</v>
      </c>
      <c r="M494" s="251" t="s">
        <v>516</v>
      </c>
      <c r="N494" s="251" t="s">
        <v>516</v>
      </c>
      <c r="O494" s="251" t="s">
        <v>937</v>
      </c>
      <c r="P494" s="251" t="s">
        <v>2356</v>
      </c>
      <c r="Q494" s="252">
        <v>10043519</v>
      </c>
      <c r="R494" s="253">
        <v>43130</v>
      </c>
      <c r="S494" s="253">
        <v>43132</v>
      </c>
      <c r="T494" s="253">
        <v>43164</v>
      </c>
      <c r="U494" s="251" t="s">
        <v>488</v>
      </c>
      <c r="V494" s="251">
        <v>2</v>
      </c>
      <c r="W494" s="251" t="s">
        <v>219</v>
      </c>
      <c r="X494" s="251">
        <v>2</v>
      </c>
      <c r="Y494" s="251">
        <v>2</v>
      </c>
      <c r="Z494" s="251">
        <v>2</v>
      </c>
      <c r="AA494" s="251">
        <v>2</v>
      </c>
      <c r="AB494" s="251" t="s">
        <v>486</v>
      </c>
      <c r="AC494" s="251">
        <v>2</v>
      </c>
      <c r="AD494" s="251" t="s">
        <v>490</v>
      </c>
      <c r="AE494" s="251" t="s">
        <v>486</v>
      </c>
      <c r="AF494" s="251" t="s">
        <v>486</v>
      </c>
      <c r="AG494" s="251" t="s">
        <v>486</v>
      </c>
      <c r="AH494" s="251" t="s">
        <v>486</v>
      </c>
      <c r="AI494" s="251" t="s">
        <v>486</v>
      </c>
      <c r="AJ494" s="251" t="s">
        <v>486</v>
      </c>
      <c r="AK494" s="251" t="s">
        <v>486</v>
      </c>
      <c r="AL494" s="251" t="s">
        <v>491</v>
      </c>
      <c r="AM494" s="251" t="s">
        <v>486</v>
      </c>
      <c r="AN494" s="251" t="s">
        <v>486</v>
      </c>
      <c r="AO494" s="253" t="s">
        <v>486</v>
      </c>
      <c r="AP494" s="252" t="s">
        <v>486</v>
      </c>
      <c r="AQ494" s="254" t="s">
        <v>486</v>
      </c>
      <c r="AR494" s="251" t="s">
        <v>486</v>
      </c>
    </row>
    <row r="495" spans="1:44" ht="15" x14ac:dyDescent="0.25">
      <c r="A495" s="245" t="str">
        <f>HYPERLINK("http://www.ofsted.gov.uk/inspection-reports/find-inspection-report/provider/ELS/130826 ","Ofsted School Webpage")</f>
        <v>Ofsted School Webpage</v>
      </c>
      <c r="B495" s="246">
        <v>130826</v>
      </c>
      <c r="C495" s="246">
        <v>3026081</v>
      </c>
      <c r="D495" s="246" t="s">
        <v>2357</v>
      </c>
      <c r="E495" s="246" t="s">
        <v>247</v>
      </c>
      <c r="F495" s="246" t="s">
        <v>93</v>
      </c>
      <c r="G495" s="246" t="s">
        <v>81</v>
      </c>
      <c r="H495" s="246" t="s">
        <v>81</v>
      </c>
      <c r="I495" s="246" t="s">
        <v>81</v>
      </c>
      <c r="J495" s="246" t="s">
        <v>1490</v>
      </c>
      <c r="K495" s="246" t="s">
        <v>486</v>
      </c>
      <c r="L495" s="246" t="s">
        <v>487</v>
      </c>
      <c r="M495" s="246" t="s">
        <v>506</v>
      </c>
      <c r="N495" s="246" t="s">
        <v>506</v>
      </c>
      <c r="O495" s="246" t="s">
        <v>614</v>
      </c>
      <c r="P495" s="246" t="s">
        <v>2358</v>
      </c>
      <c r="Q495" s="247">
        <v>10035788</v>
      </c>
      <c r="R495" s="248">
        <v>43130</v>
      </c>
      <c r="S495" s="248">
        <v>43132</v>
      </c>
      <c r="T495" s="248">
        <v>43164</v>
      </c>
      <c r="U495" s="246" t="s">
        <v>488</v>
      </c>
      <c r="V495" s="246">
        <v>3</v>
      </c>
      <c r="W495" s="246" t="s">
        <v>219</v>
      </c>
      <c r="X495" s="246">
        <v>3</v>
      </c>
      <c r="Y495" s="246">
        <v>2</v>
      </c>
      <c r="Z495" s="246">
        <v>3</v>
      </c>
      <c r="AA495" s="246">
        <v>3</v>
      </c>
      <c r="AB495" s="246">
        <v>3</v>
      </c>
      <c r="AC495" s="246" t="s">
        <v>486</v>
      </c>
      <c r="AD495" s="246" t="s">
        <v>490</v>
      </c>
      <c r="AE495" s="246" t="s">
        <v>486</v>
      </c>
      <c r="AF495" s="246" t="s">
        <v>486</v>
      </c>
      <c r="AG495" s="246" t="s">
        <v>486</v>
      </c>
      <c r="AH495" s="246" t="s">
        <v>486</v>
      </c>
      <c r="AI495" s="246" t="s">
        <v>486</v>
      </c>
      <c r="AJ495" s="246" t="s">
        <v>486</v>
      </c>
      <c r="AK495" s="246" t="s">
        <v>486</v>
      </c>
      <c r="AL495" s="246" t="s">
        <v>491</v>
      </c>
      <c r="AM495" s="246" t="s">
        <v>486</v>
      </c>
      <c r="AN495" s="246" t="s">
        <v>486</v>
      </c>
      <c r="AO495" s="248" t="s">
        <v>486</v>
      </c>
      <c r="AP495" s="247" t="s">
        <v>486</v>
      </c>
      <c r="AQ495" s="249" t="s">
        <v>486</v>
      </c>
      <c r="AR495" s="246" t="s">
        <v>486</v>
      </c>
    </row>
    <row r="496" spans="1:44" ht="15" x14ac:dyDescent="0.25">
      <c r="A496" s="250" t="str">
        <f>HYPERLINK("http://www.ofsted.gov.uk/inspection-reports/find-inspection-report/provider/ELS/131025 ","Ofsted School Webpage")</f>
        <v>Ofsted School Webpage</v>
      </c>
      <c r="B496" s="251">
        <v>131025</v>
      </c>
      <c r="C496" s="251">
        <v>8886029</v>
      </c>
      <c r="D496" s="251" t="s">
        <v>2359</v>
      </c>
      <c r="E496" s="251" t="s">
        <v>248</v>
      </c>
      <c r="F496" s="251" t="s">
        <v>93</v>
      </c>
      <c r="G496" s="251" t="s">
        <v>93</v>
      </c>
      <c r="H496" s="251" t="s">
        <v>93</v>
      </c>
      <c r="I496" s="251" t="s">
        <v>90</v>
      </c>
      <c r="J496" s="251" t="s">
        <v>1490</v>
      </c>
      <c r="K496" s="251" t="s">
        <v>486</v>
      </c>
      <c r="L496" s="251" t="s">
        <v>487</v>
      </c>
      <c r="M496" s="251" t="s">
        <v>495</v>
      </c>
      <c r="N496" s="251" t="s">
        <v>495</v>
      </c>
      <c r="O496" s="251" t="s">
        <v>534</v>
      </c>
      <c r="P496" s="251" t="s">
        <v>2360</v>
      </c>
      <c r="Q496" s="252">
        <v>10043372</v>
      </c>
      <c r="R496" s="253">
        <v>43130</v>
      </c>
      <c r="S496" s="253">
        <v>43132</v>
      </c>
      <c r="T496" s="253">
        <v>43158</v>
      </c>
      <c r="U496" s="251" t="s">
        <v>488</v>
      </c>
      <c r="V496" s="251">
        <v>2</v>
      </c>
      <c r="W496" s="251" t="s">
        <v>219</v>
      </c>
      <c r="X496" s="251">
        <v>2</v>
      </c>
      <c r="Y496" s="251">
        <v>2</v>
      </c>
      <c r="Z496" s="251">
        <v>2</v>
      </c>
      <c r="AA496" s="251">
        <v>2</v>
      </c>
      <c r="AB496" s="251" t="s">
        <v>486</v>
      </c>
      <c r="AC496" s="251" t="s">
        <v>486</v>
      </c>
      <c r="AD496" s="251" t="s">
        <v>490</v>
      </c>
      <c r="AE496" s="251" t="s">
        <v>486</v>
      </c>
      <c r="AF496" s="251" t="s">
        <v>486</v>
      </c>
      <c r="AG496" s="251" t="s">
        <v>486</v>
      </c>
      <c r="AH496" s="251" t="s">
        <v>486</v>
      </c>
      <c r="AI496" s="251" t="s">
        <v>486</v>
      </c>
      <c r="AJ496" s="251" t="s">
        <v>486</v>
      </c>
      <c r="AK496" s="251" t="s">
        <v>486</v>
      </c>
      <c r="AL496" s="251" t="s">
        <v>491</v>
      </c>
      <c r="AM496" s="251" t="s">
        <v>486</v>
      </c>
      <c r="AN496" s="251" t="s">
        <v>486</v>
      </c>
      <c r="AO496" s="253" t="s">
        <v>486</v>
      </c>
      <c r="AP496" s="252" t="s">
        <v>486</v>
      </c>
      <c r="AQ496" s="254" t="s">
        <v>486</v>
      </c>
      <c r="AR496" s="251" t="s">
        <v>486</v>
      </c>
    </row>
    <row r="497" spans="1:44" ht="15" x14ac:dyDescent="0.25">
      <c r="A497" s="245" t="str">
        <f>HYPERLINK("http://www.ofsted.gov.uk/inspection-reports/find-inspection-report/provider/ELS/131755 ","Ofsted School Webpage")</f>
        <v>Ofsted School Webpage</v>
      </c>
      <c r="B497" s="246">
        <v>131755</v>
      </c>
      <c r="C497" s="246">
        <v>3076079</v>
      </c>
      <c r="D497" s="246" t="s">
        <v>2361</v>
      </c>
      <c r="E497" s="246" t="s">
        <v>247</v>
      </c>
      <c r="F497" s="246" t="s">
        <v>93</v>
      </c>
      <c r="G497" s="246" t="s">
        <v>93</v>
      </c>
      <c r="H497" s="246" t="s">
        <v>93</v>
      </c>
      <c r="I497" s="246" t="s">
        <v>90</v>
      </c>
      <c r="J497" s="246" t="s">
        <v>1490</v>
      </c>
      <c r="K497" s="246" t="s">
        <v>486</v>
      </c>
      <c r="L497" s="246" t="s">
        <v>487</v>
      </c>
      <c r="M497" s="246" t="s">
        <v>506</v>
      </c>
      <c r="N497" s="246" t="s">
        <v>506</v>
      </c>
      <c r="O497" s="246" t="s">
        <v>507</v>
      </c>
      <c r="P497" s="246" t="s">
        <v>2362</v>
      </c>
      <c r="Q497" s="247">
        <v>10026286</v>
      </c>
      <c r="R497" s="248">
        <v>43130</v>
      </c>
      <c r="S497" s="248">
        <v>43132</v>
      </c>
      <c r="T497" s="248">
        <v>43159</v>
      </c>
      <c r="U497" s="246" t="s">
        <v>488</v>
      </c>
      <c r="V497" s="246">
        <v>2</v>
      </c>
      <c r="W497" s="246" t="s">
        <v>219</v>
      </c>
      <c r="X497" s="246">
        <v>2</v>
      </c>
      <c r="Y497" s="246">
        <v>1</v>
      </c>
      <c r="Z497" s="246">
        <v>2</v>
      </c>
      <c r="AA497" s="246">
        <v>2</v>
      </c>
      <c r="AB497" s="246" t="s">
        <v>486</v>
      </c>
      <c r="AC497" s="246" t="s">
        <v>486</v>
      </c>
      <c r="AD497" s="246" t="s">
        <v>490</v>
      </c>
      <c r="AE497" s="246" t="s">
        <v>486</v>
      </c>
      <c r="AF497" s="246" t="s">
        <v>486</v>
      </c>
      <c r="AG497" s="246" t="s">
        <v>486</v>
      </c>
      <c r="AH497" s="246" t="s">
        <v>486</v>
      </c>
      <c r="AI497" s="246" t="s">
        <v>486</v>
      </c>
      <c r="AJ497" s="246" t="s">
        <v>486</v>
      </c>
      <c r="AK497" s="246" t="s">
        <v>486</v>
      </c>
      <c r="AL497" s="246" t="s">
        <v>491</v>
      </c>
      <c r="AM497" s="246" t="s">
        <v>486</v>
      </c>
      <c r="AN497" s="246" t="s">
        <v>486</v>
      </c>
      <c r="AO497" s="248" t="s">
        <v>486</v>
      </c>
      <c r="AP497" s="247" t="s">
        <v>486</v>
      </c>
      <c r="AQ497" s="249" t="s">
        <v>486</v>
      </c>
      <c r="AR497" s="246" t="s">
        <v>486</v>
      </c>
    </row>
    <row r="498" spans="1:44" ht="15" x14ac:dyDescent="0.25">
      <c r="A498" s="250" t="str">
        <f>HYPERLINK("http://www.ofsted.gov.uk/inspection-reports/find-inspection-report/provider/ELS/133539 ","Ofsted School Webpage")</f>
        <v>Ofsted School Webpage</v>
      </c>
      <c r="B498" s="251">
        <v>133539</v>
      </c>
      <c r="C498" s="251">
        <v>8866093</v>
      </c>
      <c r="D498" s="251" t="s">
        <v>2363</v>
      </c>
      <c r="E498" s="251" t="s">
        <v>248</v>
      </c>
      <c r="F498" s="251" t="s">
        <v>93</v>
      </c>
      <c r="G498" s="251" t="s">
        <v>93</v>
      </c>
      <c r="H498" s="251" t="s">
        <v>93</v>
      </c>
      <c r="I498" s="251" t="s">
        <v>90</v>
      </c>
      <c r="J498" s="251" t="s">
        <v>1490</v>
      </c>
      <c r="K498" s="251" t="s">
        <v>486</v>
      </c>
      <c r="L498" s="251" t="s">
        <v>487</v>
      </c>
      <c r="M498" s="251" t="s">
        <v>581</v>
      </c>
      <c r="N498" s="251" t="s">
        <v>581</v>
      </c>
      <c r="O498" s="251" t="s">
        <v>694</v>
      </c>
      <c r="P498" s="251" t="s">
        <v>2364</v>
      </c>
      <c r="Q498" s="252">
        <v>10033950</v>
      </c>
      <c r="R498" s="253">
        <v>43130</v>
      </c>
      <c r="S498" s="253">
        <v>43132</v>
      </c>
      <c r="T498" s="253">
        <v>43164</v>
      </c>
      <c r="U498" s="251" t="s">
        <v>488</v>
      </c>
      <c r="V498" s="251">
        <v>2</v>
      </c>
      <c r="W498" s="251" t="s">
        <v>219</v>
      </c>
      <c r="X498" s="251">
        <v>2</v>
      </c>
      <c r="Y498" s="251">
        <v>2</v>
      </c>
      <c r="Z498" s="251">
        <v>2</v>
      </c>
      <c r="AA498" s="251">
        <v>2</v>
      </c>
      <c r="AB498" s="251" t="s">
        <v>486</v>
      </c>
      <c r="AC498" s="251" t="s">
        <v>486</v>
      </c>
      <c r="AD498" s="251" t="s">
        <v>490</v>
      </c>
      <c r="AE498" s="251" t="s">
        <v>486</v>
      </c>
      <c r="AF498" s="251" t="s">
        <v>486</v>
      </c>
      <c r="AG498" s="251" t="s">
        <v>486</v>
      </c>
      <c r="AH498" s="251" t="s">
        <v>486</v>
      </c>
      <c r="AI498" s="251" t="s">
        <v>486</v>
      </c>
      <c r="AJ498" s="251" t="s">
        <v>486</v>
      </c>
      <c r="AK498" s="251" t="s">
        <v>486</v>
      </c>
      <c r="AL498" s="251" t="s">
        <v>491</v>
      </c>
      <c r="AM498" s="251" t="s">
        <v>486</v>
      </c>
      <c r="AN498" s="251" t="s">
        <v>486</v>
      </c>
      <c r="AO498" s="253" t="s">
        <v>486</v>
      </c>
      <c r="AP498" s="252" t="s">
        <v>486</v>
      </c>
      <c r="AQ498" s="254" t="s">
        <v>486</v>
      </c>
      <c r="AR498" s="251" t="s">
        <v>486</v>
      </c>
    </row>
    <row r="499" spans="1:44" ht="15" x14ac:dyDescent="0.25">
      <c r="A499" s="245" t="str">
        <f>HYPERLINK("http://www.ofsted.gov.uk/inspection-reports/find-inspection-report/provider/ELS/135805 ","Ofsted School Webpage")</f>
        <v>Ofsted School Webpage</v>
      </c>
      <c r="B499" s="246">
        <v>135805</v>
      </c>
      <c r="C499" s="246">
        <v>8256042</v>
      </c>
      <c r="D499" s="246" t="s">
        <v>2365</v>
      </c>
      <c r="E499" s="246" t="s">
        <v>248</v>
      </c>
      <c r="F499" s="246" t="s">
        <v>93</v>
      </c>
      <c r="G499" s="246" t="s">
        <v>93</v>
      </c>
      <c r="H499" s="246" t="s">
        <v>93</v>
      </c>
      <c r="I499" s="246" t="s">
        <v>90</v>
      </c>
      <c r="J499" s="246" t="s">
        <v>1490</v>
      </c>
      <c r="K499" s="246" t="s">
        <v>486</v>
      </c>
      <c r="L499" s="246" t="s">
        <v>487</v>
      </c>
      <c r="M499" s="246" t="s">
        <v>581</v>
      </c>
      <c r="N499" s="246" t="s">
        <v>581</v>
      </c>
      <c r="O499" s="246" t="s">
        <v>714</v>
      </c>
      <c r="P499" s="246" t="s">
        <v>2366</v>
      </c>
      <c r="Q499" s="247">
        <v>10025990</v>
      </c>
      <c r="R499" s="248">
        <v>43130</v>
      </c>
      <c r="S499" s="248">
        <v>43132</v>
      </c>
      <c r="T499" s="248">
        <v>43160</v>
      </c>
      <c r="U499" s="246" t="s">
        <v>488</v>
      </c>
      <c r="V499" s="246">
        <v>2</v>
      </c>
      <c r="W499" s="246" t="s">
        <v>219</v>
      </c>
      <c r="X499" s="246">
        <v>2</v>
      </c>
      <c r="Y499" s="246">
        <v>2</v>
      </c>
      <c r="Z499" s="246">
        <v>2</v>
      </c>
      <c r="AA499" s="246">
        <v>2</v>
      </c>
      <c r="AB499" s="246" t="s">
        <v>486</v>
      </c>
      <c r="AC499" s="246" t="s">
        <v>486</v>
      </c>
      <c r="AD499" s="246" t="s">
        <v>490</v>
      </c>
      <c r="AE499" s="246" t="s">
        <v>486</v>
      </c>
      <c r="AF499" s="246" t="s">
        <v>486</v>
      </c>
      <c r="AG499" s="246" t="s">
        <v>486</v>
      </c>
      <c r="AH499" s="246" t="s">
        <v>486</v>
      </c>
      <c r="AI499" s="246" t="s">
        <v>486</v>
      </c>
      <c r="AJ499" s="246" t="s">
        <v>486</v>
      </c>
      <c r="AK499" s="246" t="s">
        <v>486</v>
      </c>
      <c r="AL499" s="246" t="s">
        <v>491</v>
      </c>
      <c r="AM499" s="246" t="s">
        <v>486</v>
      </c>
      <c r="AN499" s="246" t="s">
        <v>486</v>
      </c>
      <c r="AO499" s="248" t="s">
        <v>486</v>
      </c>
      <c r="AP499" s="247" t="s">
        <v>486</v>
      </c>
      <c r="AQ499" s="249" t="s">
        <v>486</v>
      </c>
      <c r="AR499" s="246" t="s">
        <v>486</v>
      </c>
    </row>
    <row r="500" spans="1:44" ht="15" x14ac:dyDescent="0.25">
      <c r="A500" s="250" t="str">
        <f>HYPERLINK("http://www.ofsted.gov.uk/inspection-reports/find-inspection-report/provider/ELS/135995 ","Ofsted School Webpage")</f>
        <v>Ofsted School Webpage</v>
      </c>
      <c r="B500" s="251">
        <v>135995</v>
      </c>
      <c r="C500" s="251">
        <v>8706016</v>
      </c>
      <c r="D500" s="251" t="s">
        <v>2367</v>
      </c>
      <c r="E500" s="251" t="s">
        <v>247</v>
      </c>
      <c r="F500" s="251" t="s">
        <v>93</v>
      </c>
      <c r="G500" s="251" t="s">
        <v>93</v>
      </c>
      <c r="H500" s="251" t="s">
        <v>93</v>
      </c>
      <c r="I500" s="251" t="s">
        <v>90</v>
      </c>
      <c r="J500" s="251" t="s">
        <v>1490</v>
      </c>
      <c r="K500" s="251" t="s">
        <v>486</v>
      </c>
      <c r="L500" s="251" t="s">
        <v>487</v>
      </c>
      <c r="M500" s="251" t="s">
        <v>581</v>
      </c>
      <c r="N500" s="251" t="s">
        <v>581</v>
      </c>
      <c r="O500" s="251" t="s">
        <v>2368</v>
      </c>
      <c r="P500" s="251" t="s">
        <v>2369</v>
      </c>
      <c r="Q500" s="252">
        <v>10033953</v>
      </c>
      <c r="R500" s="253">
        <v>43130</v>
      </c>
      <c r="S500" s="253">
        <v>43132</v>
      </c>
      <c r="T500" s="253">
        <v>43164</v>
      </c>
      <c r="U500" s="251" t="s">
        <v>488</v>
      </c>
      <c r="V500" s="251">
        <v>2</v>
      </c>
      <c r="W500" s="251" t="s">
        <v>219</v>
      </c>
      <c r="X500" s="251">
        <v>2</v>
      </c>
      <c r="Y500" s="251">
        <v>1</v>
      </c>
      <c r="Z500" s="251">
        <v>2</v>
      </c>
      <c r="AA500" s="251">
        <v>2</v>
      </c>
      <c r="AB500" s="251">
        <v>2</v>
      </c>
      <c r="AC500" s="251" t="s">
        <v>486</v>
      </c>
      <c r="AD500" s="251" t="s">
        <v>490</v>
      </c>
      <c r="AE500" s="251" t="s">
        <v>486</v>
      </c>
      <c r="AF500" s="251" t="s">
        <v>486</v>
      </c>
      <c r="AG500" s="251" t="s">
        <v>486</v>
      </c>
      <c r="AH500" s="251" t="s">
        <v>486</v>
      </c>
      <c r="AI500" s="251" t="s">
        <v>486</v>
      </c>
      <c r="AJ500" s="251" t="s">
        <v>486</v>
      </c>
      <c r="AK500" s="251" t="s">
        <v>486</v>
      </c>
      <c r="AL500" s="251" t="s">
        <v>491</v>
      </c>
      <c r="AM500" s="251" t="s">
        <v>486</v>
      </c>
      <c r="AN500" s="251" t="s">
        <v>486</v>
      </c>
      <c r="AO500" s="253" t="s">
        <v>486</v>
      </c>
      <c r="AP500" s="252" t="s">
        <v>486</v>
      </c>
      <c r="AQ500" s="254" t="s">
        <v>486</v>
      </c>
      <c r="AR500" s="251" t="s">
        <v>486</v>
      </c>
    </row>
    <row r="501" spans="1:44" ht="15" x14ac:dyDescent="0.25">
      <c r="A501" s="245" t="str">
        <f>HYPERLINK("http://www.ofsted.gov.uk/inspection-reports/find-inspection-report/provider/ELS/140382 ","Ofsted School Webpage")</f>
        <v>Ofsted School Webpage</v>
      </c>
      <c r="B501" s="246">
        <v>140382</v>
      </c>
      <c r="C501" s="246">
        <v>3306016</v>
      </c>
      <c r="D501" s="246" t="s">
        <v>2370</v>
      </c>
      <c r="E501" s="246" t="s">
        <v>247</v>
      </c>
      <c r="F501" s="246" t="s">
        <v>93</v>
      </c>
      <c r="G501" s="246" t="s">
        <v>84</v>
      </c>
      <c r="H501" s="246" t="s">
        <v>84</v>
      </c>
      <c r="I501" s="246" t="s">
        <v>84</v>
      </c>
      <c r="J501" s="246" t="s">
        <v>1490</v>
      </c>
      <c r="K501" s="246" t="s">
        <v>486</v>
      </c>
      <c r="L501" s="246" t="s">
        <v>487</v>
      </c>
      <c r="M501" s="246" t="s">
        <v>502</v>
      </c>
      <c r="N501" s="246" t="s">
        <v>502</v>
      </c>
      <c r="O501" s="246" t="s">
        <v>909</v>
      </c>
      <c r="P501" s="246" t="s">
        <v>2371</v>
      </c>
      <c r="Q501" s="247">
        <v>10038849</v>
      </c>
      <c r="R501" s="248">
        <v>43130</v>
      </c>
      <c r="S501" s="248">
        <v>43132</v>
      </c>
      <c r="T501" s="248">
        <v>43208</v>
      </c>
      <c r="U501" s="246" t="s">
        <v>488</v>
      </c>
      <c r="V501" s="246">
        <v>2</v>
      </c>
      <c r="W501" s="246" t="s">
        <v>219</v>
      </c>
      <c r="X501" s="246">
        <v>2</v>
      </c>
      <c r="Y501" s="246">
        <v>2</v>
      </c>
      <c r="Z501" s="246">
        <v>2</v>
      </c>
      <c r="AA501" s="246">
        <v>2</v>
      </c>
      <c r="AB501" s="246" t="s">
        <v>486</v>
      </c>
      <c r="AC501" s="246" t="s">
        <v>486</v>
      </c>
      <c r="AD501" s="246" t="s">
        <v>490</v>
      </c>
      <c r="AE501" s="246" t="s">
        <v>486</v>
      </c>
      <c r="AF501" s="246" t="s">
        <v>486</v>
      </c>
      <c r="AG501" s="246" t="s">
        <v>486</v>
      </c>
      <c r="AH501" s="246" t="s">
        <v>486</v>
      </c>
      <c r="AI501" s="246" t="s">
        <v>486</v>
      </c>
      <c r="AJ501" s="246" t="s">
        <v>486</v>
      </c>
      <c r="AK501" s="246" t="s">
        <v>486</v>
      </c>
      <c r="AL501" s="246" t="s">
        <v>491</v>
      </c>
      <c r="AM501" s="246" t="s">
        <v>486</v>
      </c>
      <c r="AN501" s="246" t="s">
        <v>486</v>
      </c>
      <c r="AO501" s="248" t="s">
        <v>486</v>
      </c>
      <c r="AP501" s="247" t="s">
        <v>486</v>
      </c>
      <c r="AQ501" s="249" t="s">
        <v>486</v>
      </c>
      <c r="AR501" s="246" t="s">
        <v>486</v>
      </c>
    </row>
    <row r="502" spans="1:44" ht="15" x14ac:dyDescent="0.25">
      <c r="A502" s="250" t="str">
        <f>HYPERLINK("http://www.ofsted.gov.uk/inspection-reports/find-inspection-report/provider/ELS/140566 ","Ofsted School Webpage")</f>
        <v>Ofsted School Webpage</v>
      </c>
      <c r="B502" s="251">
        <v>140566</v>
      </c>
      <c r="C502" s="251">
        <v>3806009</v>
      </c>
      <c r="D502" s="251" t="s">
        <v>2372</v>
      </c>
      <c r="E502" s="251" t="s">
        <v>248</v>
      </c>
      <c r="F502" s="251" t="s">
        <v>93</v>
      </c>
      <c r="G502" s="251" t="s">
        <v>93</v>
      </c>
      <c r="H502" s="251" t="s">
        <v>93</v>
      </c>
      <c r="I502" s="251" t="s">
        <v>90</v>
      </c>
      <c r="J502" s="251" t="s">
        <v>1490</v>
      </c>
      <c r="K502" s="251" t="s">
        <v>486</v>
      </c>
      <c r="L502" s="251" t="s">
        <v>487</v>
      </c>
      <c r="M502" s="251" t="s">
        <v>523</v>
      </c>
      <c r="N502" s="251" t="s">
        <v>524</v>
      </c>
      <c r="O502" s="251" t="s">
        <v>674</v>
      </c>
      <c r="P502" s="251" t="s">
        <v>2373</v>
      </c>
      <c r="Q502" s="252">
        <v>10043658</v>
      </c>
      <c r="R502" s="253">
        <v>43130</v>
      </c>
      <c r="S502" s="253">
        <v>43132</v>
      </c>
      <c r="T502" s="253">
        <v>43161</v>
      </c>
      <c r="U502" s="251" t="s">
        <v>488</v>
      </c>
      <c r="V502" s="251">
        <v>3</v>
      </c>
      <c r="W502" s="251" t="s">
        <v>219</v>
      </c>
      <c r="X502" s="251">
        <v>3</v>
      </c>
      <c r="Y502" s="251">
        <v>2</v>
      </c>
      <c r="Z502" s="251">
        <v>3</v>
      </c>
      <c r="AA502" s="251">
        <v>3</v>
      </c>
      <c r="AB502" s="251" t="s">
        <v>486</v>
      </c>
      <c r="AC502" s="251" t="s">
        <v>486</v>
      </c>
      <c r="AD502" s="251" t="s">
        <v>490</v>
      </c>
      <c r="AE502" s="251" t="s">
        <v>486</v>
      </c>
      <c r="AF502" s="251" t="s">
        <v>486</v>
      </c>
      <c r="AG502" s="251" t="s">
        <v>486</v>
      </c>
      <c r="AH502" s="251" t="s">
        <v>486</v>
      </c>
      <c r="AI502" s="251" t="s">
        <v>486</v>
      </c>
      <c r="AJ502" s="251" t="s">
        <v>486</v>
      </c>
      <c r="AK502" s="251" t="s">
        <v>486</v>
      </c>
      <c r="AL502" s="251" t="s">
        <v>545</v>
      </c>
      <c r="AM502" s="251" t="s">
        <v>486</v>
      </c>
      <c r="AN502" s="251" t="s">
        <v>486</v>
      </c>
      <c r="AO502" s="253" t="s">
        <v>486</v>
      </c>
      <c r="AP502" s="252" t="s">
        <v>486</v>
      </c>
      <c r="AQ502" s="254" t="s">
        <v>486</v>
      </c>
      <c r="AR502" s="251" t="s">
        <v>486</v>
      </c>
    </row>
    <row r="503" spans="1:44" ht="15" x14ac:dyDescent="0.25">
      <c r="A503" s="245" t="str">
        <f>HYPERLINK("http://www.ofsted.gov.uk/inspection-reports/find-inspection-report/provider/ELS/141859 ","Ofsted School Webpage")</f>
        <v>Ofsted School Webpage</v>
      </c>
      <c r="B503" s="246">
        <v>141859</v>
      </c>
      <c r="C503" s="246">
        <v>3096004</v>
      </c>
      <c r="D503" s="246" t="s">
        <v>2374</v>
      </c>
      <c r="E503" s="246" t="s">
        <v>247</v>
      </c>
      <c r="F503" s="246" t="s">
        <v>93</v>
      </c>
      <c r="G503" s="246" t="s">
        <v>93</v>
      </c>
      <c r="H503" s="246" t="s">
        <v>93</v>
      </c>
      <c r="I503" s="246" t="s">
        <v>90</v>
      </c>
      <c r="J503" s="246" t="s">
        <v>1490</v>
      </c>
      <c r="K503" s="246" t="s">
        <v>486</v>
      </c>
      <c r="L503" s="246" t="s">
        <v>487</v>
      </c>
      <c r="M503" s="246" t="s">
        <v>506</v>
      </c>
      <c r="N503" s="246" t="s">
        <v>506</v>
      </c>
      <c r="O503" s="246" t="s">
        <v>595</v>
      </c>
      <c r="P503" s="246" t="s">
        <v>2375</v>
      </c>
      <c r="Q503" s="247">
        <v>10041405</v>
      </c>
      <c r="R503" s="248">
        <v>43130</v>
      </c>
      <c r="S503" s="248">
        <v>43132</v>
      </c>
      <c r="T503" s="248">
        <v>43157</v>
      </c>
      <c r="U503" s="246" t="s">
        <v>488</v>
      </c>
      <c r="V503" s="246">
        <v>2</v>
      </c>
      <c r="W503" s="246" t="s">
        <v>219</v>
      </c>
      <c r="X503" s="246">
        <v>2</v>
      </c>
      <c r="Y503" s="246">
        <v>2</v>
      </c>
      <c r="Z503" s="246">
        <v>2</v>
      </c>
      <c r="AA503" s="246">
        <v>2</v>
      </c>
      <c r="AB503" s="246" t="s">
        <v>486</v>
      </c>
      <c r="AC503" s="246" t="s">
        <v>486</v>
      </c>
      <c r="AD503" s="246" t="s">
        <v>490</v>
      </c>
      <c r="AE503" s="246" t="s">
        <v>486</v>
      </c>
      <c r="AF503" s="246" t="s">
        <v>486</v>
      </c>
      <c r="AG503" s="246" t="s">
        <v>486</v>
      </c>
      <c r="AH503" s="246" t="s">
        <v>486</v>
      </c>
      <c r="AI503" s="246" t="s">
        <v>486</v>
      </c>
      <c r="AJ503" s="246" t="s">
        <v>486</v>
      </c>
      <c r="AK503" s="246" t="s">
        <v>486</v>
      </c>
      <c r="AL503" s="246" t="s">
        <v>491</v>
      </c>
      <c r="AM503" s="246" t="s">
        <v>486</v>
      </c>
      <c r="AN503" s="246" t="s">
        <v>486</v>
      </c>
      <c r="AO503" s="248" t="s">
        <v>486</v>
      </c>
      <c r="AP503" s="247" t="s">
        <v>486</v>
      </c>
      <c r="AQ503" s="249" t="s">
        <v>486</v>
      </c>
      <c r="AR503" s="246" t="s">
        <v>486</v>
      </c>
    </row>
    <row r="504" spans="1:44" ht="15" x14ac:dyDescent="0.25">
      <c r="A504" s="250" t="str">
        <f>HYPERLINK("http://www.ofsted.gov.uk/inspection-reports/find-inspection-report/provider/ELS/142930 ","Ofsted School Webpage")</f>
        <v>Ofsted School Webpage</v>
      </c>
      <c r="B504" s="251">
        <v>142930</v>
      </c>
      <c r="C504" s="251">
        <v>8926021</v>
      </c>
      <c r="D504" s="251" t="s">
        <v>2376</v>
      </c>
      <c r="E504" s="251" t="s">
        <v>247</v>
      </c>
      <c r="F504" s="251" t="s">
        <v>93</v>
      </c>
      <c r="G504" s="251" t="s">
        <v>93</v>
      </c>
      <c r="H504" s="251" t="s">
        <v>93</v>
      </c>
      <c r="I504" s="251" t="s">
        <v>90</v>
      </c>
      <c r="J504" s="251" t="s">
        <v>1490</v>
      </c>
      <c r="K504" s="251" t="s">
        <v>486</v>
      </c>
      <c r="L504" s="251" t="s">
        <v>487</v>
      </c>
      <c r="M504" s="251" t="s">
        <v>572</v>
      </c>
      <c r="N504" s="251" t="s">
        <v>572</v>
      </c>
      <c r="O504" s="251" t="s">
        <v>758</v>
      </c>
      <c r="P504" s="251" t="s">
        <v>2377</v>
      </c>
      <c r="Q504" s="252">
        <v>10043805</v>
      </c>
      <c r="R504" s="253">
        <v>43130</v>
      </c>
      <c r="S504" s="253">
        <v>43132</v>
      </c>
      <c r="T504" s="253">
        <v>43165</v>
      </c>
      <c r="U504" s="251" t="s">
        <v>499</v>
      </c>
      <c r="V504" s="251">
        <v>2</v>
      </c>
      <c r="W504" s="251" t="s">
        <v>219</v>
      </c>
      <c r="X504" s="251">
        <v>2</v>
      </c>
      <c r="Y504" s="251">
        <v>2</v>
      </c>
      <c r="Z504" s="251">
        <v>2</v>
      </c>
      <c r="AA504" s="251">
        <v>2</v>
      </c>
      <c r="AB504" s="251" t="s">
        <v>486</v>
      </c>
      <c r="AC504" s="251" t="s">
        <v>486</v>
      </c>
      <c r="AD504" s="251" t="s">
        <v>490</v>
      </c>
      <c r="AE504" s="251" t="s">
        <v>486</v>
      </c>
      <c r="AF504" s="251" t="s">
        <v>486</v>
      </c>
      <c r="AG504" s="251" t="s">
        <v>486</v>
      </c>
      <c r="AH504" s="251" t="s">
        <v>486</v>
      </c>
      <c r="AI504" s="251" t="s">
        <v>486</v>
      </c>
      <c r="AJ504" s="251" t="s">
        <v>486</v>
      </c>
      <c r="AK504" s="251" t="s">
        <v>486</v>
      </c>
      <c r="AL504" s="251" t="s">
        <v>491</v>
      </c>
      <c r="AM504" s="251" t="s">
        <v>486</v>
      </c>
      <c r="AN504" s="251" t="s">
        <v>486</v>
      </c>
      <c r="AO504" s="253" t="s">
        <v>486</v>
      </c>
      <c r="AP504" s="252" t="s">
        <v>486</v>
      </c>
      <c r="AQ504" s="254" t="s">
        <v>486</v>
      </c>
      <c r="AR504" s="251" t="s">
        <v>486</v>
      </c>
    </row>
    <row r="505" spans="1:44" ht="15" x14ac:dyDescent="0.25">
      <c r="A505" s="245" t="str">
        <f>HYPERLINK("http://www.ofsted.gov.uk/inspection-reports/find-inspection-report/provider/ELS/143928 ","Ofsted School Webpage")</f>
        <v>Ofsted School Webpage</v>
      </c>
      <c r="B505" s="246">
        <v>143928</v>
      </c>
      <c r="C505" s="246">
        <v>8616014</v>
      </c>
      <c r="D505" s="246" t="s">
        <v>2378</v>
      </c>
      <c r="E505" s="246" t="s">
        <v>247</v>
      </c>
      <c r="F505" s="246" t="s">
        <v>93</v>
      </c>
      <c r="G505" s="246" t="s">
        <v>93</v>
      </c>
      <c r="H505" s="246" t="s">
        <v>93</v>
      </c>
      <c r="I505" s="246" t="s">
        <v>90</v>
      </c>
      <c r="J505" s="246" t="s">
        <v>1490</v>
      </c>
      <c r="K505" s="246" t="s">
        <v>486</v>
      </c>
      <c r="L505" s="246" t="s">
        <v>487</v>
      </c>
      <c r="M505" s="246" t="s">
        <v>502</v>
      </c>
      <c r="N505" s="246" t="s">
        <v>502</v>
      </c>
      <c r="O505" s="246" t="s">
        <v>655</v>
      </c>
      <c r="P505" s="246" t="s">
        <v>2379</v>
      </c>
      <c r="Q505" s="247">
        <v>10041369</v>
      </c>
      <c r="R505" s="248">
        <v>43130</v>
      </c>
      <c r="S505" s="248">
        <v>43132</v>
      </c>
      <c r="T505" s="248">
        <v>43172</v>
      </c>
      <c r="U505" s="246" t="s">
        <v>499</v>
      </c>
      <c r="V505" s="246">
        <v>2</v>
      </c>
      <c r="W505" s="246" t="s">
        <v>219</v>
      </c>
      <c r="X505" s="246">
        <v>2</v>
      </c>
      <c r="Y505" s="246">
        <v>2</v>
      </c>
      <c r="Z505" s="246">
        <v>2</v>
      </c>
      <c r="AA505" s="246">
        <v>3</v>
      </c>
      <c r="AB505" s="246" t="s">
        <v>486</v>
      </c>
      <c r="AC505" s="246" t="s">
        <v>486</v>
      </c>
      <c r="AD505" s="246" t="s">
        <v>490</v>
      </c>
      <c r="AE505" s="246" t="s">
        <v>486</v>
      </c>
      <c r="AF505" s="246" t="s">
        <v>486</v>
      </c>
      <c r="AG505" s="246" t="s">
        <v>486</v>
      </c>
      <c r="AH505" s="246" t="s">
        <v>486</v>
      </c>
      <c r="AI505" s="246" t="s">
        <v>486</v>
      </c>
      <c r="AJ505" s="246" t="s">
        <v>486</v>
      </c>
      <c r="AK505" s="246" t="s">
        <v>486</v>
      </c>
      <c r="AL505" s="246" t="s">
        <v>491</v>
      </c>
      <c r="AM505" s="246" t="s">
        <v>486</v>
      </c>
      <c r="AN505" s="246" t="s">
        <v>486</v>
      </c>
      <c r="AO505" s="248" t="s">
        <v>486</v>
      </c>
      <c r="AP505" s="247" t="s">
        <v>486</v>
      </c>
      <c r="AQ505" s="249" t="s">
        <v>486</v>
      </c>
      <c r="AR505" s="246" t="s">
        <v>486</v>
      </c>
    </row>
    <row r="506" spans="1:44" ht="15" x14ac:dyDescent="0.25">
      <c r="A506" s="250" t="str">
        <f>HYPERLINK("http://www.ofsted.gov.uk/inspection-reports/find-inspection-report/provider/ELS/100537 ","Ofsted School Webpage")</f>
        <v>Ofsted School Webpage</v>
      </c>
      <c r="B506" s="251">
        <v>100537</v>
      </c>
      <c r="C506" s="251">
        <v>2076348</v>
      </c>
      <c r="D506" s="251" t="s">
        <v>2380</v>
      </c>
      <c r="E506" s="251" t="s">
        <v>247</v>
      </c>
      <c r="F506" s="251" t="s">
        <v>93</v>
      </c>
      <c r="G506" s="251" t="s">
        <v>93</v>
      </c>
      <c r="H506" s="251" t="s">
        <v>93</v>
      </c>
      <c r="I506" s="251" t="s">
        <v>90</v>
      </c>
      <c r="J506" s="251" t="s">
        <v>1490</v>
      </c>
      <c r="K506" s="251" t="s">
        <v>486</v>
      </c>
      <c r="L506" s="251" t="s">
        <v>487</v>
      </c>
      <c r="M506" s="251" t="s">
        <v>506</v>
      </c>
      <c r="N506" s="251" t="s">
        <v>506</v>
      </c>
      <c r="O506" s="251" t="s">
        <v>640</v>
      </c>
      <c r="P506" s="251" t="s">
        <v>2381</v>
      </c>
      <c r="Q506" s="252">
        <v>10020765</v>
      </c>
      <c r="R506" s="253">
        <v>43131</v>
      </c>
      <c r="S506" s="253">
        <v>43133</v>
      </c>
      <c r="T506" s="253">
        <v>43173</v>
      </c>
      <c r="U506" s="251" t="s">
        <v>488</v>
      </c>
      <c r="V506" s="251">
        <v>2</v>
      </c>
      <c r="W506" s="251" t="s">
        <v>219</v>
      </c>
      <c r="X506" s="251">
        <v>2</v>
      </c>
      <c r="Y506" s="251">
        <v>2</v>
      </c>
      <c r="Z506" s="251">
        <v>2</v>
      </c>
      <c r="AA506" s="251">
        <v>2</v>
      </c>
      <c r="AB506" s="251" t="s">
        <v>486</v>
      </c>
      <c r="AC506" s="251">
        <v>1</v>
      </c>
      <c r="AD506" s="251" t="s">
        <v>490</v>
      </c>
      <c r="AE506" s="251" t="s">
        <v>486</v>
      </c>
      <c r="AF506" s="251" t="s">
        <v>486</v>
      </c>
      <c r="AG506" s="251" t="s">
        <v>486</v>
      </c>
      <c r="AH506" s="251" t="s">
        <v>486</v>
      </c>
      <c r="AI506" s="251" t="s">
        <v>486</v>
      </c>
      <c r="AJ506" s="251" t="s">
        <v>486</v>
      </c>
      <c r="AK506" s="251" t="s">
        <v>486</v>
      </c>
      <c r="AL506" s="251" t="s">
        <v>491</v>
      </c>
      <c r="AM506" s="251" t="s">
        <v>486</v>
      </c>
      <c r="AN506" s="251" t="s">
        <v>486</v>
      </c>
      <c r="AO506" s="253" t="s">
        <v>486</v>
      </c>
      <c r="AP506" s="252" t="s">
        <v>486</v>
      </c>
      <c r="AQ506" s="254" t="s">
        <v>486</v>
      </c>
      <c r="AR506" s="251" t="s">
        <v>486</v>
      </c>
    </row>
    <row r="507" spans="1:44" ht="15" x14ac:dyDescent="0.25">
      <c r="A507" s="245" t="str">
        <f>HYPERLINK("http://www.ofsted.gov.uk/inspection-reports/find-inspection-report/provider/ELS/140354 ","Ofsted School Webpage")</f>
        <v>Ofsted School Webpage</v>
      </c>
      <c r="B507" s="246">
        <v>140354</v>
      </c>
      <c r="C507" s="246">
        <v>9376008</v>
      </c>
      <c r="D507" s="246" t="s">
        <v>1116</v>
      </c>
      <c r="E507" s="246" t="s">
        <v>248</v>
      </c>
      <c r="F507" s="246" t="s">
        <v>93</v>
      </c>
      <c r="G507" s="246" t="s">
        <v>93</v>
      </c>
      <c r="H507" s="246" t="s">
        <v>93</v>
      </c>
      <c r="I507" s="246" t="s">
        <v>90</v>
      </c>
      <c r="J507" s="246" t="s">
        <v>1490</v>
      </c>
      <c r="K507" s="246" t="s">
        <v>486</v>
      </c>
      <c r="L507" s="246" t="s">
        <v>487</v>
      </c>
      <c r="M507" s="246" t="s">
        <v>502</v>
      </c>
      <c r="N507" s="246" t="s">
        <v>502</v>
      </c>
      <c r="O507" s="246" t="s">
        <v>503</v>
      </c>
      <c r="P507" s="246" t="s">
        <v>1117</v>
      </c>
      <c r="Q507" s="247">
        <v>10038848</v>
      </c>
      <c r="R507" s="248">
        <v>43131</v>
      </c>
      <c r="S507" s="248">
        <v>43133</v>
      </c>
      <c r="T507" s="248">
        <v>43188</v>
      </c>
      <c r="U507" s="246" t="s">
        <v>488</v>
      </c>
      <c r="V507" s="246">
        <v>4</v>
      </c>
      <c r="W507" s="246" t="s">
        <v>220</v>
      </c>
      <c r="X507" s="246">
        <v>4</v>
      </c>
      <c r="Y507" s="246">
        <v>4</v>
      </c>
      <c r="Z507" s="246">
        <v>2</v>
      </c>
      <c r="AA507" s="246">
        <v>2</v>
      </c>
      <c r="AB507" s="246" t="s">
        <v>486</v>
      </c>
      <c r="AC507" s="246" t="s">
        <v>486</v>
      </c>
      <c r="AD507" s="246" t="s">
        <v>490</v>
      </c>
      <c r="AE507" s="246" t="s">
        <v>486</v>
      </c>
      <c r="AF507" s="246" t="s">
        <v>486</v>
      </c>
      <c r="AG507" s="246" t="s">
        <v>486</v>
      </c>
      <c r="AH507" s="246" t="s">
        <v>486</v>
      </c>
      <c r="AI507" s="246" t="s">
        <v>486</v>
      </c>
      <c r="AJ507" s="246" t="s">
        <v>486</v>
      </c>
      <c r="AK507" s="246" t="s">
        <v>486</v>
      </c>
      <c r="AL507" s="246" t="s">
        <v>545</v>
      </c>
      <c r="AM507" s="246">
        <v>10068615</v>
      </c>
      <c r="AN507" s="246" t="s">
        <v>1109</v>
      </c>
      <c r="AO507" s="248">
        <v>43354</v>
      </c>
      <c r="AP507" s="247" t="s">
        <v>1523</v>
      </c>
      <c r="AQ507" s="249">
        <v>43374</v>
      </c>
      <c r="AR507" s="246" t="s">
        <v>1110</v>
      </c>
    </row>
    <row r="508" spans="1:44" ht="15" x14ac:dyDescent="0.25">
      <c r="A508" s="250" t="str">
        <f>HYPERLINK("http://www.ofsted.gov.uk/inspection-reports/find-inspection-report/provider/ELS/135376 ","Ofsted School Webpage")</f>
        <v>Ofsted School Webpage</v>
      </c>
      <c r="B508" s="251">
        <v>135376</v>
      </c>
      <c r="C508" s="251">
        <v>3706005</v>
      </c>
      <c r="D508" s="251" t="s">
        <v>2382</v>
      </c>
      <c r="E508" s="251" t="s">
        <v>248</v>
      </c>
      <c r="F508" s="251" t="s">
        <v>93</v>
      </c>
      <c r="G508" s="251" t="s">
        <v>93</v>
      </c>
      <c r="H508" s="251" t="s">
        <v>93</v>
      </c>
      <c r="I508" s="251" t="s">
        <v>90</v>
      </c>
      <c r="J508" s="251" t="s">
        <v>1490</v>
      </c>
      <c r="K508" s="251" t="s">
        <v>486</v>
      </c>
      <c r="L508" s="251" t="s">
        <v>487</v>
      </c>
      <c r="M508" s="251" t="s">
        <v>523</v>
      </c>
      <c r="N508" s="251" t="s">
        <v>524</v>
      </c>
      <c r="O508" s="251" t="s">
        <v>1083</v>
      </c>
      <c r="P508" s="251" t="s">
        <v>2383</v>
      </c>
      <c r="Q508" s="252">
        <v>10043655</v>
      </c>
      <c r="R508" s="253">
        <v>43137</v>
      </c>
      <c r="S508" s="253">
        <v>43138</v>
      </c>
      <c r="T508" s="253">
        <v>43168</v>
      </c>
      <c r="U508" s="251" t="s">
        <v>488</v>
      </c>
      <c r="V508" s="251">
        <v>3</v>
      </c>
      <c r="W508" s="251" t="s">
        <v>219</v>
      </c>
      <c r="X508" s="251">
        <v>3</v>
      </c>
      <c r="Y508" s="251">
        <v>3</v>
      </c>
      <c r="Z508" s="251">
        <v>2</v>
      </c>
      <c r="AA508" s="251">
        <v>2</v>
      </c>
      <c r="AB508" s="251" t="s">
        <v>486</v>
      </c>
      <c r="AC508" s="251" t="s">
        <v>486</v>
      </c>
      <c r="AD508" s="251" t="s">
        <v>490</v>
      </c>
      <c r="AE508" s="251" t="s">
        <v>486</v>
      </c>
      <c r="AF508" s="251" t="s">
        <v>486</v>
      </c>
      <c r="AG508" s="251" t="s">
        <v>486</v>
      </c>
      <c r="AH508" s="251" t="s">
        <v>486</v>
      </c>
      <c r="AI508" s="251" t="s">
        <v>486</v>
      </c>
      <c r="AJ508" s="251" t="s">
        <v>486</v>
      </c>
      <c r="AK508" s="251" t="s">
        <v>486</v>
      </c>
      <c r="AL508" s="251" t="s">
        <v>545</v>
      </c>
      <c r="AM508" s="251" t="s">
        <v>486</v>
      </c>
      <c r="AN508" s="251" t="s">
        <v>486</v>
      </c>
      <c r="AO508" s="253" t="s">
        <v>486</v>
      </c>
      <c r="AP508" s="252" t="s">
        <v>486</v>
      </c>
      <c r="AQ508" s="254" t="s">
        <v>486</v>
      </c>
      <c r="AR508" s="251" t="s">
        <v>486</v>
      </c>
    </row>
    <row r="509" spans="1:44" ht="15" x14ac:dyDescent="0.25">
      <c r="A509" s="245" t="str">
        <f>HYPERLINK("http://www.ofsted.gov.uk/inspection-reports/find-inspection-report/provider/ELS/100294 ","Ofsted School Webpage")</f>
        <v>Ofsted School Webpage</v>
      </c>
      <c r="B509" s="246">
        <v>100294</v>
      </c>
      <c r="C509" s="246">
        <v>2046331</v>
      </c>
      <c r="D509" s="246" t="s">
        <v>2384</v>
      </c>
      <c r="E509" s="246" t="s">
        <v>247</v>
      </c>
      <c r="F509" s="246" t="s">
        <v>80</v>
      </c>
      <c r="G509" s="246" t="s">
        <v>81</v>
      </c>
      <c r="H509" s="246" t="s">
        <v>80</v>
      </c>
      <c r="I509" s="246" t="s">
        <v>81</v>
      </c>
      <c r="J509" s="246" t="s">
        <v>1490</v>
      </c>
      <c r="K509" s="246" t="s">
        <v>486</v>
      </c>
      <c r="L509" s="246" t="s">
        <v>487</v>
      </c>
      <c r="M509" s="246" t="s">
        <v>506</v>
      </c>
      <c r="N509" s="246" t="s">
        <v>506</v>
      </c>
      <c r="O509" s="246" t="s">
        <v>617</v>
      </c>
      <c r="P509" s="246" t="s">
        <v>2385</v>
      </c>
      <c r="Q509" s="247">
        <v>10038149</v>
      </c>
      <c r="R509" s="248">
        <v>43137</v>
      </c>
      <c r="S509" s="248">
        <v>43139</v>
      </c>
      <c r="T509" s="248">
        <v>43213</v>
      </c>
      <c r="U509" s="246" t="s">
        <v>488</v>
      </c>
      <c r="V509" s="246">
        <v>4</v>
      </c>
      <c r="W509" s="246" t="s">
        <v>219</v>
      </c>
      <c r="X509" s="246">
        <v>4</v>
      </c>
      <c r="Y509" s="246">
        <v>4</v>
      </c>
      <c r="Z509" s="246">
        <v>4</v>
      </c>
      <c r="AA509" s="246">
        <v>4</v>
      </c>
      <c r="AB509" s="246">
        <v>3</v>
      </c>
      <c r="AC509" s="246" t="s">
        <v>486</v>
      </c>
      <c r="AD509" s="246" t="s">
        <v>490</v>
      </c>
      <c r="AE509" s="246" t="s">
        <v>486</v>
      </c>
      <c r="AF509" s="246" t="s">
        <v>486</v>
      </c>
      <c r="AG509" s="246" t="s">
        <v>486</v>
      </c>
      <c r="AH509" s="246" t="s">
        <v>486</v>
      </c>
      <c r="AI509" s="246" t="s">
        <v>486</v>
      </c>
      <c r="AJ509" s="246" t="s">
        <v>486</v>
      </c>
      <c r="AK509" s="246" t="s">
        <v>486</v>
      </c>
      <c r="AL509" s="246" t="s">
        <v>545</v>
      </c>
      <c r="AM509" s="246" t="s">
        <v>486</v>
      </c>
      <c r="AN509" s="246" t="s">
        <v>486</v>
      </c>
      <c r="AO509" s="248" t="s">
        <v>486</v>
      </c>
      <c r="AP509" s="247" t="s">
        <v>486</v>
      </c>
      <c r="AQ509" s="249" t="s">
        <v>486</v>
      </c>
      <c r="AR509" s="246" t="s">
        <v>486</v>
      </c>
    </row>
    <row r="510" spans="1:44" ht="15" x14ac:dyDescent="0.25">
      <c r="A510" s="250" t="str">
        <f>HYPERLINK("http://www.ofsted.gov.uk/inspection-reports/find-inspection-report/provider/ELS/100530 ","Ofsted School Webpage")</f>
        <v>Ofsted School Webpage</v>
      </c>
      <c r="B510" s="251">
        <v>100530</v>
      </c>
      <c r="C510" s="251">
        <v>2126401</v>
      </c>
      <c r="D510" s="251" t="s">
        <v>2386</v>
      </c>
      <c r="E510" s="251" t="s">
        <v>247</v>
      </c>
      <c r="F510" s="251" t="s">
        <v>93</v>
      </c>
      <c r="G510" s="251" t="s">
        <v>74</v>
      </c>
      <c r="H510" s="251" t="s">
        <v>74</v>
      </c>
      <c r="I510" s="251" t="s">
        <v>71</v>
      </c>
      <c r="J510" s="251" t="s">
        <v>1490</v>
      </c>
      <c r="K510" s="251" t="s">
        <v>486</v>
      </c>
      <c r="L510" s="251" t="s">
        <v>487</v>
      </c>
      <c r="M510" s="251" t="s">
        <v>506</v>
      </c>
      <c r="N510" s="251" t="s">
        <v>506</v>
      </c>
      <c r="O510" s="251" t="s">
        <v>837</v>
      </c>
      <c r="P510" s="251" t="s">
        <v>2387</v>
      </c>
      <c r="Q510" s="252">
        <v>10035775</v>
      </c>
      <c r="R510" s="253">
        <v>43137</v>
      </c>
      <c r="S510" s="253">
        <v>43139</v>
      </c>
      <c r="T510" s="253">
        <v>43180</v>
      </c>
      <c r="U510" s="251" t="s">
        <v>488</v>
      </c>
      <c r="V510" s="251">
        <v>1</v>
      </c>
      <c r="W510" s="251" t="s">
        <v>219</v>
      </c>
      <c r="X510" s="251">
        <v>1</v>
      </c>
      <c r="Y510" s="251">
        <v>1</v>
      </c>
      <c r="Z510" s="251">
        <v>1</v>
      </c>
      <c r="AA510" s="251">
        <v>1</v>
      </c>
      <c r="AB510" s="251">
        <v>1</v>
      </c>
      <c r="AC510" s="251" t="s">
        <v>486</v>
      </c>
      <c r="AD510" s="251" t="s">
        <v>490</v>
      </c>
      <c r="AE510" s="251" t="s">
        <v>486</v>
      </c>
      <c r="AF510" s="251" t="s">
        <v>486</v>
      </c>
      <c r="AG510" s="251" t="s">
        <v>486</v>
      </c>
      <c r="AH510" s="251" t="s">
        <v>486</v>
      </c>
      <c r="AI510" s="251" t="s">
        <v>486</v>
      </c>
      <c r="AJ510" s="251" t="s">
        <v>486</v>
      </c>
      <c r="AK510" s="251" t="s">
        <v>486</v>
      </c>
      <c r="AL510" s="251" t="s">
        <v>491</v>
      </c>
      <c r="AM510" s="251" t="s">
        <v>486</v>
      </c>
      <c r="AN510" s="251" t="s">
        <v>486</v>
      </c>
      <c r="AO510" s="253" t="s">
        <v>486</v>
      </c>
      <c r="AP510" s="252" t="s">
        <v>486</v>
      </c>
      <c r="AQ510" s="254" t="s">
        <v>486</v>
      </c>
      <c r="AR510" s="251" t="s">
        <v>486</v>
      </c>
    </row>
    <row r="511" spans="1:44" ht="15" x14ac:dyDescent="0.25">
      <c r="A511" s="245" t="str">
        <f>HYPERLINK("http://www.ofsted.gov.uk/inspection-reports/find-inspection-report/provider/ELS/101385 ","Ofsted School Webpage")</f>
        <v>Ofsted School Webpage</v>
      </c>
      <c r="B511" s="246">
        <v>101385</v>
      </c>
      <c r="C511" s="246">
        <v>3026084</v>
      </c>
      <c r="D511" s="246" t="s">
        <v>2388</v>
      </c>
      <c r="E511" s="246" t="s">
        <v>247</v>
      </c>
      <c r="F511" s="246" t="s">
        <v>93</v>
      </c>
      <c r="G511" s="246" t="s">
        <v>81</v>
      </c>
      <c r="H511" s="246" t="s">
        <v>81</v>
      </c>
      <c r="I511" s="246" t="s">
        <v>81</v>
      </c>
      <c r="J511" s="246" t="s">
        <v>1490</v>
      </c>
      <c r="K511" s="246" t="s">
        <v>486</v>
      </c>
      <c r="L511" s="246" t="s">
        <v>487</v>
      </c>
      <c r="M511" s="246" t="s">
        <v>506</v>
      </c>
      <c r="N511" s="246" t="s">
        <v>506</v>
      </c>
      <c r="O511" s="246" t="s">
        <v>614</v>
      </c>
      <c r="P511" s="246" t="s">
        <v>2389</v>
      </c>
      <c r="Q511" s="247">
        <v>10038153</v>
      </c>
      <c r="R511" s="248">
        <v>43137</v>
      </c>
      <c r="S511" s="248">
        <v>43139</v>
      </c>
      <c r="T511" s="248">
        <v>43166</v>
      </c>
      <c r="U511" s="246" t="s">
        <v>488</v>
      </c>
      <c r="V511" s="246">
        <v>2</v>
      </c>
      <c r="W511" s="246" t="s">
        <v>219</v>
      </c>
      <c r="X511" s="246">
        <v>2</v>
      </c>
      <c r="Y511" s="246">
        <v>2</v>
      </c>
      <c r="Z511" s="246">
        <v>2</v>
      </c>
      <c r="AA511" s="246">
        <v>2</v>
      </c>
      <c r="AB511" s="246" t="s">
        <v>486</v>
      </c>
      <c r="AC511" s="246" t="s">
        <v>486</v>
      </c>
      <c r="AD511" s="246" t="s">
        <v>490</v>
      </c>
      <c r="AE511" s="246" t="s">
        <v>486</v>
      </c>
      <c r="AF511" s="246" t="s">
        <v>486</v>
      </c>
      <c r="AG511" s="246" t="s">
        <v>486</v>
      </c>
      <c r="AH511" s="246" t="s">
        <v>486</v>
      </c>
      <c r="AI511" s="246" t="s">
        <v>486</v>
      </c>
      <c r="AJ511" s="246" t="s">
        <v>486</v>
      </c>
      <c r="AK511" s="246" t="s">
        <v>486</v>
      </c>
      <c r="AL511" s="246" t="s">
        <v>491</v>
      </c>
      <c r="AM511" s="246" t="s">
        <v>486</v>
      </c>
      <c r="AN511" s="246" t="s">
        <v>486</v>
      </c>
      <c r="AO511" s="248" t="s">
        <v>486</v>
      </c>
      <c r="AP511" s="247" t="s">
        <v>486</v>
      </c>
      <c r="AQ511" s="249" t="s">
        <v>486</v>
      </c>
      <c r="AR511" s="246" t="s">
        <v>486</v>
      </c>
    </row>
    <row r="512" spans="1:44" ht="15" x14ac:dyDescent="0.25">
      <c r="A512" s="250" t="str">
        <f>HYPERLINK("http://www.ofsted.gov.uk/inspection-reports/find-inspection-report/provider/ELS/102869 ","Ofsted School Webpage")</f>
        <v>Ofsted School Webpage</v>
      </c>
      <c r="B512" s="251">
        <v>102869</v>
      </c>
      <c r="C512" s="251">
        <v>3176055</v>
      </c>
      <c r="D512" s="251" t="s">
        <v>1129</v>
      </c>
      <c r="E512" s="251" t="s">
        <v>247</v>
      </c>
      <c r="F512" s="251" t="s">
        <v>93</v>
      </c>
      <c r="G512" s="251" t="s">
        <v>93</v>
      </c>
      <c r="H512" s="251" t="s">
        <v>93</v>
      </c>
      <c r="I512" s="251" t="s">
        <v>90</v>
      </c>
      <c r="J512" s="251" t="s">
        <v>1490</v>
      </c>
      <c r="K512" s="251" t="s">
        <v>486</v>
      </c>
      <c r="L512" s="251" t="s">
        <v>487</v>
      </c>
      <c r="M512" s="251" t="s">
        <v>506</v>
      </c>
      <c r="N512" s="251" t="s">
        <v>506</v>
      </c>
      <c r="O512" s="251" t="s">
        <v>731</v>
      </c>
      <c r="P512" s="251" t="s">
        <v>1130</v>
      </c>
      <c r="Q512" s="252">
        <v>10041396</v>
      </c>
      <c r="R512" s="253">
        <v>43137</v>
      </c>
      <c r="S512" s="253">
        <v>43139</v>
      </c>
      <c r="T512" s="253">
        <v>43313</v>
      </c>
      <c r="U512" s="251" t="s">
        <v>488</v>
      </c>
      <c r="V512" s="251">
        <v>4</v>
      </c>
      <c r="W512" s="251" t="s">
        <v>220</v>
      </c>
      <c r="X512" s="251">
        <v>4</v>
      </c>
      <c r="Y512" s="251">
        <v>4</v>
      </c>
      <c r="Z512" s="251">
        <v>3</v>
      </c>
      <c r="AA512" s="251">
        <v>3</v>
      </c>
      <c r="AB512" s="251">
        <v>4</v>
      </c>
      <c r="AC512" s="251" t="s">
        <v>486</v>
      </c>
      <c r="AD512" s="251" t="s">
        <v>490</v>
      </c>
      <c r="AE512" s="251" t="s">
        <v>486</v>
      </c>
      <c r="AF512" s="251" t="s">
        <v>486</v>
      </c>
      <c r="AG512" s="251" t="s">
        <v>486</v>
      </c>
      <c r="AH512" s="251" t="s">
        <v>486</v>
      </c>
      <c r="AI512" s="251" t="s">
        <v>486</v>
      </c>
      <c r="AJ512" s="251" t="s">
        <v>486</v>
      </c>
      <c r="AK512" s="251" t="s">
        <v>486</v>
      </c>
      <c r="AL512" s="251" t="s">
        <v>545</v>
      </c>
      <c r="AM512" s="251">
        <v>10067102</v>
      </c>
      <c r="AN512" s="251" t="s">
        <v>1109</v>
      </c>
      <c r="AO512" s="253">
        <v>43354</v>
      </c>
      <c r="AP512" s="252" t="s">
        <v>1523</v>
      </c>
      <c r="AQ512" s="254">
        <v>43388</v>
      </c>
      <c r="AR512" s="251" t="s">
        <v>1110</v>
      </c>
    </row>
    <row r="513" spans="1:44" ht="15" x14ac:dyDescent="0.25">
      <c r="A513" s="245" t="str">
        <f>HYPERLINK("http://www.ofsted.gov.uk/inspection-reports/find-inspection-report/provider/ELS/105598 ","Ofsted School Webpage")</f>
        <v>Ofsted School Webpage</v>
      </c>
      <c r="B513" s="246">
        <v>105598</v>
      </c>
      <c r="C513" s="246">
        <v>3526041</v>
      </c>
      <c r="D513" s="246" t="s">
        <v>2390</v>
      </c>
      <c r="E513" s="246" t="s">
        <v>247</v>
      </c>
      <c r="F513" s="246" t="s">
        <v>83</v>
      </c>
      <c r="G513" s="246" t="s">
        <v>84</v>
      </c>
      <c r="H513" s="246" t="s">
        <v>83</v>
      </c>
      <c r="I513" s="246" t="s">
        <v>84</v>
      </c>
      <c r="J513" s="246" t="s">
        <v>1490</v>
      </c>
      <c r="K513" s="246" t="s">
        <v>486</v>
      </c>
      <c r="L513" s="246" t="s">
        <v>487</v>
      </c>
      <c r="M513" s="246" t="s">
        <v>495</v>
      </c>
      <c r="N513" s="246" t="s">
        <v>495</v>
      </c>
      <c r="O513" s="246" t="s">
        <v>744</v>
      </c>
      <c r="P513" s="246" t="s">
        <v>2391</v>
      </c>
      <c r="Q513" s="247">
        <v>10043368</v>
      </c>
      <c r="R513" s="248">
        <v>43137</v>
      </c>
      <c r="S513" s="248">
        <v>43139</v>
      </c>
      <c r="T513" s="248">
        <v>43172</v>
      </c>
      <c r="U513" s="246" t="s">
        <v>488</v>
      </c>
      <c r="V513" s="246">
        <v>2</v>
      </c>
      <c r="W513" s="246" t="s">
        <v>219</v>
      </c>
      <c r="X513" s="246">
        <v>2</v>
      </c>
      <c r="Y513" s="246">
        <v>1</v>
      </c>
      <c r="Z513" s="246">
        <v>2</v>
      </c>
      <c r="AA513" s="246">
        <v>2</v>
      </c>
      <c r="AB513" s="246">
        <v>2</v>
      </c>
      <c r="AC513" s="246" t="s">
        <v>486</v>
      </c>
      <c r="AD513" s="246" t="s">
        <v>490</v>
      </c>
      <c r="AE513" s="246" t="s">
        <v>486</v>
      </c>
      <c r="AF513" s="246" t="s">
        <v>486</v>
      </c>
      <c r="AG513" s="246" t="s">
        <v>486</v>
      </c>
      <c r="AH513" s="246" t="s">
        <v>486</v>
      </c>
      <c r="AI513" s="246" t="s">
        <v>486</v>
      </c>
      <c r="AJ513" s="246" t="s">
        <v>486</v>
      </c>
      <c r="AK513" s="246" t="s">
        <v>486</v>
      </c>
      <c r="AL513" s="246" t="s">
        <v>491</v>
      </c>
      <c r="AM513" s="246" t="s">
        <v>486</v>
      </c>
      <c r="AN513" s="246" t="s">
        <v>486</v>
      </c>
      <c r="AO513" s="248" t="s">
        <v>486</v>
      </c>
      <c r="AP513" s="247" t="s">
        <v>486</v>
      </c>
      <c r="AQ513" s="249" t="s">
        <v>486</v>
      </c>
      <c r="AR513" s="246" t="s">
        <v>486</v>
      </c>
    </row>
    <row r="514" spans="1:44" ht="15" x14ac:dyDescent="0.25">
      <c r="A514" s="250" t="str">
        <f>HYPERLINK("http://www.ofsted.gov.uk/inspection-reports/find-inspection-report/provider/ELS/117044 ","Ofsted School Webpage")</f>
        <v>Ofsted School Webpage</v>
      </c>
      <c r="B514" s="251">
        <v>117044</v>
      </c>
      <c r="C514" s="251">
        <v>8856031</v>
      </c>
      <c r="D514" s="251" t="s">
        <v>1303</v>
      </c>
      <c r="E514" s="251" t="s">
        <v>247</v>
      </c>
      <c r="F514" s="251" t="s">
        <v>93</v>
      </c>
      <c r="G514" s="251" t="s">
        <v>84</v>
      </c>
      <c r="H514" s="251" t="s">
        <v>84</v>
      </c>
      <c r="I514" s="251" t="s">
        <v>84</v>
      </c>
      <c r="J514" s="251" t="s">
        <v>1490</v>
      </c>
      <c r="K514" s="251" t="s">
        <v>486</v>
      </c>
      <c r="L514" s="251" t="s">
        <v>487</v>
      </c>
      <c r="M514" s="251" t="s">
        <v>502</v>
      </c>
      <c r="N514" s="251" t="s">
        <v>502</v>
      </c>
      <c r="O514" s="251" t="s">
        <v>550</v>
      </c>
      <c r="P514" s="251" t="s">
        <v>1304</v>
      </c>
      <c r="Q514" s="252">
        <v>10041363</v>
      </c>
      <c r="R514" s="253">
        <v>43137</v>
      </c>
      <c r="S514" s="253">
        <v>43139</v>
      </c>
      <c r="T514" s="253">
        <v>43255</v>
      </c>
      <c r="U514" s="251" t="s">
        <v>624</v>
      </c>
      <c r="V514" s="251">
        <v>4</v>
      </c>
      <c r="W514" s="251" t="s">
        <v>220</v>
      </c>
      <c r="X514" s="251">
        <v>4</v>
      </c>
      <c r="Y514" s="251">
        <v>4</v>
      </c>
      <c r="Z514" s="251">
        <v>2</v>
      </c>
      <c r="AA514" s="251">
        <v>2</v>
      </c>
      <c r="AB514" s="251" t="s">
        <v>486</v>
      </c>
      <c r="AC514" s="251">
        <v>4</v>
      </c>
      <c r="AD514" s="251" t="s">
        <v>490</v>
      </c>
      <c r="AE514" s="251" t="s">
        <v>486</v>
      </c>
      <c r="AF514" s="251" t="s">
        <v>486</v>
      </c>
      <c r="AG514" s="251" t="s">
        <v>486</v>
      </c>
      <c r="AH514" s="251" t="s">
        <v>486</v>
      </c>
      <c r="AI514" s="251" t="s">
        <v>486</v>
      </c>
      <c r="AJ514" s="251" t="s">
        <v>486</v>
      </c>
      <c r="AK514" s="251" t="s">
        <v>486</v>
      </c>
      <c r="AL514" s="251" t="s">
        <v>545</v>
      </c>
      <c r="AM514" s="251" t="s">
        <v>486</v>
      </c>
      <c r="AN514" s="251" t="s">
        <v>486</v>
      </c>
      <c r="AO514" s="253" t="s">
        <v>486</v>
      </c>
      <c r="AP514" s="252" t="s">
        <v>486</v>
      </c>
      <c r="AQ514" s="254" t="s">
        <v>486</v>
      </c>
      <c r="AR514" s="251" t="s">
        <v>486</v>
      </c>
    </row>
    <row r="515" spans="1:44" ht="15" x14ac:dyDescent="0.25">
      <c r="A515" s="245" t="str">
        <f>HYPERLINK("http://www.ofsted.gov.uk/inspection-reports/find-inspection-report/provider/ELS/131164 ","Ofsted School Webpage")</f>
        <v>Ofsted School Webpage</v>
      </c>
      <c r="B515" s="246">
        <v>131164</v>
      </c>
      <c r="C515" s="246">
        <v>3306094</v>
      </c>
      <c r="D515" s="246" t="s">
        <v>2392</v>
      </c>
      <c r="E515" s="246" t="s">
        <v>247</v>
      </c>
      <c r="F515" s="246" t="s">
        <v>93</v>
      </c>
      <c r="G515" s="246" t="s">
        <v>83</v>
      </c>
      <c r="H515" s="246" t="s">
        <v>83</v>
      </c>
      <c r="I515" s="246" t="s">
        <v>84</v>
      </c>
      <c r="J515" s="246" t="s">
        <v>1490</v>
      </c>
      <c r="K515" s="246" t="s">
        <v>486</v>
      </c>
      <c r="L515" s="246" t="s">
        <v>487</v>
      </c>
      <c r="M515" s="246" t="s">
        <v>502</v>
      </c>
      <c r="N515" s="246" t="s">
        <v>502</v>
      </c>
      <c r="O515" s="246" t="s">
        <v>909</v>
      </c>
      <c r="P515" s="246" t="s">
        <v>2393</v>
      </c>
      <c r="Q515" s="247">
        <v>10033566</v>
      </c>
      <c r="R515" s="248">
        <v>43137</v>
      </c>
      <c r="S515" s="248">
        <v>43139</v>
      </c>
      <c r="T515" s="248">
        <v>43167</v>
      </c>
      <c r="U515" s="246" t="s">
        <v>488</v>
      </c>
      <c r="V515" s="246">
        <v>3</v>
      </c>
      <c r="W515" s="246" t="s">
        <v>219</v>
      </c>
      <c r="X515" s="246">
        <v>3</v>
      </c>
      <c r="Y515" s="246">
        <v>2</v>
      </c>
      <c r="Z515" s="246">
        <v>3</v>
      </c>
      <c r="AA515" s="246">
        <v>3</v>
      </c>
      <c r="AB515" s="246" t="s">
        <v>486</v>
      </c>
      <c r="AC515" s="246" t="s">
        <v>486</v>
      </c>
      <c r="AD515" s="246" t="s">
        <v>490</v>
      </c>
      <c r="AE515" s="246" t="s">
        <v>486</v>
      </c>
      <c r="AF515" s="246" t="s">
        <v>486</v>
      </c>
      <c r="AG515" s="246" t="s">
        <v>486</v>
      </c>
      <c r="AH515" s="246" t="s">
        <v>486</v>
      </c>
      <c r="AI515" s="246" t="s">
        <v>486</v>
      </c>
      <c r="AJ515" s="246" t="s">
        <v>486</v>
      </c>
      <c r="AK515" s="246" t="s">
        <v>486</v>
      </c>
      <c r="AL515" s="246" t="s">
        <v>545</v>
      </c>
      <c r="AM515" s="246" t="s">
        <v>486</v>
      </c>
      <c r="AN515" s="246" t="s">
        <v>486</v>
      </c>
      <c r="AO515" s="248" t="s">
        <v>486</v>
      </c>
      <c r="AP515" s="247" t="s">
        <v>486</v>
      </c>
      <c r="AQ515" s="249" t="s">
        <v>486</v>
      </c>
      <c r="AR515" s="246" t="s">
        <v>486</v>
      </c>
    </row>
    <row r="516" spans="1:44" ht="15" x14ac:dyDescent="0.25">
      <c r="A516" s="250" t="str">
        <f>HYPERLINK("http://www.ofsted.gov.uk/inspection-reports/find-inspection-report/provider/ELS/131198 ","Ofsted School Webpage")</f>
        <v>Ofsted School Webpage</v>
      </c>
      <c r="B516" s="251">
        <v>131198</v>
      </c>
      <c r="C516" s="251">
        <v>2116386</v>
      </c>
      <c r="D516" s="251" t="s">
        <v>2394</v>
      </c>
      <c r="E516" s="251" t="s">
        <v>247</v>
      </c>
      <c r="F516" s="251" t="s">
        <v>93</v>
      </c>
      <c r="G516" s="251" t="s">
        <v>93</v>
      </c>
      <c r="H516" s="251" t="s">
        <v>93</v>
      </c>
      <c r="I516" s="251" t="s">
        <v>90</v>
      </c>
      <c r="J516" s="251" t="s">
        <v>1490</v>
      </c>
      <c r="K516" s="251" t="s">
        <v>486</v>
      </c>
      <c r="L516" s="251" t="s">
        <v>487</v>
      </c>
      <c r="M516" s="251" t="s">
        <v>506</v>
      </c>
      <c r="N516" s="251" t="s">
        <v>506</v>
      </c>
      <c r="O516" s="251" t="s">
        <v>849</v>
      </c>
      <c r="P516" s="251" t="s">
        <v>2395</v>
      </c>
      <c r="Q516" s="252">
        <v>10012780</v>
      </c>
      <c r="R516" s="253">
        <v>43137</v>
      </c>
      <c r="S516" s="253">
        <v>43139</v>
      </c>
      <c r="T516" s="253">
        <v>43166</v>
      </c>
      <c r="U516" s="251" t="s">
        <v>488</v>
      </c>
      <c r="V516" s="251">
        <v>2</v>
      </c>
      <c r="W516" s="251" t="s">
        <v>219</v>
      </c>
      <c r="X516" s="251">
        <v>2</v>
      </c>
      <c r="Y516" s="251">
        <v>2</v>
      </c>
      <c r="Z516" s="251">
        <v>2</v>
      </c>
      <c r="AA516" s="251">
        <v>2</v>
      </c>
      <c r="AB516" s="251">
        <v>2</v>
      </c>
      <c r="AC516" s="251" t="s">
        <v>486</v>
      </c>
      <c r="AD516" s="251" t="s">
        <v>490</v>
      </c>
      <c r="AE516" s="251" t="s">
        <v>486</v>
      </c>
      <c r="AF516" s="251" t="s">
        <v>486</v>
      </c>
      <c r="AG516" s="251" t="s">
        <v>486</v>
      </c>
      <c r="AH516" s="251" t="s">
        <v>486</v>
      </c>
      <c r="AI516" s="251" t="s">
        <v>486</v>
      </c>
      <c r="AJ516" s="251" t="s">
        <v>486</v>
      </c>
      <c r="AK516" s="251" t="s">
        <v>486</v>
      </c>
      <c r="AL516" s="251" t="s">
        <v>491</v>
      </c>
      <c r="AM516" s="251" t="s">
        <v>486</v>
      </c>
      <c r="AN516" s="251" t="s">
        <v>486</v>
      </c>
      <c r="AO516" s="253" t="s">
        <v>486</v>
      </c>
      <c r="AP516" s="252" t="s">
        <v>486</v>
      </c>
      <c r="AQ516" s="254" t="s">
        <v>486</v>
      </c>
      <c r="AR516" s="251" t="s">
        <v>486</v>
      </c>
    </row>
    <row r="517" spans="1:44" ht="15" x14ac:dyDescent="0.25">
      <c r="A517" s="245" t="str">
        <f>HYPERLINK("http://www.ofsted.gov.uk/inspection-reports/find-inspection-report/provider/ELS/131745 ","Ofsted School Webpage")</f>
        <v>Ofsted School Webpage</v>
      </c>
      <c r="B517" s="246">
        <v>131745</v>
      </c>
      <c r="C517" s="246">
        <v>2116389</v>
      </c>
      <c r="D517" s="246" t="s">
        <v>1186</v>
      </c>
      <c r="E517" s="246" t="s">
        <v>247</v>
      </c>
      <c r="F517" s="246" t="s">
        <v>93</v>
      </c>
      <c r="G517" s="246" t="s">
        <v>84</v>
      </c>
      <c r="H517" s="246" t="s">
        <v>84</v>
      </c>
      <c r="I517" s="246" t="s">
        <v>84</v>
      </c>
      <c r="J517" s="246" t="s">
        <v>1490</v>
      </c>
      <c r="K517" s="246" t="s">
        <v>486</v>
      </c>
      <c r="L517" s="246" t="s">
        <v>487</v>
      </c>
      <c r="M517" s="246" t="s">
        <v>506</v>
      </c>
      <c r="N517" s="246" t="s">
        <v>506</v>
      </c>
      <c r="O517" s="246" t="s">
        <v>849</v>
      </c>
      <c r="P517" s="246" t="s">
        <v>1187</v>
      </c>
      <c r="Q517" s="247">
        <v>10044537</v>
      </c>
      <c r="R517" s="248">
        <v>43137</v>
      </c>
      <c r="S517" s="248">
        <v>43139</v>
      </c>
      <c r="T517" s="248">
        <v>43179</v>
      </c>
      <c r="U517" s="246" t="s">
        <v>488</v>
      </c>
      <c r="V517" s="246">
        <v>4</v>
      </c>
      <c r="W517" s="246" t="s">
        <v>220</v>
      </c>
      <c r="X517" s="246">
        <v>4</v>
      </c>
      <c r="Y517" s="246">
        <v>4</v>
      </c>
      <c r="Z517" s="246">
        <v>3</v>
      </c>
      <c r="AA517" s="246">
        <v>3</v>
      </c>
      <c r="AB517" s="246" t="s">
        <v>486</v>
      </c>
      <c r="AC517" s="246">
        <v>4</v>
      </c>
      <c r="AD517" s="246" t="s">
        <v>512</v>
      </c>
      <c r="AE517" s="246" t="s">
        <v>490</v>
      </c>
      <c r="AF517" s="246" t="s">
        <v>486</v>
      </c>
      <c r="AG517" s="246" t="s">
        <v>486</v>
      </c>
      <c r="AH517" s="246" t="s">
        <v>486</v>
      </c>
      <c r="AI517" s="246" t="s">
        <v>486</v>
      </c>
      <c r="AJ517" s="246" t="s">
        <v>486</v>
      </c>
      <c r="AK517" s="246" t="s">
        <v>486</v>
      </c>
      <c r="AL517" s="246" t="s">
        <v>545</v>
      </c>
      <c r="AM517" s="246">
        <v>10056479</v>
      </c>
      <c r="AN517" s="246" t="s">
        <v>1109</v>
      </c>
      <c r="AO517" s="248">
        <v>43376</v>
      </c>
      <c r="AP517" s="247" t="s">
        <v>1523</v>
      </c>
      <c r="AQ517" s="249">
        <v>43405</v>
      </c>
      <c r="AR517" s="246" t="s">
        <v>1110</v>
      </c>
    </row>
    <row r="518" spans="1:44" ht="15" x14ac:dyDescent="0.25">
      <c r="A518" s="250" t="str">
        <f>HYPERLINK("http://www.ofsted.gov.uk/inspection-reports/find-inspection-report/provider/ELS/135373 ","Ofsted School Webpage")</f>
        <v>Ofsted School Webpage</v>
      </c>
      <c r="B518" s="251">
        <v>135373</v>
      </c>
      <c r="C518" s="251">
        <v>3046121</v>
      </c>
      <c r="D518" s="251" t="s">
        <v>2396</v>
      </c>
      <c r="E518" s="251" t="s">
        <v>248</v>
      </c>
      <c r="F518" s="251" t="s">
        <v>93</v>
      </c>
      <c r="G518" s="251" t="s">
        <v>93</v>
      </c>
      <c r="H518" s="251" t="s">
        <v>93</v>
      </c>
      <c r="I518" s="251" t="s">
        <v>90</v>
      </c>
      <c r="J518" s="251" t="s">
        <v>1490</v>
      </c>
      <c r="K518" s="251" t="s">
        <v>486</v>
      </c>
      <c r="L518" s="251" t="s">
        <v>487</v>
      </c>
      <c r="M518" s="251" t="s">
        <v>506</v>
      </c>
      <c r="N518" s="251" t="s">
        <v>506</v>
      </c>
      <c r="O518" s="251" t="s">
        <v>543</v>
      </c>
      <c r="P518" s="251" t="s">
        <v>2397</v>
      </c>
      <c r="Q518" s="252">
        <v>10041399</v>
      </c>
      <c r="R518" s="253">
        <v>43137</v>
      </c>
      <c r="S518" s="253">
        <v>43139</v>
      </c>
      <c r="T518" s="253">
        <v>43166</v>
      </c>
      <c r="U518" s="251" t="s">
        <v>488</v>
      </c>
      <c r="V518" s="251">
        <v>2</v>
      </c>
      <c r="W518" s="251" t="s">
        <v>219</v>
      </c>
      <c r="X518" s="251">
        <v>2</v>
      </c>
      <c r="Y518" s="251">
        <v>1</v>
      </c>
      <c r="Z518" s="251">
        <v>1</v>
      </c>
      <c r="AA518" s="251">
        <v>1</v>
      </c>
      <c r="AB518" s="251" t="s">
        <v>486</v>
      </c>
      <c r="AC518" s="251" t="s">
        <v>486</v>
      </c>
      <c r="AD518" s="251" t="s">
        <v>490</v>
      </c>
      <c r="AE518" s="251" t="s">
        <v>486</v>
      </c>
      <c r="AF518" s="251" t="s">
        <v>486</v>
      </c>
      <c r="AG518" s="251" t="s">
        <v>486</v>
      </c>
      <c r="AH518" s="251" t="s">
        <v>486</v>
      </c>
      <c r="AI518" s="251" t="s">
        <v>486</v>
      </c>
      <c r="AJ518" s="251" t="s">
        <v>486</v>
      </c>
      <c r="AK518" s="251" t="s">
        <v>486</v>
      </c>
      <c r="AL518" s="251" t="s">
        <v>491</v>
      </c>
      <c r="AM518" s="251" t="s">
        <v>486</v>
      </c>
      <c r="AN518" s="251" t="s">
        <v>486</v>
      </c>
      <c r="AO518" s="253" t="s">
        <v>486</v>
      </c>
      <c r="AP518" s="252" t="s">
        <v>486</v>
      </c>
      <c r="AQ518" s="254" t="s">
        <v>486</v>
      </c>
      <c r="AR518" s="251" t="s">
        <v>486</v>
      </c>
    </row>
    <row r="519" spans="1:44" ht="15" x14ac:dyDescent="0.25">
      <c r="A519" s="245" t="str">
        <f>HYPERLINK("http://www.ofsted.gov.uk/inspection-reports/find-inspection-report/provider/ELS/135424 ","Ofsted School Webpage")</f>
        <v>Ofsted School Webpage</v>
      </c>
      <c r="B519" s="246">
        <v>135424</v>
      </c>
      <c r="C519" s="246">
        <v>8056002</v>
      </c>
      <c r="D519" s="246" t="s">
        <v>2398</v>
      </c>
      <c r="E519" s="246" t="s">
        <v>248</v>
      </c>
      <c r="F519" s="246" t="s">
        <v>93</v>
      </c>
      <c r="G519" s="246" t="s">
        <v>93</v>
      </c>
      <c r="H519" s="246" t="s">
        <v>93</v>
      </c>
      <c r="I519" s="246" t="s">
        <v>90</v>
      </c>
      <c r="J519" s="246" t="s">
        <v>1490</v>
      </c>
      <c r="K519" s="246" t="s">
        <v>486</v>
      </c>
      <c r="L519" s="246" t="s">
        <v>487</v>
      </c>
      <c r="M519" s="246" t="s">
        <v>523</v>
      </c>
      <c r="N519" s="246" t="s">
        <v>539</v>
      </c>
      <c r="O519" s="246" t="s">
        <v>2399</v>
      </c>
      <c r="P519" s="246" t="s">
        <v>2400</v>
      </c>
      <c r="Q519" s="247">
        <v>10043656</v>
      </c>
      <c r="R519" s="248">
        <v>43137</v>
      </c>
      <c r="S519" s="248">
        <v>43139</v>
      </c>
      <c r="T519" s="248">
        <v>43165</v>
      </c>
      <c r="U519" s="246" t="s">
        <v>488</v>
      </c>
      <c r="V519" s="246">
        <v>2</v>
      </c>
      <c r="W519" s="246" t="s">
        <v>219</v>
      </c>
      <c r="X519" s="246">
        <v>2</v>
      </c>
      <c r="Y519" s="246">
        <v>2</v>
      </c>
      <c r="Z519" s="246">
        <v>2</v>
      </c>
      <c r="AA519" s="246">
        <v>2</v>
      </c>
      <c r="AB519" s="246" t="s">
        <v>486</v>
      </c>
      <c r="AC519" s="246" t="s">
        <v>486</v>
      </c>
      <c r="AD519" s="246" t="s">
        <v>490</v>
      </c>
      <c r="AE519" s="246" t="s">
        <v>486</v>
      </c>
      <c r="AF519" s="246" t="s">
        <v>486</v>
      </c>
      <c r="AG519" s="246" t="s">
        <v>486</v>
      </c>
      <c r="AH519" s="246" t="s">
        <v>486</v>
      </c>
      <c r="AI519" s="246" t="s">
        <v>486</v>
      </c>
      <c r="AJ519" s="246" t="s">
        <v>486</v>
      </c>
      <c r="AK519" s="246" t="s">
        <v>486</v>
      </c>
      <c r="AL519" s="246" t="s">
        <v>491</v>
      </c>
      <c r="AM519" s="246" t="s">
        <v>486</v>
      </c>
      <c r="AN519" s="246" t="s">
        <v>486</v>
      </c>
      <c r="AO519" s="248" t="s">
        <v>486</v>
      </c>
      <c r="AP519" s="247" t="s">
        <v>486</v>
      </c>
      <c r="AQ519" s="249" t="s">
        <v>486</v>
      </c>
      <c r="AR519" s="246" t="s">
        <v>486</v>
      </c>
    </row>
    <row r="520" spans="1:44" ht="15" x14ac:dyDescent="0.25">
      <c r="A520" s="250" t="str">
        <f>HYPERLINK("http://www.ofsted.gov.uk/inspection-reports/find-inspection-report/provider/ELS/138580 ","Ofsted School Webpage")</f>
        <v>Ofsted School Webpage</v>
      </c>
      <c r="B520" s="251">
        <v>138580</v>
      </c>
      <c r="C520" s="251">
        <v>8936029</v>
      </c>
      <c r="D520" s="251" t="s">
        <v>2401</v>
      </c>
      <c r="E520" s="251" t="s">
        <v>248</v>
      </c>
      <c r="F520" s="251" t="s">
        <v>93</v>
      </c>
      <c r="G520" s="251" t="s">
        <v>93</v>
      </c>
      <c r="H520" s="251" t="s">
        <v>93</v>
      </c>
      <c r="I520" s="251" t="s">
        <v>90</v>
      </c>
      <c r="J520" s="251" t="s">
        <v>1490</v>
      </c>
      <c r="K520" s="251" t="s">
        <v>486</v>
      </c>
      <c r="L520" s="251" t="s">
        <v>487</v>
      </c>
      <c r="M520" s="251" t="s">
        <v>502</v>
      </c>
      <c r="N520" s="251" t="s">
        <v>502</v>
      </c>
      <c r="O520" s="251" t="s">
        <v>666</v>
      </c>
      <c r="P520" s="251" t="s">
        <v>2402</v>
      </c>
      <c r="Q520" s="252">
        <v>10012917</v>
      </c>
      <c r="R520" s="253">
        <v>43137</v>
      </c>
      <c r="S520" s="253">
        <v>43139</v>
      </c>
      <c r="T520" s="253">
        <v>43173</v>
      </c>
      <c r="U520" s="251" t="s">
        <v>2930</v>
      </c>
      <c r="V520" s="251">
        <v>3</v>
      </c>
      <c r="W520" s="251" t="s">
        <v>219</v>
      </c>
      <c r="X520" s="251">
        <v>3</v>
      </c>
      <c r="Y520" s="251">
        <v>2</v>
      </c>
      <c r="Z520" s="251">
        <v>2</v>
      </c>
      <c r="AA520" s="251">
        <v>2</v>
      </c>
      <c r="AB520" s="251" t="s">
        <v>486</v>
      </c>
      <c r="AC520" s="251">
        <v>2</v>
      </c>
      <c r="AD520" s="251" t="s">
        <v>490</v>
      </c>
      <c r="AE520" s="251" t="s">
        <v>486</v>
      </c>
      <c r="AF520" s="251" t="s">
        <v>486</v>
      </c>
      <c r="AG520" s="251" t="s">
        <v>486</v>
      </c>
      <c r="AH520" s="251" t="s">
        <v>486</v>
      </c>
      <c r="AI520" s="251" t="s">
        <v>486</v>
      </c>
      <c r="AJ520" s="251" t="s">
        <v>486</v>
      </c>
      <c r="AK520" s="251" t="s">
        <v>486</v>
      </c>
      <c r="AL520" s="251" t="s">
        <v>545</v>
      </c>
      <c r="AM520" s="251" t="s">
        <v>486</v>
      </c>
      <c r="AN520" s="251" t="s">
        <v>486</v>
      </c>
      <c r="AO520" s="253" t="s">
        <v>486</v>
      </c>
      <c r="AP520" s="252" t="s">
        <v>486</v>
      </c>
      <c r="AQ520" s="254" t="s">
        <v>486</v>
      </c>
      <c r="AR520" s="251" t="s">
        <v>486</v>
      </c>
    </row>
    <row r="521" spans="1:44" ht="15" x14ac:dyDescent="0.25">
      <c r="A521" s="245" t="str">
        <f>HYPERLINK("http://www.ofsted.gov.uk/inspection-reports/find-inspection-report/provider/ELS/139771 ","Ofsted School Webpage")</f>
        <v>Ofsted School Webpage</v>
      </c>
      <c r="B521" s="246">
        <v>139771</v>
      </c>
      <c r="C521" s="246">
        <v>8926016</v>
      </c>
      <c r="D521" s="246" t="s">
        <v>2403</v>
      </c>
      <c r="E521" s="246" t="s">
        <v>247</v>
      </c>
      <c r="F521" s="246" t="s">
        <v>93</v>
      </c>
      <c r="G521" s="246" t="s">
        <v>71</v>
      </c>
      <c r="H521" s="246" t="s">
        <v>71</v>
      </c>
      <c r="I521" s="246" t="s">
        <v>71</v>
      </c>
      <c r="J521" s="246" t="s">
        <v>1490</v>
      </c>
      <c r="K521" s="246" t="s">
        <v>486</v>
      </c>
      <c r="L521" s="246" t="s">
        <v>487</v>
      </c>
      <c r="M521" s="246" t="s">
        <v>572</v>
      </c>
      <c r="N521" s="246" t="s">
        <v>572</v>
      </c>
      <c r="O521" s="246" t="s">
        <v>758</v>
      </c>
      <c r="P521" s="246" t="s">
        <v>2404</v>
      </c>
      <c r="Q521" s="247">
        <v>10033531</v>
      </c>
      <c r="R521" s="248">
        <v>43137</v>
      </c>
      <c r="S521" s="248">
        <v>43139</v>
      </c>
      <c r="T521" s="248">
        <v>43173</v>
      </c>
      <c r="U521" s="246" t="s">
        <v>488</v>
      </c>
      <c r="V521" s="246">
        <v>2</v>
      </c>
      <c r="W521" s="246" t="s">
        <v>219</v>
      </c>
      <c r="X521" s="246">
        <v>2</v>
      </c>
      <c r="Y521" s="246">
        <v>2</v>
      </c>
      <c r="Z521" s="246">
        <v>2</v>
      </c>
      <c r="AA521" s="246">
        <v>2</v>
      </c>
      <c r="AB521" s="246" t="s">
        <v>486</v>
      </c>
      <c r="AC521" s="246" t="s">
        <v>486</v>
      </c>
      <c r="AD521" s="246" t="s">
        <v>490</v>
      </c>
      <c r="AE521" s="246" t="s">
        <v>486</v>
      </c>
      <c r="AF521" s="246" t="s">
        <v>486</v>
      </c>
      <c r="AG521" s="246" t="s">
        <v>486</v>
      </c>
      <c r="AH521" s="246" t="s">
        <v>486</v>
      </c>
      <c r="AI521" s="246" t="s">
        <v>486</v>
      </c>
      <c r="AJ521" s="246" t="s">
        <v>486</v>
      </c>
      <c r="AK521" s="246" t="s">
        <v>486</v>
      </c>
      <c r="AL521" s="246" t="s">
        <v>491</v>
      </c>
      <c r="AM521" s="246" t="s">
        <v>486</v>
      </c>
      <c r="AN521" s="246" t="s">
        <v>486</v>
      </c>
      <c r="AO521" s="248" t="s">
        <v>486</v>
      </c>
      <c r="AP521" s="247" t="s">
        <v>486</v>
      </c>
      <c r="AQ521" s="249" t="s">
        <v>486</v>
      </c>
      <c r="AR521" s="246" t="s">
        <v>486</v>
      </c>
    </row>
    <row r="522" spans="1:44" ht="15" x14ac:dyDescent="0.25">
      <c r="A522" s="250" t="str">
        <f>HYPERLINK("http://www.ofsted.gov.uk/inspection-reports/find-inspection-report/provider/ELS/143049 ","Ofsted School Webpage")</f>
        <v>Ofsted School Webpage</v>
      </c>
      <c r="B522" s="251">
        <v>143049</v>
      </c>
      <c r="C522" s="251">
        <v>3926005</v>
      </c>
      <c r="D522" s="251" t="s">
        <v>2405</v>
      </c>
      <c r="E522" s="251" t="s">
        <v>247</v>
      </c>
      <c r="F522" s="251" t="s">
        <v>93</v>
      </c>
      <c r="G522" s="251" t="s">
        <v>93</v>
      </c>
      <c r="H522" s="251" t="s">
        <v>93</v>
      </c>
      <c r="I522" s="251" t="s">
        <v>90</v>
      </c>
      <c r="J522" s="251" t="s">
        <v>1490</v>
      </c>
      <c r="K522" s="251" t="s">
        <v>486</v>
      </c>
      <c r="L522" s="251" t="s">
        <v>487</v>
      </c>
      <c r="M522" s="251" t="s">
        <v>523</v>
      </c>
      <c r="N522" s="251" t="s">
        <v>539</v>
      </c>
      <c r="O522" s="251" t="s">
        <v>635</v>
      </c>
      <c r="P522" s="251" t="s">
        <v>2406</v>
      </c>
      <c r="Q522" s="252">
        <v>10043660</v>
      </c>
      <c r="R522" s="253">
        <v>43137</v>
      </c>
      <c r="S522" s="253">
        <v>43139</v>
      </c>
      <c r="T522" s="253">
        <v>43174</v>
      </c>
      <c r="U522" s="251" t="s">
        <v>499</v>
      </c>
      <c r="V522" s="251">
        <v>2</v>
      </c>
      <c r="W522" s="251" t="s">
        <v>219</v>
      </c>
      <c r="X522" s="251">
        <v>1</v>
      </c>
      <c r="Y522" s="251">
        <v>2</v>
      </c>
      <c r="Z522" s="251">
        <v>2</v>
      </c>
      <c r="AA522" s="251">
        <v>2</v>
      </c>
      <c r="AB522" s="251" t="s">
        <v>486</v>
      </c>
      <c r="AC522" s="251" t="s">
        <v>486</v>
      </c>
      <c r="AD522" s="251" t="s">
        <v>490</v>
      </c>
      <c r="AE522" s="251" t="s">
        <v>486</v>
      </c>
      <c r="AF522" s="251" t="s">
        <v>486</v>
      </c>
      <c r="AG522" s="251" t="s">
        <v>486</v>
      </c>
      <c r="AH522" s="251" t="s">
        <v>486</v>
      </c>
      <c r="AI522" s="251" t="s">
        <v>486</v>
      </c>
      <c r="AJ522" s="251" t="s">
        <v>486</v>
      </c>
      <c r="AK522" s="251" t="s">
        <v>486</v>
      </c>
      <c r="AL522" s="251" t="s">
        <v>491</v>
      </c>
      <c r="AM522" s="251" t="s">
        <v>486</v>
      </c>
      <c r="AN522" s="251" t="s">
        <v>486</v>
      </c>
      <c r="AO522" s="253" t="s">
        <v>486</v>
      </c>
      <c r="AP522" s="252" t="s">
        <v>486</v>
      </c>
      <c r="AQ522" s="254" t="s">
        <v>486</v>
      </c>
      <c r="AR522" s="251" t="s">
        <v>486</v>
      </c>
    </row>
    <row r="523" spans="1:44" ht="15" x14ac:dyDescent="0.25">
      <c r="A523" s="245" t="str">
        <f>HYPERLINK("http://www.ofsted.gov.uk/inspection-reports/find-inspection-report/provider/ELS/143521 ","Ofsted School Webpage")</f>
        <v>Ofsted School Webpage</v>
      </c>
      <c r="B523" s="246">
        <v>143521</v>
      </c>
      <c r="C523" s="246">
        <v>8816066</v>
      </c>
      <c r="D523" s="246" t="s">
        <v>2407</v>
      </c>
      <c r="E523" s="246" t="s">
        <v>247</v>
      </c>
      <c r="F523" s="246" t="s">
        <v>93</v>
      </c>
      <c r="G523" s="246" t="s">
        <v>71</v>
      </c>
      <c r="H523" s="246" t="s">
        <v>71</v>
      </c>
      <c r="I523" s="246" t="s">
        <v>71</v>
      </c>
      <c r="J523" s="246" t="s">
        <v>1490</v>
      </c>
      <c r="K523" s="246" t="s">
        <v>486</v>
      </c>
      <c r="L523" s="246" t="s">
        <v>487</v>
      </c>
      <c r="M523" s="246" t="s">
        <v>516</v>
      </c>
      <c r="N523" s="246" t="s">
        <v>516</v>
      </c>
      <c r="O523" s="246" t="s">
        <v>764</v>
      </c>
      <c r="P523" s="246" t="s">
        <v>2408</v>
      </c>
      <c r="Q523" s="247">
        <v>10043523</v>
      </c>
      <c r="R523" s="248">
        <v>43138</v>
      </c>
      <c r="S523" s="248">
        <v>43140</v>
      </c>
      <c r="T523" s="248">
        <v>43171</v>
      </c>
      <c r="U523" s="246" t="s">
        <v>499</v>
      </c>
      <c r="V523" s="246">
        <v>2</v>
      </c>
      <c r="W523" s="246" t="s">
        <v>219</v>
      </c>
      <c r="X523" s="246">
        <v>2</v>
      </c>
      <c r="Y523" s="246">
        <v>2</v>
      </c>
      <c r="Z523" s="246">
        <v>2</v>
      </c>
      <c r="AA523" s="246">
        <v>2</v>
      </c>
      <c r="AB523" s="246" t="s">
        <v>486</v>
      </c>
      <c r="AC523" s="246" t="s">
        <v>486</v>
      </c>
      <c r="AD523" s="246" t="s">
        <v>490</v>
      </c>
      <c r="AE523" s="246" t="s">
        <v>486</v>
      </c>
      <c r="AF523" s="246" t="s">
        <v>486</v>
      </c>
      <c r="AG523" s="246" t="s">
        <v>486</v>
      </c>
      <c r="AH523" s="246" t="s">
        <v>486</v>
      </c>
      <c r="AI523" s="246" t="s">
        <v>486</v>
      </c>
      <c r="AJ523" s="246" t="s">
        <v>486</v>
      </c>
      <c r="AK523" s="246" t="s">
        <v>486</v>
      </c>
      <c r="AL523" s="246" t="s">
        <v>491</v>
      </c>
      <c r="AM523" s="246" t="s">
        <v>486</v>
      </c>
      <c r="AN523" s="246" t="s">
        <v>486</v>
      </c>
      <c r="AO523" s="248" t="s">
        <v>486</v>
      </c>
      <c r="AP523" s="247" t="s">
        <v>486</v>
      </c>
      <c r="AQ523" s="249" t="s">
        <v>486</v>
      </c>
      <c r="AR523" s="246" t="s">
        <v>486</v>
      </c>
    </row>
    <row r="524" spans="1:44" ht="15" x14ac:dyDescent="0.25">
      <c r="A524" s="250" t="str">
        <f>HYPERLINK("http://www.ofsted.gov.uk/inspection-reports/find-inspection-report/provider/ELS/117048 ","Ofsted School Webpage")</f>
        <v>Ofsted School Webpage</v>
      </c>
      <c r="B524" s="251">
        <v>117048</v>
      </c>
      <c r="C524" s="251">
        <v>8846010</v>
      </c>
      <c r="D524" s="251" t="s">
        <v>2409</v>
      </c>
      <c r="E524" s="251" t="s">
        <v>248</v>
      </c>
      <c r="F524" s="251" t="s">
        <v>93</v>
      </c>
      <c r="G524" s="251" t="s">
        <v>93</v>
      </c>
      <c r="H524" s="251" t="s">
        <v>93</v>
      </c>
      <c r="I524" s="251" t="s">
        <v>90</v>
      </c>
      <c r="J524" s="251" t="s">
        <v>1490</v>
      </c>
      <c r="K524" s="251" t="s">
        <v>486</v>
      </c>
      <c r="L524" s="251" t="s">
        <v>487</v>
      </c>
      <c r="M524" s="251" t="s">
        <v>502</v>
      </c>
      <c r="N524" s="251" t="s">
        <v>502</v>
      </c>
      <c r="O524" s="251" t="s">
        <v>1251</v>
      </c>
      <c r="P524" s="251" t="s">
        <v>2410</v>
      </c>
      <c r="Q524" s="252">
        <v>10006074</v>
      </c>
      <c r="R524" s="253">
        <v>43144</v>
      </c>
      <c r="S524" s="253">
        <v>43146</v>
      </c>
      <c r="T524" s="253">
        <v>43186</v>
      </c>
      <c r="U524" s="251" t="s">
        <v>488</v>
      </c>
      <c r="V524" s="251">
        <v>1</v>
      </c>
      <c r="W524" s="251" t="s">
        <v>219</v>
      </c>
      <c r="X524" s="251">
        <v>1</v>
      </c>
      <c r="Y524" s="251">
        <v>1</v>
      </c>
      <c r="Z524" s="251">
        <v>1</v>
      </c>
      <c r="AA524" s="251">
        <v>1</v>
      </c>
      <c r="AB524" s="251" t="s">
        <v>486</v>
      </c>
      <c r="AC524" s="251" t="s">
        <v>486</v>
      </c>
      <c r="AD524" s="251" t="s">
        <v>490</v>
      </c>
      <c r="AE524" s="251" t="s">
        <v>486</v>
      </c>
      <c r="AF524" s="251" t="s">
        <v>486</v>
      </c>
      <c r="AG524" s="251" t="s">
        <v>486</v>
      </c>
      <c r="AH524" s="251" t="s">
        <v>486</v>
      </c>
      <c r="AI524" s="251" t="s">
        <v>486</v>
      </c>
      <c r="AJ524" s="251" t="s">
        <v>486</v>
      </c>
      <c r="AK524" s="251" t="s">
        <v>486</v>
      </c>
      <c r="AL524" s="251" t="s">
        <v>491</v>
      </c>
      <c r="AM524" s="251" t="s">
        <v>486</v>
      </c>
      <c r="AN524" s="251" t="s">
        <v>486</v>
      </c>
      <c r="AO524" s="253" t="s">
        <v>486</v>
      </c>
      <c r="AP524" s="252" t="s">
        <v>486</v>
      </c>
      <c r="AQ524" s="254" t="s">
        <v>486</v>
      </c>
      <c r="AR524" s="251" t="s">
        <v>486</v>
      </c>
    </row>
    <row r="525" spans="1:44" ht="15" x14ac:dyDescent="0.25">
      <c r="A525" s="245" t="str">
        <f>HYPERLINK("http://www.ofsted.gov.uk/inspection-reports/find-inspection-report/provider/ELS/139962 ","Ofsted School Webpage")</f>
        <v>Ofsted School Webpage</v>
      </c>
      <c r="B525" s="246">
        <v>139962</v>
      </c>
      <c r="C525" s="246">
        <v>3306015</v>
      </c>
      <c r="D525" s="246" t="s">
        <v>2411</v>
      </c>
      <c r="E525" s="246" t="s">
        <v>247</v>
      </c>
      <c r="F525" s="246" t="s">
        <v>93</v>
      </c>
      <c r="G525" s="246" t="s">
        <v>75</v>
      </c>
      <c r="H525" s="246" t="s">
        <v>75</v>
      </c>
      <c r="I525" s="246" t="s">
        <v>71</v>
      </c>
      <c r="J525" s="246" t="s">
        <v>1490</v>
      </c>
      <c r="K525" s="246" t="s">
        <v>486</v>
      </c>
      <c r="L525" s="246" t="s">
        <v>487</v>
      </c>
      <c r="M525" s="246" t="s">
        <v>502</v>
      </c>
      <c r="N525" s="246" t="s">
        <v>502</v>
      </c>
      <c r="O525" s="246" t="s">
        <v>909</v>
      </c>
      <c r="P525" s="246" t="s">
        <v>2412</v>
      </c>
      <c r="Q525" s="247">
        <v>10033583</v>
      </c>
      <c r="R525" s="248">
        <v>43144</v>
      </c>
      <c r="S525" s="248">
        <v>43146</v>
      </c>
      <c r="T525" s="248">
        <v>43174</v>
      </c>
      <c r="U525" s="246" t="s">
        <v>488</v>
      </c>
      <c r="V525" s="246">
        <v>2</v>
      </c>
      <c r="W525" s="246" t="s">
        <v>219</v>
      </c>
      <c r="X525" s="246">
        <v>2</v>
      </c>
      <c r="Y525" s="246">
        <v>2</v>
      </c>
      <c r="Z525" s="246">
        <v>2</v>
      </c>
      <c r="AA525" s="246">
        <v>2</v>
      </c>
      <c r="AB525" s="246" t="s">
        <v>486</v>
      </c>
      <c r="AC525" s="246" t="s">
        <v>486</v>
      </c>
      <c r="AD525" s="246" t="s">
        <v>490</v>
      </c>
      <c r="AE525" s="246" t="s">
        <v>486</v>
      </c>
      <c r="AF525" s="246" t="s">
        <v>486</v>
      </c>
      <c r="AG525" s="246" t="s">
        <v>486</v>
      </c>
      <c r="AH525" s="246" t="s">
        <v>486</v>
      </c>
      <c r="AI525" s="246" t="s">
        <v>486</v>
      </c>
      <c r="AJ525" s="246" t="s">
        <v>486</v>
      </c>
      <c r="AK525" s="246" t="s">
        <v>486</v>
      </c>
      <c r="AL525" s="246" t="s">
        <v>491</v>
      </c>
      <c r="AM525" s="246" t="s">
        <v>486</v>
      </c>
      <c r="AN525" s="246" t="s">
        <v>486</v>
      </c>
      <c r="AO525" s="248" t="s">
        <v>486</v>
      </c>
      <c r="AP525" s="247" t="s">
        <v>486</v>
      </c>
      <c r="AQ525" s="249" t="s">
        <v>486</v>
      </c>
      <c r="AR525" s="246" t="s">
        <v>486</v>
      </c>
    </row>
    <row r="526" spans="1:44" ht="15" x14ac:dyDescent="0.25">
      <c r="A526" s="250" t="str">
        <f>HYPERLINK("http://www.ofsted.gov.uk/inspection-reports/find-inspection-report/provider/ELS/143106 ","Ofsted School Webpage")</f>
        <v>Ofsted School Webpage</v>
      </c>
      <c r="B526" s="251">
        <v>143106</v>
      </c>
      <c r="C526" s="251">
        <v>8856045</v>
      </c>
      <c r="D526" s="251" t="s">
        <v>2413</v>
      </c>
      <c r="E526" s="251" t="s">
        <v>248</v>
      </c>
      <c r="F526" s="251" t="s">
        <v>93</v>
      </c>
      <c r="G526" s="251" t="s">
        <v>93</v>
      </c>
      <c r="H526" s="251" t="s">
        <v>93</v>
      </c>
      <c r="I526" s="251" t="s">
        <v>90</v>
      </c>
      <c r="J526" s="251" t="s">
        <v>1490</v>
      </c>
      <c r="K526" s="251" t="s">
        <v>486</v>
      </c>
      <c r="L526" s="251" t="s">
        <v>487</v>
      </c>
      <c r="M526" s="251" t="s">
        <v>502</v>
      </c>
      <c r="N526" s="251" t="s">
        <v>502</v>
      </c>
      <c r="O526" s="251" t="s">
        <v>550</v>
      </c>
      <c r="P526" s="251" t="s">
        <v>2414</v>
      </c>
      <c r="Q526" s="252">
        <v>10041368</v>
      </c>
      <c r="R526" s="253">
        <v>43144</v>
      </c>
      <c r="S526" s="253">
        <v>43146</v>
      </c>
      <c r="T526" s="253">
        <v>43181</v>
      </c>
      <c r="U526" s="251" t="s">
        <v>499</v>
      </c>
      <c r="V526" s="251">
        <v>2</v>
      </c>
      <c r="W526" s="251" t="s">
        <v>219</v>
      </c>
      <c r="X526" s="251">
        <v>2</v>
      </c>
      <c r="Y526" s="251">
        <v>2</v>
      </c>
      <c r="Z526" s="251">
        <v>2</v>
      </c>
      <c r="AA526" s="251">
        <v>3</v>
      </c>
      <c r="AB526" s="251" t="s">
        <v>486</v>
      </c>
      <c r="AC526" s="251" t="s">
        <v>486</v>
      </c>
      <c r="AD526" s="251" t="s">
        <v>490</v>
      </c>
      <c r="AE526" s="251" t="s">
        <v>486</v>
      </c>
      <c r="AF526" s="251" t="s">
        <v>486</v>
      </c>
      <c r="AG526" s="251" t="s">
        <v>486</v>
      </c>
      <c r="AH526" s="251" t="s">
        <v>486</v>
      </c>
      <c r="AI526" s="251" t="s">
        <v>486</v>
      </c>
      <c r="AJ526" s="251" t="s">
        <v>486</v>
      </c>
      <c r="AK526" s="251" t="s">
        <v>486</v>
      </c>
      <c r="AL526" s="251" t="s">
        <v>491</v>
      </c>
      <c r="AM526" s="251" t="s">
        <v>486</v>
      </c>
      <c r="AN526" s="251" t="s">
        <v>486</v>
      </c>
      <c r="AO526" s="253" t="s">
        <v>486</v>
      </c>
      <c r="AP526" s="252" t="s">
        <v>486</v>
      </c>
      <c r="AQ526" s="254" t="s">
        <v>486</v>
      </c>
      <c r="AR526" s="251" t="s">
        <v>486</v>
      </c>
    </row>
    <row r="527" spans="1:44" ht="15" x14ac:dyDescent="0.25">
      <c r="A527" s="245" t="str">
        <f>HYPERLINK("http://www.ofsted.gov.uk/inspection-reports/find-inspection-report/provider/ELS/100073 ","Ofsted School Webpage")</f>
        <v>Ofsted School Webpage</v>
      </c>
      <c r="B527" s="246">
        <v>100073</v>
      </c>
      <c r="C527" s="246">
        <v>2026264</v>
      </c>
      <c r="D527" s="246" t="s">
        <v>2415</v>
      </c>
      <c r="E527" s="246" t="s">
        <v>247</v>
      </c>
      <c r="F527" s="246" t="s">
        <v>93</v>
      </c>
      <c r="G527" s="246" t="s">
        <v>93</v>
      </c>
      <c r="H527" s="246" t="s">
        <v>93</v>
      </c>
      <c r="I527" s="246" t="s">
        <v>90</v>
      </c>
      <c r="J527" s="246" t="s">
        <v>1490</v>
      </c>
      <c r="K527" s="246" t="s">
        <v>486</v>
      </c>
      <c r="L527" s="246" t="s">
        <v>487</v>
      </c>
      <c r="M527" s="246" t="s">
        <v>506</v>
      </c>
      <c r="N527" s="246" t="s">
        <v>506</v>
      </c>
      <c r="O527" s="246" t="s">
        <v>1177</v>
      </c>
      <c r="P527" s="246" t="s">
        <v>2416</v>
      </c>
      <c r="Q527" s="247">
        <v>10038147</v>
      </c>
      <c r="R527" s="248">
        <v>43151</v>
      </c>
      <c r="S527" s="248">
        <v>43153</v>
      </c>
      <c r="T527" s="248">
        <v>43173</v>
      </c>
      <c r="U527" s="246" t="s">
        <v>488</v>
      </c>
      <c r="V527" s="246">
        <v>1</v>
      </c>
      <c r="W527" s="246" t="s">
        <v>219</v>
      </c>
      <c r="X527" s="246">
        <v>1</v>
      </c>
      <c r="Y527" s="246">
        <v>1</v>
      </c>
      <c r="Z527" s="246">
        <v>1</v>
      </c>
      <c r="AA527" s="246">
        <v>1</v>
      </c>
      <c r="AB527" s="246">
        <v>1</v>
      </c>
      <c r="AC527" s="246" t="s">
        <v>486</v>
      </c>
      <c r="AD527" s="246" t="s">
        <v>490</v>
      </c>
      <c r="AE527" s="246" t="s">
        <v>486</v>
      </c>
      <c r="AF527" s="246" t="s">
        <v>486</v>
      </c>
      <c r="AG527" s="246" t="s">
        <v>486</v>
      </c>
      <c r="AH527" s="246" t="s">
        <v>486</v>
      </c>
      <c r="AI527" s="246" t="s">
        <v>486</v>
      </c>
      <c r="AJ527" s="246" t="s">
        <v>486</v>
      </c>
      <c r="AK527" s="246" t="s">
        <v>486</v>
      </c>
      <c r="AL527" s="246" t="s">
        <v>491</v>
      </c>
      <c r="AM527" s="246" t="s">
        <v>486</v>
      </c>
      <c r="AN527" s="246" t="s">
        <v>486</v>
      </c>
      <c r="AO527" s="248" t="s">
        <v>486</v>
      </c>
      <c r="AP527" s="247" t="s">
        <v>486</v>
      </c>
      <c r="AQ527" s="249" t="s">
        <v>486</v>
      </c>
      <c r="AR527" s="246" t="s">
        <v>486</v>
      </c>
    </row>
    <row r="528" spans="1:44" ht="15" x14ac:dyDescent="0.25">
      <c r="A528" s="250" t="str">
        <f>HYPERLINK("http://www.ofsted.gov.uk/inspection-reports/find-inspection-report/provider/ELS/100462 ","Ofsted School Webpage")</f>
        <v>Ofsted School Webpage</v>
      </c>
      <c r="B528" s="251">
        <v>100462</v>
      </c>
      <c r="C528" s="251">
        <v>2066299</v>
      </c>
      <c r="D528" s="251" t="s">
        <v>2417</v>
      </c>
      <c r="E528" s="251" t="s">
        <v>247</v>
      </c>
      <c r="F528" s="251" t="s">
        <v>93</v>
      </c>
      <c r="G528" s="251" t="s">
        <v>93</v>
      </c>
      <c r="H528" s="251" t="s">
        <v>93</v>
      </c>
      <c r="I528" s="251" t="s">
        <v>90</v>
      </c>
      <c r="J528" s="251" t="s">
        <v>1490</v>
      </c>
      <c r="K528" s="251" t="s">
        <v>486</v>
      </c>
      <c r="L528" s="251" t="s">
        <v>487</v>
      </c>
      <c r="M528" s="251" t="s">
        <v>506</v>
      </c>
      <c r="N528" s="251" t="s">
        <v>506</v>
      </c>
      <c r="O528" s="251" t="s">
        <v>753</v>
      </c>
      <c r="P528" s="251" t="s">
        <v>2418</v>
      </c>
      <c r="Q528" s="252">
        <v>10041394</v>
      </c>
      <c r="R528" s="253">
        <v>43151</v>
      </c>
      <c r="S528" s="253">
        <v>43153</v>
      </c>
      <c r="T528" s="253">
        <v>43179</v>
      </c>
      <c r="U528" s="251" t="s">
        <v>488</v>
      </c>
      <c r="V528" s="251">
        <v>1</v>
      </c>
      <c r="W528" s="251" t="s">
        <v>219</v>
      </c>
      <c r="X528" s="251">
        <v>1</v>
      </c>
      <c r="Y528" s="251">
        <v>1</v>
      </c>
      <c r="Z528" s="251">
        <v>1</v>
      </c>
      <c r="AA528" s="251">
        <v>1</v>
      </c>
      <c r="AB528" s="251">
        <v>1</v>
      </c>
      <c r="AC528" s="251" t="s">
        <v>486</v>
      </c>
      <c r="AD528" s="251" t="s">
        <v>490</v>
      </c>
      <c r="AE528" s="251" t="s">
        <v>486</v>
      </c>
      <c r="AF528" s="251" t="s">
        <v>486</v>
      </c>
      <c r="AG528" s="251" t="s">
        <v>486</v>
      </c>
      <c r="AH528" s="251" t="s">
        <v>486</v>
      </c>
      <c r="AI528" s="251" t="s">
        <v>486</v>
      </c>
      <c r="AJ528" s="251" t="s">
        <v>486</v>
      </c>
      <c r="AK528" s="251" t="s">
        <v>486</v>
      </c>
      <c r="AL528" s="251" t="s">
        <v>491</v>
      </c>
      <c r="AM528" s="251" t="s">
        <v>486</v>
      </c>
      <c r="AN528" s="251" t="s">
        <v>486</v>
      </c>
      <c r="AO528" s="253" t="s">
        <v>486</v>
      </c>
      <c r="AP528" s="252" t="s">
        <v>486</v>
      </c>
      <c r="AQ528" s="254" t="s">
        <v>486</v>
      </c>
      <c r="AR528" s="251" t="s">
        <v>486</v>
      </c>
    </row>
    <row r="529" spans="1:44" ht="15" x14ac:dyDescent="0.25">
      <c r="A529" s="245" t="str">
        <f>HYPERLINK("http://www.ofsted.gov.uk/inspection-reports/find-inspection-report/provider/ELS/123326 ","Ofsted School Webpage")</f>
        <v>Ofsted School Webpage</v>
      </c>
      <c r="B529" s="246">
        <v>123326</v>
      </c>
      <c r="C529" s="246">
        <v>9316115</v>
      </c>
      <c r="D529" s="246" t="s">
        <v>2419</v>
      </c>
      <c r="E529" s="246" t="s">
        <v>248</v>
      </c>
      <c r="F529" s="246" t="s">
        <v>93</v>
      </c>
      <c r="G529" s="246" t="s">
        <v>93</v>
      </c>
      <c r="H529" s="246" t="s">
        <v>93</v>
      </c>
      <c r="I529" s="246" t="s">
        <v>90</v>
      </c>
      <c r="J529" s="246" t="s">
        <v>1490</v>
      </c>
      <c r="K529" s="246" t="s">
        <v>486</v>
      </c>
      <c r="L529" s="246" t="s">
        <v>487</v>
      </c>
      <c r="M529" s="246" t="s">
        <v>581</v>
      </c>
      <c r="N529" s="246" t="s">
        <v>581</v>
      </c>
      <c r="O529" s="246" t="s">
        <v>1150</v>
      </c>
      <c r="P529" s="246" t="s">
        <v>2420</v>
      </c>
      <c r="Q529" s="247">
        <v>10039157</v>
      </c>
      <c r="R529" s="248">
        <v>43151</v>
      </c>
      <c r="S529" s="248">
        <v>43153</v>
      </c>
      <c r="T529" s="248">
        <v>43206</v>
      </c>
      <c r="U529" s="246" t="s">
        <v>488</v>
      </c>
      <c r="V529" s="246">
        <v>1</v>
      </c>
      <c r="W529" s="246" t="s">
        <v>219</v>
      </c>
      <c r="X529" s="246">
        <v>1</v>
      </c>
      <c r="Y529" s="246">
        <v>1</v>
      </c>
      <c r="Z529" s="246">
        <v>1</v>
      </c>
      <c r="AA529" s="246">
        <v>1</v>
      </c>
      <c r="AB529" s="246" t="s">
        <v>486</v>
      </c>
      <c r="AC529" s="246">
        <v>0</v>
      </c>
      <c r="AD529" s="246" t="s">
        <v>490</v>
      </c>
      <c r="AE529" s="246" t="s">
        <v>486</v>
      </c>
      <c r="AF529" s="246" t="s">
        <v>486</v>
      </c>
      <c r="AG529" s="246" t="s">
        <v>486</v>
      </c>
      <c r="AH529" s="246" t="s">
        <v>486</v>
      </c>
      <c r="AI529" s="246" t="s">
        <v>486</v>
      </c>
      <c r="AJ529" s="246" t="s">
        <v>486</v>
      </c>
      <c r="AK529" s="246" t="s">
        <v>486</v>
      </c>
      <c r="AL529" s="246" t="s">
        <v>491</v>
      </c>
      <c r="AM529" s="246" t="s">
        <v>486</v>
      </c>
      <c r="AN529" s="246" t="s">
        <v>486</v>
      </c>
      <c r="AO529" s="248" t="s">
        <v>486</v>
      </c>
      <c r="AP529" s="247" t="s">
        <v>486</v>
      </c>
      <c r="AQ529" s="249" t="s">
        <v>486</v>
      </c>
      <c r="AR529" s="246" t="s">
        <v>486</v>
      </c>
    </row>
    <row r="530" spans="1:44" ht="15" x14ac:dyDescent="0.25">
      <c r="A530" s="250" t="str">
        <f>HYPERLINK("http://www.ofsted.gov.uk/inspection-reports/find-inspection-report/provider/ELS/131163 ","Ofsted School Webpage")</f>
        <v>Ofsted School Webpage</v>
      </c>
      <c r="B530" s="251">
        <v>131163</v>
      </c>
      <c r="C530" s="251">
        <v>8886032</v>
      </c>
      <c r="D530" s="251" t="s">
        <v>2421</v>
      </c>
      <c r="E530" s="251" t="s">
        <v>248</v>
      </c>
      <c r="F530" s="251" t="s">
        <v>71</v>
      </c>
      <c r="G530" s="251" t="s">
        <v>71</v>
      </c>
      <c r="H530" s="251" t="s">
        <v>71</v>
      </c>
      <c r="I530" s="251" t="s">
        <v>71</v>
      </c>
      <c r="J530" s="251" t="s">
        <v>1490</v>
      </c>
      <c r="K530" s="251" t="s">
        <v>486</v>
      </c>
      <c r="L530" s="251" t="s">
        <v>487</v>
      </c>
      <c r="M530" s="251" t="s">
        <v>495</v>
      </c>
      <c r="N530" s="251" t="s">
        <v>495</v>
      </c>
      <c r="O530" s="251" t="s">
        <v>534</v>
      </c>
      <c r="P530" s="251" t="s">
        <v>2422</v>
      </c>
      <c r="Q530" s="252">
        <v>10008532</v>
      </c>
      <c r="R530" s="253">
        <v>43151</v>
      </c>
      <c r="S530" s="253">
        <v>43153</v>
      </c>
      <c r="T530" s="253">
        <v>43223</v>
      </c>
      <c r="U530" s="251" t="s">
        <v>488</v>
      </c>
      <c r="V530" s="251">
        <v>1</v>
      </c>
      <c r="W530" s="251" t="s">
        <v>219</v>
      </c>
      <c r="X530" s="251">
        <v>1</v>
      </c>
      <c r="Y530" s="251">
        <v>1</v>
      </c>
      <c r="Z530" s="251">
        <v>1</v>
      </c>
      <c r="AA530" s="251">
        <v>1</v>
      </c>
      <c r="AB530" s="251" t="s">
        <v>486</v>
      </c>
      <c r="AC530" s="251" t="s">
        <v>486</v>
      </c>
      <c r="AD530" s="251" t="s">
        <v>486</v>
      </c>
      <c r="AE530" s="251" t="s">
        <v>486</v>
      </c>
      <c r="AF530" s="251" t="s">
        <v>486</v>
      </c>
      <c r="AG530" s="251" t="s">
        <v>486</v>
      </c>
      <c r="AH530" s="251" t="s">
        <v>486</v>
      </c>
      <c r="AI530" s="251" t="s">
        <v>486</v>
      </c>
      <c r="AJ530" s="251" t="s">
        <v>486</v>
      </c>
      <c r="AK530" s="251" t="s">
        <v>486</v>
      </c>
      <c r="AL530" s="251" t="s">
        <v>491</v>
      </c>
      <c r="AM530" s="251" t="s">
        <v>486</v>
      </c>
      <c r="AN530" s="251" t="s">
        <v>486</v>
      </c>
      <c r="AO530" s="253" t="s">
        <v>486</v>
      </c>
      <c r="AP530" s="252" t="s">
        <v>486</v>
      </c>
      <c r="AQ530" s="254" t="s">
        <v>486</v>
      </c>
      <c r="AR530" s="251" t="s">
        <v>486</v>
      </c>
    </row>
    <row r="531" spans="1:44" ht="15" x14ac:dyDescent="0.25">
      <c r="A531" s="245" t="str">
        <f>HYPERLINK("http://www.ofsted.gov.uk/inspection-reports/find-inspection-report/provider/ELS/131260 ","Ofsted School Webpage")</f>
        <v>Ofsted School Webpage</v>
      </c>
      <c r="B531" s="246">
        <v>131260</v>
      </c>
      <c r="C531" s="246">
        <v>8736039</v>
      </c>
      <c r="D531" s="246" t="s">
        <v>2423</v>
      </c>
      <c r="E531" s="246" t="s">
        <v>248</v>
      </c>
      <c r="F531" s="246" t="s">
        <v>93</v>
      </c>
      <c r="G531" s="246" t="s">
        <v>93</v>
      </c>
      <c r="H531" s="246" t="s">
        <v>93</v>
      </c>
      <c r="I531" s="246" t="s">
        <v>90</v>
      </c>
      <c r="J531" s="246" t="s">
        <v>1490</v>
      </c>
      <c r="K531" s="246" t="s">
        <v>486</v>
      </c>
      <c r="L531" s="246" t="s">
        <v>487</v>
      </c>
      <c r="M531" s="246" t="s">
        <v>572</v>
      </c>
      <c r="N531" s="246" t="s">
        <v>572</v>
      </c>
      <c r="O531" s="246" t="s">
        <v>867</v>
      </c>
      <c r="P531" s="246" t="s">
        <v>2424</v>
      </c>
      <c r="Q531" s="247">
        <v>10006069</v>
      </c>
      <c r="R531" s="248">
        <v>43151</v>
      </c>
      <c r="S531" s="248">
        <v>43153</v>
      </c>
      <c r="T531" s="248">
        <v>43207</v>
      </c>
      <c r="U531" s="246" t="s">
        <v>488</v>
      </c>
      <c r="V531" s="246">
        <v>3</v>
      </c>
      <c r="W531" s="246" t="s">
        <v>219</v>
      </c>
      <c r="X531" s="246">
        <v>3</v>
      </c>
      <c r="Y531" s="246">
        <v>2</v>
      </c>
      <c r="Z531" s="246">
        <v>3</v>
      </c>
      <c r="AA531" s="246">
        <v>3</v>
      </c>
      <c r="AB531" s="246" t="s">
        <v>486</v>
      </c>
      <c r="AC531" s="246" t="s">
        <v>486</v>
      </c>
      <c r="AD531" s="246" t="s">
        <v>486</v>
      </c>
      <c r="AE531" s="246" t="s">
        <v>486</v>
      </c>
      <c r="AF531" s="246" t="s">
        <v>486</v>
      </c>
      <c r="AG531" s="246" t="s">
        <v>486</v>
      </c>
      <c r="AH531" s="246" t="s">
        <v>486</v>
      </c>
      <c r="AI531" s="246" t="s">
        <v>486</v>
      </c>
      <c r="AJ531" s="246" t="s">
        <v>486</v>
      </c>
      <c r="AK531" s="246" t="s">
        <v>486</v>
      </c>
      <c r="AL531" s="246" t="s">
        <v>545</v>
      </c>
      <c r="AM531" s="246" t="s">
        <v>486</v>
      </c>
      <c r="AN531" s="246" t="s">
        <v>486</v>
      </c>
      <c r="AO531" s="248" t="s">
        <v>486</v>
      </c>
      <c r="AP531" s="247" t="s">
        <v>486</v>
      </c>
      <c r="AQ531" s="249" t="s">
        <v>486</v>
      </c>
      <c r="AR531" s="246" t="s">
        <v>486</v>
      </c>
    </row>
    <row r="532" spans="1:44" ht="15" x14ac:dyDescent="0.25">
      <c r="A532" s="250" t="str">
        <f>HYPERLINK("http://www.ofsted.gov.uk/inspection-reports/find-inspection-report/provider/ELS/134289 ","Ofsted School Webpage")</f>
        <v>Ofsted School Webpage</v>
      </c>
      <c r="B532" s="251">
        <v>134289</v>
      </c>
      <c r="C532" s="251">
        <v>8216010</v>
      </c>
      <c r="D532" s="251" t="s">
        <v>1357</v>
      </c>
      <c r="E532" s="251" t="s">
        <v>247</v>
      </c>
      <c r="F532" s="251" t="s">
        <v>93</v>
      </c>
      <c r="G532" s="251" t="s">
        <v>84</v>
      </c>
      <c r="H532" s="251" t="s">
        <v>84</v>
      </c>
      <c r="I532" s="251" t="s">
        <v>84</v>
      </c>
      <c r="J532" s="251" t="s">
        <v>1490</v>
      </c>
      <c r="K532" s="251" t="s">
        <v>486</v>
      </c>
      <c r="L532" s="251" t="s">
        <v>487</v>
      </c>
      <c r="M532" s="251" t="s">
        <v>516</v>
      </c>
      <c r="N532" s="251" t="s">
        <v>516</v>
      </c>
      <c r="O532" s="251" t="s">
        <v>517</v>
      </c>
      <c r="P532" s="251" t="s">
        <v>1358</v>
      </c>
      <c r="Q532" s="252">
        <v>10043520</v>
      </c>
      <c r="R532" s="253">
        <v>43151</v>
      </c>
      <c r="S532" s="253">
        <v>43153</v>
      </c>
      <c r="T532" s="253">
        <v>43182</v>
      </c>
      <c r="U532" s="251" t="s">
        <v>488</v>
      </c>
      <c r="V532" s="251">
        <v>3</v>
      </c>
      <c r="W532" s="251" t="s">
        <v>219</v>
      </c>
      <c r="X532" s="251">
        <v>3</v>
      </c>
      <c r="Y532" s="251">
        <v>2</v>
      </c>
      <c r="Z532" s="251">
        <v>3</v>
      </c>
      <c r="AA532" s="251">
        <v>3</v>
      </c>
      <c r="AB532" s="251" t="s">
        <v>486</v>
      </c>
      <c r="AC532" s="251" t="s">
        <v>486</v>
      </c>
      <c r="AD532" s="251" t="s">
        <v>490</v>
      </c>
      <c r="AE532" s="251" t="s">
        <v>486</v>
      </c>
      <c r="AF532" s="251" t="s">
        <v>486</v>
      </c>
      <c r="AG532" s="251" t="s">
        <v>486</v>
      </c>
      <c r="AH532" s="251" t="s">
        <v>486</v>
      </c>
      <c r="AI532" s="251" t="s">
        <v>486</v>
      </c>
      <c r="AJ532" s="251" t="s">
        <v>486</v>
      </c>
      <c r="AK532" s="251" t="s">
        <v>486</v>
      </c>
      <c r="AL532" s="251" t="s">
        <v>545</v>
      </c>
      <c r="AM532" s="251">
        <v>10078214</v>
      </c>
      <c r="AN532" s="251" t="s">
        <v>1109</v>
      </c>
      <c r="AO532" s="253">
        <v>43503</v>
      </c>
      <c r="AP532" s="252" t="s">
        <v>1523</v>
      </c>
      <c r="AQ532" s="254">
        <v>43535</v>
      </c>
      <c r="AR532" s="251" t="s">
        <v>1136</v>
      </c>
    </row>
    <row r="533" spans="1:44" ht="15" x14ac:dyDescent="0.25">
      <c r="A533" s="245" t="str">
        <f>HYPERLINK("http://www.ofsted.gov.uk/inspection-reports/find-inspection-report/provider/ELS/136014 ","Ofsted School Webpage")</f>
        <v>Ofsted School Webpage</v>
      </c>
      <c r="B533" s="246">
        <v>136014</v>
      </c>
      <c r="C533" s="246">
        <v>3026122</v>
      </c>
      <c r="D533" s="246" t="s">
        <v>1301</v>
      </c>
      <c r="E533" s="246" t="s">
        <v>247</v>
      </c>
      <c r="F533" s="246" t="s">
        <v>93</v>
      </c>
      <c r="G533" s="246" t="s">
        <v>81</v>
      </c>
      <c r="H533" s="246" t="s">
        <v>81</v>
      </c>
      <c r="I533" s="246" t="s">
        <v>81</v>
      </c>
      <c r="J533" s="246" t="s">
        <v>1490</v>
      </c>
      <c r="K533" s="246" t="s">
        <v>486</v>
      </c>
      <c r="L533" s="246" t="s">
        <v>487</v>
      </c>
      <c r="M533" s="246" t="s">
        <v>506</v>
      </c>
      <c r="N533" s="246" t="s">
        <v>506</v>
      </c>
      <c r="O533" s="246" t="s">
        <v>614</v>
      </c>
      <c r="P533" s="246" t="s">
        <v>1302</v>
      </c>
      <c r="Q533" s="247">
        <v>10035805</v>
      </c>
      <c r="R533" s="248">
        <v>43151</v>
      </c>
      <c r="S533" s="248">
        <v>43153</v>
      </c>
      <c r="T533" s="248">
        <v>43187</v>
      </c>
      <c r="U533" s="246" t="s">
        <v>488</v>
      </c>
      <c r="V533" s="246">
        <v>2</v>
      </c>
      <c r="W533" s="246" t="s">
        <v>219</v>
      </c>
      <c r="X533" s="246">
        <v>2</v>
      </c>
      <c r="Y533" s="246">
        <v>2</v>
      </c>
      <c r="Z533" s="246">
        <v>2</v>
      </c>
      <c r="AA533" s="246">
        <v>2</v>
      </c>
      <c r="AB533" s="246">
        <v>2</v>
      </c>
      <c r="AC533" s="246" t="s">
        <v>486</v>
      </c>
      <c r="AD533" s="246" t="s">
        <v>490</v>
      </c>
      <c r="AE533" s="246" t="s">
        <v>486</v>
      </c>
      <c r="AF533" s="246" t="s">
        <v>486</v>
      </c>
      <c r="AG533" s="246" t="s">
        <v>486</v>
      </c>
      <c r="AH533" s="246" t="s">
        <v>486</v>
      </c>
      <c r="AI533" s="246" t="s">
        <v>486</v>
      </c>
      <c r="AJ533" s="246" t="s">
        <v>486</v>
      </c>
      <c r="AK533" s="246" t="s">
        <v>486</v>
      </c>
      <c r="AL533" s="246" t="s">
        <v>491</v>
      </c>
      <c r="AM533" s="246" t="s">
        <v>486</v>
      </c>
      <c r="AN533" s="246" t="s">
        <v>486</v>
      </c>
      <c r="AO533" s="248" t="s">
        <v>486</v>
      </c>
      <c r="AP533" s="247" t="s">
        <v>486</v>
      </c>
      <c r="AQ533" s="249" t="s">
        <v>486</v>
      </c>
      <c r="AR533" s="246" t="s">
        <v>486</v>
      </c>
    </row>
    <row r="534" spans="1:44" ht="15" x14ac:dyDescent="0.25">
      <c r="A534" s="250" t="str">
        <f>HYPERLINK("http://www.ofsted.gov.uk/inspection-reports/find-inspection-report/provider/ELS/138101 ","Ofsted School Webpage")</f>
        <v>Ofsted School Webpage</v>
      </c>
      <c r="B534" s="251">
        <v>138101</v>
      </c>
      <c r="C534" s="251">
        <v>2046005</v>
      </c>
      <c r="D534" s="251" t="s">
        <v>2425</v>
      </c>
      <c r="E534" s="251" t="s">
        <v>247</v>
      </c>
      <c r="F534" s="251" t="s">
        <v>93</v>
      </c>
      <c r="G534" s="251" t="s">
        <v>81</v>
      </c>
      <c r="H534" s="251" t="s">
        <v>81</v>
      </c>
      <c r="I534" s="251" t="s">
        <v>81</v>
      </c>
      <c r="J534" s="251" t="s">
        <v>1490</v>
      </c>
      <c r="K534" s="251" t="s">
        <v>486</v>
      </c>
      <c r="L534" s="251" t="s">
        <v>487</v>
      </c>
      <c r="M534" s="251" t="s">
        <v>506</v>
      </c>
      <c r="N534" s="251" t="s">
        <v>506</v>
      </c>
      <c r="O534" s="251" t="s">
        <v>617</v>
      </c>
      <c r="P534" s="251" t="s">
        <v>2426</v>
      </c>
      <c r="Q534" s="252">
        <v>10038176</v>
      </c>
      <c r="R534" s="253">
        <v>43151</v>
      </c>
      <c r="S534" s="253">
        <v>43153</v>
      </c>
      <c r="T534" s="253">
        <v>43304</v>
      </c>
      <c r="U534" s="251" t="s">
        <v>488</v>
      </c>
      <c r="V534" s="251">
        <v>4</v>
      </c>
      <c r="W534" s="251" t="s">
        <v>219</v>
      </c>
      <c r="X534" s="251">
        <v>4</v>
      </c>
      <c r="Y534" s="251">
        <v>3</v>
      </c>
      <c r="Z534" s="251">
        <v>4</v>
      </c>
      <c r="AA534" s="251">
        <v>4</v>
      </c>
      <c r="AB534" s="251">
        <v>4</v>
      </c>
      <c r="AC534" s="251" t="s">
        <v>486</v>
      </c>
      <c r="AD534" s="251" t="s">
        <v>512</v>
      </c>
      <c r="AE534" s="251" t="s">
        <v>486</v>
      </c>
      <c r="AF534" s="251" t="s">
        <v>486</v>
      </c>
      <c r="AG534" s="251" t="s">
        <v>490</v>
      </c>
      <c r="AH534" s="251" t="s">
        <v>490</v>
      </c>
      <c r="AI534" s="251" t="s">
        <v>486</v>
      </c>
      <c r="AJ534" s="251" t="s">
        <v>486</v>
      </c>
      <c r="AK534" s="251" t="s">
        <v>486</v>
      </c>
      <c r="AL534" s="251" t="s">
        <v>545</v>
      </c>
      <c r="AM534" s="251" t="s">
        <v>486</v>
      </c>
      <c r="AN534" s="251" t="s">
        <v>486</v>
      </c>
      <c r="AO534" s="253" t="s">
        <v>486</v>
      </c>
      <c r="AP534" s="252" t="s">
        <v>486</v>
      </c>
      <c r="AQ534" s="254" t="s">
        <v>486</v>
      </c>
      <c r="AR534" s="251" t="s">
        <v>486</v>
      </c>
    </row>
    <row r="535" spans="1:44" ht="15" x14ac:dyDescent="0.25">
      <c r="A535" s="245" t="str">
        <f>HYPERLINK("http://www.ofsted.gov.uk/inspection-reports/find-inspection-report/provider/ELS/139826 ","Ofsted School Webpage")</f>
        <v>Ofsted School Webpage</v>
      </c>
      <c r="B535" s="246">
        <v>139826</v>
      </c>
      <c r="C535" s="246">
        <v>3176000</v>
      </c>
      <c r="D535" s="246" t="s">
        <v>1216</v>
      </c>
      <c r="E535" s="246" t="s">
        <v>247</v>
      </c>
      <c r="F535" s="246" t="s">
        <v>93</v>
      </c>
      <c r="G535" s="246" t="s">
        <v>84</v>
      </c>
      <c r="H535" s="246" t="s">
        <v>84</v>
      </c>
      <c r="I535" s="246" t="s">
        <v>84</v>
      </c>
      <c r="J535" s="246" t="s">
        <v>1490</v>
      </c>
      <c r="K535" s="246" t="s">
        <v>486</v>
      </c>
      <c r="L535" s="246" t="s">
        <v>487</v>
      </c>
      <c r="M535" s="246" t="s">
        <v>506</v>
      </c>
      <c r="N535" s="246" t="s">
        <v>506</v>
      </c>
      <c r="O535" s="246" t="s">
        <v>731</v>
      </c>
      <c r="P535" s="246" t="s">
        <v>1217</v>
      </c>
      <c r="Q535" s="247">
        <v>10035810</v>
      </c>
      <c r="R535" s="248">
        <v>43151</v>
      </c>
      <c r="S535" s="248">
        <v>43153</v>
      </c>
      <c r="T535" s="248">
        <v>43245</v>
      </c>
      <c r="U535" s="246" t="s">
        <v>488</v>
      </c>
      <c r="V535" s="246">
        <v>4</v>
      </c>
      <c r="W535" s="246" t="s">
        <v>220</v>
      </c>
      <c r="X535" s="246">
        <v>4</v>
      </c>
      <c r="Y535" s="246">
        <v>4</v>
      </c>
      <c r="Z535" s="246">
        <v>3</v>
      </c>
      <c r="AA535" s="246">
        <v>3</v>
      </c>
      <c r="AB535" s="246">
        <v>4</v>
      </c>
      <c r="AC535" s="246" t="s">
        <v>486</v>
      </c>
      <c r="AD535" s="246" t="s">
        <v>512</v>
      </c>
      <c r="AE535" s="246" t="s">
        <v>486</v>
      </c>
      <c r="AF535" s="246" t="s">
        <v>490</v>
      </c>
      <c r="AG535" s="246" t="s">
        <v>490</v>
      </c>
      <c r="AH535" s="246" t="s">
        <v>490</v>
      </c>
      <c r="AI535" s="246" t="s">
        <v>486</v>
      </c>
      <c r="AJ535" s="246" t="s">
        <v>486</v>
      </c>
      <c r="AK535" s="246" t="s">
        <v>486</v>
      </c>
      <c r="AL535" s="246" t="s">
        <v>545</v>
      </c>
      <c r="AM535" s="246">
        <v>10077588</v>
      </c>
      <c r="AN535" s="246" t="s">
        <v>1109</v>
      </c>
      <c r="AO535" s="248">
        <v>43403</v>
      </c>
      <c r="AP535" s="247" t="s">
        <v>1523</v>
      </c>
      <c r="AQ535" s="249">
        <v>43431</v>
      </c>
      <c r="AR535" s="246" t="s">
        <v>1136</v>
      </c>
    </row>
    <row r="536" spans="1:44" ht="15" x14ac:dyDescent="0.25">
      <c r="A536" s="250" t="str">
        <f>HYPERLINK("http://www.ofsted.gov.uk/inspection-reports/find-inspection-report/provider/ELS/140225 ","Ofsted School Webpage")</f>
        <v>Ofsted School Webpage</v>
      </c>
      <c r="B536" s="251">
        <v>140225</v>
      </c>
      <c r="C536" s="251">
        <v>2076007</v>
      </c>
      <c r="D536" s="251" t="s">
        <v>2427</v>
      </c>
      <c r="E536" s="251" t="s">
        <v>247</v>
      </c>
      <c r="F536" s="251" t="s">
        <v>93</v>
      </c>
      <c r="G536" s="251" t="s">
        <v>93</v>
      </c>
      <c r="H536" s="251" t="s">
        <v>93</v>
      </c>
      <c r="I536" s="251" t="s">
        <v>90</v>
      </c>
      <c r="J536" s="251" t="s">
        <v>1490</v>
      </c>
      <c r="K536" s="251" t="s">
        <v>486</v>
      </c>
      <c r="L536" s="251" t="s">
        <v>487</v>
      </c>
      <c r="M536" s="251" t="s">
        <v>506</v>
      </c>
      <c r="N536" s="251" t="s">
        <v>506</v>
      </c>
      <c r="O536" s="251" t="s">
        <v>640</v>
      </c>
      <c r="P536" s="251" t="s">
        <v>2428</v>
      </c>
      <c r="Q536" s="252">
        <v>10035812</v>
      </c>
      <c r="R536" s="253">
        <v>43151</v>
      </c>
      <c r="S536" s="253">
        <v>43153</v>
      </c>
      <c r="T536" s="253">
        <v>43175</v>
      </c>
      <c r="U536" s="251" t="s">
        <v>488</v>
      </c>
      <c r="V536" s="251">
        <v>2</v>
      </c>
      <c r="W536" s="251" t="s">
        <v>219</v>
      </c>
      <c r="X536" s="251">
        <v>2</v>
      </c>
      <c r="Y536" s="251">
        <v>2</v>
      </c>
      <c r="Z536" s="251">
        <v>2</v>
      </c>
      <c r="AA536" s="251">
        <v>2</v>
      </c>
      <c r="AB536" s="251" t="s">
        <v>486</v>
      </c>
      <c r="AC536" s="251" t="s">
        <v>486</v>
      </c>
      <c r="AD536" s="251" t="s">
        <v>490</v>
      </c>
      <c r="AE536" s="251" t="s">
        <v>486</v>
      </c>
      <c r="AF536" s="251" t="s">
        <v>486</v>
      </c>
      <c r="AG536" s="251" t="s">
        <v>486</v>
      </c>
      <c r="AH536" s="251" t="s">
        <v>486</v>
      </c>
      <c r="AI536" s="251" t="s">
        <v>486</v>
      </c>
      <c r="AJ536" s="251" t="s">
        <v>486</v>
      </c>
      <c r="AK536" s="251" t="s">
        <v>486</v>
      </c>
      <c r="AL536" s="251" t="s">
        <v>491</v>
      </c>
      <c r="AM536" s="251" t="s">
        <v>486</v>
      </c>
      <c r="AN536" s="251" t="s">
        <v>486</v>
      </c>
      <c r="AO536" s="253" t="s">
        <v>486</v>
      </c>
      <c r="AP536" s="252" t="s">
        <v>486</v>
      </c>
      <c r="AQ536" s="254" t="s">
        <v>486</v>
      </c>
      <c r="AR536" s="251" t="s">
        <v>486</v>
      </c>
    </row>
    <row r="537" spans="1:44" ht="15" x14ac:dyDescent="0.25">
      <c r="A537" s="245" t="str">
        <f>HYPERLINK("http://www.ofsted.gov.uk/inspection-reports/find-inspection-report/provider/ELS/141607 ","Ofsted School Webpage")</f>
        <v>Ofsted School Webpage</v>
      </c>
      <c r="B537" s="246">
        <v>141607</v>
      </c>
      <c r="C537" s="246">
        <v>3086004</v>
      </c>
      <c r="D537" s="246" t="s">
        <v>1158</v>
      </c>
      <c r="E537" s="246" t="s">
        <v>248</v>
      </c>
      <c r="F537" s="246" t="s">
        <v>93</v>
      </c>
      <c r="G537" s="246" t="s">
        <v>93</v>
      </c>
      <c r="H537" s="246" t="s">
        <v>93</v>
      </c>
      <c r="I537" s="246" t="s">
        <v>90</v>
      </c>
      <c r="J537" s="246" t="s">
        <v>1490</v>
      </c>
      <c r="K537" s="246" t="s">
        <v>486</v>
      </c>
      <c r="L537" s="246" t="s">
        <v>487</v>
      </c>
      <c r="M537" s="246" t="s">
        <v>506</v>
      </c>
      <c r="N537" s="246" t="s">
        <v>506</v>
      </c>
      <c r="O537" s="246" t="s">
        <v>632</v>
      </c>
      <c r="P537" s="246" t="s">
        <v>1159</v>
      </c>
      <c r="Q537" s="247">
        <v>10041403</v>
      </c>
      <c r="R537" s="248">
        <v>43151</v>
      </c>
      <c r="S537" s="248">
        <v>43153</v>
      </c>
      <c r="T537" s="248">
        <v>43213</v>
      </c>
      <c r="U537" s="246" t="s">
        <v>488</v>
      </c>
      <c r="V537" s="246">
        <v>4</v>
      </c>
      <c r="W537" s="246" t="s">
        <v>220</v>
      </c>
      <c r="X537" s="246">
        <v>4</v>
      </c>
      <c r="Y537" s="246">
        <v>4</v>
      </c>
      <c r="Z537" s="246">
        <v>3</v>
      </c>
      <c r="AA537" s="246">
        <v>3</v>
      </c>
      <c r="AB537" s="246" t="s">
        <v>486</v>
      </c>
      <c r="AC537" s="246" t="s">
        <v>486</v>
      </c>
      <c r="AD537" s="246" t="s">
        <v>490</v>
      </c>
      <c r="AE537" s="246" t="s">
        <v>486</v>
      </c>
      <c r="AF537" s="246" t="s">
        <v>486</v>
      </c>
      <c r="AG537" s="246" t="s">
        <v>486</v>
      </c>
      <c r="AH537" s="246" t="s">
        <v>486</v>
      </c>
      <c r="AI537" s="246" t="s">
        <v>486</v>
      </c>
      <c r="AJ537" s="246" t="s">
        <v>486</v>
      </c>
      <c r="AK537" s="246" t="s">
        <v>486</v>
      </c>
      <c r="AL537" s="246" t="s">
        <v>545</v>
      </c>
      <c r="AM537" s="246">
        <v>10067127</v>
      </c>
      <c r="AN537" s="246" t="s">
        <v>1109</v>
      </c>
      <c r="AO537" s="248">
        <v>43363</v>
      </c>
      <c r="AP537" s="247" t="s">
        <v>1523</v>
      </c>
      <c r="AQ537" s="249">
        <v>43397</v>
      </c>
      <c r="AR537" s="246" t="s">
        <v>1110</v>
      </c>
    </row>
    <row r="538" spans="1:44" ht="15" x14ac:dyDescent="0.25">
      <c r="A538" s="250" t="str">
        <f>HYPERLINK("http://www.ofsted.gov.uk/inspection-reports/find-inspection-report/provider/ELS/101377 ","Ofsted School Webpage")</f>
        <v>Ofsted School Webpage</v>
      </c>
      <c r="B538" s="251">
        <v>101377</v>
      </c>
      <c r="C538" s="251">
        <v>3026063</v>
      </c>
      <c r="D538" s="251" t="s">
        <v>2429</v>
      </c>
      <c r="E538" s="251" t="s">
        <v>247</v>
      </c>
      <c r="F538" s="251" t="s">
        <v>93</v>
      </c>
      <c r="G538" s="251" t="s">
        <v>93</v>
      </c>
      <c r="H538" s="251" t="s">
        <v>93</v>
      </c>
      <c r="I538" s="251" t="s">
        <v>90</v>
      </c>
      <c r="J538" s="251" t="s">
        <v>1490</v>
      </c>
      <c r="K538" s="251" t="s">
        <v>486</v>
      </c>
      <c r="L538" s="251" t="s">
        <v>487</v>
      </c>
      <c r="M538" s="251" t="s">
        <v>506</v>
      </c>
      <c r="N538" s="251" t="s">
        <v>506</v>
      </c>
      <c r="O538" s="251" t="s">
        <v>614</v>
      </c>
      <c r="P538" s="251" t="s">
        <v>2430</v>
      </c>
      <c r="Q538" s="252">
        <v>10035779</v>
      </c>
      <c r="R538" s="253">
        <v>43158</v>
      </c>
      <c r="S538" s="253">
        <v>43160</v>
      </c>
      <c r="T538" s="253">
        <v>43180</v>
      </c>
      <c r="U538" s="251" t="s">
        <v>488</v>
      </c>
      <c r="V538" s="251">
        <v>2</v>
      </c>
      <c r="W538" s="251" t="s">
        <v>219</v>
      </c>
      <c r="X538" s="251">
        <v>2</v>
      </c>
      <c r="Y538" s="251">
        <v>2</v>
      </c>
      <c r="Z538" s="251">
        <v>2</v>
      </c>
      <c r="AA538" s="251">
        <v>2</v>
      </c>
      <c r="AB538" s="251">
        <v>2</v>
      </c>
      <c r="AC538" s="251" t="s">
        <v>486</v>
      </c>
      <c r="AD538" s="251" t="s">
        <v>490</v>
      </c>
      <c r="AE538" s="251" t="s">
        <v>486</v>
      </c>
      <c r="AF538" s="251" t="s">
        <v>486</v>
      </c>
      <c r="AG538" s="251" t="s">
        <v>486</v>
      </c>
      <c r="AH538" s="251" t="s">
        <v>486</v>
      </c>
      <c r="AI538" s="251" t="s">
        <v>486</v>
      </c>
      <c r="AJ538" s="251" t="s">
        <v>486</v>
      </c>
      <c r="AK538" s="251" t="s">
        <v>486</v>
      </c>
      <c r="AL538" s="251" t="s">
        <v>491</v>
      </c>
      <c r="AM538" s="251" t="s">
        <v>486</v>
      </c>
      <c r="AN538" s="251" t="s">
        <v>486</v>
      </c>
      <c r="AO538" s="253" t="s">
        <v>486</v>
      </c>
      <c r="AP538" s="252" t="s">
        <v>486</v>
      </c>
      <c r="AQ538" s="254" t="s">
        <v>486</v>
      </c>
      <c r="AR538" s="251" t="s">
        <v>486</v>
      </c>
    </row>
    <row r="539" spans="1:44" ht="15" x14ac:dyDescent="0.25">
      <c r="A539" s="245" t="str">
        <f>HYPERLINK("http://www.ofsted.gov.uk/inspection-reports/find-inspection-report/provider/ELS/102455 ","Ofsted School Webpage")</f>
        <v>Ofsted School Webpage</v>
      </c>
      <c r="B539" s="246">
        <v>102455</v>
      </c>
      <c r="C539" s="246">
        <v>3126054</v>
      </c>
      <c r="D539" s="246" t="s">
        <v>1173</v>
      </c>
      <c r="E539" s="246" t="s">
        <v>247</v>
      </c>
      <c r="F539" s="246" t="s">
        <v>93</v>
      </c>
      <c r="G539" s="246" t="s">
        <v>71</v>
      </c>
      <c r="H539" s="246" t="s">
        <v>71</v>
      </c>
      <c r="I539" s="246" t="s">
        <v>71</v>
      </c>
      <c r="J539" s="246" t="s">
        <v>1490</v>
      </c>
      <c r="K539" s="246" t="s">
        <v>486</v>
      </c>
      <c r="L539" s="246" t="s">
        <v>487</v>
      </c>
      <c r="M539" s="246" t="s">
        <v>506</v>
      </c>
      <c r="N539" s="246" t="s">
        <v>506</v>
      </c>
      <c r="O539" s="246" t="s">
        <v>1174</v>
      </c>
      <c r="P539" s="246" t="s">
        <v>1175</v>
      </c>
      <c r="Q539" s="247">
        <v>10008545</v>
      </c>
      <c r="R539" s="248">
        <v>43158</v>
      </c>
      <c r="S539" s="248">
        <v>43160</v>
      </c>
      <c r="T539" s="248">
        <v>43214</v>
      </c>
      <c r="U539" s="246" t="s">
        <v>488</v>
      </c>
      <c r="V539" s="246">
        <v>3</v>
      </c>
      <c r="W539" s="246" t="s">
        <v>219</v>
      </c>
      <c r="X539" s="246">
        <v>3</v>
      </c>
      <c r="Y539" s="246">
        <v>2</v>
      </c>
      <c r="Z539" s="246">
        <v>1</v>
      </c>
      <c r="AA539" s="246">
        <v>1</v>
      </c>
      <c r="AB539" s="246">
        <v>3</v>
      </c>
      <c r="AC539" s="246" t="s">
        <v>486</v>
      </c>
      <c r="AD539" s="246" t="s">
        <v>490</v>
      </c>
      <c r="AE539" s="246" t="s">
        <v>486</v>
      </c>
      <c r="AF539" s="246" t="s">
        <v>486</v>
      </c>
      <c r="AG539" s="246" t="s">
        <v>486</v>
      </c>
      <c r="AH539" s="246" t="s">
        <v>486</v>
      </c>
      <c r="AI539" s="246" t="s">
        <v>486</v>
      </c>
      <c r="AJ539" s="246" t="s">
        <v>486</v>
      </c>
      <c r="AK539" s="246" t="s">
        <v>486</v>
      </c>
      <c r="AL539" s="246" t="s">
        <v>545</v>
      </c>
      <c r="AM539" s="246">
        <v>10078711</v>
      </c>
      <c r="AN539" s="246" t="s">
        <v>1109</v>
      </c>
      <c r="AO539" s="248">
        <v>43370</v>
      </c>
      <c r="AP539" s="247" t="s">
        <v>1523</v>
      </c>
      <c r="AQ539" s="249">
        <v>43415</v>
      </c>
      <c r="AR539" s="246" t="s">
        <v>1136</v>
      </c>
    </row>
    <row r="540" spans="1:44" ht="15" x14ac:dyDescent="0.25">
      <c r="A540" s="250" t="str">
        <f>HYPERLINK("http://www.ofsted.gov.uk/inspection-reports/find-inspection-report/provider/ELS/102693 ","Ofsted School Webpage")</f>
        <v>Ofsted School Webpage</v>
      </c>
      <c r="B540" s="251">
        <v>102693</v>
      </c>
      <c r="C540" s="251">
        <v>3156072</v>
      </c>
      <c r="D540" s="251" t="s">
        <v>2431</v>
      </c>
      <c r="E540" s="251" t="s">
        <v>247</v>
      </c>
      <c r="F540" s="251" t="s">
        <v>93</v>
      </c>
      <c r="G540" s="251" t="s">
        <v>93</v>
      </c>
      <c r="H540" s="251" t="s">
        <v>93</v>
      </c>
      <c r="I540" s="251" t="s">
        <v>90</v>
      </c>
      <c r="J540" s="251" t="s">
        <v>1490</v>
      </c>
      <c r="K540" s="251" t="s">
        <v>486</v>
      </c>
      <c r="L540" s="251" t="s">
        <v>487</v>
      </c>
      <c r="M540" s="251" t="s">
        <v>506</v>
      </c>
      <c r="N540" s="251" t="s">
        <v>506</v>
      </c>
      <c r="O540" s="251" t="s">
        <v>1360</v>
      </c>
      <c r="P540" s="251" t="s">
        <v>2432</v>
      </c>
      <c r="Q540" s="252">
        <v>10038157</v>
      </c>
      <c r="R540" s="253">
        <v>43158</v>
      </c>
      <c r="S540" s="253">
        <v>43160</v>
      </c>
      <c r="T540" s="253">
        <v>43213</v>
      </c>
      <c r="U540" s="251" t="s">
        <v>488</v>
      </c>
      <c r="V540" s="251">
        <v>2</v>
      </c>
      <c r="W540" s="251" t="s">
        <v>219</v>
      </c>
      <c r="X540" s="251">
        <v>2</v>
      </c>
      <c r="Y540" s="251">
        <v>2</v>
      </c>
      <c r="Z540" s="251">
        <v>2</v>
      </c>
      <c r="AA540" s="251">
        <v>2</v>
      </c>
      <c r="AB540" s="251" t="s">
        <v>486</v>
      </c>
      <c r="AC540" s="251" t="s">
        <v>486</v>
      </c>
      <c r="AD540" s="251" t="s">
        <v>490</v>
      </c>
      <c r="AE540" s="251" t="s">
        <v>486</v>
      </c>
      <c r="AF540" s="251" t="s">
        <v>486</v>
      </c>
      <c r="AG540" s="251" t="s">
        <v>486</v>
      </c>
      <c r="AH540" s="251" t="s">
        <v>486</v>
      </c>
      <c r="AI540" s="251" t="s">
        <v>486</v>
      </c>
      <c r="AJ540" s="251" t="s">
        <v>486</v>
      </c>
      <c r="AK540" s="251" t="s">
        <v>486</v>
      </c>
      <c r="AL540" s="251" t="s">
        <v>491</v>
      </c>
      <c r="AM540" s="251" t="s">
        <v>486</v>
      </c>
      <c r="AN540" s="251" t="s">
        <v>486</v>
      </c>
      <c r="AO540" s="253" t="s">
        <v>486</v>
      </c>
      <c r="AP540" s="252" t="s">
        <v>486</v>
      </c>
      <c r="AQ540" s="254" t="s">
        <v>486</v>
      </c>
      <c r="AR540" s="251" t="s">
        <v>486</v>
      </c>
    </row>
    <row r="541" spans="1:44" ht="15" x14ac:dyDescent="0.25">
      <c r="A541" s="245" t="str">
        <f>HYPERLINK("http://www.ofsted.gov.uk/inspection-reports/find-inspection-report/provider/ELS/103587 ","Ofsted School Webpage")</f>
        <v>Ofsted School Webpage</v>
      </c>
      <c r="B541" s="246">
        <v>103587</v>
      </c>
      <c r="C541" s="246">
        <v>3306079</v>
      </c>
      <c r="D541" s="246" t="s">
        <v>2433</v>
      </c>
      <c r="E541" s="246" t="s">
        <v>247</v>
      </c>
      <c r="F541" s="246" t="s">
        <v>93</v>
      </c>
      <c r="G541" s="246" t="s">
        <v>93</v>
      </c>
      <c r="H541" s="246" t="s">
        <v>93</v>
      </c>
      <c r="I541" s="246" t="s">
        <v>90</v>
      </c>
      <c r="J541" s="246" t="s">
        <v>1490</v>
      </c>
      <c r="K541" s="246" t="s">
        <v>486</v>
      </c>
      <c r="L541" s="246" t="s">
        <v>487</v>
      </c>
      <c r="M541" s="246" t="s">
        <v>502</v>
      </c>
      <c r="N541" s="246" t="s">
        <v>502</v>
      </c>
      <c r="O541" s="246" t="s">
        <v>909</v>
      </c>
      <c r="P541" s="246" t="s">
        <v>2434</v>
      </c>
      <c r="Q541" s="247">
        <v>10039275</v>
      </c>
      <c r="R541" s="248">
        <v>43158</v>
      </c>
      <c r="S541" s="248">
        <v>43160</v>
      </c>
      <c r="T541" s="248">
        <v>43216</v>
      </c>
      <c r="U541" s="246" t="s">
        <v>488</v>
      </c>
      <c r="V541" s="246">
        <v>1</v>
      </c>
      <c r="W541" s="246" t="s">
        <v>219</v>
      </c>
      <c r="X541" s="246">
        <v>1</v>
      </c>
      <c r="Y541" s="246">
        <v>1</v>
      </c>
      <c r="Z541" s="246">
        <v>1</v>
      </c>
      <c r="AA541" s="246">
        <v>1</v>
      </c>
      <c r="AB541" s="246" t="s">
        <v>486</v>
      </c>
      <c r="AC541" s="246">
        <v>1</v>
      </c>
      <c r="AD541" s="246" t="s">
        <v>490</v>
      </c>
      <c r="AE541" s="246" t="s">
        <v>486</v>
      </c>
      <c r="AF541" s="246" t="s">
        <v>486</v>
      </c>
      <c r="AG541" s="246" t="s">
        <v>486</v>
      </c>
      <c r="AH541" s="246" t="s">
        <v>486</v>
      </c>
      <c r="AI541" s="246" t="s">
        <v>486</v>
      </c>
      <c r="AJ541" s="246" t="s">
        <v>486</v>
      </c>
      <c r="AK541" s="246" t="s">
        <v>486</v>
      </c>
      <c r="AL541" s="246" t="s">
        <v>491</v>
      </c>
      <c r="AM541" s="246" t="s">
        <v>486</v>
      </c>
      <c r="AN541" s="246" t="s">
        <v>486</v>
      </c>
      <c r="AO541" s="248" t="s">
        <v>486</v>
      </c>
      <c r="AP541" s="247" t="s">
        <v>486</v>
      </c>
      <c r="AQ541" s="249" t="s">
        <v>486</v>
      </c>
      <c r="AR541" s="246" t="s">
        <v>486</v>
      </c>
    </row>
    <row r="542" spans="1:44" ht="15" x14ac:dyDescent="0.25">
      <c r="A542" s="250" t="str">
        <f>HYPERLINK("http://www.ofsted.gov.uk/inspection-reports/find-inspection-report/provider/ELS/131666 ","Ofsted School Webpage")</f>
        <v>Ofsted School Webpage</v>
      </c>
      <c r="B542" s="251">
        <v>131666</v>
      </c>
      <c r="C542" s="251">
        <v>8886037</v>
      </c>
      <c r="D542" s="251" t="s">
        <v>2435</v>
      </c>
      <c r="E542" s="251" t="s">
        <v>248</v>
      </c>
      <c r="F542" s="251" t="s">
        <v>93</v>
      </c>
      <c r="G542" s="251" t="s">
        <v>93</v>
      </c>
      <c r="H542" s="251" t="s">
        <v>93</v>
      </c>
      <c r="I542" s="251" t="s">
        <v>90</v>
      </c>
      <c r="J542" s="251" t="s">
        <v>1490</v>
      </c>
      <c r="K542" s="251" t="s">
        <v>486</v>
      </c>
      <c r="L542" s="251" t="s">
        <v>487</v>
      </c>
      <c r="M542" s="251" t="s">
        <v>495</v>
      </c>
      <c r="N542" s="251" t="s">
        <v>495</v>
      </c>
      <c r="O542" s="251" t="s">
        <v>534</v>
      </c>
      <c r="P542" s="251" t="s">
        <v>844</v>
      </c>
      <c r="Q542" s="252">
        <v>10043373</v>
      </c>
      <c r="R542" s="253">
        <v>43158</v>
      </c>
      <c r="S542" s="253">
        <v>43160</v>
      </c>
      <c r="T542" s="253">
        <v>43213</v>
      </c>
      <c r="U542" s="251" t="s">
        <v>488</v>
      </c>
      <c r="V542" s="251">
        <v>1</v>
      </c>
      <c r="W542" s="251" t="s">
        <v>219</v>
      </c>
      <c r="X542" s="251">
        <v>1</v>
      </c>
      <c r="Y542" s="251">
        <v>1</v>
      </c>
      <c r="Z542" s="251">
        <v>1</v>
      </c>
      <c r="AA542" s="251">
        <v>1</v>
      </c>
      <c r="AB542" s="251" t="s">
        <v>486</v>
      </c>
      <c r="AC542" s="251" t="s">
        <v>486</v>
      </c>
      <c r="AD542" s="251" t="s">
        <v>490</v>
      </c>
      <c r="AE542" s="251" t="s">
        <v>486</v>
      </c>
      <c r="AF542" s="251" t="s">
        <v>486</v>
      </c>
      <c r="AG542" s="251" t="s">
        <v>486</v>
      </c>
      <c r="AH542" s="251" t="s">
        <v>486</v>
      </c>
      <c r="AI542" s="251" t="s">
        <v>486</v>
      </c>
      <c r="AJ542" s="251" t="s">
        <v>486</v>
      </c>
      <c r="AK542" s="251" t="s">
        <v>486</v>
      </c>
      <c r="AL542" s="251" t="s">
        <v>491</v>
      </c>
      <c r="AM542" s="251" t="s">
        <v>486</v>
      </c>
      <c r="AN542" s="251" t="s">
        <v>486</v>
      </c>
      <c r="AO542" s="253" t="s">
        <v>486</v>
      </c>
      <c r="AP542" s="252" t="s">
        <v>486</v>
      </c>
      <c r="AQ542" s="254" t="s">
        <v>486</v>
      </c>
      <c r="AR542" s="251" t="s">
        <v>486</v>
      </c>
    </row>
    <row r="543" spans="1:44" ht="15" x14ac:dyDescent="0.25">
      <c r="A543" s="245" t="str">
        <f>HYPERLINK("http://www.ofsted.gov.uk/inspection-reports/find-inspection-report/provider/ELS/133477 ","Ofsted School Webpage")</f>
        <v>Ofsted School Webpage</v>
      </c>
      <c r="B543" s="246">
        <v>133477</v>
      </c>
      <c r="C543" s="246">
        <v>9366581</v>
      </c>
      <c r="D543" s="246" t="s">
        <v>2436</v>
      </c>
      <c r="E543" s="246" t="s">
        <v>248</v>
      </c>
      <c r="F543" s="246" t="s">
        <v>93</v>
      </c>
      <c r="G543" s="246" t="s">
        <v>71</v>
      </c>
      <c r="H543" s="246" t="s">
        <v>71</v>
      </c>
      <c r="I543" s="246" t="s">
        <v>71</v>
      </c>
      <c r="J543" s="246" t="s">
        <v>1490</v>
      </c>
      <c r="K543" s="246" t="s">
        <v>486</v>
      </c>
      <c r="L543" s="246" t="s">
        <v>487</v>
      </c>
      <c r="M543" s="246" t="s">
        <v>581</v>
      </c>
      <c r="N543" s="246" t="s">
        <v>581</v>
      </c>
      <c r="O543" s="246" t="s">
        <v>788</v>
      </c>
      <c r="P543" s="246" t="s">
        <v>2437</v>
      </c>
      <c r="Q543" s="247">
        <v>10026023</v>
      </c>
      <c r="R543" s="248">
        <v>43158</v>
      </c>
      <c r="S543" s="248">
        <v>43160</v>
      </c>
      <c r="T543" s="248">
        <v>43185</v>
      </c>
      <c r="U543" s="246" t="s">
        <v>488</v>
      </c>
      <c r="V543" s="246">
        <v>2</v>
      </c>
      <c r="W543" s="246" t="s">
        <v>219</v>
      </c>
      <c r="X543" s="246">
        <v>2</v>
      </c>
      <c r="Y543" s="246">
        <v>2</v>
      </c>
      <c r="Z543" s="246">
        <v>2</v>
      </c>
      <c r="AA543" s="246">
        <v>2</v>
      </c>
      <c r="AB543" s="246" t="s">
        <v>486</v>
      </c>
      <c r="AC543" s="246">
        <v>2</v>
      </c>
      <c r="AD543" s="246" t="s">
        <v>490</v>
      </c>
      <c r="AE543" s="246" t="s">
        <v>486</v>
      </c>
      <c r="AF543" s="246" t="s">
        <v>486</v>
      </c>
      <c r="AG543" s="246" t="s">
        <v>486</v>
      </c>
      <c r="AH543" s="246" t="s">
        <v>486</v>
      </c>
      <c r="AI543" s="246" t="s">
        <v>486</v>
      </c>
      <c r="AJ543" s="246" t="s">
        <v>486</v>
      </c>
      <c r="AK543" s="246" t="s">
        <v>486</v>
      </c>
      <c r="AL543" s="246" t="s">
        <v>491</v>
      </c>
      <c r="AM543" s="246" t="s">
        <v>486</v>
      </c>
      <c r="AN543" s="246" t="s">
        <v>486</v>
      </c>
      <c r="AO543" s="248" t="s">
        <v>486</v>
      </c>
      <c r="AP543" s="247" t="s">
        <v>486</v>
      </c>
      <c r="AQ543" s="249" t="s">
        <v>486</v>
      </c>
      <c r="AR543" s="246" t="s">
        <v>486</v>
      </c>
    </row>
    <row r="544" spans="1:44" ht="15" x14ac:dyDescent="0.25">
      <c r="A544" s="250" t="str">
        <f>HYPERLINK("http://www.ofsted.gov.uk/inspection-reports/find-inspection-report/provider/ELS/100545 ","Ofsted School Webpage")</f>
        <v>Ofsted School Webpage</v>
      </c>
      <c r="B544" s="251">
        <v>100545</v>
      </c>
      <c r="C544" s="251">
        <v>2076387</v>
      </c>
      <c r="D544" s="251" t="s">
        <v>2438</v>
      </c>
      <c r="E544" s="251" t="s">
        <v>247</v>
      </c>
      <c r="F544" s="251" t="s">
        <v>93</v>
      </c>
      <c r="G544" s="251" t="s">
        <v>93</v>
      </c>
      <c r="H544" s="251" t="s">
        <v>93</v>
      </c>
      <c r="I544" s="251" t="s">
        <v>90</v>
      </c>
      <c r="J544" s="251" t="s">
        <v>1490</v>
      </c>
      <c r="K544" s="251" t="s">
        <v>486</v>
      </c>
      <c r="L544" s="251" t="s">
        <v>487</v>
      </c>
      <c r="M544" s="251" t="s">
        <v>506</v>
      </c>
      <c r="N544" s="251" t="s">
        <v>506</v>
      </c>
      <c r="O544" s="251" t="s">
        <v>640</v>
      </c>
      <c r="P544" s="251" t="s">
        <v>2439</v>
      </c>
      <c r="Q544" s="252">
        <v>10020733</v>
      </c>
      <c r="R544" s="253">
        <v>43159</v>
      </c>
      <c r="S544" s="253">
        <v>43161</v>
      </c>
      <c r="T544" s="253">
        <v>43213</v>
      </c>
      <c r="U544" s="251" t="s">
        <v>488</v>
      </c>
      <c r="V544" s="251">
        <v>1</v>
      </c>
      <c r="W544" s="251" t="s">
        <v>219</v>
      </c>
      <c r="X544" s="251">
        <v>1</v>
      </c>
      <c r="Y544" s="251">
        <v>1</v>
      </c>
      <c r="Z544" s="251">
        <v>1</v>
      </c>
      <c r="AA544" s="251">
        <v>1</v>
      </c>
      <c r="AB544" s="251">
        <v>1</v>
      </c>
      <c r="AC544" s="251" t="s">
        <v>486</v>
      </c>
      <c r="AD544" s="251" t="s">
        <v>490</v>
      </c>
      <c r="AE544" s="251" t="s">
        <v>486</v>
      </c>
      <c r="AF544" s="251" t="s">
        <v>486</v>
      </c>
      <c r="AG544" s="251" t="s">
        <v>486</v>
      </c>
      <c r="AH544" s="251" t="s">
        <v>486</v>
      </c>
      <c r="AI544" s="251" t="s">
        <v>486</v>
      </c>
      <c r="AJ544" s="251" t="s">
        <v>486</v>
      </c>
      <c r="AK544" s="251" t="s">
        <v>486</v>
      </c>
      <c r="AL544" s="251" t="s">
        <v>491</v>
      </c>
      <c r="AM544" s="251" t="s">
        <v>486</v>
      </c>
      <c r="AN544" s="251" t="s">
        <v>486</v>
      </c>
      <c r="AO544" s="253" t="s">
        <v>486</v>
      </c>
      <c r="AP544" s="252" t="s">
        <v>486</v>
      </c>
      <c r="AQ544" s="254" t="s">
        <v>486</v>
      </c>
      <c r="AR544" s="251" t="s">
        <v>486</v>
      </c>
    </row>
    <row r="545" spans="1:44" ht="15" x14ac:dyDescent="0.25">
      <c r="A545" s="245" t="str">
        <f>HYPERLINK("http://www.ofsted.gov.uk/inspection-reports/find-inspection-report/provider/ELS/141515 ","Ofsted School Webpage")</f>
        <v>Ofsted School Webpage</v>
      </c>
      <c r="B545" s="246">
        <v>141515</v>
      </c>
      <c r="C545" s="246">
        <v>8786064</v>
      </c>
      <c r="D545" s="246" t="s">
        <v>1373</v>
      </c>
      <c r="E545" s="246" t="s">
        <v>248</v>
      </c>
      <c r="F545" s="246" t="s">
        <v>93</v>
      </c>
      <c r="G545" s="246" t="s">
        <v>93</v>
      </c>
      <c r="H545" s="246" t="s">
        <v>93</v>
      </c>
      <c r="I545" s="246" t="s">
        <v>90</v>
      </c>
      <c r="J545" s="246" t="s">
        <v>1490</v>
      </c>
      <c r="K545" s="246" t="s">
        <v>486</v>
      </c>
      <c r="L545" s="246" t="s">
        <v>487</v>
      </c>
      <c r="M545" s="246" t="s">
        <v>483</v>
      </c>
      <c r="N545" s="246" t="s">
        <v>483</v>
      </c>
      <c r="O545" s="246" t="s">
        <v>747</v>
      </c>
      <c r="P545" s="246" t="s">
        <v>1374</v>
      </c>
      <c r="Q545" s="247">
        <v>10041381</v>
      </c>
      <c r="R545" s="248">
        <v>43158</v>
      </c>
      <c r="S545" s="248">
        <v>43164</v>
      </c>
      <c r="T545" s="248">
        <v>43209</v>
      </c>
      <c r="U545" s="246" t="s">
        <v>488</v>
      </c>
      <c r="V545" s="246">
        <v>2</v>
      </c>
      <c r="W545" s="246" t="s">
        <v>219</v>
      </c>
      <c r="X545" s="246">
        <v>2</v>
      </c>
      <c r="Y545" s="246">
        <v>2</v>
      </c>
      <c r="Z545" s="246">
        <v>2</v>
      </c>
      <c r="AA545" s="246">
        <v>2</v>
      </c>
      <c r="AB545" s="246" t="s">
        <v>486</v>
      </c>
      <c r="AC545" s="246" t="s">
        <v>486</v>
      </c>
      <c r="AD545" s="246" t="s">
        <v>490</v>
      </c>
      <c r="AE545" s="246" t="s">
        <v>486</v>
      </c>
      <c r="AF545" s="246" t="s">
        <v>486</v>
      </c>
      <c r="AG545" s="246" t="s">
        <v>486</v>
      </c>
      <c r="AH545" s="246" t="s">
        <v>486</v>
      </c>
      <c r="AI545" s="246" t="s">
        <v>486</v>
      </c>
      <c r="AJ545" s="246" t="s">
        <v>486</v>
      </c>
      <c r="AK545" s="246" t="s">
        <v>486</v>
      </c>
      <c r="AL545" s="246" t="s">
        <v>491</v>
      </c>
      <c r="AM545" s="246" t="s">
        <v>486</v>
      </c>
      <c r="AN545" s="246" t="s">
        <v>486</v>
      </c>
      <c r="AO545" s="248" t="s">
        <v>486</v>
      </c>
      <c r="AP545" s="247" t="s">
        <v>486</v>
      </c>
      <c r="AQ545" s="249" t="s">
        <v>486</v>
      </c>
      <c r="AR545" s="246" t="s">
        <v>486</v>
      </c>
    </row>
    <row r="546" spans="1:44" ht="15" x14ac:dyDescent="0.25">
      <c r="A546" s="250" t="str">
        <f>HYPERLINK("http://www.ofsted.gov.uk/inspection-reports/find-inspection-report/provider/ELS/133438 ","Ofsted School Webpage")</f>
        <v>Ofsted School Webpage</v>
      </c>
      <c r="B546" s="251">
        <v>133438</v>
      </c>
      <c r="C546" s="251">
        <v>3066104</v>
      </c>
      <c r="D546" s="251" t="s">
        <v>2440</v>
      </c>
      <c r="E546" s="251" t="s">
        <v>248</v>
      </c>
      <c r="F546" s="251" t="s">
        <v>93</v>
      </c>
      <c r="G546" s="251" t="s">
        <v>93</v>
      </c>
      <c r="H546" s="251" t="s">
        <v>93</v>
      </c>
      <c r="I546" s="251" t="s">
        <v>90</v>
      </c>
      <c r="J546" s="251" t="s">
        <v>1490</v>
      </c>
      <c r="K546" s="251" t="s">
        <v>486</v>
      </c>
      <c r="L546" s="251" t="s">
        <v>487</v>
      </c>
      <c r="M546" s="251" t="s">
        <v>506</v>
      </c>
      <c r="N546" s="251" t="s">
        <v>506</v>
      </c>
      <c r="O546" s="251" t="s">
        <v>826</v>
      </c>
      <c r="P546" s="251" t="s">
        <v>2441</v>
      </c>
      <c r="Q546" s="252">
        <v>10026291</v>
      </c>
      <c r="R546" s="253">
        <v>43158</v>
      </c>
      <c r="S546" s="253">
        <v>43166</v>
      </c>
      <c r="T546" s="253">
        <v>43213</v>
      </c>
      <c r="U546" s="251" t="s">
        <v>488</v>
      </c>
      <c r="V546" s="251">
        <v>2</v>
      </c>
      <c r="W546" s="251" t="s">
        <v>219</v>
      </c>
      <c r="X546" s="251">
        <v>1</v>
      </c>
      <c r="Y546" s="251">
        <v>1</v>
      </c>
      <c r="Z546" s="251">
        <v>2</v>
      </c>
      <c r="AA546" s="251">
        <v>2</v>
      </c>
      <c r="AB546" s="251" t="s">
        <v>486</v>
      </c>
      <c r="AC546" s="251">
        <v>2</v>
      </c>
      <c r="AD546" s="251" t="s">
        <v>490</v>
      </c>
      <c r="AE546" s="251" t="s">
        <v>486</v>
      </c>
      <c r="AF546" s="251" t="s">
        <v>486</v>
      </c>
      <c r="AG546" s="251" t="s">
        <v>486</v>
      </c>
      <c r="AH546" s="251" t="s">
        <v>486</v>
      </c>
      <c r="AI546" s="251" t="s">
        <v>486</v>
      </c>
      <c r="AJ546" s="251" t="s">
        <v>486</v>
      </c>
      <c r="AK546" s="251" t="s">
        <v>486</v>
      </c>
      <c r="AL546" s="251" t="s">
        <v>491</v>
      </c>
      <c r="AM546" s="251" t="s">
        <v>486</v>
      </c>
      <c r="AN546" s="251" t="s">
        <v>486</v>
      </c>
      <c r="AO546" s="253" t="s">
        <v>486</v>
      </c>
      <c r="AP546" s="252" t="s">
        <v>486</v>
      </c>
      <c r="AQ546" s="254" t="s">
        <v>486</v>
      </c>
      <c r="AR546" s="251" t="s">
        <v>486</v>
      </c>
    </row>
    <row r="547" spans="1:44" ht="15" x14ac:dyDescent="0.25">
      <c r="A547" s="245" t="str">
        <f>HYPERLINK("http://www.ofsted.gov.uk/inspection-reports/find-inspection-report/provider/ELS/100516 ","Ofsted School Webpage")</f>
        <v>Ofsted School Webpage</v>
      </c>
      <c r="B547" s="246">
        <v>100516</v>
      </c>
      <c r="C547" s="246">
        <v>2076104</v>
      </c>
      <c r="D547" s="246" t="s">
        <v>2442</v>
      </c>
      <c r="E547" s="246" t="s">
        <v>247</v>
      </c>
      <c r="F547" s="246" t="s">
        <v>79</v>
      </c>
      <c r="G547" s="246" t="s">
        <v>79</v>
      </c>
      <c r="H547" s="246" t="s">
        <v>79</v>
      </c>
      <c r="I547" s="246" t="s">
        <v>71</v>
      </c>
      <c r="J547" s="246" t="s">
        <v>1490</v>
      </c>
      <c r="K547" s="246" t="s">
        <v>486</v>
      </c>
      <c r="L547" s="246" t="s">
        <v>487</v>
      </c>
      <c r="M547" s="246" t="s">
        <v>506</v>
      </c>
      <c r="N547" s="246" t="s">
        <v>506</v>
      </c>
      <c r="O547" s="246" t="s">
        <v>640</v>
      </c>
      <c r="P547" s="246" t="s">
        <v>2443</v>
      </c>
      <c r="Q547" s="247">
        <v>10012793</v>
      </c>
      <c r="R547" s="248">
        <v>43165</v>
      </c>
      <c r="S547" s="248">
        <v>43167</v>
      </c>
      <c r="T547" s="248">
        <v>43220</v>
      </c>
      <c r="U547" s="246" t="s">
        <v>488</v>
      </c>
      <c r="V547" s="246">
        <v>1</v>
      </c>
      <c r="W547" s="246" t="s">
        <v>219</v>
      </c>
      <c r="X547" s="246">
        <v>1</v>
      </c>
      <c r="Y547" s="246">
        <v>1</v>
      </c>
      <c r="Z547" s="246">
        <v>1</v>
      </c>
      <c r="AA547" s="246">
        <v>1</v>
      </c>
      <c r="AB547" s="246" t="s">
        <v>486</v>
      </c>
      <c r="AC547" s="246" t="s">
        <v>486</v>
      </c>
      <c r="AD547" s="246" t="s">
        <v>490</v>
      </c>
      <c r="AE547" s="246" t="s">
        <v>486</v>
      </c>
      <c r="AF547" s="246" t="s">
        <v>486</v>
      </c>
      <c r="AG547" s="246" t="s">
        <v>486</v>
      </c>
      <c r="AH547" s="246" t="s">
        <v>486</v>
      </c>
      <c r="AI547" s="246" t="s">
        <v>486</v>
      </c>
      <c r="AJ547" s="246" t="s">
        <v>486</v>
      </c>
      <c r="AK547" s="246" t="s">
        <v>486</v>
      </c>
      <c r="AL547" s="246" t="s">
        <v>491</v>
      </c>
      <c r="AM547" s="246" t="s">
        <v>486</v>
      </c>
      <c r="AN547" s="246" t="s">
        <v>486</v>
      </c>
      <c r="AO547" s="248" t="s">
        <v>486</v>
      </c>
      <c r="AP547" s="247" t="s">
        <v>486</v>
      </c>
      <c r="AQ547" s="249" t="s">
        <v>486</v>
      </c>
      <c r="AR547" s="246" t="s">
        <v>486</v>
      </c>
    </row>
    <row r="548" spans="1:44" ht="15" x14ac:dyDescent="0.25">
      <c r="A548" s="250" t="str">
        <f>HYPERLINK("http://www.ofsted.gov.uk/inspection-reports/find-inspection-report/provider/ELS/101164 ","Ofsted School Webpage")</f>
        <v>Ofsted School Webpage</v>
      </c>
      <c r="B548" s="251">
        <v>101164</v>
      </c>
      <c r="C548" s="251">
        <v>2136129</v>
      </c>
      <c r="D548" s="251" t="s">
        <v>2444</v>
      </c>
      <c r="E548" s="251" t="s">
        <v>247</v>
      </c>
      <c r="F548" s="251" t="s">
        <v>93</v>
      </c>
      <c r="G548" s="251" t="s">
        <v>93</v>
      </c>
      <c r="H548" s="251" t="s">
        <v>93</v>
      </c>
      <c r="I548" s="251" t="s">
        <v>90</v>
      </c>
      <c r="J548" s="251" t="s">
        <v>1490</v>
      </c>
      <c r="K548" s="251" t="s">
        <v>486</v>
      </c>
      <c r="L548" s="251" t="s">
        <v>487</v>
      </c>
      <c r="M548" s="251" t="s">
        <v>506</v>
      </c>
      <c r="N548" s="251" t="s">
        <v>506</v>
      </c>
      <c r="O548" s="251" t="s">
        <v>658</v>
      </c>
      <c r="P548" s="251" t="s">
        <v>2445</v>
      </c>
      <c r="Q548" s="252">
        <v>10026275</v>
      </c>
      <c r="R548" s="253">
        <v>43165</v>
      </c>
      <c r="S548" s="253">
        <v>43167</v>
      </c>
      <c r="T548" s="253">
        <v>43209</v>
      </c>
      <c r="U548" s="251" t="s">
        <v>488</v>
      </c>
      <c r="V548" s="251">
        <v>2</v>
      </c>
      <c r="W548" s="251" t="s">
        <v>219</v>
      </c>
      <c r="X548" s="251">
        <v>2</v>
      </c>
      <c r="Y548" s="251">
        <v>1</v>
      </c>
      <c r="Z548" s="251">
        <v>2</v>
      </c>
      <c r="AA548" s="251">
        <v>2</v>
      </c>
      <c r="AB548" s="251">
        <v>2</v>
      </c>
      <c r="AC548" s="251" t="s">
        <v>486</v>
      </c>
      <c r="AD548" s="251" t="s">
        <v>490</v>
      </c>
      <c r="AE548" s="251" t="s">
        <v>486</v>
      </c>
      <c r="AF548" s="251" t="s">
        <v>486</v>
      </c>
      <c r="AG548" s="251" t="s">
        <v>486</v>
      </c>
      <c r="AH548" s="251" t="s">
        <v>486</v>
      </c>
      <c r="AI548" s="251" t="s">
        <v>486</v>
      </c>
      <c r="AJ548" s="251" t="s">
        <v>486</v>
      </c>
      <c r="AK548" s="251" t="s">
        <v>486</v>
      </c>
      <c r="AL548" s="251" t="s">
        <v>491</v>
      </c>
      <c r="AM548" s="251" t="s">
        <v>486</v>
      </c>
      <c r="AN548" s="251" t="s">
        <v>486</v>
      </c>
      <c r="AO548" s="253" t="s">
        <v>486</v>
      </c>
      <c r="AP548" s="252" t="s">
        <v>486</v>
      </c>
      <c r="AQ548" s="254" t="s">
        <v>486</v>
      </c>
      <c r="AR548" s="251" t="s">
        <v>486</v>
      </c>
    </row>
    <row r="549" spans="1:44" ht="15" x14ac:dyDescent="0.25">
      <c r="A549" s="245" t="str">
        <f>HYPERLINK("http://www.ofsted.gov.uk/inspection-reports/find-inspection-report/provider/ELS/114645 ","Ofsted School Webpage")</f>
        <v>Ofsted School Webpage</v>
      </c>
      <c r="B549" s="246">
        <v>114645</v>
      </c>
      <c r="C549" s="246">
        <v>8456028</v>
      </c>
      <c r="D549" s="246" t="s">
        <v>2446</v>
      </c>
      <c r="E549" s="246" t="s">
        <v>248</v>
      </c>
      <c r="F549" s="246" t="s">
        <v>93</v>
      </c>
      <c r="G549" s="246" t="s">
        <v>92</v>
      </c>
      <c r="H549" s="246" t="s">
        <v>92</v>
      </c>
      <c r="I549" s="246" t="s">
        <v>90</v>
      </c>
      <c r="J549" s="246" t="s">
        <v>1490</v>
      </c>
      <c r="K549" s="246" t="s">
        <v>486</v>
      </c>
      <c r="L549" s="246" t="s">
        <v>487</v>
      </c>
      <c r="M549" s="246" t="s">
        <v>581</v>
      </c>
      <c r="N549" s="246" t="s">
        <v>581</v>
      </c>
      <c r="O549" s="246" t="s">
        <v>761</v>
      </c>
      <c r="P549" s="246" t="s">
        <v>2447</v>
      </c>
      <c r="Q549" s="247">
        <v>10039154</v>
      </c>
      <c r="R549" s="248">
        <v>43165</v>
      </c>
      <c r="S549" s="248">
        <v>43167</v>
      </c>
      <c r="T549" s="248">
        <v>43213</v>
      </c>
      <c r="U549" s="246" t="s">
        <v>2930</v>
      </c>
      <c r="V549" s="246">
        <v>2</v>
      </c>
      <c r="W549" s="246" t="s">
        <v>219</v>
      </c>
      <c r="X549" s="246">
        <v>2</v>
      </c>
      <c r="Y549" s="246">
        <v>2</v>
      </c>
      <c r="Z549" s="246">
        <v>2</v>
      </c>
      <c r="AA549" s="246">
        <v>2</v>
      </c>
      <c r="AB549" s="246" t="s">
        <v>486</v>
      </c>
      <c r="AC549" s="246">
        <v>2</v>
      </c>
      <c r="AD549" s="246" t="s">
        <v>490</v>
      </c>
      <c r="AE549" s="246" t="s">
        <v>486</v>
      </c>
      <c r="AF549" s="246" t="s">
        <v>486</v>
      </c>
      <c r="AG549" s="246" t="s">
        <v>486</v>
      </c>
      <c r="AH549" s="246" t="s">
        <v>486</v>
      </c>
      <c r="AI549" s="246" t="s">
        <v>486</v>
      </c>
      <c r="AJ549" s="246" t="s">
        <v>486</v>
      </c>
      <c r="AK549" s="246" t="s">
        <v>486</v>
      </c>
      <c r="AL549" s="246" t="s">
        <v>491</v>
      </c>
      <c r="AM549" s="246" t="s">
        <v>486</v>
      </c>
      <c r="AN549" s="246" t="s">
        <v>486</v>
      </c>
      <c r="AO549" s="248" t="s">
        <v>486</v>
      </c>
      <c r="AP549" s="247" t="s">
        <v>486</v>
      </c>
      <c r="AQ549" s="249" t="s">
        <v>486</v>
      </c>
      <c r="AR549" s="246" t="s">
        <v>486</v>
      </c>
    </row>
    <row r="550" spans="1:44" ht="15" x14ac:dyDescent="0.25">
      <c r="A550" s="250" t="str">
        <f>HYPERLINK("http://www.ofsted.gov.uk/inspection-reports/find-inspection-report/provider/ELS/116593 ","Ofsted School Webpage")</f>
        <v>Ofsted School Webpage</v>
      </c>
      <c r="B550" s="251">
        <v>116593</v>
      </c>
      <c r="C550" s="251">
        <v>8356033</v>
      </c>
      <c r="D550" s="251" t="s">
        <v>2448</v>
      </c>
      <c r="E550" s="251" t="s">
        <v>248</v>
      </c>
      <c r="F550" s="251" t="s">
        <v>93</v>
      </c>
      <c r="G550" s="251" t="s">
        <v>93</v>
      </c>
      <c r="H550" s="251" t="s">
        <v>93</v>
      </c>
      <c r="I550" s="251" t="s">
        <v>90</v>
      </c>
      <c r="J550" s="251" t="s">
        <v>1490</v>
      </c>
      <c r="K550" s="251" t="s">
        <v>486</v>
      </c>
      <c r="L550" s="251" t="s">
        <v>487</v>
      </c>
      <c r="M550" s="251" t="s">
        <v>483</v>
      </c>
      <c r="N550" s="251" t="s">
        <v>483</v>
      </c>
      <c r="O550" s="251" t="s">
        <v>643</v>
      </c>
      <c r="P550" s="251" t="s">
        <v>2449</v>
      </c>
      <c r="Q550" s="252">
        <v>10045468</v>
      </c>
      <c r="R550" s="253">
        <v>43165</v>
      </c>
      <c r="S550" s="253">
        <v>43167</v>
      </c>
      <c r="T550" s="253">
        <v>43202</v>
      </c>
      <c r="U550" s="251" t="s">
        <v>2930</v>
      </c>
      <c r="V550" s="251">
        <v>3</v>
      </c>
      <c r="W550" s="251" t="s">
        <v>219</v>
      </c>
      <c r="X550" s="251">
        <v>2</v>
      </c>
      <c r="Y550" s="251">
        <v>2</v>
      </c>
      <c r="Z550" s="251">
        <v>3</v>
      </c>
      <c r="AA550" s="251">
        <v>3</v>
      </c>
      <c r="AB550" s="251" t="s">
        <v>486</v>
      </c>
      <c r="AC550" s="251">
        <v>3</v>
      </c>
      <c r="AD550" s="251" t="s">
        <v>490</v>
      </c>
      <c r="AE550" s="251" t="s">
        <v>486</v>
      </c>
      <c r="AF550" s="251" t="s">
        <v>486</v>
      </c>
      <c r="AG550" s="251" t="s">
        <v>486</v>
      </c>
      <c r="AH550" s="251" t="s">
        <v>486</v>
      </c>
      <c r="AI550" s="251" t="s">
        <v>486</v>
      </c>
      <c r="AJ550" s="251" t="s">
        <v>486</v>
      </c>
      <c r="AK550" s="251" t="s">
        <v>486</v>
      </c>
      <c r="AL550" s="251" t="s">
        <v>491</v>
      </c>
      <c r="AM550" s="251" t="s">
        <v>486</v>
      </c>
      <c r="AN550" s="251" t="s">
        <v>486</v>
      </c>
      <c r="AO550" s="253" t="s">
        <v>486</v>
      </c>
      <c r="AP550" s="252" t="s">
        <v>486</v>
      </c>
      <c r="AQ550" s="254" t="s">
        <v>486</v>
      </c>
      <c r="AR550" s="251" t="s">
        <v>486</v>
      </c>
    </row>
    <row r="551" spans="1:44" ht="15" x14ac:dyDescent="0.25">
      <c r="A551" s="245" t="str">
        <f>HYPERLINK("http://www.ofsted.gov.uk/inspection-reports/find-inspection-report/provider/ELS/120330 ","Ofsted School Webpage")</f>
        <v>Ofsted School Webpage</v>
      </c>
      <c r="B551" s="246">
        <v>120330</v>
      </c>
      <c r="C551" s="246">
        <v>8556010</v>
      </c>
      <c r="D551" s="246" t="s">
        <v>2450</v>
      </c>
      <c r="E551" s="246" t="s">
        <v>248</v>
      </c>
      <c r="F551" s="246" t="s">
        <v>93</v>
      </c>
      <c r="G551" s="246" t="s">
        <v>93</v>
      </c>
      <c r="H551" s="246" t="s">
        <v>93</v>
      </c>
      <c r="I551" s="246" t="s">
        <v>90</v>
      </c>
      <c r="J551" s="246" t="s">
        <v>1490</v>
      </c>
      <c r="K551" s="246" t="s">
        <v>486</v>
      </c>
      <c r="L551" s="246" t="s">
        <v>487</v>
      </c>
      <c r="M551" s="246" t="s">
        <v>572</v>
      </c>
      <c r="N551" s="246" t="s">
        <v>572</v>
      </c>
      <c r="O551" s="246" t="s">
        <v>966</v>
      </c>
      <c r="P551" s="246" t="s">
        <v>2451</v>
      </c>
      <c r="Q551" s="247">
        <v>10039179</v>
      </c>
      <c r="R551" s="248">
        <v>43165</v>
      </c>
      <c r="S551" s="248">
        <v>43167</v>
      </c>
      <c r="T551" s="248">
        <v>43202</v>
      </c>
      <c r="U551" s="246" t="s">
        <v>488</v>
      </c>
      <c r="V551" s="246">
        <v>2</v>
      </c>
      <c r="W551" s="246" t="s">
        <v>219</v>
      </c>
      <c r="X551" s="246">
        <v>1</v>
      </c>
      <c r="Y551" s="246">
        <v>1</v>
      </c>
      <c r="Z551" s="246">
        <v>2</v>
      </c>
      <c r="AA551" s="246">
        <v>2</v>
      </c>
      <c r="AB551" s="246" t="s">
        <v>486</v>
      </c>
      <c r="AC551" s="246" t="s">
        <v>486</v>
      </c>
      <c r="AD551" s="246" t="s">
        <v>490</v>
      </c>
      <c r="AE551" s="246" t="s">
        <v>486</v>
      </c>
      <c r="AF551" s="246" t="s">
        <v>486</v>
      </c>
      <c r="AG551" s="246" t="s">
        <v>486</v>
      </c>
      <c r="AH551" s="246" t="s">
        <v>486</v>
      </c>
      <c r="AI551" s="246" t="s">
        <v>486</v>
      </c>
      <c r="AJ551" s="246" t="s">
        <v>486</v>
      </c>
      <c r="AK551" s="246" t="s">
        <v>486</v>
      </c>
      <c r="AL551" s="246" t="s">
        <v>491</v>
      </c>
      <c r="AM551" s="246" t="s">
        <v>486</v>
      </c>
      <c r="AN551" s="246" t="s">
        <v>486</v>
      </c>
      <c r="AO551" s="248" t="s">
        <v>486</v>
      </c>
      <c r="AP551" s="247" t="s">
        <v>486</v>
      </c>
      <c r="AQ551" s="249" t="s">
        <v>486</v>
      </c>
      <c r="AR551" s="246" t="s">
        <v>486</v>
      </c>
    </row>
    <row r="552" spans="1:44" ht="15" x14ac:dyDescent="0.25">
      <c r="A552" s="250" t="str">
        <f>HYPERLINK("http://www.ofsted.gov.uk/inspection-reports/find-inspection-report/provider/ELS/130239 ","Ofsted School Webpage")</f>
        <v>Ofsted School Webpage</v>
      </c>
      <c r="B552" s="251">
        <v>130239</v>
      </c>
      <c r="C552" s="251">
        <v>2056402</v>
      </c>
      <c r="D552" s="251" t="s">
        <v>2452</v>
      </c>
      <c r="E552" s="251" t="s">
        <v>247</v>
      </c>
      <c r="F552" s="251" t="s">
        <v>93</v>
      </c>
      <c r="G552" s="251" t="s">
        <v>71</v>
      </c>
      <c r="H552" s="251" t="s">
        <v>71</v>
      </c>
      <c r="I552" s="251" t="s">
        <v>71</v>
      </c>
      <c r="J552" s="251" t="s">
        <v>1490</v>
      </c>
      <c r="K552" s="251" t="s">
        <v>486</v>
      </c>
      <c r="L552" s="251" t="s">
        <v>487</v>
      </c>
      <c r="M552" s="251" t="s">
        <v>506</v>
      </c>
      <c r="N552" s="251" t="s">
        <v>506</v>
      </c>
      <c r="O552" s="251" t="s">
        <v>862</v>
      </c>
      <c r="P552" s="251" t="s">
        <v>2453</v>
      </c>
      <c r="Q552" s="252">
        <v>10038159</v>
      </c>
      <c r="R552" s="253">
        <v>43165</v>
      </c>
      <c r="S552" s="253">
        <v>43167</v>
      </c>
      <c r="T552" s="253">
        <v>43220</v>
      </c>
      <c r="U552" s="251" t="s">
        <v>488</v>
      </c>
      <c r="V552" s="251">
        <v>1</v>
      </c>
      <c r="W552" s="251" t="s">
        <v>219</v>
      </c>
      <c r="X552" s="251">
        <v>1</v>
      </c>
      <c r="Y552" s="251">
        <v>1</v>
      </c>
      <c r="Z552" s="251">
        <v>1</v>
      </c>
      <c r="AA552" s="251">
        <v>1</v>
      </c>
      <c r="AB552" s="251">
        <v>1</v>
      </c>
      <c r="AC552" s="251" t="s">
        <v>486</v>
      </c>
      <c r="AD552" s="251" t="s">
        <v>490</v>
      </c>
      <c r="AE552" s="251" t="s">
        <v>486</v>
      </c>
      <c r="AF552" s="251" t="s">
        <v>486</v>
      </c>
      <c r="AG552" s="251" t="s">
        <v>486</v>
      </c>
      <c r="AH552" s="251" t="s">
        <v>486</v>
      </c>
      <c r="AI552" s="251" t="s">
        <v>486</v>
      </c>
      <c r="AJ552" s="251" t="s">
        <v>486</v>
      </c>
      <c r="AK552" s="251" t="s">
        <v>486</v>
      </c>
      <c r="AL552" s="251" t="s">
        <v>491</v>
      </c>
      <c r="AM552" s="251" t="s">
        <v>486</v>
      </c>
      <c r="AN552" s="251" t="s">
        <v>486</v>
      </c>
      <c r="AO552" s="253" t="s">
        <v>486</v>
      </c>
      <c r="AP552" s="252" t="s">
        <v>486</v>
      </c>
      <c r="AQ552" s="254" t="s">
        <v>486</v>
      </c>
      <c r="AR552" s="251" t="s">
        <v>486</v>
      </c>
    </row>
    <row r="553" spans="1:44" ht="15" x14ac:dyDescent="0.25">
      <c r="A553" s="245" t="str">
        <f>HYPERLINK("http://www.ofsted.gov.uk/inspection-reports/find-inspection-report/provider/ELS/131059 ","Ofsted School Webpage")</f>
        <v>Ofsted School Webpage</v>
      </c>
      <c r="B553" s="246">
        <v>131059</v>
      </c>
      <c r="C553" s="246">
        <v>3046076</v>
      </c>
      <c r="D553" s="246" t="s">
        <v>2454</v>
      </c>
      <c r="E553" s="246" t="s">
        <v>247</v>
      </c>
      <c r="F553" s="246" t="s">
        <v>83</v>
      </c>
      <c r="G553" s="246" t="s">
        <v>84</v>
      </c>
      <c r="H553" s="246" t="s">
        <v>83</v>
      </c>
      <c r="I553" s="246" t="s">
        <v>84</v>
      </c>
      <c r="J553" s="246" t="s">
        <v>1490</v>
      </c>
      <c r="K553" s="246" t="s">
        <v>486</v>
      </c>
      <c r="L553" s="246" t="s">
        <v>487</v>
      </c>
      <c r="M553" s="246" t="s">
        <v>506</v>
      </c>
      <c r="N553" s="246" t="s">
        <v>506</v>
      </c>
      <c r="O553" s="246" t="s">
        <v>543</v>
      </c>
      <c r="P553" s="246" t="s">
        <v>2455</v>
      </c>
      <c r="Q553" s="247">
        <v>10020772</v>
      </c>
      <c r="R553" s="248">
        <v>43165</v>
      </c>
      <c r="S553" s="248">
        <v>43167</v>
      </c>
      <c r="T553" s="248">
        <v>43213</v>
      </c>
      <c r="U553" s="246" t="s">
        <v>488</v>
      </c>
      <c r="V553" s="246">
        <v>1</v>
      </c>
      <c r="W553" s="246" t="s">
        <v>219</v>
      </c>
      <c r="X553" s="246">
        <v>1</v>
      </c>
      <c r="Y553" s="246">
        <v>1</v>
      </c>
      <c r="Z553" s="246">
        <v>1</v>
      </c>
      <c r="AA553" s="246">
        <v>1</v>
      </c>
      <c r="AB553" s="246" t="s">
        <v>486</v>
      </c>
      <c r="AC553" s="246" t="s">
        <v>486</v>
      </c>
      <c r="AD553" s="246" t="s">
        <v>490</v>
      </c>
      <c r="AE553" s="246" t="s">
        <v>486</v>
      </c>
      <c r="AF553" s="246" t="s">
        <v>486</v>
      </c>
      <c r="AG553" s="246" t="s">
        <v>486</v>
      </c>
      <c r="AH553" s="246" t="s">
        <v>486</v>
      </c>
      <c r="AI553" s="246" t="s">
        <v>486</v>
      </c>
      <c r="AJ553" s="246" t="s">
        <v>486</v>
      </c>
      <c r="AK553" s="246" t="s">
        <v>486</v>
      </c>
      <c r="AL553" s="246" t="s">
        <v>491</v>
      </c>
      <c r="AM553" s="246" t="s">
        <v>486</v>
      </c>
      <c r="AN553" s="246" t="s">
        <v>486</v>
      </c>
      <c r="AO553" s="248" t="s">
        <v>486</v>
      </c>
      <c r="AP553" s="247" t="s">
        <v>486</v>
      </c>
      <c r="AQ553" s="249" t="s">
        <v>486</v>
      </c>
      <c r="AR553" s="246" t="s">
        <v>486</v>
      </c>
    </row>
    <row r="554" spans="1:44" ht="15" x14ac:dyDescent="0.25">
      <c r="A554" s="250" t="str">
        <f>HYPERLINK("http://www.ofsted.gov.uk/inspection-reports/find-inspection-report/provider/ELS/131288 ","Ofsted School Webpage")</f>
        <v>Ofsted School Webpage</v>
      </c>
      <c r="B554" s="251">
        <v>131288</v>
      </c>
      <c r="C554" s="251">
        <v>3026109</v>
      </c>
      <c r="D554" s="251" t="s">
        <v>2456</v>
      </c>
      <c r="E554" s="251" t="s">
        <v>247</v>
      </c>
      <c r="F554" s="251" t="s">
        <v>93</v>
      </c>
      <c r="G554" s="251" t="s">
        <v>93</v>
      </c>
      <c r="H554" s="251" t="s">
        <v>93</v>
      </c>
      <c r="I554" s="251" t="s">
        <v>90</v>
      </c>
      <c r="J554" s="251" t="s">
        <v>1490</v>
      </c>
      <c r="K554" s="251" t="s">
        <v>486</v>
      </c>
      <c r="L554" s="251" t="s">
        <v>487</v>
      </c>
      <c r="M554" s="251" t="s">
        <v>506</v>
      </c>
      <c r="N554" s="251" t="s">
        <v>506</v>
      </c>
      <c r="O554" s="251" t="s">
        <v>614</v>
      </c>
      <c r="P554" s="251" t="s">
        <v>2457</v>
      </c>
      <c r="Q554" s="252">
        <v>10026285</v>
      </c>
      <c r="R554" s="253">
        <v>43165</v>
      </c>
      <c r="S554" s="253">
        <v>43167</v>
      </c>
      <c r="T554" s="253">
        <v>43299</v>
      </c>
      <c r="U554" s="251" t="s">
        <v>488</v>
      </c>
      <c r="V554" s="251">
        <v>3</v>
      </c>
      <c r="W554" s="251" t="s">
        <v>219</v>
      </c>
      <c r="X554" s="251">
        <v>3</v>
      </c>
      <c r="Y554" s="251">
        <v>3</v>
      </c>
      <c r="Z554" s="251">
        <v>3</v>
      </c>
      <c r="AA554" s="251">
        <v>3</v>
      </c>
      <c r="AB554" s="251" t="s">
        <v>486</v>
      </c>
      <c r="AC554" s="251">
        <v>3</v>
      </c>
      <c r="AD554" s="251" t="s">
        <v>490</v>
      </c>
      <c r="AE554" s="251" t="s">
        <v>486</v>
      </c>
      <c r="AF554" s="251" t="s">
        <v>486</v>
      </c>
      <c r="AG554" s="251" t="s">
        <v>486</v>
      </c>
      <c r="AH554" s="251" t="s">
        <v>486</v>
      </c>
      <c r="AI554" s="251" t="s">
        <v>486</v>
      </c>
      <c r="AJ554" s="251" t="s">
        <v>486</v>
      </c>
      <c r="AK554" s="251" t="s">
        <v>486</v>
      </c>
      <c r="AL554" s="251" t="s">
        <v>545</v>
      </c>
      <c r="AM554" s="251" t="s">
        <v>486</v>
      </c>
      <c r="AN554" s="251" t="s">
        <v>486</v>
      </c>
      <c r="AO554" s="253" t="s">
        <v>486</v>
      </c>
      <c r="AP554" s="252" t="s">
        <v>486</v>
      </c>
      <c r="AQ554" s="254" t="s">
        <v>486</v>
      </c>
      <c r="AR554" s="251" t="s">
        <v>486</v>
      </c>
    </row>
    <row r="555" spans="1:44" ht="15" x14ac:dyDescent="0.25">
      <c r="A555" s="245" t="str">
        <f>HYPERLINK("http://www.ofsted.gov.uk/inspection-reports/find-inspection-report/provider/ELS/133439 ","Ofsted School Webpage")</f>
        <v>Ofsted School Webpage</v>
      </c>
      <c r="B555" s="246">
        <v>133439</v>
      </c>
      <c r="C555" s="246">
        <v>2046409</v>
      </c>
      <c r="D555" s="246" t="s">
        <v>2458</v>
      </c>
      <c r="E555" s="246" t="s">
        <v>248</v>
      </c>
      <c r="F555" s="246" t="s">
        <v>93</v>
      </c>
      <c r="G555" s="246" t="s">
        <v>81</v>
      </c>
      <c r="H555" s="246" t="s">
        <v>81</v>
      </c>
      <c r="I555" s="246" t="s">
        <v>81</v>
      </c>
      <c r="J555" s="246" t="s">
        <v>1490</v>
      </c>
      <c r="K555" s="246" t="s">
        <v>486</v>
      </c>
      <c r="L555" s="246" t="s">
        <v>487</v>
      </c>
      <c r="M555" s="246" t="s">
        <v>506</v>
      </c>
      <c r="N555" s="246" t="s">
        <v>506</v>
      </c>
      <c r="O555" s="246" t="s">
        <v>617</v>
      </c>
      <c r="P555" s="246" t="s">
        <v>2459</v>
      </c>
      <c r="Q555" s="247">
        <v>10038165</v>
      </c>
      <c r="R555" s="248">
        <v>43165</v>
      </c>
      <c r="S555" s="248">
        <v>43167</v>
      </c>
      <c r="T555" s="248">
        <v>43185</v>
      </c>
      <c r="U555" s="246" t="s">
        <v>488</v>
      </c>
      <c r="V555" s="246">
        <v>2</v>
      </c>
      <c r="W555" s="246" t="s">
        <v>219</v>
      </c>
      <c r="X555" s="246">
        <v>2</v>
      </c>
      <c r="Y555" s="246">
        <v>2</v>
      </c>
      <c r="Z555" s="246">
        <v>2</v>
      </c>
      <c r="AA555" s="246">
        <v>2</v>
      </c>
      <c r="AB555" s="246">
        <v>2</v>
      </c>
      <c r="AC555" s="246" t="s">
        <v>486</v>
      </c>
      <c r="AD555" s="246" t="s">
        <v>512</v>
      </c>
      <c r="AE555" s="246" t="s">
        <v>486</v>
      </c>
      <c r="AF555" s="246" t="s">
        <v>486</v>
      </c>
      <c r="AG555" s="246" t="s">
        <v>486</v>
      </c>
      <c r="AH555" s="246" t="s">
        <v>490</v>
      </c>
      <c r="AI555" s="246" t="s">
        <v>486</v>
      </c>
      <c r="AJ555" s="246" t="s">
        <v>486</v>
      </c>
      <c r="AK555" s="246" t="s">
        <v>486</v>
      </c>
      <c r="AL555" s="246" t="s">
        <v>491</v>
      </c>
      <c r="AM555" s="246" t="s">
        <v>486</v>
      </c>
      <c r="AN555" s="246" t="s">
        <v>486</v>
      </c>
      <c r="AO555" s="248" t="s">
        <v>486</v>
      </c>
      <c r="AP555" s="247" t="s">
        <v>486</v>
      </c>
      <c r="AQ555" s="249" t="s">
        <v>486</v>
      </c>
      <c r="AR555" s="246" t="s">
        <v>486</v>
      </c>
    </row>
    <row r="556" spans="1:44" ht="15" x14ac:dyDescent="0.25">
      <c r="A556" s="250" t="str">
        <f>HYPERLINK("http://www.ofsted.gov.uk/inspection-reports/find-inspection-report/provider/ELS/133485 ","Ofsted School Webpage")</f>
        <v>Ofsted School Webpage</v>
      </c>
      <c r="B556" s="251">
        <v>133485</v>
      </c>
      <c r="C556" s="251">
        <v>8766000</v>
      </c>
      <c r="D556" s="251" t="s">
        <v>2460</v>
      </c>
      <c r="E556" s="251" t="s">
        <v>248</v>
      </c>
      <c r="F556" s="251" t="s">
        <v>93</v>
      </c>
      <c r="G556" s="251" t="s">
        <v>93</v>
      </c>
      <c r="H556" s="251" t="s">
        <v>93</v>
      </c>
      <c r="I556" s="251" t="s">
        <v>90</v>
      </c>
      <c r="J556" s="251" t="s">
        <v>1490</v>
      </c>
      <c r="K556" s="251" t="s">
        <v>486</v>
      </c>
      <c r="L556" s="251" t="s">
        <v>487</v>
      </c>
      <c r="M556" s="251" t="s">
        <v>495</v>
      </c>
      <c r="N556" s="251" t="s">
        <v>495</v>
      </c>
      <c r="O556" s="251" t="s">
        <v>646</v>
      </c>
      <c r="P556" s="251" t="s">
        <v>2461</v>
      </c>
      <c r="Q556" s="252">
        <v>10043376</v>
      </c>
      <c r="R556" s="253">
        <v>43165</v>
      </c>
      <c r="S556" s="253">
        <v>43167</v>
      </c>
      <c r="T556" s="253">
        <v>43213</v>
      </c>
      <c r="U556" s="251" t="s">
        <v>488</v>
      </c>
      <c r="V556" s="251">
        <v>2</v>
      </c>
      <c r="W556" s="251" t="s">
        <v>219</v>
      </c>
      <c r="X556" s="251">
        <v>2</v>
      </c>
      <c r="Y556" s="251">
        <v>1</v>
      </c>
      <c r="Z556" s="251">
        <v>2</v>
      </c>
      <c r="AA556" s="251">
        <v>2</v>
      </c>
      <c r="AB556" s="251" t="s">
        <v>486</v>
      </c>
      <c r="AC556" s="251" t="s">
        <v>486</v>
      </c>
      <c r="AD556" s="251" t="s">
        <v>490</v>
      </c>
      <c r="AE556" s="251" t="s">
        <v>486</v>
      </c>
      <c r="AF556" s="251" t="s">
        <v>486</v>
      </c>
      <c r="AG556" s="251" t="s">
        <v>486</v>
      </c>
      <c r="AH556" s="251" t="s">
        <v>486</v>
      </c>
      <c r="AI556" s="251" t="s">
        <v>486</v>
      </c>
      <c r="AJ556" s="251" t="s">
        <v>486</v>
      </c>
      <c r="AK556" s="251" t="s">
        <v>486</v>
      </c>
      <c r="AL556" s="251" t="s">
        <v>491</v>
      </c>
      <c r="AM556" s="251" t="s">
        <v>486</v>
      </c>
      <c r="AN556" s="251" t="s">
        <v>486</v>
      </c>
      <c r="AO556" s="253" t="s">
        <v>486</v>
      </c>
      <c r="AP556" s="252" t="s">
        <v>486</v>
      </c>
      <c r="AQ556" s="254" t="s">
        <v>486</v>
      </c>
      <c r="AR556" s="251" t="s">
        <v>486</v>
      </c>
    </row>
    <row r="557" spans="1:44" ht="15" x14ac:dyDescent="0.25">
      <c r="A557" s="245" t="str">
        <f>HYPERLINK("http://www.ofsted.gov.uk/inspection-reports/find-inspection-report/provider/ELS/135155 ","Ofsted School Webpage")</f>
        <v>Ofsted School Webpage</v>
      </c>
      <c r="B557" s="246">
        <v>135155</v>
      </c>
      <c r="C557" s="246">
        <v>3076338</v>
      </c>
      <c r="D557" s="246" t="s">
        <v>2462</v>
      </c>
      <c r="E557" s="246" t="s">
        <v>247</v>
      </c>
      <c r="F557" s="246" t="s">
        <v>93</v>
      </c>
      <c r="G557" s="246" t="s">
        <v>84</v>
      </c>
      <c r="H557" s="246" t="s">
        <v>84</v>
      </c>
      <c r="I557" s="246" t="s">
        <v>84</v>
      </c>
      <c r="J557" s="246" t="s">
        <v>1490</v>
      </c>
      <c r="K557" s="246" t="s">
        <v>486</v>
      </c>
      <c r="L557" s="246" t="s">
        <v>487</v>
      </c>
      <c r="M557" s="246" t="s">
        <v>506</v>
      </c>
      <c r="N557" s="246" t="s">
        <v>506</v>
      </c>
      <c r="O557" s="246" t="s">
        <v>507</v>
      </c>
      <c r="P557" s="246" t="s">
        <v>2463</v>
      </c>
      <c r="Q557" s="247">
        <v>10035803</v>
      </c>
      <c r="R557" s="248">
        <v>43165</v>
      </c>
      <c r="S557" s="248">
        <v>43167</v>
      </c>
      <c r="T557" s="248">
        <v>43208</v>
      </c>
      <c r="U557" s="246" t="s">
        <v>488</v>
      </c>
      <c r="V557" s="246">
        <v>2</v>
      </c>
      <c r="W557" s="246" t="s">
        <v>219</v>
      </c>
      <c r="X557" s="246">
        <v>2</v>
      </c>
      <c r="Y557" s="246">
        <v>1</v>
      </c>
      <c r="Z557" s="246">
        <v>2</v>
      </c>
      <c r="AA557" s="246">
        <v>2</v>
      </c>
      <c r="AB557" s="246" t="s">
        <v>486</v>
      </c>
      <c r="AC557" s="246" t="s">
        <v>486</v>
      </c>
      <c r="AD557" s="246" t="s">
        <v>490</v>
      </c>
      <c r="AE557" s="246" t="s">
        <v>486</v>
      </c>
      <c r="AF557" s="246" t="s">
        <v>486</v>
      </c>
      <c r="AG557" s="246" t="s">
        <v>486</v>
      </c>
      <c r="AH557" s="246" t="s">
        <v>486</v>
      </c>
      <c r="AI557" s="246" t="s">
        <v>486</v>
      </c>
      <c r="AJ557" s="246" t="s">
        <v>486</v>
      </c>
      <c r="AK557" s="246" t="s">
        <v>486</v>
      </c>
      <c r="AL557" s="246" t="s">
        <v>491</v>
      </c>
      <c r="AM557" s="246" t="s">
        <v>486</v>
      </c>
      <c r="AN557" s="246" t="s">
        <v>486</v>
      </c>
      <c r="AO557" s="248" t="s">
        <v>486</v>
      </c>
      <c r="AP557" s="247" t="s">
        <v>486</v>
      </c>
      <c r="AQ557" s="249" t="s">
        <v>486</v>
      </c>
      <c r="AR557" s="246" t="s">
        <v>486</v>
      </c>
    </row>
    <row r="558" spans="1:44" ht="15" x14ac:dyDescent="0.25">
      <c r="A558" s="250" t="str">
        <f>HYPERLINK("http://www.ofsted.gov.uk/inspection-reports/find-inspection-report/provider/ELS/135334 ","Ofsted School Webpage")</f>
        <v>Ofsted School Webpage</v>
      </c>
      <c r="B558" s="251">
        <v>135334</v>
      </c>
      <c r="C558" s="251">
        <v>3106083</v>
      </c>
      <c r="D558" s="251" t="s">
        <v>1188</v>
      </c>
      <c r="E558" s="251" t="s">
        <v>247</v>
      </c>
      <c r="F558" s="251" t="s">
        <v>93</v>
      </c>
      <c r="G558" s="251" t="s">
        <v>93</v>
      </c>
      <c r="H558" s="251" t="s">
        <v>93</v>
      </c>
      <c r="I558" s="251" t="s">
        <v>90</v>
      </c>
      <c r="J558" s="251" t="s">
        <v>1490</v>
      </c>
      <c r="K558" s="251" t="s">
        <v>486</v>
      </c>
      <c r="L558" s="251" t="s">
        <v>487</v>
      </c>
      <c r="M558" s="251" t="s">
        <v>506</v>
      </c>
      <c r="N558" s="251" t="s">
        <v>506</v>
      </c>
      <c r="O558" s="251" t="s">
        <v>510</v>
      </c>
      <c r="P558" s="251" t="s">
        <v>1189</v>
      </c>
      <c r="Q558" s="252">
        <v>10041398</v>
      </c>
      <c r="R558" s="253">
        <v>43165</v>
      </c>
      <c r="S558" s="253">
        <v>43167</v>
      </c>
      <c r="T558" s="253">
        <v>43229</v>
      </c>
      <c r="U558" s="251" t="s">
        <v>488</v>
      </c>
      <c r="V558" s="251">
        <v>4</v>
      </c>
      <c r="W558" s="251" t="s">
        <v>220</v>
      </c>
      <c r="X558" s="251">
        <v>4</v>
      </c>
      <c r="Y558" s="251">
        <v>4</v>
      </c>
      <c r="Z558" s="251">
        <v>0</v>
      </c>
      <c r="AA558" s="251">
        <v>0</v>
      </c>
      <c r="AB558" s="251" t="s">
        <v>486</v>
      </c>
      <c r="AC558" s="251">
        <v>0</v>
      </c>
      <c r="AD558" s="251" t="s">
        <v>512</v>
      </c>
      <c r="AE558" s="251" t="s">
        <v>486</v>
      </c>
      <c r="AF558" s="251" t="s">
        <v>486</v>
      </c>
      <c r="AG558" s="251" t="s">
        <v>490</v>
      </c>
      <c r="AH558" s="251" t="s">
        <v>486</v>
      </c>
      <c r="AI558" s="251" t="s">
        <v>486</v>
      </c>
      <c r="AJ558" s="251" t="s">
        <v>486</v>
      </c>
      <c r="AK558" s="251" t="s">
        <v>486</v>
      </c>
      <c r="AL558" s="251" t="s">
        <v>545</v>
      </c>
      <c r="AM558" s="251">
        <v>10077611</v>
      </c>
      <c r="AN558" s="251" t="s">
        <v>1109</v>
      </c>
      <c r="AO558" s="253">
        <v>43377</v>
      </c>
      <c r="AP558" s="252" t="s">
        <v>1523</v>
      </c>
      <c r="AQ558" s="254">
        <v>43408</v>
      </c>
      <c r="AR558" s="251" t="s">
        <v>1136</v>
      </c>
    </row>
    <row r="559" spans="1:44" ht="15" x14ac:dyDescent="0.25">
      <c r="A559" s="245" t="str">
        <f>HYPERLINK("http://www.ofsted.gov.uk/inspection-reports/find-inspection-report/provider/ELS/139221 ","Ofsted School Webpage")</f>
        <v>Ofsted School Webpage</v>
      </c>
      <c r="B559" s="246">
        <v>139221</v>
      </c>
      <c r="C559" s="246">
        <v>2116005</v>
      </c>
      <c r="D559" s="246" t="s">
        <v>2464</v>
      </c>
      <c r="E559" s="246" t="s">
        <v>247</v>
      </c>
      <c r="F559" s="246" t="s">
        <v>93</v>
      </c>
      <c r="G559" s="246" t="s">
        <v>84</v>
      </c>
      <c r="H559" s="246" t="s">
        <v>84</v>
      </c>
      <c r="I559" s="246" t="s">
        <v>84</v>
      </c>
      <c r="J559" s="246" t="s">
        <v>1490</v>
      </c>
      <c r="K559" s="246" t="s">
        <v>486</v>
      </c>
      <c r="L559" s="246" t="s">
        <v>487</v>
      </c>
      <c r="M559" s="246" t="s">
        <v>506</v>
      </c>
      <c r="N559" s="246" t="s">
        <v>506</v>
      </c>
      <c r="O559" s="246" t="s">
        <v>849</v>
      </c>
      <c r="P559" s="246" t="s">
        <v>2465</v>
      </c>
      <c r="Q559" s="247">
        <v>10020729</v>
      </c>
      <c r="R559" s="248">
        <v>43165</v>
      </c>
      <c r="S559" s="248">
        <v>43167</v>
      </c>
      <c r="T559" s="248">
        <v>43215</v>
      </c>
      <c r="U559" s="246" t="s">
        <v>488</v>
      </c>
      <c r="V559" s="246">
        <v>2</v>
      </c>
      <c r="W559" s="246" t="s">
        <v>219</v>
      </c>
      <c r="X559" s="246">
        <v>2</v>
      </c>
      <c r="Y559" s="246">
        <v>2</v>
      </c>
      <c r="Z559" s="246">
        <v>2</v>
      </c>
      <c r="AA559" s="246">
        <v>2</v>
      </c>
      <c r="AB559" s="246">
        <v>2</v>
      </c>
      <c r="AC559" s="246" t="s">
        <v>486</v>
      </c>
      <c r="AD559" s="246" t="s">
        <v>490</v>
      </c>
      <c r="AE559" s="246" t="s">
        <v>486</v>
      </c>
      <c r="AF559" s="246" t="s">
        <v>486</v>
      </c>
      <c r="AG559" s="246" t="s">
        <v>486</v>
      </c>
      <c r="AH559" s="246" t="s">
        <v>486</v>
      </c>
      <c r="AI559" s="246" t="s">
        <v>486</v>
      </c>
      <c r="AJ559" s="246" t="s">
        <v>486</v>
      </c>
      <c r="AK559" s="246" t="s">
        <v>486</v>
      </c>
      <c r="AL559" s="246" t="s">
        <v>491</v>
      </c>
      <c r="AM559" s="246" t="s">
        <v>486</v>
      </c>
      <c r="AN559" s="246" t="s">
        <v>486</v>
      </c>
      <c r="AO559" s="248" t="s">
        <v>486</v>
      </c>
      <c r="AP559" s="247" t="s">
        <v>486</v>
      </c>
      <c r="AQ559" s="249" t="s">
        <v>486</v>
      </c>
      <c r="AR559" s="246" t="s">
        <v>486</v>
      </c>
    </row>
    <row r="560" spans="1:44" ht="15" x14ac:dyDescent="0.25">
      <c r="A560" s="250" t="str">
        <f>HYPERLINK("http://www.ofsted.gov.uk/inspection-reports/find-inspection-report/provider/ELS/139787 ","Ofsted School Webpage")</f>
        <v>Ofsted School Webpage</v>
      </c>
      <c r="B560" s="251">
        <v>139787</v>
      </c>
      <c r="C560" s="251">
        <v>8316012</v>
      </c>
      <c r="D560" s="251" t="s">
        <v>2466</v>
      </c>
      <c r="E560" s="251" t="s">
        <v>248</v>
      </c>
      <c r="F560" s="251" t="s">
        <v>93</v>
      </c>
      <c r="G560" s="251" t="s">
        <v>93</v>
      </c>
      <c r="H560" s="251" t="s">
        <v>93</v>
      </c>
      <c r="I560" s="251" t="s">
        <v>90</v>
      </c>
      <c r="J560" s="251" t="s">
        <v>1490</v>
      </c>
      <c r="K560" s="251" t="s">
        <v>486</v>
      </c>
      <c r="L560" s="251" t="s">
        <v>487</v>
      </c>
      <c r="M560" s="251" t="s">
        <v>572</v>
      </c>
      <c r="N560" s="251" t="s">
        <v>572</v>
      </c>
      <c r="O560" s="251" t="s">
        <v>2127</v>
      </c>
      <c r="P560" s="251" t="s">
        <v>2467</v>
      </c>
      <c r="Q560" s="252">
        <v>10039191</v>
      </c>
      <c r="R560" s="253">
        <v>43165</v>
      </c>
      <c r="S560" s="253">
        <v>43167</v>
      </c>
      <c r="T560" s="253">
        <v>43203</v>
      </c>
      <c r="U560" s="251" t="s">
        <v>488</v>
      </c>
      <c r="V560" s="251">
        <v>2</v>
      </c>
      <c r="W560" s="251" t="s">
        <v>219</v>
      </c>
      <c r="X560" s="251">
        <v>2</v>
      </c>
      <c r="Y560" s="251">
        <v>1</v>
      </c>
      <c r="Z560" s="251">
        <v>2</v>
      </c>
      <c r="AA560" s="251">
        <v>2</v>
      </c>
      <c r="AB560" s="251" t="s">
        <v>486</v>
      </c>
      <c r="AC560" s="251" t="s">
        <v>486</v>
      </c>
      <c r="AD560" s="251" t="s">
        <v>490</v>
      </c>
      <c r="AE560" s="251" t="s">
        <v>486</v>
      </c>
      <c r="AF560" s="251" t="s">
        <v>486</v>
      </c>
      <c r="AG560" s="251" t="s">
        <v>486</v>
      </c>
      <c r="AH560" s="251" t="s">
        <v>486</v>
      </c>
      <c r="AI560" s="251" t="s">
        <v>486</v>
      </c>
      <c r="AJ560" s="251" t="s">
        <v>486</v>
      </c>
      <c r="AK560" s="251" t="s">
        <v>486</v>
      </c>
      <c r="AL560" s="251" t="s">
        <v>491</v>
      </c>
      <c r="AM560" s="251" t="s">
        <v>486</v>
      </c>
      <c r="AN560" s="251" t="s">
        <v>486</v>
      </c>
      <c r="AO560" s="253" t="s">
        <v>486</v>
      </c>
      <c r="AP560" s="252" t="s">
        <v>486</v>
      </c>
      <c r="AQ560" s="254" t="s">
        <v>486</v>
      </c>
      <c r="AR560" s="251" t="s">
        <v>486</v>
      </c>
    </row>
    <row r="561" spans="1:44" ht="15" x14ac:dyDescent="0.25">
      <c r="A561" s="245" t="str">
        <f>HYPERLINK("http://www.ofsted.gov.uk/inspection-reports/find-inspection-report/provider/ELS/143653 ","Ofsted School Webpage")</f>
        <v>Ofsted School Webpage</v>
      </c>
      <c r="B561" s="246">
        <v>143653</v>
      </c>
      <c r="C561" s="246">
        <v>8616013</v>
      </c>
      <c r="D561" s="246" t="s">
        <v>2468</v>
      </c>
      <c r="E561" s="246" t="s">
        <v>248</v>
      </c>
      <c r="F561" s="246" t="s">
        <v>93</v>
      </c>
      <c r="G561" s="246" t="s">
        <v>93</v>
      </c>
      <c r="H561" s="246" t="s">
        <v>93</v>
      </c>
      <c r="I561" s="246" t="s">
        <v>90</v>
      </c>
      <c r="J561" s="246" t="s">
        <v>1490</v>
      </c>
      <c r="K561" s="246" t="s">
        <v>486</v>
      </c>
      <c r="L561" s="246" t="s">
        <v>487</v>
      </c>
      <c r="M561" s="246" t="s">
        <v>502</v>
      </c>
      <c r="N561" s="246" t="s">
        <v>502</v>
      </c>
      <c r="O561" s="246" t="s">
        <v>655</v>
      </c>
      <c r="P561" s="246" t="s">
        <v>2469</v>
      </c>
      <c r="Q561" s="247">
        <v>10041367</v>
      </c>
      <c r="R561" s="248">
        <v>43165</v>
      </c>
      <c r="S561" s="248">
        <v>43167</v>
      </c>
      <c r="T561" s="248">
        <v>43217</v>
      </c>
      <c r="U561" s="246" t="s">
        <v>499</v>
      </c>
      <c r="V561" s="246">
        <v>2</v>
      </c>
      <c r="W561" s="246" t="s">
        <v>219</v>
      </c>
      <c r="X561" s="246">
        <v>2</v>
      </c>
      <c r="Y561" s="246">
        <v>2</v>
      </c>
      <c r="Z561" s="246">
        <v>2</v>
      </c>
      <c r="AA561" s="246">
        <v>2</v>
      </c>
      <c r="AB561" s="246" t="s">
        <v>486</v>
      </c>
      <c r="AC561" s="246">
        <v>2</v>
      </c>
      <c r="AD561" s="246" t="s">
        <v>490</v>
      </c>
      <c r="AE561" s="246" t="s">
        <v>486</v>
      </c>
      <c r="AF561" s="246" t="s">
        <v>486</v>
      </c>
      <c r="AG561" s="246" t="s">
        <v>486</v>
      </c>
      <c r="AH561" s="246" t="s">
        <v>486</v>
      </c>
      <c r="AI561" s="246" t="s">
        <v>486</v>
      </c>
      <c r="AJ561" s="246" t="s">
        <v>486</v>
      </c>
      <c r="AK561" s="246" t="s">
        <v>486</v>
      </c>
      <c r="AL561" s="246" t="s">
        <v>491</v>
      </c>
      <c r="AM561" s="246" t="s">
        <v>486</v>
      </c>
      <c r="AN561" s="246" t="s">
        <v>486</v>
      </c>
      <c r="AO561" s="248" t="s">
        <v>486</v>
      </c>
      <c r="AP561" s="247" t="s">
        <v>486</v>
      </c>
      <c r="AQ561" s="249" t="s">
        <v>486</v>
      </c>
      <c r="AR561" s="246" t="s">
        <v>486</v>
      </c>
    </row>
    <row r="562" spans="1:44" ht="15" x14ac:dyDescent="0.25">
      <c r="A562" s="250" t="str">
        <f>HYPERLINK("http://www.ofsted.gov.uk/inspection-reports/find-inspection-report/provider/ELS/144811 ","Ofsted School Webpage")</f>
        <v>Ofsted School Webpage</v>
      </c>
      <c r="B562" s="251">
        <v>144811</v>
      </c>
      <c r="C562" s="251">
        <v>3826007</v>
      </c>
      <c r="D562" s="251" t="s">
        <v>2470</v>
      </c>
      <c r="E562" s="251" t="s">
        <v>247</v>
      </c>
      <c r="F562" s="251" t="s">
        <v>93</v>
      </c>
      <c r="G562" s="251" t="s">
        <v>84</v>
      </c>
      <c r="H562" s="251" t="s">
        <v>84</v>
      </c>
      <c r="I562" s="251" t="s">
        <v>84</v>
      </c>
      <c r="J562" s="251" t="s">
        <v>1490</v>
      </c>
      <c r="K562" s="251" t="s">
        <v>486</v>
      </c>
      <c r="L562" s="251" t="s">
        <v>487</v>
      </c>
      <c r="M562" s="251" t="s">
        <v>523</v>
      </c>
      <c r="N562" s="251" t="s">
        <v>524</v>
      </c>
      <c r="O562" s="251" t="s">
        <v>767</v>
      </c>
      <c r="P562" s="251" t="s">
        <v>2471</v>
      </c>
      <c r="Q562" s="252">
        <v>10046959</v>
      </c>
      <c r="R562" s="253">
        <v>43165</v>
      </c>
      <c r="S562" s="253">
        <v>43167</v>
      </c>
      <c r="T562" s="253">
        <v>43196</v>
      </c>
      <c r="U562" s="251" t="s">
        <v>499</v>
      </c>
      <c r="V562" s="251">
        <v>2</v>
      </c>
      <c r="W562" s="251" t="s">
        <v>219</v>
      </c>
      <c r="X562" s="251">
        <v>1</v>
      </c>
      <c r="Y562" s="251">
        <v>1</v>
      </c>
      <c r="Z562" s="251">
        <v>2</v>
      </c>
      <c r="AA562" s="251">
        <v>2</v>
      </c>
      <c r="AB562" s="251" t="s">
        <v>486</v>
      </c>
      <c r="AC562" s="251" t="s">
        <v>486</v>
      </c>
      <c r="AD562" s="251" t="s">
        <v>490</v>
      </c>
      <c r="AE562" s="251" t="s">
        <v>486</v>
      </c>
      <c r="AF562" s="251" t="s">
        <v>486</v>
      </c>
      <c r="AG562" s="251" t="s">
        <v>486</v>
      </c>
      <c r="AH562" s="251" t="s">
        <v>486</v>
      </c>
      <c r="AI562" s="251" t="s">
        <v>486</v>
      </c>
      <c r="AJ562" s="251" t="s">
        <v>486</v>
      </c>
      <c r="AK562" s="251" t="s">
        <v>486</v>
      </c>
      <c r="AL562" s="251" t="s">
        <v>491</v>
      </c>
      <c r="AM562" s="251" t="s">
        <v>486</v>
      </c>
      <c r="AN562" s="251" t="s">
        <v>486</v>
      </c>
      <c r="AO562" s="253" t="s">
        <v>486</v>
      </c>
      <c r="AP562" s="252" t="s">
        <v>486</v>
      </c>
      <c r="AQ562" s="254" t="s">
        <v>486</v>
      </c>
      <c r="AR562" s="251" t="s">
        <v>486</v>
      </c>
    </row>
    <row r="563" spans="1:44" ht="15" x14ac:dyDescent="0.25">
      <c r="A563" s="245" t="str">
        <f>HYPERLINK("http://www.ofsted.gov.uk/inspection-reports/find-inspection-report/provider/ELS/132797 ","Ofsted School Webpage")</f>
        <v>Ofsted School Webpage</v>
      </c>
      <c r="B563" s="246">
        <v>132797</v>
      </c>
      <c r="C563" s="246">
        <v>2116390</v>
      </c>
      <c r="D563" s="246" t="s">
        <v>2472</v>
      </c>
      <c r="E563" s="246" t="s">
        <v>247</v>
      </c>
      <c r="F563" s="246" t="s">
        <v>93</v>
      </c>
      <c r="G563" s="246" t="s">
        <v>84</v>
      </c>
      <c r="H563" s="246" t="s">
        <v>84</v>
      </c>
      <c r="I563" s="246" t="s">
        <v>84</v>
      </c>
      <c r="J563" s="246" t="s">
        <v>1490</v>
      </c>
      <c r="K563" s="246" t="s">
        <v>486</v>
      </c>
      <c r="L563" s="246" t="s">
        <v>487</v>
      </c>
      <c r="M563" s="246" t="s">
        <v>506</v>
      </c>
      <c r="N563" s="246" t="s">
        <v>506</v>
      </c>
      <c r="O563" s="246" t="s">
        <v>849</v>
      </c>
      <c r="P563" s="246" t="s">
        <v>2473</v>
      </c>
      <c r="Q563" s="247">
        <v>10035795</v>
      </c>
      <c r="R563" s="248">
        <v>43166</v>
      </c>
      <c r="S563" s="248">
        <v>43168</v>
      </c>
      <c r="T563" s="248">
        <v>43224</v>
      </c>
      <c r="U563" s="246" t="s">
        <v>488</v>
      </c>
      <c r="V563" s="246">
        <v>2</v>
      </c>
      <c r="W563" s="246" t="s">
        <v>219</v>
      </c>
      <c r="X563" s="246">
        <v>2</v>
      </c>
      <c r="Y563" s="246">
        <v>2</v>
      </c>
      <c r="Z563" s="246">
        <v>2</v>
      </c>
      <c r="AA563" s="246">
        <v>2</v>
      </c>
      <c r="AB563" s="246" t="s">
        <v>486</v>
      </c>
      <c r="AC563" s="246" t="s">
        <v>486</v>
      </c>
      <c r="AD563" s="246" t="s">
        <v>490</v>
      </c>
      <c r="AE563" s="246" t="s">
        <v>486</v>
      </c>
      <c r="AF563" s="246" t="s">
        <v>486</v>
      </c>
      <c r="AG563" s="246" t="s">
        <v>486</v>
      </c>
      <c r="AH563" s="246" t="s">
        <v>486</v>
      </c>
      <c r="AI563" s="246" t="s">
        <v>486</v>
      </c>
      <c r="AJ563" s="246" t="s">
        <v>486</v>
      </c>
      <c r="AK563" s="246" t="s">
        <v>486</v>
      </c>
      <c r="AL563" s="246" t="s">
        <v>491</v>
      </c>
      <c r="AM563" s="246" t="s">
        <v>486</v>
      </c>
      <c r="AN563" s="246" t="s">
        <v>486</v>
      </c>
      <c r="AO563" s="248" t="s">
        <v>486</v>
      </c>
      <c r="AP563" s="247" t="s">
        <v>486</v>
      </c>
      <c r="AQ563" s="249" t="s">
        <v>486</v>
      </c>
      <c r="AR563" s="246" t="s">
        <v>486</v>
      </c>
    </row>
    <row r="564" spans="1:44" ht="15" x14ac:dyDescent="0.25">
      <c r="A564" s="250" t="str">
        <f>HYPERLINK("http://www.ofsted.gov.uk/inspection-reports/find-inspection-report/provider/ELS/134034 ","Ofsted School Webpage")</f>
        <v>Ofsted School Webpage</v>
      </c>
      <c r="B564" s="251">
        <v>134034</v>
      </c>
      <c r="C564" s="251">
        <v>3306104</v>
      </c>
      <c r="D564" s="251" t="s">
        <v>2474</v>
      </c>
      <c r="E564" s="251" t="s">
        <v>247</v>
      </c>
      <c r="F564" s="251" t="s">
        <v>93</v>
      </c>
      <c r="G564" s="251" t="s">
        <v>84</v>
      </c>
      <c r="H564" s="251" t="s">
        <v>84</v>
      </c>
      <c r="I564" s="251" t="s">
        <v>84</v>
      </c>
      <c r="J564" s="251" t="s">
        <v>1490</v>
      </c>
      <c r="K564" s="251" t="s">
        <v>486</v>
      </c>
      <c r="L564" s="251" t="s">
        <v>487</v>
      </c>
      <c r="M564" s="251" t="s">
        <v>502</v>
      </c>
      <c r="N564" s="251" t="s">
        <v>502</v>
      </c>
      <c r="O564" s="251" t="s">
        <v>909</v>
      </c>
      <c r="P564" s="251" t="s">
        <v>2475</v>
      </c>
      <c r="Q564" s="252">
        <v>10038833</v>
      </c>
      <c r="R564" s="253">
        <v>43165</v>
      </c>
      <c r="S564" s="253">
        <v>43172</v>
      </c>
      <c r="T564" s="253">
        <v>43214</v>
      </c>
      <c r="U564" s="251" t="s">
        <v>488</v>
      </c>
      <c r="V564" s="251">
        <v>1</v>
      </c>
      <c r="W564" s="251" t="s">
        <v>219</v>
      </c>
      <c r="X564" s="251">
        <v>1</v>
      </c>
      <c r="Y564" s="251">
        <v>1</v>
      </c>
      <c r="Z564" s="251">
        <v>1</v>
      </c>
      <c r="AA564" s="251">
        <v>1</v>
      </c>
      <c r="AB564" s="251" t="s">
        <v>486</v>
      </c>
      <c r="AC564" s="251" t="s">
        <v>486</v>
      </c>
      <c r="AD564" s="251" t="s">
        <v>512</v>
      </c>
      <c r="AE564" s="251" t="s">
        <v>490</v>
      </c>
      <c r="AF564" s="251" t="s">
        <v>486</v>
      </c>
      <c r="AG564" s="251" t="s">
        <v>486</v>
      </c>
      <c r="AH564" s="251" t="s">
        <v>486</v>
      </c>
      <c r="AI564" s="251" t="s">
        <v>486</v>
      </c>
      <c r="AJ564" s="251" t="s">
        <v>486</v>
      </c>
      <c r="AK564" s="251" t="s">
        <v>486</v>
      </c>
      <c r="AL564" s="251" t="s">
        <v>491</v>
      </c>
      <c r="AM564" s="251" t="s">
        <v>486</v>
      </c>
      <c r="AN564" s="251" t="s">
        <v>486</v>
      </c>
      <c r="AO564" s="253" t="s">
        <v>486</v>
      </c>
      <c r="AP564" s="252" t="s">
        <v>486</v>
      </c>
      <c r="AQ564" s="254" t="s">
        <v>486</v>
      </c>
      <c r="AR564" s="251" t="s">
        <v>486</v>
      </c>
    </row>
    <row r="565" spans="1:44" ht="15" x14ac:dyDescent="0.25">
      <c r="A565" s="245" t="str">
        <f>HYPERLINK("http://www.ofsted.gov.uk/inspection-reports/find-inspection-report/provider/ELS/101091 ","Ofsted School Webpage")</f>
        <v>Ofsted School Webpage</v>
      </c>
      <c r="B565" s="246">
        <v>101091</v>
      </c>
      <c r="C565" s="246">
        <v>2126397</v>
      </c>
      <c r="D565" s="246" t="s">
        <v>2476</v>
      </c>
      <c r="E565" s="246" t="s">
        <v>247</v>
      </c>
      <c r="F565" s="246" t="s">
        <v>93</v>
      </c>
      <c r="G565" s="246" t="s">
        <v>93</v>
      </c>
      <c r="H565" s="246" t="s">
        <v>93</v>
      </c>
      <c r="I565" s="246" t="s">
        <v>90</v>
      </c>
      <c r="J565" s="246" t="s">
        <v>1490</v>
      </c>
      <c r="K565" s="246" t="s">
        <v>486</v>
      </c>
      <c r="L565" s="246" t="s">
        <v>487</v>
      </c>
      <c r="M565" s="246" t="s">
        <v>506</v>
      </c>
      <c r="N565" s="246" t="s">
        <v>506</v>
      </c>
      <c r="O565" s="246" t="s">
        <v>837</v>
      </c>
      <c r="P565" s="246" t="s">
        <v>2477</v>
      </c>
      <c r="Q565" s="247">
        <v>10038151</v>
      </c>
      <c r="R565" s="248">
        <v>43172</v>
      </c>
      <c r="S565" s="248">
        <v>43174</v>
      </c>
      <c r="T565" s="248">
        <v>43206</v>
      </c>
      <c r="U565" s="246" t="s">
        <v>488</v>
      </c>
      <c r="V565" s="246">
        <v>2</v>
      </c>
      <c r="W565" s="246" t="s">
        <v>219</v>
      </c>
      <c r="X565" s="246">
        <v>2</v>
      </c>
      <c r="Y565" s="246">
        <v>1</v>
      </c>
      <c r="Z565" s="246">
        <v>2</v>
      </c>
      <c r="AA565" s="246">
        <v>2</v>
      </c>
      <c r="AB565" s="246">
        <v>2</v>
      </c>
      <c r="AC565" s="246" t="s">
        <v>486</v>
      </c>
      <c r="AD565" s="246" t="s">
        <v>490</v>
      </c>
      <c r="AE565" s="246" t="s">
        <v>486</v>
      </c>
      <c r="AF565" s="246" t="s">
        <v>486</v>
      </c>
      <c r="AG565" s="246" t="s">
        <v>486</v>
      </c>
      <c r="AH565" s="246" t="s">
        <v>486</v>
      </c>
      <c r="AI565" s="246" t="s">
        <v>486</v>
      </c>
      <c r="AJ565" s="246" t="s">
        <v>486</v>
      </c>
      <c r="AK565" s="246" t="s">
        <v>486</v>
      </c>
      <c r="AL565" s="246" t="s">
        <v>491</v>
      </c>
      <c r="AM565" s="246" t="s">
        <v>486</v>
      </c>
      <c r="AN565" s="246" t="s">
        <v>486</v>
      </c>
      <c r="AO565" s="248" t="s">
        <v>486</v>
      </c>
      <c r="AP565" s="247" t="s">
        <v>486</v>
      </c>
      <c r="AQ565" s="249" t="s">
        <v>486</v>
      </c>
      <c r="AR565" s="246" t="s">
        <v>486</v>
      </c>
    </row>
    <row r="566" spans="1:44" ht="15" x14ac:dyDescent="0.25">
      <c r="A566" s="250" t="str">
        <f>HYPERLINK("http://www.ofsted.gov.uk/inspection-reports/find-inspection-report/provider/ELS/103591 ","Ofsted School Webpage")</f>
        <v>Ofsted School Webpage</v>
      </c>
      <c r="B566" s="251">
        <v>103591</v>
      </c>
      <c r="C566" s="251">
        <v>3306083</v>
      </c>
      <c r="D566" s="251" t="s">
        <v>2478</v>
      </c>
      <c r="E566" s="251" t="s">
        <v>247</v>
      </c>
      <c r="F566" s="251" t="s">
        <v>93</v>
      </c>
      <c r="G566" s="251" t="s">
        <v>84</v>
      </c>
      <c r="H566" s="251" t="s">
        <v>84</v>
      </c>
      <c r="I566" s="251" t="s">
        <v>84</v>
      </c>
      <c r="J566" s="251" t="s">
        <v>1490</v>
      </c>
      <c r="K566" s="251" t="s">
        <v>486</v>
      </c>
      <c r="L566" s="251" t="s">
        <v>487</v>
      </c>
      <c r="M566" s="251" t="s">
        <v>502</v>
      </c>
      <c r="N566" s="251" t="s">
        <v>502</v>
      </c>
      <c r="O566" s="251" t="s">
        <v>909</v>
      </c>
      <c r="P566" s="251" t="s">
        <v>2479</v>
      </c>
      <c r="Q566" s="252">
        <v>10040660</v>
      </c>
      <c r="R566" s="253">
        <v>43172</v>
      </c>
      <c r="S566" s="253">
        <v>43174</v>
      </c>
      <c r="T566" s="253">
        <v>43255</v>
      </c>
      <c r="U566" s="251" t="s">
        <v>488</v>
      </c>
      <c r="V566" s="251">
        <v>3</v>
      </c>
      <c r="W566" s="251" t="s">
        <v>219</v>
      </c>
      <c r="X566" s="251">
        <v>2</v>
      </c>
      <c r="Y566" s="251">
        <v>2</v>
      </c>
      <c r="Z566" s="251">
        <v>3</v>
      </c>
      <c r="AA566" s="251">
        <v>3</v>
      </c>
      <c r="AB566" s="251" t="s">
        <v>486</v>
      </c>
      <c r="AC566" s="251">
        <v>3</v>
      </c>
      <c r="AD566" s="251" t="s">
        <v>490</v>
      </c>
      <c r="AE566" s="251" t="s">
        <v>486</v>
      </c>
      <c r="AF566" s="251" t="s">
        <v>486</v>
      </c>
      <c r="AG566" s="251" t="s">
        <v>486</v>
      </c>
      <c r="AH566" s="251" t="s">
        <v>486</v>
      </c>
      <c r="AI566" s="251" t="s">
        <v>486</v>
      </c>
      <c r="AJ566" s="251" t="s">
        <v>486</v>
      </c>
      <c r="AK566" s="251" t="s">
        <v>486</v>
      </c>
      <c r="AL566" s="251" t="s">
        <v>491</v>
      </c>
      <c r="AM566" s="251" t="s">
        <v>486</v>
      </c>
      <c r="AN566" s="251" t="s">
        <v>486</v>
      </c>
      <c r="AO566" s="253" t="s">
        <v>486</v>
      </c>
      <c r="AP566" s="252" t="s">
        <v>486</v>
      </c>
      <c r="AQ566" s="254" t="s">
        <v>486</v>
      </c>
      <c r="AR566" s="251" t="s">
        <v>486</v>
      </c>
    </row>
    <row r="567" spans="1:44" ht="15" x14ac:dyDescent="0.25">
      <c r="A567" s="245" t="str">
        <f>HYPERLINK("http://www.ofsted.gov.uk/inspection-reports/find-inspection-report/provider/ELS/105372 ","Ofsted School Webpage")</f>
        <v>Ofsted School Webpage</v>
      </c>
      <c r="B567" s="246">
        <v>105372</v>
      </c>
      <c r="C567" s="246">
        <v>3516007</v>
      </c>
      <c r="D567" s="246" t="s">
        <v>2480</v>
      </c>
      <c r="E567" s="246" t="s">
        <v>247</v>
      </c>
      <c r="F567" s="246" t="s">
        <v>83</v>
      </c>
      <c r="G567" s="246" t="s">
        <v>84</v>
      </c>
      <c r="H567" s="246" t="s">
        <v>83</v>
      </c>
      <c r="I567" s="246" t="s">
        <v>84</v>
      </c>
      <c r="J567" s="246" t="s">
        <v>1490</v>
      </c>
      <c r="K567" s="246" t="s">
        <v>486</v>
      </c>
      <c r="L567" s="246" t="s">
        <v>487</v>
      </c>
      <c r="M567" s="246" t="s">
        <v>495</v>
      </c>
      <c r="N567" s="246" t="s">
        <v>495</v>
      </c>
      <c r="O567" s="246" t="s">
        <v>1045</v>
      </c>
      <c r="P567" s="246" t="s">
        <v>2481</v>
      </c>
      <c r="Q567" s="247">
        <v>10038832</v>
      </c>
      <c r="R567" s="248">
        <v>43172</v>
      </c>
      <c r="S567" s="248">
        <v>43174</v>
      </c>
      <c r="T567" s="248">
        <v>43224</v>
      </c>
      <c r="U567" s="246" t="s">
        <v>488</v>
      </c>
      <c r="V567" s="246">
        <v>2</v>
      </c>
      <c r="W567" s="246" t="s">
        <v>219</v>
      </c>
      <c r="X567" s="246">
        <v>3</v>
      </c>
      <c r="Y567" s="246">
        <v>1</v>
      </c>
      <c r="Z567" s="246">
        <v>2</v>
      </c>
      <c r="AA567" s="246">
        <v>2</v>
      </c>
      <c r="AB567" s="246" t="s">
        <v>486</v>
      </c>
      <c r="AC567" s="246">
        <v>1</v>
      </c>
      <c r="AD567" s="246" t="s">
        <v>512</v>
      </c>
      <c r="AE567" s="246" t="s">
        <v>486</v>
      </c>
      <c r="AF567" s="246" t="s">
        <v>486</v>
      </c>
      <c r="AG567" s="246" t="s">
        <v>490</v>
      </c>
      <c r="AH567" s="246" t="s">
        <v>486</v>
      </c>
      <c r="AI567" s="246" t="s">
        <v>486</v>
      </c>
      <c r="AJ567" s="246" t="s">
        <v>486</v>
      </c>
      <c r="AK567" s="246" t="s">
        <v>486</v>
      </c>
      <c r="AL567" s="246" t="s">
        <v>491</v>
      </c>
      <c r="AM567" s="246" t="s">
        <v>486</v>
      </c>
      <c r="AN567" s="246" t="s">
        <v>486</v>
      </c>
      <c r="AO567" s="248" t="s">
        <v>486</v>
      </c>
      <c r="AP567" s="247" t="s">
        <v>486</v>
      </c>
      <c r="AQ567" s="249" t="s">
        <v>486</v>
      </c>
      <c r="AR567" s="246" t="s">
        <v>486</v>
      </c>
    </row>
    <row r="568" spans="1:44" ht="15" x14ac:dyDescent="0.25">
      <c r="A568" s="250" t="str">
        <f>HYPERLINK("http://www.ofsted.gov.uk/inspection-reports/find-inspection-report/provider/ELS/106158 ","Ofsted School Webpage")</f>
        <v>Ofsted School Webpage</v>
      </c>
      <c r="B568" s="251">
        <v>106158</v>
      </c>
      <c r="C568" s="251">
        <v>3566021</v>
      </c>
      <c r="D568" s="251" t="s">
        <v>2482</v>
      </c>
      <c r="E568" s="251" t="s">
        <v>247</v>
      </c>
      <c r="F568" s="251" t="s">
        <v>73</v>
      </c>
      <c r="G568" s="251" t="s">
        <v>71</v>
      </c>
      <c r="H568" s="251" t="s">
        <v>73</v>
      </c>
      <c r="I568" s="251" t="s">
        <v>71</v>
      </c>
      <c r="J568" s="251" t="s">
        <v>1490</v>
      </c>
      <c r="K568" s="251" t="s">
        <v>486</v>
      </c>
      <c r="L568" s="251" t="s">
        <v>487</v>
      </c>
      <c r="M568" s="251" t="s">
        <v>495</v>
      </c>
      <c r="N568" s="251" t="s">
        <v>495</v>
      </c>
      <c r="O568" s="251" t="s">
        <v>934</v>
      </c>
      <c r="P568" s="251" t="s">
        <v>2483</v>
      </c>
      <c r="Q568" s="252">
        <v>10038836</v>
      </c>
      <c r="R568" s="253">
        <v>43172</v>
      </c>
      <c r="S568" s="253">
        <v>43174</v>
      </c>
      <c r="T568" s="253">
        <v>43223</v>
      </c>
      <c r="U568" s="251" t="s">
        <v>488</v>
      </c>
      <c r="V568" s="251">
        <v>3</v>
      </c>
      <c r="W568" s="251" t="s">
        <v>219</v>
      </c>
      <c r="X568" s="251">
        <v>3</v>
      </c>
      <c r="Y568" s="251">
        <v>2</v>
      </c>
      <c r="Z568" s="251">
        <v>3</v>
      </c>
      <c r="AA568" s="251">
        <v>3</v>
      </c>
      <c r="AB568" s="251" t="s">
        <v>486</v>
      </c>
      <c r="AC568" s="251" t="s">
        <v>486</v>
      </c>
      <c r="AD568" s="251" t="s">
        <v>490</v>
      </c>
      <c r="AE568" s="251" t="s">
        <v>486</v>
      </c>
      <c r="AF568" s="251" t="s">
        <v>486</v>
      </c>
      <c r="AG568" s="251" t="s">
        <v>486</v>
      </c>
      <c r="AH568" s="251" t="s">
        <v>486</v>
      </c>
      <c r="AI568" s="251" t="s">
        <v>486</v>
      </c>
      <c r="AJ568" s="251" t="s">
        <v>486</v>
      </c>
      <c r="AK568" s="251" t="s">
        <v>486</v>
      </c>
      <c r="AL568" s="251" t="s">
        <v>491</v>
      </c>
      <c r="AM568" s="251" t="s">
        <v>486</v>
      </c>
      <c r="AN568" s="251" t="s">
        <v>486</v>
      </c>
      <c r="AO568" s="253" t="s">
        <v>486</v>
      </c>
      <c r="AP568" s="252" t="s">
        <v>486</v>
      </c>
      <c r="AQ568" s="254" t="s">
        <v>486</v>
      </c>
      <c r="AR568" s="251" t="s">
        <v>486</v>
      </c>
    </row>
    <row r="569" spans="1:44" ht="15" x14ac:dyDescent="0.25">
      <c r="A569" s="245" t="str">
        <f>HYPERLINK("http://www.ofsted.gov.uk/inspection-reports/find-inspection-report/provider/ELS/106965 ","Ofsted School Webpage")</f>
        <v>Ofsted School Webpage</v>
      </c>
      <c r="B569" s="246">
        <v>106965</v>
      </c>
      <c r="C569" s="246">
        <v>3706004</v>
      </c>
      <c r="D569" s="246" t="s">
        <v>1317</v>
      </c>
      <c r="E569" s="246" t="s">
        <v>248</v>
      </c>
      <c r="F569" s="246" t="s">
        <v>93</v>
      </c>
      <c r="G569" s="246" t="s">
        <v>93</v>
      </c>
      <c r="H569" s="246" t="s">
        <v>93</v>
      </c>
      <c r="I569" s="246" t="s">
        <v>90</v>
      </c>
      <c r="J569" s="246" t="s">
        <v>1490</v>
      </c>
      <c r="K569" s="246" t="s">
        <v>486</v>
      </c>
      <c r="L569" s="246" t="s">
        <v>487</v>
      </c>
      <c r="M569" s="246" t="s">
        <v>523</v>
      </c>
      <c r="N569" s="246" t="s">
        <v>524</v>
      </c>
      <c r="O569" s="246" t="s">
        <v>1083</v>
      </c>
      <c r="P569" s="246" t="s">
        <v>1318</v>
      </c>
      <c r="Q569" s="247">
        <v>10043653</v>
      </c>
      <c r="R569" s="248">
        <v>43172</v>
      </c>
      <c r="S569" s="248">
        <v>43174</v>
      </c>
      <c r="T569" s="248">
        <v>43221</v>
      </c>
      <c r="U569" s="246" t="s">
        <v>2930</v>
      </c>
      <c r="V569" s="246">
        <v>2</v>
      </c>
      <c r="W569" s="246" t="s">
        <v>219</v>
      </c>
      <c r="X569" s="246">
        <v>2</v>
      </c>
      <c r="Y569" s="246">
        <v>2</v>
      </c>
      <c r="Z569" s="246">
        <v>2</v>
      </c>
      <c r="AA569" s="246">
        <v>2</v>
      </c>
      <c r="AB569" s="246" t="s">
        <v>486</v>
      </c>
      <c r="AC569" s="246">
        <v>2</v>
      </c>
      <c r="AD569" s="246" t="s">
        <v>490</v>
      </c>
      <c r="AE569" s="246" t="s">
        <v>486</v>
      </c>
      <c r="AF569" s="246" t="s">
        <v>486</v>
      </c>
      <c r="AG569" s="246" t="s">
        <v>486</v>
      </c>
      <c r="AH569" s="246" t="s">
        <v>486</v>
      </c>
      <c r="AI569" s="246" t="s">
        <v>486</v>
      </c>
      <c r="AJ569" s="246" t="s">
        <v>486</v>
      </c>
      <c r="AK569" s="246" t="s">
        <v>486</v>
      </c>
      <c r="AL569" s="246" t="s">
        <v>491</v>
      </c>
      <c r="AM569" s="246" t="s">
        <v>486</v>
      </c>
      <c r="AN569" s="246" t="s">
        <v>486</v>
      </c>
      <c r="AO569" s="248" t="s">
        <v>486</v>
      </c>
      <c r="AP569" s="247" t="s">
        <v>486</v>
      </c>
      <c r="AQ569" s="249" t="s">
        <v>486</v>
      </c>
      <c r="AR569" s="246" t="s">
        <v>486</v>
      </c>
    </row>
    <row r="570" spans="1:44" ht="15" x14ac:dyDescent="0.25">
      <c r="A570" s="250" t="str">
        <f>HYPERLINK("http://www.ofsted.gov.uk/inspection-reports/find-inspection-report/provider/ELS/116567 ","Ofsted School Webpage")</f>
        <v>Ofsted School Webpage</v>
      </c>
      <c r="B570" s="251">
        <v>116567</v>
      </c>
      <c r="C570" s="251">
        <v>8526003</v>
      </c>
      <c r="D570" s="251" t="s">
        <v>1131</v>
      </c>
      <c r="E570" s="251" t="s">
        <v>247</v>
      </c>
      <c r="F570" s="251" t="s">
        <v>93</v>
      </c>
      <c r="G570" s="251" t="s">
        <v>79</v>
      </c>
      <c r="H570" s="251" t="s">
        <v>79</v>
      </c>
      <c r="I570" s="251" t="s">
        <v>71</v>
      </c>
      <c r="J570" s="251" t="s">
        <v>1490</v>
      </c>
      <c r="K570" s="251" t="s">
        <v>486</v>
      </c>
      <c r="L570" s="251" t="s">
        <v>487</v>
      </c>
      <c r="M570" s="251" t="s">
        <v>581</v>
      </c>
      <c r="N570" s="251" t="s">
        <v>581</v>
      </c>
      <c r="O570" s="251" t="s">
        <v>1132</v>
      </c>
      <c r="P570" s="251" t="s">
        <v>1133</v>
      </c>
      <c r="Q570" s="252">
        <v>10033944</v>
      </c>
      <c r="R570" s="253">
        <v>43172</v>
      </c>
      <c r="S570" s="253">
        <v>43174</v>
      </c>
      <c r="T570" s="253">
        <v>43209</v>
      </c>
      <c r="U570" s="251" t="s">
        <v>488</v>
      </c>
      <c r="V570" s="251">
        <v>3</v>
      </c>
      <c r="W570" s="251" t="s">
        <v>219</v>
      </c>
      <c r="X570" s="251">
        <v>3</v>
      </c>
      <c r="Y570" s="251">
        <v>3</v>
      </c>
      <c r="Z570" s="251">
        <v>2</v>
      </c>
      <c r="AA570" s="251">
        <v>2</v>
      </c>
      <c r="AB570" s="251">
        <v>3</v>
      </c>
      <c r="AC570" s="251" t="s">
        <v>486</v>
      </c>
      <c r="AD570" s="251" t="s">
        <v>490</v>
      </c>
      <c r="AE570" s="251" t="s">
        <v>486</v>
      </c>
      <c r="AF570" s="251" t="s">
        <v>486</v>
      </c>
      <c r="AG570" s="251" t="s">
        <v>486</v>
      </c>
      <c r="AH570" s="251" t="s">
        <v>486</v>
      </c>
      <c r="AI570" s="251" t="s">
        <v>486</v>
      </c>
      <c r="AJ570" s="251" t="s">
        <v>486</v>
      </c>
      <c r="AK570" s="251" t="s">
        <v>486</v>
      </c>
      <c r="AL570" s="251" t="s">
        <v>545</v>
      </c>
      <c r="AM570" s="251">
        <v>10068080</v>
      </c>
      <c r="AN570" s="251" t="s">
        <v>1109</v>
      </c>
      <c r="AO570" s="253">
        <v>43354</v>
      </c>
      <c r="AP570" s="252" t="s">
        <v>1523</v>
      </c>
      <c r="AQ570" s="254">
        <v>43375</v>
      </c>
      <c r="AR570" s="251" t="s">
        <v>1110</v>
      </c>
    </row>
    <row r="571" spans="1:44" ht="15" x14ac:dyDescent="0.25">
      <c r="A571" s="245" t="str">
        <f>HYPERLINK("http://www.ofsted.gov.uk/inspection-reports/find-inspection-report/provider/ELS/122136 ","Ofsted School Webpage")</f>
        <v>Ofsted School Webpage</v>
      </c>
      <c r="B571" s="246">
        <v>122136</v>
      </c>
      <c r="C571" s="246">
        <v>9286039</v>
      </c>
      <c r="D571" s="246" t="s">
        <v>1355</v>
      </c>
      <c r="E571" s="246" t="s">
        <v>248</v>
      </c>
      <c r="F571" s="246" t="s">
        <v>93</v>
      </c>
      <c r="G571" s="246" t="s">
        <v>93</v>
      </c>
      <c r="H571" s="246" t="s">
        <v>93</v>
      </c>
      <c r="I571" s="246" t="s">
        <v>90</v>
      </c>
      <c r="J571" s="246" t="s">
        <v>1490</v>
      </c>
      <c r="K571" s="246" t="s">
        <v>486</v>
      </c>
      <c r="L571" s="246" t="s">
        <v>487</v>
      </c>
      <c r="M571" s="246" t="s">
        <v>572</v>
      </c>
      <c r="N571" s="246" t="s">
        <v>572</v>
      </c>
      <c r="O571" s="246" t="s">
        <v>1297</v>
      </c>
      <c r="P571" s="246" t="s">
        <v>1356</v>
      </c>
      <c r="Q571" s="247">
        <v>10051883</v>
      </c>
      <c r="R571" s="248">
        <v>43172</v>
      </c>
      <c r="S571" s="248">
        <v>43174</v>
      </c>
      <c r="T571" s="248">
        <v>43297</v>
      </c>
      <c r="U571" s="246" t="s">
        <v>2930</v>
      </c>
      <c r="V571" s="246">
        <v>4</v>
      </c>
      <c r="W571" s="246" t="s">
        <v>220</v>
      </c>
      <c r="X571" s="246">
        <v>4</v>
      </c>
      <c r="Y571" s="246">
        <v>4</v>
      </c>
      <c r="Z571" s="246">
        <v>3</v>
      </c>
      <c r="AA571" s="246">
        <v>3</v>
      </c>
      <c r="AB571" s="246" t="s">
        <v>486</v>
      </c>
      <c r="AC571" s="246">
        <v>4</v>
      </c>
      <c r="AD571" s="246" t="s">
        <v>490</v>
      </c>
      <c r="AE571" s="246" t="s">
        <v>486</v>
      </c>
      <c r="AF571" s="246" t="s">
        <v>486</v>
      </c>
      <c r="AG571" s="246" t="s">
        <v>486</v>
      </c>
      <c r="AH571" s="246" t="s">
        <v>486</v>
      </c>
      <c r="AI571" s="246" t="s">
        <v>486</v>
      </c>
      <c r="AJ571" s="246" t="s">
        <v>486</v>
      </c>
      <c r="AK571" s="246" t="s">
        <v>486</v>
      </c>
      <c r="AL571" s="246" t="s">
        <v>545</v>
      </c>
      <c r="AM571" s="246">
        <v>10089324</v>
      </c>
      <c r="AN571" s="246" t="s">
        <v>1202</v>
      </c>
      <c r="AO571" s="248">
        <v>43502</v>
      </c>
      <c r="AP571" s="247" t="s">
        <v>1523</v>
      </c>
      <c r="AQ571" s="249">
        <v>43535</v>
      </c>
      <c r="AR571" s="246" t="s">
        <v>1136</v>
      </c>
    </row>
    <row r="572" spans="1:44" ht="15" x14ac:dyDescent="0.25">
      <c r="A572" s="250" t="str">
        <f>HYPERLINK("http://www.ofsted.gov.uk/inspection-reports/find-inspection-report/provider/ELS/133522 ","Ofsted School Webpage")</f>
        <v>Ofsted School Webpage</v>
      </c>
      <c r="B572" s="251">
        <v>133522</v>
      </c>
      <c r="C572" s="251">
        <v>9336210</v>
      </c>
      <c r="D572" s="251" t="s">
        <v>1277</v>
      </c>
      <c r="E572" s="251" t="s">
        <v>248</v>
      </c>
      <c r="F572" s="251" t="s">
        <v>93</v>
      </c>
      <c r="G572" s="251" t="s">
        <v>93</v>
      </c>
      <c r="H572" s="251" t="s">
        <v>93</v>
      </c>
      <c r="I572" s="251" t="s">
        <v>90</v>
      </c>
      <c r="J572" s="251" t="s">
        <v>1490</v>
      </c>
      <c r="K572" s="251" t="s">
        <v>486</v>
      </c>
      <c r="L572" s="251" t="s">
        <v>487</v>
      </c>
      <c r="M572" s="251" t="s">
        <v>483</v>
      </c>
      <c r="N572" s="251" t="s">
        <v>483</v>
      </c>
      <c r="O572" s="251" t="s">
        <v>531</v>
      </c>
      <c r="P572" s="251" t="s">
        <v>1278</v>
      </c>
      <c r="Q572" s="252">
        <v>10041375</v>
      </c>
      <c r="R572" s="253">
        <v>43172</v>
      </c>
      <c r="S572" s="253">
        <v>43174</v>
      </c>
      <c r="T572" s="253">
        <v>43217</v>
      </c>
      <c r="U572" s="251" t="s">
        <v>2930</v>
      </c>
      <c r="V572" s="251">
        <v>2</v>
      </c>
      <c r="W572" s="251" t="s">
        <v>219</v>
      </c>
      <c r="X572" s="251">
        <v>2</v>
      </c>
      <c r="Y572" s="251">
        <v>2</v>
      </c>
      <c r="Z572" s="251">
        <v>2</v>
      </c>
      <c r="AA572" s="251">
        <v>2</v>
      </c>
      <c r="AB572" s="251" t="s">
        <v>486</v>
      </c>
      <c r="AC572" s="251" t="s">
        <v>486</v>
      </c>
      <c r="AD572" s="251" t="s">
        <v>490</v>
      </c>
      <c r="AE572" s="251" t="s">
        <v>486</v>
      </c>
      <c r="AF572" s="251" t="s">
        <v>486</v>
      </c>
      <c r="AG572" s="251" t="s">
        <v>486</v>
      </c>
      <c r="AH572" s="251" t="s">
        <v>486</v>
      </c>
      <c r="AI572" s="251" t="s">
        <v>486</v>
      </c>
      <c r="AJ572" s="251" t="s">
        <v>486</v>
      </c>
      <c r="AK572" s="251" t="s">
        <v>486</v>
      </c>
      <c r="AL572" s="251" t="s">
        <v>491</v>
      </c>
      <c r="AM572" s="251" t="s">
        <v>486</v>
      </c>
      <c r="AN572" s="251" t="s">
        <v>486</v>
      </c>
      <c r="AO572" s="253" t="s">
        <v>486</v>
      </c>
      <c r="AP572" s="252" t="s">
        <v>486</v>
      </c>
      <c r="AQ572" s="254" t="s">
        <v>486</v>
      </c>
      <c r="AR572" s="251" t="s">
        <v>486</v>
      </c>
    </row>
    <row r="573" spans="1:44" ht="15" x14ac:dyDescent="0.25">
      <c r="A573" s="245" t="str">
        <f>HYPERLINK("http://www.ofsted.gov.uk/inspection-reports/find-inspection-report/provider/ELS/134605 ","Ofsted School Webpage")</f>
        <v>Ofsted School Webpage</v>
      </c>
      <c r="B573" s="246">
        <v>134605</v>
      </c>
      <c r="C573" s="246">
        <v>8866108</v>
      </c>
      <c r="D573" s="246" t="s">
        <v>2484</v>
      </c>
      <c r="E573" s="246" t="s">
        <v>248</v>
      </c>
      <c r="F573" s="246" t="s">
        <v>93</v>
      </c>
      <c r="G573" s="246" t="s">
        <v>93</v>
      </c>
      <c r="H573" s="246" t="s">
        <v>93</v>
      </c>
      <c r="I573" s="246" t="s">
        <v>90</v>
      </c>
      <c r="J573" s="246" t="s">
        <v>1490</v>
      </c>
      <c r="K573" s="246" t="s">
        <v>486</v>
      </c>
      <c r="L573" s="246" t="s">
        <v>487</v>
      </c>
      <c r="M573" s="246" t="s">
        <v>581</v>
      </c>
      <c r="N573" s="246" t="s">
        <v>581</v>
      </c>
      <c r="O573" s="246" t="s">
        <v>694</v>
      </c>
      <c r="P573" s="246" t="s">
        <v>2485</v>
      </c>
      <c r="Q573" s="247">
        <v>10008609</v>
      </c>
      <c r="R573" s="248">
        <v>43172</v>
      </c>
      <c r="S573" s="248">
        <v>43174</v>
      </c>
      <c r="T573" s="248">
        <v>43228</v>
      </c>
      <c r="U573" s="246" t="s">
        <v>488</v>
      </c>
      <c r="V573" s="246">
        <v>1</v>
      </c>
      <c r="W573" s="246" t="s">
        <v>219</v>
      </c>
      <c r="X573" s="246">
        <v>1</v>
      </c>
      <c r="Y573" s="246">
        <v>1</v>
      </c>
      <c r="Z573" s="246">
        <v>1</v>
      </c>
      <c r="AA573" s="246">
        <v>1</v>
      </c>
      <c r="AB573" s="246" t="s">
        <v>486</v>
      </c>
      <c r="AC573" s="246" t="s">
        <v>486</v>
      </c>
      <c r="AD573" s="246" t="s">
        <v>490</v>
      </c>
      <c r="AE573" s="246" t="s">
        <v>486</v>
      </c>
      <c r="AF573" s="246" t="s">
        <v>486</v>
      </c>
      <c r="AG573" s="246" t="s">
        <v>486</v>
      </c>
      <c r="AH573" s="246" t="s">
        <v>486</v>
      </c>
      <c r="AI573" s="246" t="s">
        <v>486</v>
      </c>
      <c r="AJ573" s="246" t="s">
        <v>486</v>
      </c>
      <c r="AK573" s="246" t="s">
        <v>486</v>
      </c>
      <c r="AL573" s="246" t="s">
        <v>491</v>
      </c>
      <c r="AM573" s="246" t="s">
        <v>486</v>
      </c>
      <c r="AN573" s="246" t="s">
        <v>486</v>
      </c>
      <c r="AO573" s="248" t="s">
        <v>486</v>
      </c>
      <c r="AP573" s="247" t="s">
        <v>486</v>
      </c>
      <c r="AQ573" s="249" t="s">
        <v>486</v>
      </c>
      <c r="AR573" s="246" t="s">
        <v>486</v>
      </c>
    </row>
    <row r="574" spans="1:44" ht="15" x14ac:dyDescent="0.25">
      <c r="A574" s="250" t="str">
        <f>HYPERLINK("http://www.ofsted.gov.uk/inspection-reports/find-inspection-report/provider/ELS/136264 ","Ofsted School Webpage")</f>
        <v>Ofsted School Webpage</v>
      </c>
      <c r="B574" s="251">
        <v>136264</v>
      </c>
      <c r="C574" s="251">
        <v>3526071</v>
      </c>
      <c r="D574" s="251" t="s">
        <v>2486</v>
      </c>
      <c r="E574" s="251" t="s">
        <v>247</v>
      </c>
      <c r="F574" s="251" t="s">
        <v>93</v>
      </c>
      <c r="G574" s="251" t="s">
        <v>93</v>
      </c>
      <c r="H574" s="251" t="s">
        <v>93</v>
      </c>
      <c r="I574" s="251" t="s">
        <v>90</v>
      </c>
      <c r="J574" s="251" t="s">
        <v>1490</v>
      </c>
      <c r="K574" s="251" t="s">
        <v>486</v>
      </c>
      <c r="L574" s="251" t="s">
        <v>487</v>
      </c>
      <c r="M574" s="251" t="s">
        <v>495</v>
      </c>
      <c r="N574" s="251" t="s">
        <v>495</v>
      </c>
      <c r="O574" s="251" t="s">
        <v>744</v>
      </c>
      <c r="P574" s="251" t="s">
        <v>2487</v>
      </c>
      <c r="Q574" s="252">
        <v>10043784</v>
      </c>
      <c r="R574" s="253">
        <v>43172</v>
      </c>
      <c r="S574" s="253">
        <v>43174</v>
      </c>
      <c r="T574" s="253">
        <v>43222</v>
      </c>
      <c r="U574" s="251" t="s">
        <v>488</v>
      </c>
      <c r="V574" s="251">
        <v>2</v>
      </c>
      <c r="W574" s="251" t="s">
        <v>219</v>
      </c>
      <c r="X574" s="251">
        <v>2</v>
      </c>
      <c r="Y574" s="251">
        <v>2</v>
      </c>
      <c r="Z574" s="251">
        <v>2</v>
      </c>
      <c r="AA574" s="251">
        <v>2</v>
      </c>
      <c r="AB574" s="251" t="s">
        <v>486</v>
      </c>
      <c r="AC574" s="251" t="s">
        <v>486</v>
      </c>
      <c r="AD574" s="251" t="s">
        <v>490</v>
      </c>
      <c r="AE574" s="251" t="s">
        <v>486</v>
      </c>
      <c r="AF574" s="251" t="s">
        <v>486</v>
      </c>
      <c r="AG574" s="251" t="s">
        <v>486</v>
      </c>
      <c r="AH574" s="251" t="s">
        <v>486</v>
      </c>
      <c r="AI574" s="251" t="s">
        <v>486</v>
      </c>
      <c r="AJ574" s="251" t="s">
        <v>486</v>
      </c>
      <c r="AK574" s="251" t="s">
        <v>486</v>
      </c>
      <c r="AL574" s="251" t="s">
        <v>491</v>
      </c>
      <c r="AM574" s="251" t="s">
        <v>486</v>
      </c>
      <c r="AN574" s="251" t="s">
        <v>486</v>
      </c>
      <c r="AO574" s="253" t="s">
        <v>486</v>
      </c>
      <c r="AP574" s="252" t="s">
        <v>486</v>
      </c>
      <c r="AQ574" s="254" t="s">
        <v>486</v>
      </c>
      <c r="AR574" s="251" t="s">
        <v>486</v>
      </c>
    </row>
    <row r="575" spans="1:44" ht="15" x14ac:dyDescent="0.25">
      <c r="A575" s="245" t="str">
        <f>HYPERLINK("http://www.ofsted.gov.uk/inspection-reports/find-inspection-report/provider/ELS/137098 ","Ofsted School Webpage")</f>
        <v>Ofsted School Webpage</v>
      </c>
      <c r="B575" s="246">
        <v>137098</v>
      </c>
      <c r="C575" s="246">
        <v>8606037</v>
      </c>
      <c r="D575" s="246" t="s">
        <v>2488</v>
      </c>
      <c r="E575" s="246" t="s">
        <v>248</v>
      </c>
      <c r="F575" s="246" t="s">
        <v>93</v>
      </c>
      <c r="G575" s="246" t="s">
        <v>93</v>
      </c>
      <c r="H575" s="246" t="s">
        <v>93</v>
      </c>
      <c r="I575" s="246" t="s">
        <v>90</v>
      </c>
      <c r="J575" s="246" t="s">
        <v>1490</v>
      </c>
      <c r="K575" s="246" t="s">
        <v>486</v>
      </c>
      <c r="L575" s="246" t="s">
        <v>487</v>
      </c>
      <c r="M575" s="246" t="s">
        <v>502</v>
      </c>
      <c r="N575" s="246" t="s">
        <v>502</v>
      </c>
      <c r="O575" s="246" t="s">
        <v>652</v>
      </c>
      <c r="P575" s="246" t="s">
        <v>2489</v>
      </c>
      <c r="Q575" s="247">
        <v>10006320</v>
      </c>
      <c r="R575" s="248">
        <v>43172</v>
      </c>
      <c r="S575" s="248">
        <v>43174</v>
      </c>
      <c r="T575" s="248">
        <v>43222</v>
      </c>
      <c r="U575" s="246" t="s">
        <v>488</v>
      </c>
      <c r="V575" s="246">
        <v>1</v>
      </c>
      <c r="W575" s="246" t="s">
        <v>219</v>
      </c>
      <c r="X575" s="246">
        <v>1</v>
      </c>
      <c r="Y575" s="246">
        <v>1</v>
      </c>
      <c r="Z575" s="246">
        <v>1</v>
      </c>
      <c r="AA575" s="246">
        <v>1</v>
      </c>
      <c r="AB575" s="246" t="s">
        <v>486</v>
      </c>
      <c r="AC575" s="246" t="s">
        <v>486</v>
      </c>
      <c r="AD575" s="246" t="s">
        <v>490</v>
      </c>
      <c r="AE575" s="246" t="s">
        <v>486</v>
      </c>
      <c r="AF575" s="246" t="s">
        <v>486</v>
      </c>
      <c r="AG575" s="246" t="s">
        <v>486</v>
      </c>
      <c r="AH575" s="246" t="s">
        <v>486</v>
      </c>
      <c r="AI575" s="246" t="s">
        <v>486</v>
      </c>
      <c r="AJ575" s="246" t="s">
        <v>486</v>
      </c>
      <c r="AK575" s="246" t="s">
        <v>486</v>
      </c>
      <c r="AL575" s="246" t="s">
        <v>491</v>
      </c>
      <c r="AM575" s="246" t="s">
        <v>486</v>
      </c>
      <c r="AN575" s="246" t="s">
        <v>486</v>
      </c>
      <c r="AO575" s="248" t="s">
        <v>486</v>
      </c>
      <c r="AP575" s="247" t="s">
        <v>486</v>
      </c>
      <c r="AQ575" s="249" t="s">
        <v>486</v>
      </c>
      <c r="AR575" s="246" t="s">
        <v>486</v>
      </c>
    </row>
    <row r="576" spans="1:44" ht="15" x14ac:dyDescent="0.25">
      <c r="A576" s="250" t="str">
        <f>HYPERLINK("http://www.ofsted.gov.uk/inspection-reports/find-inspection-report/provider/ELS/139997 ","Ofsted School Webpage")</f>
        <v>Ofsted School Webpage</v>
      </c>
      <c r="B576" s="251">
        <v>139997</v>
      </c>
      <c r="C576" s="251">
        <v>9316014</v>
      </c>
      <c r="D576" s="251" t="s">
        <v>2490</v>
      </c>
      <c r="E576" s="251" t="s">
        <v>247</v>
      </c>
      <c r="F576" s="251" t="s">
        <v>93</v>
      </c>
      <c r="G576" s="251" t="s">
        <v>93</v>
      </c>
      <c r="H576" s="251" t="s">
        <v>93</v>
      </c>
      <c r="I576" s="251" t="s">
        <v>90</v>
      </c>
      <c r="J576" s="251" t="s">
        <v>1490</v>
      </c>
      <c r="K576" s="251" t="s">
        <v>486</v>
      </c>
      <c r="L576" s="251" t="s">
        <v>487</v>
      </c>
      <c r="M576" s="251" t="s">
        <v>581</v>
      </c>
      <c r="N576" s="251" t="s">
        <v>581</v>
      </c>
      <c r="O576" s="251" t="s">
        <v>1150</v>
      </c>
      <c r="P576" s="251" t="s">
        <v>2491</v>
      </c>
      <c r="Q576" s="252">
        <v>10033962</v>
      </c>
      <c r="R576" s="253">
        <v>43172</v>
      </c>
      <c r="S576" s="253">
        <v>43174</v>
      </c>
      <c r="T576" s="253">
        <v>43207</v>
      </c>
      <c r="U576" s="251" t="s">
        <v>488</v>
      </c>
      <c r="V576" s="251">
        <v>2</v>
      </c>
      <c r="W576" s="251" t="s">
        <v>219</v>
      </c>
      <c r="X576" s="251">
        <v>2</v>
      </c>
      <c r="Y576" s="251">
        <v>2</v>
      </c>
      <c r="Z576" s="251">
        <v>2</v>
      </c>
      <c r="AA576" s="251">
        <v>2</v>
      </c>
      <c r="AB576" s="251" t="s">
        <v>486</v>
      </c>
      <c r="AC576" s="251">
        <v>0</v>
      </c>
      <c r="AD576" s="251" t="s">
        <v>490</v>
      </c>
      <c r="AE576" s="251" t="s">
        <v>486</v>
      </c>
      <c r="AF576" s="251" t="s">
        <v>486</v>
      </c>
      <c r="AG576" s="251" t="s">
        <v>486</v>
      </c>
      <c r="AH576" s="251" t="s">
        <v>486</v>
      </c>
      <c r="AI576" s="251" t="s">
        <v>486</v>
      </c>
      <c r="AJ576" s="251" t="s">
        <v>486</v>
      </c>
      <c r="AK576" s="251" t="s">
        <v>486</v>
      </c>
      <c r="AL576" s="251" t="s">
        <v>491</v>
      </c>
      <c r="AM576" s="251" t="s">
        <v>486</v>
      </c>
      <c r="AN576" s="251" t="s">
        <v>486</v>
      </c>
      <c r="AO576" s="253" t="s">
        <v>486</v>
      </c>
      <c r="AP576" s="252" t="s">
        <v>486</v>
      </c>
      <c r="AQ576" s="254" t="s">
        <v>486</v>
      </c>
      <c r="AR576" s="251" t="s">
        <v>486</v>
      </c>
    </row>
    <row r="577" spans="1:44" ht="15" x14ac:dyDescent="0.25">
      <c r="A577" s="245" t="str">
        <f>HYPERLINK("http://www.ofsted.gov.uk/inspection-reports/find-inspection-report/provider/ELS/140226 ","Ofsted School Webpage")</f>
        <v>Ofsted School Webpage</v>
      </c>
      <c r="B577" s="246">
        <v>140226</v>
      </c>
      <c r="C577" s="246">
        <v>2036002</v>
      </c>
      <c r="D577" s="246" t="s">
        <v>2492</v>
      </c>
      <c r="E577" s="246" t="s">
        <v>247</v>
      </c>
      <c r="F577" s="246" t="s">
        <v>93</v>
      </c>
      <c r="G577" s="246" t="s">
        <v>93</v>
      </c>
      <c r="H577" s="246" t="s">
        <v>93</v>
      </c>
      <c r="I577" s="246" t="s">
        <v>90</v>
      </c>
      <c r="J577" s="246" t="s">
        <v>1490</v>
      </c>
      <c r="K577" s="246" t="s">
        <v>486</v>
      </c>
      <c r="L577" s="246" t="s">
        <v>487</v>
      </c>
      <c r="M577" s="246" t="s">
        <v>506</v>
      </c>
      <c r="N577" s="246" t="s">
        <v>506</v>
      </c>
      <c r="O577" s="246" t="s">
        <v>823</v>
      </c>
      <c r="P577" s="246" t="s">
        <v>2493</v>
      </c>
      <c r="Q577" s="247">
        <v>10035813</v>
      </c>
      <c r="R577" s="248">
        <v>43172</v>
      </c>
      <c r="S577" s="248">
        <v>43174</v>
      </c>
      <c r="T577" s="248">
        <v>43213</v>
      </c>
      <c r="U577" s="246" t="s">
        <v>488</v>
      </c>
      <c r="V577" s="246">
        <v>2</v>
      </c>
      <c r="W577" s="246" t="s">
        <v>219</v>
      </c>
      <c r="X577" s="246">
        <v>2</v>
      </c>
      <c r="Y577" s="246">
        <v>2</v>
      </c>
      <c r="Z577" s="246">
        <v>2</v>
      </c>
      <c r="AA577" s="246">
        <v>2</v>
      </c>
      <c r="AB577" s="246" t="s">
        <v>486</v>
      </c>
      <c r="AC577" s="246" t="s">
        <v>486</v>
      </c>
      <c r="AD577" s="246" t="s">
        <v>490</v>
      </c>
      <c r="AE577" s="246" t="s">
        <v>486</v>
      </c>
      <c r="AF577" s="246" t="s">
        <v>486</v>
      </c>
      <c r="AG577" s="246" t="s">
        <v>486</v>
      </c>
      <c r="AH577" s="246" t="s">
        <v>486</v>
      </c>
      <c r="AI577" s="246" t="s">
        <v>486</v>
      </c>
      <c r="AJ577" s="246" t="s">
        <v>486</v>
      </c>
      <c r="AK577" s="246" t="s">
        <v>486</v>
      </c>
      <c r="AL577" s="246" t="s">
        <v>491</v>
      </c>
      <c r="AM577" s="246" t="s">
        <v>486</v>
      </c>
      <c r="AN577" s="246" t="s">
        <v>486</v>
      </c>
      <c r="AO577" s="248" t="s">
        <v>486</v>
      </c>
      <c r="AP577" s="247" t="s">
        <v>486</v>
      </c>
      <c r="AQ577" s="249" t="s">
        <v>486</v>
      </c>
      <c r="AR577" s="246" t="s">
        <v>486</v>
      </c>
    </row>
    <row r="578" spans="1:44" ht="15" x14ac:dyDescent="0.25">
      <c r="A578" s="250" t="str">
        <f>HYPERLINK("http://www.ofsted.gov.uk/inspection-reports/find-inspection-report/provider/ELS/141737 ","Ofsted School Webpage")</f>
        <v>Ofsted School Webpage</v>
      </c>
      <c r="B578" s="251">
        <v>141737</v>
      </c>
      <c r="C578" s="251">
        <v>2046011</v>
      </c>
      <c r="D578" s="251" t="s">
        <v>2494</v>
      </c>
      <c r="E578" s="251" t="s">
        <v>247</v>
      </c>
      <c r="F578" s="251" t="s">
        <v>93</v>
      </c>
      <c r="G578" s="251" t="s">
        <v>93</v>
      </c>
      <c r="H578" s="251" t="s">
        <v>93</v>
      </c>
      <c r="I578" s="251" t="s">
        <v>90</v>
      </c>
      <c r="J578" s="251" t="s">
        <v>1490</v>
      </c>
      <c r="K578" s="251" t="s">
        <v>486</v>
      </c>
      <c r="L578" s="251" t="s">
        <v>487</v>
      </c>
      <c r="M578" s="251" t="s">
        <v>506</v>
      </c>
      <c r="N578" s="251" t="s">
        <v>506</v>
      </c>
      <c r="O578" s="251" t="s">
        <v>617</v>
      </c>
      <c r="P578" s="251" t="s">
        <v>2495</v>
      </c>
      <c r="Q578" s="252">
        <v>10041404</v>
      </c>
      <c r="R578" s="253">
        <v>43172</v>
      </c>
      <c r="S578" s="253">
        <v>43174</v>
      </c>
      <c r="T578" s="253">
        <v>43199</v>
      </c>
      <c r="U578" s="251" t="s">
        <v>488</v>
      </c>
      <c r="V578" s="251">
        <v>2</v>
      </c>
      <c r="W578" s="251" t="s">
        <v>219</v>
      </c>
      <c r="X578" s="251">
        <v>2</v>
      </c>
      <c r="Y578" s="251">
        <v>2</v>
      </c>
      <c r="Z578" s="251">
        <v>2</v>
      </c>
      <c r="AA578" s="251">
        <v>2</v>
      </c>
      <c r="AB578" s="251" t="s">
        <v>486</v>
      </c>
      <c r="AC578" s="251" t="s">
        <v>486</v>
      </c>
      <c r="AD578" s="251" t="s">
        <v>490</v>
      </c>
      <c r="AE578" s="251" t="s">
        <v>486</v>
      </c>
      <c r="AF578" s="251" t="s">
        <v>486</v>
      </c>
      <c r="AG578" s="251" t="s">
        <v>486</v>
      </c>
      <c r="AH578" s="251" t="s">
        <v>486</v>
      </c>
      <c r="AI578" s="251" t="s">
        <v>486</v>
      </c>
      <c r="AJ578" s="251" t="s">
        <v>486</v>
      </c>
      <c r="AK578" s="251" t="s">
        <v>486</v>
      </c>
      <c r="AL578" s="251" t="s">
        <v>491</v>
      </c>
      <c r="AM578" s="251" t="s">
        <v>486</v>
      </c>
      <c r="AN578" s="251" t="s">
        <v>486</v>
      </c>
      <c r="AO578" s="253" t="s">
        <v>486</v>
      </c>
      <c r="AP578" s="252" t="s">
        <v>486</v>
      </c>
      <c r="AQ578" s="254" t="s">
        <v>486</v>
      </c>
      <c r="AR578" s="251" t="s">
        <v>486</v>
      </c>
    </row>
    <row r="579" spans="1:44" ht="15" x14ac:dyDescent="0.25">
      <c r="A579" s="245" t="str">
        <f>HYPERLINK("http://www.ofsted.gov.uk/inspection-reports/find-inspection-report/provider/ELS/142779 ","Ofsted School Webpage")</f>
        <v>Ofsted School Webpage</v>
      </c>
      <c r="B579" s="246">
        <v>142779</v>
      </c>
      <c r="C579" s="246">
        <v>8556037</v>
      </c>
      <c r="D579" s="246" t="s">
        <v>2496</v>
      </c>
      <c r="E579" s="246" t="s">
        <v>248</v>
      </c>
      <c r="F579" s="246" t="s">
        <v>93</v>
      </c>
      <c r="G579" s="246" t="s">
        <v>93</v>
      </c>
      <c r="H579" s="246" t="s">
        <v>93</v>
      </c>
      <c r="I579" s="246" t="s">
        <v>90</v>
      </c>
      <c r="J579" s="246" t="s">
        <v>1490</v>
      </c>
      <c r="K579" s="246" t="s">
        <v>486</v>
      </c>
      <c r="L579" s="246" t="s">
        <v>487</v>
      </c>
      <c r="M579" s="246" t="s">
        <v>572</v>
      </c>
      <c r="N579" s="246" t="s">
        <v>572</v>
      </c>
      <c r="O579" s="246" t="s">
        <v>966</v>
      </c>
      <c r="P579" s="246" t="s">
        <v>2497</v>
      </c>
      <c r="Q579" s="247">
        <v>10043803</v>
      </c>
      <c r="R579" s="248">
        <v>43172</v>
      </c>
      <c r="S579" s="248">
        <v>43174</v>
      </c>
      <c r="T579" s="248">
        <v>43208</v>
      </c>
      <c r="U579" s="246" t="s">
        <v>499</v>
      </c>
      <c r="V579" s="246">
        <v>2</v>
      </c>
      <c r="W579" s="246" t="s">
        <v>219</v>
      </c>
      <c r="X579" s="246">
        <v>2</v>
      </c>
      <c r="Y579" s="246">
        <v>2</v>
      </c>
      <c r="Z579" s="246">
        <v>2</v>
      </c>
      <c r="AA579" s="246">
        <v>2</v>
      </c>
      <c r="AB579" s="246" t="s">
        <v>486</v>
      </c>
      <c r="AC579" s="246" t="s">
        <v>486</v>
      </c>
      <c r="AD579" s="246" t="s">
        <v>490</v>
      </c>
      <c r="AE579" s="246" t="s">
        <v>486</v>
      </c>
      <c r="AF579" s="246" t="s">
        <v>486</v>
      </c>
      <c r="AG579" s="246" t="s">
        <v>486</v>
      </c>
      <c r="AH579" s="246" t="s">
        <v>486</v>
      </c>
      <c r="AI579" s="246" t="s">
        <v>486</v>
      </c>
      <c r="AJ579" s="246" t="s">
        <v>486</v>
      </c>
      <c r="AK579" s="246" t="s">
        <v>486</v>
      </c>
      <c r="AL579" s="246" t="s">
        <v>491</v>
      </c>
      <c r="AM579" s="246" t="s">
        <v>486</v>
      </c>
      <c r="AN579" s="246" t="s">
        <v>486</v>
      </c>
      <c r="AO579" s="248" t="s">
        <v>486</v>
      </c>
      <c r="AP579" s="247" t="s">
        <v>486</v>
      </c>
      <c r="AQ579" s="249" t="s">
        <v>486</v>
      </c>
      <c r="AR579" s="246" t="s">
        <v>486</v>
      </c>
    </row>
    <row r="580" spans="1:44" ht="15" x14ac:dyDescent="0.25">
      <c r="A580" s="250" t="str">
        <f>HYPERLINK("http://www.ofsted.gov.uk/inspection-reports/find-inspection-report/provider/ELS/143532 ","Ofsted School Webpage")</f>
        <v>Ofsted School Webpage</v>
      </c>
      <c r="B580" s="251">
        <v>143532</v>
      </c>
      <c r="C580" s="251">
        <v>3946000</v>
      </c>
      <c r="D580" s="251" t="s">
        <v>2498</v>
      </c>
      <c r="E580" s="251" t="s">
        <v>248</v>
      </c>
      <c r="F580" s="251" t="s">
        <v>93</v>
      </c>
      <c r="G580" s="251" t="s">
        <v>93</v>
      </c>
      <c r="H580" s="251" t="s">
        <v>93</v>
      </c>
      <c r="I580" s="251" t="s">
        <v>90</v>
      </c>
      <c r="J580" s="251" t="s">
        <v>1490</v>
      </c>
      <c r="K580" s="251" t="s">
        <v>486</v>
      </c>
      <c r="L580" s="251" t="s">
        <v>487</v>
      </c>
      <c r="M580" s="251" t="s">
        <v>523</v>
      </c>
      <c r="N580" s="251" t="s">
        <v>539</v>
      </c>
      <c r="O580" s="251" t="s">
        <v>750</v>
      </c>
      <c r="P580" s="251" t="s">
        <v>2499</v>
      </c>
      <c r="Q580" s="252">
        <v>10043661</v>
      </c>
      <c r="R580" s="253">
        <v>43172</v>
      </c>
      <c r="S580" s="253">
        <v>43174</v>
      </c>
      <c r="T580" s="253">
        <v>43221</v>
      </c>
      <c r="U580" s="251" t="s">
        <v>499</v>
      </c>
      <c r="V580" s="251">
        <v>2</v>
      </c>
      <c r="W580" s="251" t="s">
        <v>219</v>
      </c>
      <c r="X580" s="251">
        <v>2</v>
      </c>
      <c r="Y580" s="251">
        <v>2</v>
      </c>
      <c r="Z580" s="251">
        <v>2</v>
      </c>
      <c r="AA580" s="251">
        <v>2</v>
      </c>
      <c r="AB580" s="251" t="s">
        <v>486</v>
      </c>
      <c r="AC580" s="251" t="s">
        <v>486</v>
      </c>
      <c r="AD580" s="251" t="s">
        <v>490</v>
      </c>
      <c r="AE580" s="251" t="s">
        <v>486</v>
      </c>
      <c r="AF580" s="251" t="s">
        <v>486</v>
      </c>
      <c r="AG580" s="251" t="s">
        <v>486</v>
      </c>
      <c r="AH580" s="251" t="s">
        <v>486</v>
      </c>
      <c r="AI580" s="251" t="s">
        <v>486</v>
      </c>
      <c r="AJ580" s="251" t="s">
        <v>486</v>
      </c>
      <c r="AK580" s="251" t="s">
        <v>486</v>
      </c>
      <c r="AL580" s="251" t="s">
        <v>491</v>
      </c>
      <c r="AM580" s="251" t="s">
        <v>486</v>
      </c>
      <c r="AN580" s="251" t="s">
        <v>486</v>
      </c>
      <c r="AO580" s="253" t="s">
        <v>486</v>
      </c>
      <c r="AP580" s="252" t="s">
        <v>486</v>
      </c>
      <c r="AQ580" s="254" t="s">
        <v>486</v>
      </c>
      <c r="AR580" s="251" t="s">
        <v>486</v>
      </c>
    </row>
    <row r="581" spans="1:44" ht="15" x14ac:dyDescent="0.25">
      <c r="A581" s="245" t="str">
        <f>HYPERLINK("http://www.ofsted.gov.uk/inspection-reports/find-inspection-report/provider/ELS/144366 ","Ofsted School Webpage")</f>
        <v>Ofsted School Webpage</v>
      </c>
      <c r="B581" s="246">
        <v>144366</v>
      </c>
      <c r="C581" s="246">
        <v>8126005</v>
      </c>
      <c r="D581" s="246" t="s">
        <v>1219</v>
      </c>
      <c r="E581" s="246" t="s">
        <v>247</v>
      </c>
      <c r="F581" s="246" t="s">
        <v>93</v>
      </c>
      <c r="G581" s="246" t="s">
        <v>93</v>
      </c>
      <c r="H581" s="246" t="s">
        <v>93</v>
      </c>
      <c r="I581" s="246" t="s">
        <v>90</v>
      </c>
      <c r="J581" s="246" t="s">
        <v>1490</v>
      </c>
      <c r="K581" s="246" t="s">
        <v>486</v>
      </c>
      <c r="L581" s="246" t="s">
        <v>487</v>
      </c>
      <c r="M581" s="246" t="s">
        <v>523</v>
      </c>
      <c r="N581" s="246" t="s">
        <v>524</v>
      </c>
      <c r="O581" s="246" t="s">
        <v>1220</v>
      </c>
      <c r="P581" s="246" t="s">
        <v>1221</v>
      </c>
      <c r="Q581" s="247">
        <v>10043663</v>
      </c>
      <c r="R581" s="248">
        <v>43172</v>
      </c>
      <c r="S581" s="248">
        <v>43174</v>
      </c>
      <c r="T581" s="248">
        <v>43221</v>
      </c>
      <c r="U581" s="246" t="s">
        <v>499</v>
      </c>
      <c r="V581" s="246">
        <v>2</v>
      </c>
      <c r="W581" s="246" t="s">
        <v>219</v>
      </c>
      <c r="X581" s="246">
        <v>2</v>
      </c>
      <c r="Y581" s="246">
        <v>3</v>
      </c>
      <c r="Z581" s="246">
        <v>2</v>
      </c>
      <c r="AA581" s="246">
        <v>2</v>
      </c>
      <c r="AB581" s="246" t="s">
        <v>486</v>
      </c>
      <c r="AC581" s="246" t="s">
        <v>486</v>
      </c>
      <c r="AD581" s="246" t="s">
        <v>512</v>
      </c>
      <c r="AE581" s="246" t="s">
        <v>486</v>
      </c>
      <c r="AF581" s="246" t="s">
        <v>486</v>
      </c>
      <c r="AG581" s="246" t="s">
        <v>486</v>
      </c>
      <c r="AH581" s="246" t="s">
        <v>490</v>
      </c>
      <c r="AI581" s="246" t="s">
        <v>486</v>
      </c>
      <c r="AJ581" s="246" t="s">
        <v>486</v>
      </c>
      <c r="AK581" s="246" t="s">
        <v>486</v>
      </c>
      <c r="AL581" s="246" t="s">
        <v>491</v>
      </c>
      <c r="AM581" s="246" t="s">
        <v>486</v>
      </c>
      <c r="AN581" s="246" t="s">
        <v>486</v>
      </c>
      <c r="AO581" s="248" t="s">
        <v>486</v>
      </c>
      <c r="AP581" s="247" t="s">
        <v>486</v>
      </c>
      <c r="AQ581" s="249" t="s">
        <v>486</v>
      </c>
      <c r="AR581" s="246" t="s">
        <v>486</v>
      </c>
    </row>
    <row r="582" spans="1:44" ht="15" x14ac:dyDescent="0.25">
      <c r="A582" s="250" t="str">
        <f>HYPERLINK("http://www.ofsted.gov.uk/inspection-reports/find-inspection-report/provider/ELS/144378 ","Ofsted School Webpage")</f>
        <v>Ofsted School Webpage</v>
      </c>
      <c r="B582" s="251">
        <v>144378</v>
      </c>
      <c r="C582" s="251">
        <v>8816067</v>
      </c>
      <c r="D582" s="251" t="s">
        <v>1171</v>
      </c>
      <c r="E582" s="251" t="s">
        <v>248</v>
      </c>
      <c r="F582" s="251" t="s">
        <v>93</v>
      </c>
      <c r="G582" s="251" t="s">
        <v>93</v>
      </c>
      <c r="H582" s="251" t="s">
        <v>93</v>
      </c>
      <c r="I582" s="251" t="s">
        <v>90</v>
      </c>
      <c r="J582" s="251" t="s">
        <v>1490</v>
      </c>
      <c r="K582" s="251" t="s">
        <v>486</v>
      </c>
      <c r="L582" s="251" t="s">
        <v>487</v>
      </c>
      <c r="M582" s="251" t="s">
        <v>516</v>
      </c>
      <c r="N582" s="251" t="s">
        <v>516</v>
      </c>
      <c r="O582" s="251" t="s">
        <v>764</v>
      </c>
      <c r="P582" s="251" t="s">
        <v>1172</v>
      </c>
      <c r="Q582" s="252">
        <v>10043524</v>
      </c>
      <c r="R582" s="253">
        <v>43172</v>
      </c>
      <c r="S582" s="253">
        <v>43174</v>
      </c>
      <c r="T582" s="253">
        <v>43231</v>
      </c>
      <c r="U582" s="251" t="s">
        <v>499</v>
      </c>
      <c r="V582" s="251">
        <v>4</v>
      </c>
      <c r="W582" s="251" t="s">
        <v>220</v>
      </c>
      <c r="X582" s="251">
        <v>4</v>
      </c>
      <c r="Y582" s="251">
        <v>3</v>
      </c>
      <c r="Z582" s="251">
        <v>3</v>
      </c>
      <c r="AA582" s="251">
        <v>3</v>
      </c>
      <c r="AB582" s="251" t="s">
        <v>486</v>
      </c>
      <c r="AC582" s="251" t="s">
        <v>486</v>
      </c>
      <c r="AD582" s="251" t="s">
        <v>490</v>
      </c>
      <c r="AE582" s="251" t="s">
        <v>486</v>
      </c>
      <c r="AF582" s="251" t="s">
        <v>486</v>
      </c>
      <c r="AG582" s="251" t="s">
        <v>486</v>
      </c>
      <c r="AH582" s="251" t="s">
        <v>486</v>
      </c>
      <c r="AI582" s="251" t="s">
        <v>486</v>
      </c>
      <c r="AJ582" s="251" t="s">
        <v>486</v>
      </c>
      <c r="AK582" s="251" t="s">
        <v>486</v>
      </c>
      <c r="AL582" s="251" t="s">
        <v>545</v>
      </c>
      <c r="AM582" s="251">
        <v>10056692</v>
      </c>
      <c r="AN582" s="251" t="s">
        <v>1109</v>
      </c>
      <c r="AO582" s="253">
        <v>43370</v>
      </c>
      <c r="AP582" s="252" t="s">
        <v>1523</v>
      </c>
      <c r="AQ582" s="254">
        <v>43409</v>
      </c>
      <c r="AR582" s="251" t="s">
        <v>1110</v>
      </c>
    </row>
    <row r="583" spans="1:44" ht="15" x14ac:dyDescent="0.25">
      <c r="A583" s="245" t="str">
        <f>HYPERLINK("http://www.ofsted.gov.uk/inspection-reports/find-inspection-report/provider/ELS/131455 ","Ofsted School Webpage")</f>
        <v>Ofsted School Webpage</v>
      </c>
      <c r="B583" s="246">
        <v>131455</v>
      </c>
      <c r="C583" s="246">
        <v>9336211</v>
      </c>
      <c r="D583" s="246" t="s">
        <v>2500</v>
      </c>
      <c r="E583" s="246" t="s">
        <v>248</v>
      </c>
      <c r="F583" s="246" t="s">
        <v>93</v>
      </c>
      <c r="G583" s="246" t="s">
        <v>93</v>
      </c>
      <c r="H583" s="246" t="s">
        <v>93</v>
      </c>
      <c r="I583" s="246" t="s">
        <v>90</v>
      </c>
      <c r="J583" s="246" t="s">
        <v>1490</v>
      </c>
      <c r="K583" s="246" t="s">
        <v>486</v>
      </c>
      <c r="L583" s="246" t="s">
        <v>487</v>
      </c>
      <c r="M583" s="246" t="s">
        <v>483</v>
      </c>
      <c r="N583" s="246" t="s">
        <v>483</v>
      </c>
      <c r="O583" s="246" t="s">
        <v>531</v>
      </c>
      <c r="P583" s="246" t="s">
        <v>2501</v>
      </c>
      <c r="Q583" s="247">
        <v>10041374</v>
      </c>
      <c r="R583" s="248">
        <v>43173</v>
      </c>
      <c r="S583" s="248">
        <v>43175</v>
      </c>
      <c r="T583" s="248">
        <v>43209</v>
      </c>
      <c r="U583" s="246" t="s">
        <v>488</v>
      </c>
      <c r="V583" s="246">
        <v>2</v>
      </c>
      <c r="W583" s="246" t="s">
        <v>219</v>
      </c>
      <c r="X583" s="246">
        <v>2</v>
      </c>
      <c r="Y583" s="246">
        <v>2</v>
      </c>
      <c r="Z583" s="246">
        <v>2</v>
      </c>
      <c r="AA583" s="246">
        <v>2</v>
      </c>
      <c r="AB583" s="246" t="s">
        <v>486</v>
      </c>
      <c r="AC583" s="246" t="s">
        <v>486</v>
      </c>
      <c r="AD583" s="246" t="s">
        <v>490</v>
      </c>
      <c r="AE583" s="246" t="s">
        <v>486</v>
      </c>
      <c r="AF583" s="246" t="s">
        <v>486</v>
      </c>
      <c r="AG583" s="246" t="s">
        <v>486</v>
      </c>
      <c r="AH583" s="246" t="s">
        <v>486</v>
      </c>
      <c r="AI583" s="246" t="s">
        <v>486</v>
      </c>
      <c r="AJ583" s="246" t="s">
        <v>486</v>
      </c>
      <c r="AK583" s="246" t="s">
        <v>486</v>
      </c>
      <c r="AL583" s="246" t="s">
        <v>491</v>
      </c>
      <c r="AM583" s="246" t="s">
        <v>486</v>
      </c>
      <c r="AN583" s="246" t="s">
        <v>486</v>
      </c>
      <c r="AO583" s="248" t="s">
        <v>486</v>
      </c>
      <c r="AP583" s="247" t="s">
        <v>486</v>
      </c>
      <c r="AQ583" s="249" t="s">
        <v>486</v>
      </c>
      <c r="AR583" s="246" t="s">
        <v>486</v>
      </c>
    </row>
    <row r="584" spans="1:44" ht="15" x14ac:dyDescent="0.25">
      <c r="A584" s="250" t="str">
        <f>HYPERLINK("http://www.ofsted.gov.uk/inspection-reports/find-inspection-report/provider/ELS/134417 ","Ofsted School Webpage")</f>
        <v>Ofsted School Webpage</v>
      </c>
      <c r="B584" s="251">
        <v>134417</v>
      </c>
      <c r="C584" s="251">
        <v>3166064</v>
      </c>
      <c r="D584" s="251" t="s">
        <v>2502</v>
      </c>
      <c r="E584" s="251" t="s">
        <v>247</v>
      </c>
      <c r="F584" s="251" t="s">
        <v>93</v>
      </c>
      <c r="G584" s="251" t="s">
        <v>84</v>
      </c>
      <c r="H584" s="251" t="s">
        <v>84</v>
      </c>
      <c r="I584" s="251" t="s">
        <v>84</v>
      </c>
      <c r="J584" s="251" t="s">
        <v>1490</v>
      </c>
      <c r="K584" s="251" t="s">
        <v>486</v>
      </c>
      <c r="L584" s="251" t="s">
        <v>487</v>
      </c>
      <c r="M584" s="251" t="s">
        <v>506</v>
      </c>
      <c r="N584" s="251" t="s">
        <v>506</v>
      </c>
      <c r="O584" s="251" t="s">
        <v>799</v>
      </c>
      <c r="P584" s="251" t="s">
        <v>2503</v>
      </c>
      <c r="Q584" s="252">
        <v>10045225</v>
      </c>
      <c r="R584" s="253">
        <v>43173</v>
      </c>
      <c r="S584" s="253">
        <v>43175</v>
      </c>
      <c r="T584" s="253">
        <v>43220</v>
      </c>
      <c r="U584" s="251" t="s">
        <v>488</v>
      </c>
      <c r="V584" s="251">
        <v>2</v>
      </c>
      <c r="W584" s="251" t="s">
        <v>219</v>
      </c>
      <c r="X584" s="251">
        <v>2</v>
      </c>
      <c r="Y584" s="251">
        <v>1</v>
      </c>
      <c r="Z584" s="251">
        <v>2</v>
      </c>
      <c r="AA584" s="251">
        <v>2</v>
      </c>
      <c r="AB584" s="251">
        <v>2</v>
      </c>
      <c r="AC584" s="251" t="s">
        <v>486</v>
      </c>
      <c r="AD584" s="251" t="s">
        <v>490</v>
      </c>
      <c r="AE584" s="251" t="s">
        <v>486</v>
      </c>
      <c r="AF584" s="251" t="s">
        <v>486</v>
      </c>
      <c r="AG584" s="251" t="s">
        <v>486</v>
      </c>
      <c r="AH584" s="251" t="s">
        <v>486</v>
      </c>
      <c r="AI584" s="251" t="s">
        <v>486</v>
      </c>
      <c r="AJ584" s="251" t="s">
        <v>486</v>
      </c>
      <c r="AK584" s="251" t="s">
        <v>486</v>
      </c>
      <c r="AL584" s="251" t="s">
        <v>491</v>
      </c>
      <c r="AM584" s="251" t="s">
        <v>486</v>
      </c>
      <c r="AN584" s="251" t="s">
        <v>486</v>
      </c>
      <c r="AO584" s="253" t="s">
        <v>486</v>
      </c>
      <c r="AP584" s="252" t="s">
        <v>486</v>
      </c>
      <c r="AQ584" s="254" t="s">
        <v>486</v>
      </c>
      <c r="AR584" s="251" t="s">
        <v>486</v>
      </c>
    </row>
    <row r="585" spans="1:44" ht="15" x14ac:dyDescent="0.25">
      <c r="A585" s="245" t="str">
        <f>HYPERLINK("http://www.ofsted.gov.uk/inspection-reports/find-inspection-report/provider/ELS/100371 ","Ofsted School Webpage")</f>
        <v>Ofsted School Webpage</v>
      </c>
      <c r="B585" s="246">
        <v>100371</v>
      </c>
      <c r="C585" s="246">
        <v>2056359</v>
      </c>
      <c r="D585" s="246" t="s">
        <v>2504</v>
      </c>
      <c r="E585" s="246" t="s">
        <v>247</v>
      </c>
      <c r="F585" s="246" t="s">
        <v>93</v>
      </c>
      <c r="G585" s="246" t="s">
        <v>93</v>
      </c>
      <c r="H585" s="246" t="s">
        <v>93</v>
      </c>
      <c r="I585" s="246" t="s">
        <v>90</v>
      </c>
      <c r="J585" s="246" t="s">
        <v>1490</v>
      </c>
      <c r="K585" s="246" t="s">
        <v>486</v>
      </c>
      <c r="L585" s="246" t="s">
        <v>487</v>
      </c>
      <c r="M585" s="246" t="s">
        <v>506</v>
      </c>
      <c r="N585" s="246" t="s">
        <v>506</v>
      </c>
      <c r="O585" s="246" t="s">
        <v>862</v>
      </c>
      <c r="P585" s="246" t="s">
        <v>2505</v>
      </c>
      <c r="Q585" s="247">
        <v>10020717</v>
      </c>
      <c r="R585" s="248">
        <v>43179</v>
      </c>
      <c r="S585" s="248">
        <v>43181</v>
      </c>
      <c r="T585" s="248">
        <v>43229</v>
      </c>
      <c r="U585" s="246" t="s">
        <v>488</v>
      </c>
      <c r="V585" s="246">
        <v>1</v>
      </c>
      <c r="W585" s="246" t="s">
        <v>219</v>
      </c>
      <c r="X585" s="246">
        <v>1</v>
      </c>
      <c r="Y585" s="246">
        <v>1</v>
      </c>
      <c r="Z585" s="246">
        <v>1</v>
      </c>
      <c r="AA585" s="246">
        <v>1</v>
      </c>
      <c r="AB585" s="246">
        <v>1</v>
      </c>
      <c r="AC585" s="246" t="s">
        <v>486</v>
      </c>
      <c r="AD585" s="246" t="s">
        <v>490</v>
      </c>
      <c r="AE585" s="246" t="s">
        <v>486</v>
      </c>
      <c r="AF585" s="246" t="s">
        <v>486</v>
      </c>
      <c r="AG585" s="246" t="s">
        <v>486</v>
      </c>
      <c r="AH585" s="246" t="s">
        <v>486</v>
      </c>
      <c r="AI585" s="246" t="s">
        <v>486</v>
      </c>
      <c r="AJ585" s="246" t="s">
        <v>486</v>
      </c>
      <c r="AK585" s="246" t="s">
        <v>486</v>
      </c>
      <c r="AL585" s="246" t="s">
        <v>491</v>
      </c>
      <c r="AM585" s="246" t="s">
        <v>486</v>
      </c>
      <c r="AN585" s="246" t="s">
        <v>486</v>
      </c>
      <c r="AO585" s="248" t="s">
        <v>486</v>
      </c>
      <c r="AP585" s="247" t="s">
        <v>486</v>
      </c>
      <c r="AQ585" s="249" t="s">
        <v>486</v>
      </c>
      <c r="AR585" s="246" t="s">
        <v>486</v>
      </c>
    </row>
    <row r="586" spans="1:44" ht="15" x14ac:dyDescent="0.25">
      <c r="A586" s="250" t="str">
        <f>HYPERLINK("http://www.ofsted.gov.uk/inspection-reports/find-inspection-report/provider/ELS/101168 ","Ofsted School Webpage")</f>
        <v>Ofsted School Webpage</v>
      </c>
      <c r="B586" s="251">
        <v>101168</v>
      </c>
      <c r="C586" s="251">
        <v>2136215</v>
      </c>
      <c r="D586" s="251" t="s">
        <v>2506</v>
      </c>
      <c r="E586" s="251" t="s">
        <v>247</v>
      </c>
      <c r="F586" s="251" t="s">
        <v>93</v>
      </c>
      <c r="G586" s="251" t="s">
        <v>93</v>
      </c>
      <c r="H586" s="251" t="s">
        <v>93</v>
      </c>
      <c r="I586" s="251" t="s">
        <v>90</v>
      </c>
      <c r="J586" s="251" t="s">
        <v>1490</v>
      </c>
      <c r="K586" s="251" t="s">
        <v>486</v>
      </c>
      <c r="L586" s="251" t="s">
        <v>487</v>
      </c>
      <c r="M586" s="251" t="s">
        <v>506</v>
      </c>
      <c r="N586" s="251" t="s">
        <v>506</v>
      </c>
      <c r="O586" s="251" t="s">
        <v>658</v>
      </c>
      <c r="P586" s="251" t="s">
        <v>2507</v>
      </c>
      <c r="Q586" s="252">
        <v>10026276</v>
      </c>
      <c r="R586" s="253">
        <v>43179</v>
      </c>
      <c r="S586" s="253">
        <v>43181</v>
      </c>
      <c r="T586" s="253">
        <v>43224</v>
      </c>
      <c r="U586" s="251" t="s">
        <v>488</v>
      </c>
      <c r="V586" s="251">
        <v>1</v>
      </c>
      <c r="W586" s="251" t="s">
        <v>219</v>
      </c>
      <c r="X586" s="251">
        <v>1</v>
      </c>
      <c r="Y586" s="251">
        <v>1</v>
      </c>
      <c r="Z586" s="251">
        <v>1</v>
      </c>
      <c r="AA586" s="251">
        <v>1</v>
      </c>
      <c r="AB586" s="251">
        <v>1</v>
      </c>
      <c r="AC586" s="251">
        <v>1</v>
      </c>
      <c r="AD586" s="251" t="s">
        <v>512</v>
      </c>
      <c r="AE586" s="251" t="s">
        <v>486</v>
      </c>
      <c r="AF586" s="251" t="s">
        <v>486</v>
      </c>
      <c r="AG586" s="251" t="s">
        <v>486</v>
      </c>
      <c r="AH586" s="251" t="s">
        <v>490</v>
      </c>
      <c r="AI586" s="251" t="s">
        <v>486</v>
      </c>
      <c r="AJ586" s="251" t="s">
        <v>486</v>
      </c>
      <c r="AK586" s="251" t="s">
        <v>486</v>
      </c>
      <c r="AL586" s="251" t="s">
        <v>491</v>
      </c>
      <c r="AM586" s="251" t="s">
        <v>486</v>
      </c>
      <c r="AN586" s="251" t="s">
        <v>486</v>
      </c>
      <c r="AO586" s="253" t="s">
        <v>486</v>
      </c>
      <c r="AP586" s="252" t="s">
        <v>486</v>
      </c>
      <c r="AQ586" s="254" t="s">
        <v>486</v>
      </c>
      <c r="AR586" s="251" t="s">
        <v>486</v>
      </c>
    </row>
    <row r="587" spans="1:44" ht="15" x14ac:dyDescent="0.25">
      <c r="A587" s="245" t="str">
        <f>HYPERLINK("http://www.ofsted.gov.uk/inspection-reports/find-inspection-report/provider/ELS/104128 ","Ofsted School Webpage")</f>
        <v>Ofsted School Webpage</v>
      </c>
      <c r="B587" s="246">
        <v>104128</v>
      </c>
      <c r="C587" s="246">
        <v>3346009</v>
      </c>
      <c r="D587" s="246" t="s">
        <v>2508</v>
      </c>
      <c r="E587" s="246" t="s">
        <v>247</v>
      </c>
      <c r="F587" s="246" t="s">
        <v>93</v>
      </c>
      <c r="G587" s="246" t="s">
        <v>93</v>
      </c>
      <c r="H587" s="246" t="s">
        <v>93</v>
      </c>
      <c r="I587" s="246" t="s">
        <v>90</v>
      </c>
      <c r="J587" s="246" t="s">
        <v>1490</v>
      </c>
      <c r="K587" s="246" t="s">
        <v>486</v>
      </c>
      <c r="L587" s="246" t="s">
        <v>487</v>
      </c>
      <c r="M587" s="246" t="s">
        <v>502</v>
      </c>
      <c r="N587" s="246" t="s">
        <v>502</v>
      </c>
      <c r="O587" s="246" t="s">
        <v>2509</v>
      </c>
      <c r="P587" s="246" t="s">
        <v>2510</v>
      </c>
      <c r="Q587" s="247">
        <v>10033541</v>
      </c>
      <c r="R587" s="248">
        <v>43179</v>
      </c>
      <c r="S587" s="248">
        <v>43181</v>
      </c>
      <c r="T587" s="248">
        <v>43217</v>
      </c>
      <c r="U587" s="246" t="s">
        <v>488</v>
      </c>
      <c r="V587" s="246">
        <v>1</v>
      </c>
      <c r="W587" s="246" t="s">
        <v>219</v>
      </c>
      <c r="X587" s="246">
        <v>1</v>
      </c>
      <c r="Y587" s="246">
        <v>1</v>
      </c>
      <c r="Z587" s="246">
        <v>1</v>
      </c>
      <c r="AA587" s="246">
        <v>1</v>
      </c>
      <c r="AB587" s="246">
        <v>1</v>
      </c>
      <c r="AC587" s="246" t="s">
        <v>486</v>
      </c>
      <c r="AD587" s="246" t="s">
        <v>490</v>
      </c>
      <c r="AE587" s="246" t="s">
        <v>486</v>
      </c>
      <c r="AF587" s="246" t="s">
        <v>486</v>
      </c>
      <c r="AG587" s="246" t="s">
        <v>486</v>
      </c>
      <c r="AH587" s="246" t="s">
        <v>486</v>
      </c>
      <c r="AI587" s="246" t="s">
        <v>486</v>
      </c>
      <c r="AJ587" s="246" t="s">
        <v>486</v>
      </c>
      <c r="AK587" s="246" t="s">
        <v>486</v>
      </c>
      <c r="AL587" s="246" t="s">
        <v>491</v>
      </c>
      <c r="AM587" s="246" t="s">
        <v>486</v>
      </c>
      <c r="AN587" s="246" t="s">
        <v>486</v>
      </c>
      <c r="AO587" s="248" t="s">
        <v>486</v>
      </c>
      <c r="AP587" s="247" t="s">
        <v>486</v>
      </c>
      <c r="AQ587" s="249" t="s">
        <v>486</v>
      </c>
      <c r="AR587" s="246" t="s">
        <v>486</v>
      </c>
    </row>
    <row r="588" spans="1:44" ht="15" x14ac:dyDescent="0.25">
      <c r="A588" s="250" t="str">
        <f>HYPERLINK("http://www.ofsted.gov.uk/inspection-reports/find-inspection-report/provider/ELS/131940 ","Ofsted School Webpage")</f>
        <v>Ofsted School Webpage</v>
      </c>
      <c r="B588" s="251">
        <v>131940</v>
      </c>
      <c r="C588" s="251">
        <v>3126063</v>
      </c>
      <c r="D588" s="251" t="s">
        <v>1327</v>
      </c>
      <c r="E588" s="251" t="s">
        <v>248</v>
      </c>
      <c r="F588" s="251" t="s">
        <v>93</v>
      </c>
      <c r="G588" s="251" t="s">
        <v>93</v>
      </c>
      <c r="H588" s="251" t="s">
        <v>93</v>
      </c>
      <c r="I588" s="251" t="s">
        <v>90</v>
      </c>
      <c r="J588" s="251" t="s">
        <v>1490</v>
      </c>
      <c r="K588" s="251" t="s">
        <v>486</v>
      </c>
      <c r="L588" s="251" t="s">
        <v>487</v>
      </c>
      <c r="M588" s="251" t="s">
        <v>506</v>
      </c>
      <c r="N588" s="251" t="s">
        <v>506</v>
      </c>
      <c r="O588" s="251" t="s">
        <v>1174</v>
      </c>
      <c r="P588" s="251" t="s">
        <v>1328</v>
      </c>
      <c r="Q588" s="252">
        <v>10041397</v>
      </c>
      <c r="R588" s="253">
        <v>43179</v>
      </c>
      <c r="S588" s="253">
        <v>43181</v>
      </c>
      <c r="T588" s="253">
        <v>43217</v>
      </c>
      <c r="U588" s="251" t="s">
        <v>488</v>
      </c>
      <c r="V588" s="251">
        <v>2</v>
      </c>
      <c r="W588" s="251" t="s">
        <v>219</v>
      </c>
      <c r="X588" s="251">
        <v>3</v>
      </c>
      <c r="Y588" s="251">
        <v>2</v>
      </c>
      <c r="Z588" s="251">
        <v>2</v>
      </c>
      <c r="AA588" s="251">
        <v>2</v>
      </c>
      <c r="AB588" s="251" t="s">
        <v>486</v>
      </c>
      <c r="AC588" s="251">
        <v>2</v>
      </c>
      <c r="AD588" s="251" t="s">
        <v>512</v>
      </c>
      <c r="AE588" s="251" t="s">
        <v>490</v>
      </c>
      <c r="AF588" s="251" t="s">
        <v>486</v>
      </c>
      <c r="AG588" s="251" t="s">
        <v>486</v>
      </c>
      <c r="AH588" s="251" t="s">
        <v>490</v>
      </c>
      <c r="AI588" s="251" t="s">
        <v>486</v>
      </c>
      <c r="AJ588" s="251" t="s">
        <v>486</v>
      </c>
      <c r="AK588" s="251" t="s">
        <v>486</v>
      </c>
      <c r="AL588" s="251" t="s">
        <v>491</v>
      </c>
      <c r="AM588" s="251" t="s">
        <v>486</v>
      </c>
      <c r="AN588" s="251" t="s">
        <v>486</v>
      </c>
      <c r="AO588" s="253" t="s">
        <v>486</v>
      </c>
      <c r="AP588" s="252" t="s">
        <v>486</v>
      </c>
      <c r="AQ588" s="254" t="s">
        <v>486</v>
      </c>
      <c r="AR588" s="251" t="s">
        <v>486</v>
      </c>
    </row>
    <row r="589" spans="1:44" ht="15" x14ac:dyDescent="0.25">
      <c r="A589" s="245" t="str">
        <f>HYPERLINK("http://www.ofsted.gov.uk/inspection-reports/find-inspection-report/provider/ELS/132828 ","Ofsted School Webpage")</f>
        <v>Ofsted School Webpage</v>
      </c>
      <c r="B589" s="246">
        <v>132828</v>
      </c>
      <c r="C589" s="246">
        <v>8886048</v>
      </c>
      <c r="D589" s="246" t="s">
        <v>2511</v>
      </c>
      <c r="E589" s="246" t="s">
        <v>248</v>
      </c>
      <c r="F589" s="246" t="s">
        <v>93</v>
      </c>
      <c r="G589" s="246" t="s">
        <v>93</v>
      </c>
      <c r="H589" s="246" t="s">
        <v>93</v>
      </c>
      <c r="I589" s="246" t="s">
        <v>90</v>
      </c>
      <c r="J589" s="246" t="s">
        <v>1490</v>
      </c>
      <c r="K589" s="246" t="s">
        <v>486</v>
      </c>
      <c r="L589" s="246" t="s">
        <v>487</v>
      </c>
      <c r="M589" s="246" t="s">
        <v>495</v>
      </c>
      <c r="N589" s="246" t="s">
        <v>495</v>
      </c>
      <c r="O589" s="246" t="s">
        <v>534</v>
      </c>
      <c r="P589" s="246" t="s">
        <v>2512</v>
      </c>
      <c r="Q589" s="247">
        <v>10043374</v>
      </c>
      <c r="R589" s="248">
        <v>43179</v>
      </c>
      <c r="S589" s="248">
        <v>43181</v>
      </c>
      <c r="T589" s="248">
        <v>43223</v>
      </c>
      <c r="U589" s="246" t="s">
        <v>488</v>
      </c>
      <c r="V589" s="246">
        <v>1</v>
      </c>
      <c r="W589" s="246" t="s">
        <v>219</v>
      </c>
      <c r="X589" s="246">
        <v>1</v>
      </c>
      <c r="Y589" s="246">
        <v>1</v>
      </c>
      <c r="Z589" s="246">
        <v>1</v>
      </c>
      <c r="AA589" s="246">
        <v>1</v>
      </c>
      <c r="AB589" s="246" t="s">
        <v>486</v>
      </c>
      <c r="AC589" s="246" t="s">
        <v>486</v>
      </c>
      <c r="AD589" s="246" t="s">
        <v>490</v>
      </c>
      <c r="AE589" s="246" t="s">
        <v>486</v>
      </c>
      <c r="AF589" s="246" t="s">
        <v>486</v>
      </c>
      <c r="AG589" s="246" t="s">
        <v>486</v>
      </c>
      <c r="AH589" s="246" t="s">
        <v>486</v>
      </c>
      <c r="AI589" s="246" t="s">
        <v>486</v>
      </c>
      <c r="AJ589" s="246" t="s">
        <v>486</v>
      </c>
      <c r="AK589" s="246" t="s">
        <v>486</v>
      </c>
      <c r="AL589" s="246" t="s">
        <v>491</v>
      </c>
      <c r="AM589" s="246" t="s">
        <v>486</v>
      </c>
      <c r="AN589" s="246" t="s">
        <v>486</v>
      </c>
      <c r="AO589" s="248" t="s">
        <v>486</v>
      </c>
      <c r="AP589" s="247" t="s">
        <v>486</v>
      </c>
      <c r="AQ589" s="249" t="s">
        <v>486</v>
      </c>
      <c r="AR589" s="246" t="s">
        <v>486</v>
      </c>
    </row>
    <row r="590" spans="1:44" ht="15" x14ac:dyDescent="0.25">
      <c r="A590" s="250" t="str">
        <f>HYPERLINK("http://www.ofsted.gov.uk/inspection-reports/find-inspection-report/provider/ELS/136425 ","Ofsted School Webpage")</f>
        <v>Ofsted School Webpage</v>
      </c>
      <c r="B590" s="251">
        <v>136425</v>
      </c>
      <c r="C590" s="251">
        <v>8926074</v>
      </c>
      <c r="D590" s="251" t="s">
        <v>2513</v>
      </c>
      <c r="E590" s="251" t="s">
        <v>247</v>
      </c>
      <c r="F590" s="251" t="s">
        <v>93</v>
      </c>
      <c r="G590" s="251" t="s">
        <v>84</v>
      </c>
      <c r="H590" s="251" t="s">
        <v>84</v>
      </c>
      <c r="I590" s="251" t="s">
        <v>84</v>
      </c>
      <c r="J590" s="251" t="s">
        <v>1490</v>
      </c>
      <c r="K590" s="251" t="s">
        <v>486</v>
      </c>
      <c r="L590" s="251" t="s">
        <v>487</v>
      </c>
      <c r="M590" s="251" t="s">
        <v>572</v>
      </c>
      <c r="N590" s="251" t="s">
        <v>572</v>
      </c>
      <c r="O590" s="251" t="s">
        <v>758</v>
      </c>
      <c r="P590" s="251" t="s">
        <v>2514</v>
      </c>
      <c r="Q590" s="252">
        <v>10043799</v>
      </c>
      <c r="R590" s="253">
        <v>43179</v>
      </c>
      <c r="S590" s="253">
        <v>43181</v>
      </c>
      <c r="T590" s="253">
        <v>43221</v>
      </c>
      <c r="U590" s="251" t="s">
        <v>488</v>
      </c>
      <c r="V590" s="251">
        <v>2</v>
      </c>
      <c r="W590" s="251" t="s">
        <v>219</v>
      </c>
      <c r="X590" s="251">
        <v>2</v>
      </c>
      <c r="Y590" s="251">
        <v>2</v>
      </c>
      <c r="Z590" s="251">
        <v>2</v>
      </c>
      <c r="AA590" s="251">
        <v>2</v>
      </c>
      <c r="AB590" s="251">
        <v>2</v>
      </c>
      <c r="AC590" s="251" t="s">
        <v>486</v>
      </c>
      <c r="AD590" s="251" t="s">
        <v>490</v>
      </c>
      <c r="AE590" s="251" t="s">
        <v>486</v>
      </c>
      <c r="AF590" s="251" t="s">
        <v>486</v>
      </c>
      <c r="AG590" s="251" t="s">
        <v>486</v>
      </c>
      <c r="AH590" s="251" t="s">
        <v>486</v>
      </c>
      <c r="AI590" s="251" t="s">
        <v>486</v>
      </c>
      <c r="AJ590" s="251" t="s">
        <v>486</v>
      </c>
      <c r="AK590" s="251" t="s">
        <v>486</v>
      </c>
      <c r="AL590" s="251" t="s">
        <v>491</v>
      </c>
      <c r="AM590" s="251" t="s">
        <v>486</v>
      </c>
      <c r="AN590" s="251" t="s">
        <v>486</v>
      </c>
      <c r="AO590" s="253" t="s">
        <v>486</v>
      </c>
      <c r="AP590" s="252" t="s">
        <v>486</v>
      </c>
      <c r="AQ590" s="254" t="s">
        <v>486</v>
      </c>
      <c r="AR590" s="251" t="s">
        <v>486</v>
      </c>
    </row>
    <row r="591" spans="1:44" ht="15" x14ac:dyDescent="0.25">
      <c r="A591" s="245" t="str">
        <f>HYPERLINK("http://www.ofsted.gov.uk/inspection-reports/find-inspection-report/provider/ELS/136504 ","Ofsted School Webpage")</f>
        <v>Ofsted School Webpage</v>
      </c>
      <c r="B591" s="246">
        <v>136504</v>
      </c>
      <c r="C591" s="246">
        <v>2056405</v>
      </c>
      <c r="D591" s="246" t="s">
        <v>2515</v>
      </c>
      <c r="E591" s="246" t="s">
        <v>247</v>
      </c>
      <c r="F591" s="246" t="s">
        <v>93</v>
      </c>
      <c r="G591" s="246" t="s">
        <v>74</v>
      </c>
      <c r="H591" s="246" t="s">
        <v>74</v>
      </c>
      <c r="I591" s="246" t="s">
        <v>71</v>
      </c>
      <c r="J591" s="246" t="s">
        <v>1490</v>
      </c>
      <c r="K591" s="246" t="s">
        <v>486</v>
      </c>
      <c r="L591" s="246" t="s">
        <v>487</v>
      </c>
      <c r="M591" s="246" t="s">
        <v>506</v>
      </c>
      <c r="N591" s="246" t="s">
        <v>506</v>
      </c>
      <c r="O591" s="246" t="s">
        <v>862</v>
      </c>
      <c r="P591" s="246" t="s">
        <v>2516</v>
      </c>
      <c r="Q591" s="247">
        <v>10048719</v>
      </c>
      <c r="R591" s="248">
        <v>43179</v>
      </c>
      <c r="S591" s="248">
        <v>43181</v>
      </c>
      <c r="T591" s="248">
        <v>43221</v>
      </c>
      <c r="U591" s="246" t="s">
        <v>488</v>
      </c>
      <c r="V591" s="246">
        <v>2</v>
      </c>
      <c r="W591" s="246" t="s">
        <v>219</v>
      </c>
      <c r="X591" s="246">
        <v>2</v>
      </c>
      <c r="Y591" s="246">
        <v>2</v>
      </c>
      <c r="Z591" s="246">
        <v>2</v>
      </c>
      <c r="AA591" s="246">
        <v>2</v>
      </c>
      <c r="AB591" s="246" t="s">
        <v>486</v>
      </c>
      <c r="AC591" s="246" t="s">
        <v>486</v>
      </c>
      <c r="AD591" s="246" t="s">
        <v>490</v>
      </c>
      <c r="AE591" s="246" t="s">
        <v>486</v>
      </c>
      <c r="AF591" s="246" t="s">
        <v>486</v>
      </c>
      <c r="AG591" s="246" t="s">
        <v>486</v>
      </c>
      <c r="AH591" s="246" t="s">
        <v>486</v>
      </c>
      <c r="AI591" s="246" t="s">
        <v>486</v>
      </c>
      <c r="AJ591" s="246" t="s">
        <v>486</v>
      </c>
      <c r="AK591" s="246" t="s">
        <v>486</v>
      </c>
      <c r="AL591" s="246" t="s">
        <v>491</v>
      </c>
      <c r="AM591" s="246" t="s">
        <v>486</v>
      </c>
      <c r="AN591" s="246" t="s">
        <v>486</v>
      </c>
      <c r="AO591" s="248" t="s">
        <v>486</v>
      </c>
      <c r="AP591" s="247" t="s">
        <v>486</v>
      </c>
      <c r="AQ591" s="249" t="s">
        <v>486</v>
      </c>
      <c r="AR591" s="246" t="s">
        <v>486</v>
      </c>
    </row>
    <row r="592" spans="1:44" ht="15" x14ac:dyDescent="0.25">
      <c r="A592" s="250" t="str">
        <f>HYPERLINK("http://www.ofsted.gov.uk/inspection-reports/find-inspection-report/provider/ELS/137819 ","Ofsted School Webpage")</f>
        <v>Ofsted School Webpage</v>
      </c>
      <c r="B592" s="251">
        <v>137819</v>
      </c>
      <c r="C592" s="251">
        <v>3306010</v>
      </c>
      <c r="D592" s="251" t="s">
        <v>2517</v>
      </c>
      <c r="E592" s="251" t="s">
        <v>247</v>
      </c>
      <c r="F592" s="251" t="s">
        <v>93</v>
      </c>
      <c r="G592" s="251" t="s">
        <v>93</v>
      </c>
      <c r="H592" s="251" t="s">
        <v>93</v>
      </c>
      <c r="I592" s="251" t="s">
        <v>90</v>
      </c>
      <c r="J592" s="251" t="s">
        <v>1490</v>
      </c>
      <c r="K592" s="251" t="s">
        <v>486</v>
      </c>
      <c r="L592" s="251" t="s">
        <v>487</v>
      </c>
      <c r="M592" s="251" t="s">
        <v>502</v>
      </c>
      <c r="N592" s="251" t="s">
        <v>502</v>
      </c>
      <c r="O592" s="251" t="s">
        <v>909</v>
      </c>
      <c r="P592" s="251" t="s">
        <v>2518</v>
      </c>
      <c r="Q592" s="252">
        <v>10020898</v>
      </c>
      <c r="R592" s="253">
        <v>43179</v>
      </c>
      <c r="S592" s="253">
        <v>43181</v>
      </c>
      <c r="T592" s="253">
        <v>43283</v>
      </c>
      <c r="U592" s="251" t="s">
        <v>488</v>
      </c>
      <c r="V592" s="251">
        <v>4</v>
      </c>
      <c r="W592" s="251" t="s">
        <v>220</v>
      </c>
      <c r="X592" s="251">
        <v>4</v>
      </c>
      <c r="Y592" s="251">
        <v>4</v>
      </c>
      <c r="Z592" s="251">
        <v>3</v>
      </c>
      <c r="AA592" s="251">
        <v>3</v>
      </c>
      <c r="AB592" s="251" t="s">
        <v>486</v>
      </c>
      <c r="AC592" s="251" t="s">
        <v>486</v>
      </c>
      <c r="AD592" s="251" t="s">
        <v>512</v>
      </c>
      <c r="AE592" s="251" t="s">
        <v>486</v>
      </c>
      <c r="AF592" s="251" t="s">
        <v>486</v>
      </c>
      <c r="AG592" s="251" t="s">
        <v>486</v>
      </c>
      <c r="AH592" s="251" t="s">
        <v>490</v>
      </c>
      <c r="AI592" s="251" t="s">
        <v>486</v>
      </c>
      <c r="AJ592" s="251" t="s">
        <v>486</v>
      </c>
      <c r="AK592" s="251" t="s">
        <v>486</v>
      </c>
      <c r="AL592" s="251" t="s">
        <v>545</v>
      </c>
      <c r="AM592" s="251" t="s">
        <v>486</v>
      </c>
      <c r="AN592" s="251" t="s">
        <v>486</v>
      </c>
      <c r="AO592" s="253" t="s">
        <v>486</v>
      </c>
      <c r="AP592" s="252" t="s">
        <v>486</v>
      </c>
      <c r="AQ592" s="254" t="s">
        <v>486</v>
      </c>
      <c r="AR592" s="251" t="s">
        <v>486</v>
      </c>
    </row>
    <row r="593" spans="1:44" ht="15" x14ac:dyDescent="0.25">
      <c r="A593" s="245" t="str">
        <f>HYPERLINK("http://www.ofsted.gov.uk/inspection-reports/find-inspection-report/provider/ELS/143838 ","Ofsted School Webpage")</f>
        <v>Ofsted School Webpage</v>
      </c>
      <c r="B593" s="246">
        <v>143838</v>
      </c>
      <c r="C593" s="246">
        <v>2096002</v>
      </c>
      <c r="D593" s="246" t="s">
        <v>2519</v>
      </c>
      <c r="E593" s="246" t="s">
        <v>247</v>
      </c>
      <c r="F593" s="246" t="s">
        <v>93</v>
      </c>
      <c r="G593" s="246" t="s">
        <v>71</v>
      </c>
      <c r="H593" s="246" t="s">
        <v>71</v>
      </c>
      <c r="I593" s="246" t="s">
        <v>71</v>
      </c>
      <c r="J593" s="246" t="s">
        <v>1490</v>
      </c>
      <c r="K593" s="246" t="s">
        <v>486</v>
      </c>
      <c r="L593" s="246" t="s">
        <v>487</v>
      </c>
      <c r="M593" s="246" t="s">
        <v>506</v>
      </c>
      <c r="N593" s="246" t="s">
        <v>506</v>
      </c>
      <c r="O593" s="246" t="s">
        <v>739</v>
      </c>
      <c r="P593" s="246" t="s">
        <v>2520</v>
      </c>
      <c r="Q593" s="247">
        <v>10044417</v>
      </c>
      <c r="R593" s="248">
        <v>43179</v>
      </c>
      <c r="S593" s="248">
        <v>43181</v>
      </c>
      <c r="T593" s="248">
        <v>43220</v>
      </c>
      <c r="U593" s="246" t="s">
        <v>499</v>
      </c>
      <c r="V593" s="246">
        <v>2</v>
      </c>
      <c r="W593" s="246" t="s">
        <v>219</v>
      </c>
      <c r="X593" s="246">
        <v>2</v>
      </c>
      <c r="Y593" s="246">
        <v>2</v>
      </c>
      <c r="Z593" s="246">
        <v>2</v>
      </c>
      <c r="AA593" s="246">
        <v>2</v>
      </c>
      <c r="AB593" s="246" t="s">
        <v>486</v>
      </c>
      <c r="AC593" s="246" t="s">
        <v>486</v>
      </c>
      <c r="AD593" s="246" t="s">
        <v>490</v>
      </c>
      <c r="AE593" s="246" t="s">
        <v>486</v>
      </c>
      <c r="AF593" s="246" t="s">
        <v>486</v>
      </c>
      <c r="AG593" s="246" t="s">
        <v>486</v>
      </c>
      <c r="AH593" s="246" t="s">
        <v>486</v>
      </c>
      <c r="AI593" s="246" t="s">
        <v>486</v>
      </c>
      <c r="AJ593" s="246" t="s">
        <v>486</v>
      </c>
      <c r="AK593" s="246" t="s">
        <v>486</v>
      </c>
      <c r="AL593" s="246" t="s">
        <v>491</v>
      </c>
      <c r="AM593" s="246" t="s">
        <v>486</v>
      </c>
      <c r="AN593" s="246" t="s">
        <v>486</v>
      </c>
      <c r="AO593" s="248" t="s">
        <v>486</v>
      </c>
      <c r="AP593" s="247" t="s">
        <v>486</v>
      </c>
      <c r="AQ593" s="249" t="s">
        <v>486</v>
      </c>
      <c r="AR593" s="246" t="s">
        <v>486</v>
      </c>
    </row>
    <row r="594" spans="1:44" ht="15" x14ac:dyDescent="0.25">
      <c r="A594" s="250" t="str">
        <f>HYPERLINK("http://www.ofsted.gov.uk/inspection-reports/find-inspection-report/provider/ELS/143933 ","Ofsted School Webpage")</f>
        <v>Ofsted School Webpage</v>
      </c>
      <c r="B594" s="251">
        <v>143933</v>
      </c>
      <c r="C594" s="251">
        <v>2096003</v>
      </c>
      <c r="D594" s="251" t="s">
        <v>1264</v>
      </c>
      <c r="E594" s="251" t="s">
        <v>247</v>
      </c>
      <c r="F594" s="251" t="s">
        <v>93</v>
      </c>
      <c r="G594" s="251" t="s">
        <v>93</v>
      </c>
      <c r="H594" s="251" t="s">
        <v>93</v>
      </c>
      <c r="I594" s="251" t="s">
        <v>90</v>
      </c>
      <c r="J594" s="251" t="s">
        <v>1490</v>
      </c>
      <c r="K594" s="251" t="s">
        <v>486</v>
      </c>
      <c r="L594" s="251" t="s">
        <v>487</v>
      </c>
      <c r="M594" s="251" t="s">
        <v>506</v>
      </c>
      <c r="N594" s="251" t="s">
        <v>506</v>
      </c>
      <c r="O594" s="251" t="s">
        <v>739</v>
      </c>
      <c r="P594" s="251" t="s">
        <v>1265</v>
      </c>
      <c r="Q594" s="252">
        <v>10038182</v>
      </c>
      <c r="R594" s="253">
        <v>43179</v>
      </c>
      <c r="S594" s="253">
        <v>43181</v>
      </c>
      <c r="T594" s="253">
        <v>43224</v>
      </c>
      <c r="U594" s="251" t="s">
        <v>499</v>
      </c>
      <c r="V594" s="251">
        <v>3</v>
      </c>
      <c r="W594" s="251" t="s">
        <v>219</v>
      </c>
      <c r="X594" s="251">
        <v>3</v>
      </c>
      <c r="Y594" s="251">
        <v>3</v>
      </c>
      <c r="Z594" s="251">
        <v>3</v>
      </c>
      <c r="AA594" s="251">
        <v>3</v>
      </c>
      <c r="AB594" s="251" t="s">
        <v>486</v>
      </c>
      <c r="AC594" s="251" t="s">
        <v>486</v>
      </c>
      <c r="AD594" s="251" t="s">
        <v>490</v>
      </c>
      <c r="AE594" s="251" t="s">
        <v>486</v>
      </c>
      <c r="AF594" s="251" t="s">
        <v>486</v>
      </c>
      <c r="AG594" s="251" t="s">
        <v>486</v>
      </c>
      <c r="AH594" s="251" t="s">
        <v>486</v>
      </c>
      <c r="AI594" s="251" t="s">
        <v>486</v>
      </c>
      <c r="AJ594" s="251" t="s">
        <v>486</v>
      </c>
      <c r="AK594" s="251" t="s">
        <v>486</v>
      </c>
      <c r="AL594" s="251" t="s">
        <v>545</v>
      </c>
      <c r="AM594" s="251">
        <v>10078725</v>
      </c>
      <c r="AN594" s="251" t="s">
        <v>1109</v>
      </c>
      <c r="AO594" s="253">
        <v>43432</v>
      </c>
      <c r="AP594" s="252" t="s">
        <v>1523</v>
      </c>
      <c r="AQ594" s="254">
        <v>43473</v>
      </c>
      <c r="AR594" s="251" t="s">
        <v>1136</v>
      </c>
    </row>
    <row r="595" spans="1:44" ht="15" x14ac:dyDescent="0.25">
      <c r="A595" s="245" t="str">
        <f>HYPERLINK("http://www.ofsted.gov.uk/inspection-reports/find-inspection-report/provider/ELS/135405 ","Ofsted School Webpage")</f>
        <v>Ofsted School Webpage</v>
      </c>
      <c r="B595" s="246">
        <v>135405</v>
      </c>
      <c r="C595" s="246">
        <v>9086096</v>
      </c>
      <c r="D595" s="246" t="s">
        <v>1370</v>
      </c>
      <c r="E595" s="246" t="s">
        <v>248</v>
      </c>
      <c r="F595" s="246" t="s">
        <v>93</v>
      </c>
      <c r="G595" s="246" t="s">
        <v>93</v>
      </c>
      <c r="H595" s="246" t="s">
        <v>93</v>
      </c>
      <c r="I595" s="246" t="s">
        <v>90</v>
      </c>
      <c r="J595" s="246" t="s">
        <v>1490</v>
      </c>
      <c r="K595" s="246" t="s">
        <v>486</v>
      </c>
      <c r="L595" s="246" t="s">
        <v>487</v>
      </c>
      <c r="M595" s="246" t="s">
        <v>483</v>
      </c>
      <c r="N595" s="246" t="s">
        <v>483</v>
      </c>
      <c r="O595" s="246" t="s">
        <v>1371</v>
      </c>
      <c r="P595" s="246" t="s">
        <v>1372</v>
      </c>
      <c r="Q595" s="247">
        <v>10041377</v>
      </c>
      <c r="R595" s="248">
        <v>43180</v>
      </c>
      <c r="S595" s="248">
        <v>43182</v>
      </c>
      <c r="T595" s="248">
        <v>43221</v>
      </c>
      <c r="U595" s="246" t="s">
        <v>488</v>
      </c>
      <c r="V595" s="246">
        <v>4</v>
      </c>
      <c r="W595" s="246" t="s">
        <v>219</v>
      </c>
      <c r="X595" s="246">
        <v>4</v>
      </c>
      <c r="Y595" s="246">
        <v>4</v>
      </c>
      <c r="Z595" s="246">
        <v>4</v>
      </c>
      <c r="AA595" s="246">
        <v>4</v>
      </c>
      <c r="AB595" s="246" t="s">
        <v>486</v>
      </c>
      <c r="AC595" s="246" t="s">
        <v>486</v>
      </c>
      <c r="AD595" s="246" t="s">
        <v>490</v>
      </c>
      <c r="AE595" s="246" t="s">
        <v>486</v>
      </c>
      <c r="AF595" s="246" t="s">
        <v>486</v>
      </c>
      <c r="AG595" s="246" t="s">
        <v>486</v>
      </c>
      <c r="AH595" s="246" t="s">
        <v>486</v>
      </c>
      <c r="AI595" s="246" t="s">
        <v>486</v>
      </c>
      <c r="AJ595" s="246" t="s">
        <v>486</v>
      </c>
      <c r="AK595" s="246" t="s">
        <v>486</v>
      </c>
      <c r="AL595" s="246" t="s">
        <v>545</v>
      </c>
      <c r="AM595" s="246">
        <v>10089226</v>
      </c>
      <c r="AN595" s="246" t="s">
        <v>1109</v>
      </c>
      <c r="AO595" s="248">
        <v>43528</v>
      </c>
      <c r="AP595" s="247" t="s">
        <v>1523</v>
      </c>
      <c r="AQ595" s="249">
        <v>43545</v>
      </c>
      <c r="AR595" s="246" t="s">
        <v>1110</v>
      </c>
    </row>
    <row r="596" spans="1:44" ht="15" x14ac:dyDescent="0.25">
      <c r="A596" s="250" t="str">
        <f>HYPERLINK("http://www.ofsted.gov.uk/inspection-reports/find-inspection-report/provider/ELS/140942 ","Ofsted School Webpage")</f>
        <v>Ofsted School Webpage</v>
      </c>
      <c r="B596" s="251">
        <v>140942</v>
      </c>
      <c r="C596" s="251">
        <v>9086003</v>
      </c>
      <c r="D596" s="251" t="s">
        <v>2521</v>
      </c>
      <c r="E596" s="251" t="s">
        <v>248</v>
      </c>
      <c r="F596" s="251" t="s">
        <v>93</v>
      </c>
      <c r="G596" s="251" t="s">
        <v>93</v>
      </c>
      <c r="H596" s="251" t="s">
        <v>93</v>
      </c>
      <c r="I596" s="251" t="s">
        <v>90</v>
      </c>
      <c r="J596" s="251" t="s">
        <v>1490</v>
      </c>
      <c r="K596" s="251" t="s">
        <v>486</v>
      </c>
      <c r="L596" s="251" t="s">
        <v>487</v>
      </c>
      <c r="M596" s="251" t="s">
        <v>483</v>
      </c>
      <c r="N596" s="251" t="s">
        <v>483</v>
      </c>
      <c r="O596" s="251" t="s">
        <v>1371</v>
      </c>
      <c r="P596" s="251" t="s">
        <v>2522</v>
      </c>
      <c r="Q596" s="252">
        <v>10041380</v>
      </c>
      <c r="R596" s="253">
        <v>43180</v>
      </c>
      <c r="S596" s="253">
        <v>43182</v>
      </c>
      <c r="T596" s="253">
        <v>43221</v>
      </c>
      <c r="U596" s="251" t="s">
        <v>488</v>
      </c>
      <c r="V596" s="251">
        <v>1</v>
      </c>
      <c r="W596" s="251" t="s">
        <v>219</v>
      </c>
      <c r="X596" s="251">
        <v>1</v>
      </c>
      <c r="Y596" s="251">
        <v>1</v>
      </c>
      <c r="Z596" s="251">
        <v>1</v>
      </c>
      <c r="AA596" s="251">
        <v>1</v>
      </c>
      <c r="AB596" s="251" t="s">
        <v>486</v>
      </c>
      <c r="AC596" s="251" t="s">
        <v>486</v>
      </c>
      <c r="AD596" s="251" t="s">
        <v>490</v>
      </c>
      <c r="AE596" s="251" t="s">
        <v>486</v>
      </c>
      <c r="AF596" s="251" t="s">
        <v>486</v>
      </c>
      <c r="AG596" s="251" t="s">
        <v>486</v>
      </c>
      <c r="AH596" s="251" t="s">
        <v>486</v>
      </c>
      <c r="AI596" s="251" t="s">
        <v>486</v>
      </c>
      <c r="AJ596" s="251" t="s">
        <v>486</v>
      </c>
      <c r="AK596" s="251" t="s">
        <v>486</v>
      </c>
      <c r="AL596" s="251" t="s">
        <v>491</v>
      </c>
      <c r="AM596" s="251" t="s">
        <v>486</v>
      </c>
      <c r="AN596" s="251" t="s">
        <v>486</v>
      </c>
      <c r="AO596" s="253" t="s">
        <v>486</v>
      </c>
      <c r="AP596" s="252" t="s">
        <v>486</v>
      </c>
      <c r="AQ596" s="254" t="s">
        <v>486</v>
      </c>
      <c r="AR596" s="251" t="s">
        <v>486</v>
      </c>
    </row>
    <row r="597" spans="1:44" ht="15" x14ac:dyDescent="0.25">
      <c r="A597" s="245" t="str">
        <f>HYPERLINK("http://www.ofsted.gov.uk/inspection-reports/find-inspection-report/provider/ELS/101959 ","Ofsted School Webpage")</f>
        <v>Ofsted School Webpage</v>
      </c>
      <c r="B597" s="246">
        <v>101959</v>
      </c>
      <c r="C597" s="246">
        <v>3096081</v>
      </c>
      <c r="D597" s="246" t="s">
        <v>1248</v>
      </c>
      <c r="E597" s="246" t="s">
        <v>247</v>
      </c>
      <c r="F597" s="246" t="s">
        <v>93</v>
      </c>
      <c r="G597" s="246" t="s">
        <v>93</v>
      </c>
      <c r="H597" s="246" t="s">
        <v>93</v>
      </c>
      <c r="I597" s="246" t="s">
        <v>90</v>
      </c>
      <c r="J597" s="246" t="s">
        <v>1490</v>
      </c>
      <c r="K597" s="246" t="s">
        <v>486</v>
      </c>
      <c r="L597" s="246" t="s">
        <v>487</v>
      </c>
      <c r="M597" s="246" t="s">
        <v>506</v>
      </c>
      <c r="N597" s="246" t="s">
        <v>506</v>
      </c>
      <c r="O597" s="246" t="s">
        <v>595</v>
      </c>
      <c r="P597" s="246" t="s">
        <v>1249</v>
      </c>
      <c r="Q597" s="247">
        <v>10035784</v>
      </c>
      <c r="R597" s="248">
        <v>43179</v>
      </c>
      <c r="S597" s="248">
        <v>43186</v>
      </c>
      <c r="T597" s="248">
        <v>43242</v>
      </c>
      <c r="U597" s="246" t="s">
        <v>488</v>
      </c>
      <c r="V597" s="246">
        <v>4</v>
      </c>
      <c r="W597" s="246" t="s">
        <v>220</v>
      </c>
      <c r="X597" s="246">
        <v>4</v>
      </c>
      <c r="Y597" s="246">
        <v>4</v>
      </c>
      <c r="Z597" s="246">
        <v>2</v>
      </c>
      <c r="AA597" s="246">
        <v>2</v>
      </c>
      <c r="AB597" s="246" t="s">
        <v>486</v>
      </c>
      <c r="AC597" s="246">
        <v>4</v>
      </c>
      <c r="AD597" s="246" t="s">
        <v>490</v>
      </c>
      <c r="AE597" s="246" t="s">
        <v>486</v>
      </c>
      <c r="AF597" s="246" t="s">
        <v>486</v>
      </c>
      <c r="AG597" s="246" t="s">
        <v>486</v>
      </c>
      <c r="AH597" s="246" t="s">
        <v>486</v>
      </c>
      <c r="AI597" s="246" t="s">
        <v>486</v>
      </c>
      <c r="AJ597" s="246" t="s">
        <v>486</v>
      </c>
      <c r="AK597" s="246" t="s">
        <v>486</v>
      </c>
      <c r="AL597" s="246" t="s">
        <v>545</v>
      </c>
      <c r="AM597" s="246">
        <v>10077628</v>
      </c>
      <c r="AN597" s="246" t="s">
        <v>1109</v>
      </c>
      <c r="AO597" s="248">
        <v>43424</v>
      </c>
      <c r="AP597" s="247" t="s">
        <v>1523</v>
      </c>
      <c r="AQ597" s="249">
        <v>43438</v>
      </c>
      <c r="AR597" s="246" t="s">
        <v>1136</v>
      </c>
    </row>
    <row r="598" spans="1:44" ht="15" x14ac:dyDescent="0.25">
      <c r="A598" s="250" t="str">
        <f>HYPERLINK("http://www.ofsted.gov.uk/inspection-reports/find-inspection-report/provider/ELS/133309 ","Ofsted School Webpage")</f>
        <v>Ofsted School Webpage</v>
      </c>
      <c r="B598" s="251">
        <v>133309</v>
      </c>
      <c r="C598" s="251">
        <v>3416047</v>
      </c>
      <c r="D598" s="251" t="s">
        <v>2523</v>
      </c>
      <c r="E598" s="251" t="s">
        <v>248</v>
      </c>
      <c r="F598" s="251" t="s">
        <v>93</v>
      </c>
      <c r="G598" s="251" t="s">
        <v>93</v>
      </c>
      <c r="H598" s="251" t="s">
        <v>93</v>
      </c>
      <c r="I598" s="251" t="s">
        <v>90</v>
      </c>
      <c r="J598" s="251" t="s">
        <v>1490</v>
      </c>
      <c r="K598" s="251" t="s">
        <v>486</v>
      </c>
      <c r="L598" s="251" t="s">
        <v>487</v>
      </c>
      <c r="M598" s="251" t="s">
        <v>495</v>
      </c>
      <c r="N598" s="251" t="s">
        <v>495</v>
      </c>
      <c r="O598" s="251" t="s">
        <v>736</v>
      </c>
      <c r="P598" s="251" t="s">
        <v>2524</v>
      </c>
      <c r="Q598" s="252">
        <v>10043375</v>
      </c>
      <c r="R598" s="253">
        <v>43200</v>
      </c>
      <c r="S598" s="253">
        <v>43202</v>
      </c>
      <c r="T598" s="253">
        <v>43258</v>
      </c>
      <c r="U598" s="251" t="s">
        <v>488</v>
      </c>
      <c r="V598" s="251">
        <v>1</v>
      </c>
      <c r="W598" s="251" t="s">
        <v>219</v>
      </c>
      <c r="X598" s="251">
        <v>1</v>
      </c>
      <c r="Y598" s="251">
        <v>1</v>
      </c>
      <c r="Z598" s="251">
        <v>1</v>
      </c>
      <c r="AA598" s="251">
        <v>1</v>
      </c>
      <c r="AB598" s="251" t="s">
        <v>486</v>
      </c>
      <c r="AC598" s="251">
        <v>1</v>
      </c>
      <c r="AD598" s="251" t="s">
        <v>490</v>
      </c>
      <c r="AE598" s="251" t="s">
        <v>486</v>
      </c>
      <c r="AF598" s="251" t="s">
        <v>486</v>
      </c>
      <c r="AG598" s="251" t="s">
        <v>486</v>
      </c>
      <c r="AH598" s="251" t="s">
        <v>486</v>
      </c>
      <c r="AI598" s="251" t="s">
        <v>486</v>
      </c>
      <c r="AJ598" s="251" t="s">
        <v>486</v>
      </c>
      <c r="AK598" s="251" t="s">
        <v>486</v>
      </c>
      <c r="AL598" s="251" t="s">
        <v>491</v>
      </c>
      <c r="AM598" s="251" t="s">
        <v>486</v>
      </c>
      <c r="AN598" s="251" t="s">
        <v>486</v>
      </c>
      <c r="AO598" s="253" t="s">
        <v>486</v>
      </c>
      <c r="AP598" s="252" t="s">
        <v>486</v>
      </c>
      <c r="AQ598" s="254" t="s">
        <v>486</v>
      </c>
      <c r="AR598" s="251" t="s">
        <v>486</v>
      </c>
    </row>
    <row r="599" spans="1:44" ht="15" x14ac:dyDescent="0.25">
      <c r="A599" s="245" t="str">
        <f>HYPERLINK("http://www.ofsted.gov.uk/inspection-reports/find-inspection-report/provider/ELS/137583 ","Ofsted School Webpage")</f>
        <v>Ofsted School Webpage</v>
      </c>
      <c r="B599" s="246">
        <v>137583</v>
      </c>
      <c r="C599" s="246">
        <v>8016029</v>
      </c>
      <c r="D599" s="246" t="s">
        <v>2525</v>
      </c>
      <c r="E599" s="246" t="s">
        <v>247</v>
      </c>
      <c r="F599" s="246" t="s">
        <v>93</v>
      </c>
      <c r="G599" s="246" t="s">
        <v>93</v>
      </c>
      <c r="H599" s="246" t="s">
        <v>93</v>
      </c>
      <c r="I599" s="246" t="s">
        <v>90</v>
      </c>
      <c r="J599" s="246" t="s">
        <v>1490</v>
      </c>
      <c r="K599" s="246" t="s">
        <v>486</v>
      </c>
      <c r="L599" s="246" t="s">
        <v>487</v>
      </c>
      <c r="M599" s="246" t="s">
        <v>483</v>
      </c>
      <c r="N599" s="246" t="s">
        <v>483</v>
      </c>
      <c r="O599" s="246" t="s">
        <v>564</v>
      </c>
      <c r="P599" s="246" t="s">
        <v>2526</v>
      </c>
      <c r="Q599" s="247">
        <v>10041379</v>
      </c>
      <c r="R599" s="248">
        <v>43201</v>
      </c>
      <c r="S599" s="248">
        <v>43203</v>
      </c>
      <c r="T599" s="248">
        <v>43228</v>
      </c>
      <c r="U599" s="246" t="s">
        <v>488</v>
      </c>
      <c r="V599" s="246">
        <v>2</v>
      </c>
      <c r="W599" s="246" t="s">
        <v>219</v>
      </c>
      <c r="X599" s="246">
        <v>2</v>
      </c>
      <c r="Y599" s="246">
        <v>2</v>
      </c>
      <c r="Z599" s="246">
        <v>2</v>
      </c>
      <c r="AA599" s="246">
        <v>2</v>
      </c>
      <c r="AB599" s="246" t="s">
        <v>486</v>
      </c>
      <c r="AC599" s="246" t="s">
        <v>486</v>
      </c>
      <c r="AD599" s="246" t="s">
        <v>490</v>
      </c>
      <c r="AE599" s="246" t="s">
        <v>486</v>
      </c>
      <c r="AF599" s="246" t="s">
        <v>486</v>
      </c>
      <c r="AG599" s="246" t="s">
        <v>486</v>
      </c>
      <c r="AH599" s="246" t="s">
        <v>486</v>
      </c>
      <c r="AI599" s="246" t="s">
        <v>486</v>
      </c>
      <c r="AJ599" s="246" t="s">
        <v>486</v>
      </c>
      <c r="AK599" s="246" t="s">
        <v>486</v>
      </c>
      <c r="AL599" s="246" t="s">
        <v>491</v>
      </c>
      <c r="AM599" s="246" t="s">
        <v>486</v>
      </c>
      <c r="AN599" s="246" t="s">
        <v>486</v>
      </c>
      <c r="AO599" s="248" t="s">
        <v>486</v>
      </c>
      <c r="AP599" s="247" t="s">
        <v>486</v>
      </c>
      <c r="AQ599" s="249" t="s">
        <v>486</v>
      </c>
      <c r="AR599" s="246" t="s">
        <v>486</v>
      </c>
    </row>
    <row r="600" spans="1:44" ht="15" x14ac:dyDescent="0.25">
      <c r="A600" s="250" t="str">
        <f>HYPERLINK("http://www.ofsted.gov.uk/inspection-reports/find-inspection-report/provider/ELS/143858 ","Ofsted School Webpage")</f>
        <v>Ofsted School Webpage</v>
      </c>
      <c r="B600" s="251">
        <v>143858</v>
      </c>
      <c r="C600" s="251">
        <v>8886067</v>
      </c>
      <c r="D600" s="251" t="s">
        <v>2527</v>
      </c>
      <c r="E600" s="251" t="s">
        <v>247</v>
      </c>
      <c r="F600" s="251" t="s">
        <v>93</v>
      </c>
      <c r="G600" s="251" t="s">
        <v>93</v>
      </c>
      <c r="H600" s="251" t="s">
        <v>93</v>
      </c>
      <c r="I600" s="251" t="s">
        <v>90</v>
      </c>
      <c r="J600" s="251" t="s">
        <v>1490</v>
      </c>
      <c r="K600" s="251" t="s">
        <v>486</v>
      </c>
      <c r="L600" s="251" t="s">
        <v>487</v>
      </c>
      <c r="M600" s="251" t="s">
        <v>495</v>
      </c>
      <c r="N600" s="251" t="s">
        <v>495</v>
      </c>
      <c r="O600" s="251" t="s">
        <v>534</v>
      </c>
      <c r="P600" s="251" t="s">
        <v>1062</v>
      </c>
      <c r="Q600" s="252">
        <v>10043788</v>
      </c>
      <c r="R600" s="253">
        <v>43207</v>
      </c>
      <c r="S600" s="253">
        <v>43208</v>
      </c>
      <c r="T600" s="253">
        <v>43242</v>
      </c>
      <c r="U600" s="251" t="s">
        <v>499</v>
      </c>
      <c r="V600" s="251">
        <v>2</v>
      </c>
      <c r="W600" s="251" t="s">
        <v>219</v>
      </c>
      <c r="X600" s="251">
        <v>2</v>
      </c>
      <c r="Y600" s="251">
        <v>1</v>
      </c>
      <c r="Z600" s="251">
        <v>2</v>
      </c>
      <c r="AA600" s="251">
        <v>2</v>
      </c>
      <c r="AB600" s="251" t="s">
        <v>486</v>
      </c>
      <c r="AC600" s="251">
        <v>2</v>
      </c>
      <c r="AD600" s="251" t="s">
        <v>490</v>
      </c>
      <c r="AE600" s="251" t="s">
        <v>486</v>
      </c>
      <c r="AF600" s="251" t="s">
        <v>486</v>
      </c>
      <c r="AG600" s="251" t="s">
        <v>486</v>
      </c>
      <c r="AH600" s="251" t="s">
        <v>486</v>
      </c>
      <c r="AI600" s="251" t="s">
        <v>486</v>
      </c>
      <c r="AJ600" s="251" t="s">
        <v>486</v>
      </c>
      <c r="AK600" s="251" t="s">
        <v>486</v>
      </c>
      <c r="AL600" s="251" t="s">
        <v>491</v>
      </c>
      <c r="AM600" s="251" t="s">
        <v>486</v>
      </c>
      <c r="AN600" s="251" t="s">
        <v>486</v>
      </c>
      <c r="AO600" s="253" t="s">
        <v>486</v>
      </c>
      <c r="AP600" s="252" t="s">
        <v>486</v>
      </c>
      <c r="AQ600" s="254" t="s">
        <v>486</v>
      </c>
      <c r="AR600" s="251" t="s">
        <v>486</v>
      </c>
    </row>
    <row r="601" spans="1:44" ht="15" x14ac:dyDescent="0.25">
      <c r="A601" s="245" t="str">
        <f>HYPERLINK("http://www.ofsted.gov.uk/inspection-reports/find-inspection-report/provider/ELS/144619 ","Ofsted School Webpage")</f>
        <v>Ofsted School Webpage</v>
      </c>
      <c r="B601" s="246">
        <v>144619</v>
      </c>
      <c r="C601" s="246">
        <v>8556040</v>
      </c>
      <c r="D601" s="246" t="s">
        <v>1364</v>
      </c>
      <c r="E601" s="246" t="s">
        <v>248</v>
      </c>
      <c r="F601" s="246" t="s">
        <v>93</v>
      </c>
      <c r="G601" s="246" t="s">
        <v>93</v>
      </c>
      <c r="H601" s="246" t="s">
        <v>93</v>
      </c>
      <c r="I601" s="246" t="s">
        <v>90</v>
      </c>
      <c r="J601" s="246" t="s">
        <v>1490</v>
      </c>
      <c r="K601" s="246" t="s">
        <v>486</v>
      </c>
      <c r="L601" s="246" t="s">
        <v>487</v>
      </c>
      <c r="M601" s="246" t="s">
        <v>572</v>
      </c>
      <c r="N601" s="246" t="s">
        <v>572</v>
      </c>
      <c r="O601" s="246" t="s">
        <v>966</v>
      </c>
      <c r="P601" s="246" t="s">
        <v>1365</v>
      </c>
      <c r="Q601" s="247">
        <v>10048637</v>
      </c>
      <c r="R601" s="248">
        <v>43207</v>
      </c>
      <c r="S601" s="248">
        <v>43208</v>
      </c>
      <c r="T601" s="248">
        <v>43238</v>
      </c>
      <c r="U601" s="246" t="s">
        <v>499</v>
      </c>
      <c r="V601" s="246">
        <v>2</v>
      </c>
      <c r="W601" s="246" t="s">
        <v>219</v>
      </c>
      <c r="X601" s="246">
        <v>2</v>
      </c>
      <c r="Y601" s="246">
        <v>2</v>
      </c>
      <c r="Z601" s="246">
        <v>2</v>
      </c>
      <c r="AA601" s="246">
        <v>2</v>
      </c>
      <c r="AB601" s="246" t="s">
        <v>486</v>
      </c>
      <c r="AC601" s="246" t="s">
        <v>486</v>
      </c>
      <c r="AD601" s="246" t="s">
        <v>490</v>
      </c>
      <c r="AE601" s="246" t="s">
        <v>486</v>
      </c>
      <c r="AF601" s="246" t="s">
        <v>486</v>
      </c>
      <c r="AG601" s="246" t="s">
        <v>486</v>
      </c>
      <c r="AH601" s="246" t="s">
        <v>486</v>
      </c>
      <c r="AI601" s="246" t="s">
        <v>486</v>
      </c>
      <c r="AJ601" s="246" t="s">
        <v>486</v>
      </c>
      <c r="AK601" s="246" t="s">
        <v>486</v>
      </c>
      <c r="AL601" s="246" t="s">
        <v>491</v>
      </c>
      <c r="AM601" s="246" t="s">
        <v>486</v>
      </c>
      <c r="AN601" s="246" t="s">
        <v>486</v>
      </c>
      <c r="AO601" s="248" t="s">
        <v>486</v>
      </c>
      <c r="AP601" s="247" t="s">
        <v>486</v>
      </c>
      <c r="AQ601" s="249" t="s">
        <v>486</v>
      </c>
      <c r="AR601" s="246" t="s">
        <v>486</v>
      </c>
    </row>
    <row r="602" spans="1:44" ht="15" x14ac:dyDescent="0.25">
      <c r="A602" s="250" t="str">
        <f>HYPERLINK("http://www.ofsted.gov.uk/inspection-reports/find-inspection-report/provider/ELS/130285 ","Ofsted School Webpage")</f>
        <v>Ofsted School Webpage</v>
      </c>
      <c r="B602" s="251">
        <v>130285</v>
      </c>
      <c r="C602" s="251">
        <v>3506017</v>
      </c>
      <c r="D602" s="251" t="s">
        <v>1168</v>
      </c>
      <c r="E602" s="251" t="s">
        <v>247</v>
      </c>
      <c r="F602" s="251" t="s">
        <v>93</v>
      </c>
      <c r="G602" s="251" t="s">
        <v>84</v>
      </c>
      <c r="H602" s="251" t="s">
        <v>84</v>
      </c>
      <c r="I602" s="251" t="s">
        <v>84</v>
      </c>
      <c r="J602" s="251" t="s">
        <v>1490</v>
      </c>
      <c r="K602" s="251" t="s">
        <v>486</v>
      </c>
      <c r="L602" s="251" t="s">
        <v>487</v>
      </c>
      <c r="M602" s="251" t="s">
        <v>495</v>
      </c>
      <c r="N602" s="251" t="s">
        <v>495</v>
      </c>
      <c r="O602" s="251" t="s">
        <v>1169</v>
      </c>
      <c r="P602" s="251" t="s">
        <v>1170</v>
      </c>
      <c r="Q602" s="252">
        <v>10043780</v>
      </c>
      <c r="R602" s="253">
        <v>43207</v>
      </c>
      <c r="S602" s="253">
        <v>43209</v>
      </c>
      <c r="T602" s="253">
        <v>43266</v>
      </c>
      <c r="U602" s="251" t="s">
        <v>624</v>
      </c>
      <c r="V602" s="251">
        <v>3</v>
      </c>
      <c r="W602" s="251" t="s">
        <v>219</v>
      </c>
      <c r="X602" s="251">
        <v>3</v>
      </c>
      <c r="Y602" s="251">
        <v>2</v>
      </c>
      <c r="Z602" s="251">
        <v>3</v>
      </c>
      <c r="AA602" s="251">
        <v>3</v>
      </c>
      <c r="AB602" s="251" t="s">
        <v>486</v>
      </c>
      <c r="AC602" s="251">
        <v>2</v>
      </c>
      <c r="AD602" s="251" t="s">
        <v>512</v>
      </c>
      <c r="AE602" s="251" t="s">
        <v>486</v>
      </c>
      <c r="AF602" s="251" t="s">
        <v>486</v>
      </c>
      <c r="AG602" s="251" t="s">
        <v>490</v>
      </c>
      <c r="AH602" s="251" t="s">
        <v>486</v>
      </c>
      <c r="AI602" s="251" t="s">
        <v>486</v>
      </c>
      <c r="AJ602" s="251" t="s">
        <v>486</v>
      </c>
      <c r="AK602" s="251" t="s">
        <v>486</v>
      </c>
      <c r="AL602" s="251" t="s">
        <v>491</v>
      </c>
      <c r="AM602" s="251" t="s">
        <v>486</v>
      </c>
      <c r="AN602" s="251" t="s">
        <v>486</v>
      </c>
      <c r="AO602" s="253" t="s">
        <v>486</v>
      </c>
      <c r="AP602" s="252" t="s">
        <v>486</v>
      </c>
      <c r="AQ602" s="254" t="s">
        <v>486</v>
      </c>
      <c r="AR602" s="251" t="s">
        <v>486</v>
      </c>
    </row>
    <row r="603" spans="1:44" ht="15" x14ac:dyDescent="0.25">
      <c r="A603" s="245" t="str">
        <f>HYPERLINK("http://www.ofsted.gov.uk/inspection-reports/find-inspection-report/provider/ELS/141128 ","Ofsted School Webpage")</f>
        <v>Ofsted School Webpage</v>
      </c>
      <c r="B603" s="246">
        <v>141128</v>
      </c>
      <c r="C603" s="246">
        <v>8616012</v>
      </c>
      <c r="D603" s="246" t="s">
        <v>1190</v>
      </c>
      <c r="E603" s="246" t="s">
        <v>247</v>
      </c>
      <c r="F603" s="246" t="s">
        <v>93</v>
      </c>
      <c r="G603" s="246" t="s">
        <v>93</v>
      </c>
      <c r="H603" s="246" t="s">
        <v>93</v>
      </c>
      <c r="I603" s="246" t="s">
        <v>90</v>
      </c>
      <c r="J603" s="246" t="s">
        <v>1490</v>
      </c>
      <c r="K603" s="246" t="s">
        <v>486</v>
      </c>
      <c r="L603" s="246" t="s">
        <v>487</v>
      </c>
      <c r="M603" s="246" t="s">
        <v>502</v>
      </c>
      <c r="N603" s="246" t="s">
        <v>502</v>
      </c>
      <c r="O603" s="246" t="s">
        <v>655</v>
      </c>
      <c r="P603" s="246" t="s">
        <v>1191</v>
      </c>
      <c r="Q603" s="247">
        <v>10047137</v>
      </c>
      <c r="R603" s="248">
        <v>43207</v>
      </c>
      <c r="S603" s="248">
        <v>43209</v>
      </c>
      <c r="T603" s="248">
        <v>43230</v>
      </c>
      <c r="U603" s="246" t="s">
        <v>488</v>
      </c>
      <c r="V603" s="246">
        <v>2</v>
      </c>
      <c r="W603" s="246" t="s">
        <v>219</v>
      </c>
      <c r="X603" s="246">
        <v>2</v>
      </c>
      <c r="Y603" s="246">
        <v>2</v>
      </c>
      <c r="Z603" s="246">
        <v>2</v>
      </c>
      <c r="AA603" s="246">
        <v>2</v>
      </c>
      <c r="AB603" s="246" t="s">
        <v>486</v>
      </c>
      <c r="AC603" s="246" t="s">
        <v>486</v>
      </c>
      <c r="AD603" s="246" t="s">
        <v>512</v>
      </c>
      <c r="AE603" s="246" t="s">
        <v>486</v>
      </c>
      <c r="AF603" s="246" t="s">
        <v>486</v>
      </c>
      <c r="AG603" s="246" t="s">
        <v>486</v>
      </c>
      <c r="AH603" s="246" t="s">
        <v>490</v>
      </c>
      <c r="AI603" s="246" t="s">
        <v>486</v>
      </c>
      <c r="AJ603" s="246" t="s">
        <v>486</v>
      </c>
      <c r="AK603" s="246" t="s">
        <v>486</v>
      </c>
      <c r="AL603" s="246" t="s">
        <v>491</v>
      </c>
      <c r="AM603" s="246" t="s">
        <v>486</v>
      </c>
      <c r="AN603" s="246" t="s">
        <v>486</v>
      </c>
      <c r="AO603" s="248" t="s">
        <v>486</v>
      </c>
      <c r="AP603" s="247" t="s">
        <v>486</v>
      </c>
      <c r="AQ603" s="249" t="s">
        <v>486</v>
      </c>
      <c r="AR603" s="246" t="s">
        <v>486</v>
      </c>
    </row>
    <row r="604" spans="1:44" ht="15" x14ac:dyDescent="0.25">
      <c r="A604" s="250" t="str">
        <f>HYPERLINK("http://www.ofsted.gov.uk/inspection-reports/find-inspection-report/provider/ELS/101378 ","Ofsted School Webpage")</f>
        <v>Ofsted School Webpage</v>
      </c>
      <c r="B604" s="251">
        <v>101378</v>
      </c>
      <c r="C604" s="251">
        <v>3026064</v>
      </c>
      <c r="D604" s="251" t="s">
        <v>2528</v>
      </c>
      <c r="E604" s="251" t="s">
        <v>247</v>
      </c>
      <c r="F604" s="251" t="s">
        <v>93</v>
      </c>
      <c r="G604" s="251" t="s">
        <v>93</v>
      </c>
      <c r="H604" s="251" t="s">
        <v>93</v>
      </c>
      <c r="I604" s="251" t="s">
        <v>90</v>
      </c>
      <c r="J604" s="251" t="s">
        <v>1490</v>
      </c>
      <c r="K604" s="251" t="s">
        <v>486</v>
      </c>
      <c r="L604" s="251" t="s">
        <v>487</v>
      </c>
      <c r="M604" s="251" t="s">
        <v>506</v>
      </c>
      <c r="N604" s="251" t="s">
        <v>506</v>
      </c>
      <c r="O604" s="251" t="s">
        <v>614</v>
      </c>
      <c r="P604" s="251" t="s">
        <v>2529</v>
      </c>
      <c r="Q604" s="252">
        <v>10038152</v>
      </c>
      <c r="R604" s="253">
        <v>43214</v>
      </c>
      <c r="S604" s="253">
        <v>43216</v>
      </c>
      <c r="T604" s="253">
        <v>43242</v>
      </c>
      <c r="U604" s="251" t="s">
        <v>488</v>
      </c>
      <c r="V604" s="251">
        <v>2</v>
      </c>
      <c r="W604" s="251" t="s">
        <v>219</v>
      </c>
      <c r="X604" s="251">
        <v>2</v>
      </c>
      <c r="Y604" s="251">
        <v>1</v>
      </c>
      <c r="Z604" s="251">
        <v>2</v>
      </c>
      <c r="AA604" s="251">
        <v>2</v>
      </c>
      <c r="AB604" s="251">
        <v>1</v>
      </c>
      <c r="AC604" s="251" t="s">
        <v>486</v>
      </c>
      <c r="AD604" s="251" t="s">
        <v>490</v>
      </c>
      <c r="AE604" s="251" t="s">
        <v>486</v>
      </c>
      <c r="AF604" s="251" t="s">
        <v>486</v>
      </c>
      <c r="AG604" s="251" t="s">
        <v>486</v>
      </c>
      <c r="AH604" s="251" t="s">
        <v>486</v>
      </c>
      <c r="AI604" s="251" t="s">
        <v>486</v>
      </c>
      <c r="AJ604" s="251" t="s">
        <v>486</v>
      </c>
      <c r="AK604" s="251" t="s">
        <v>486</v>
      </c>
      <c r="AL604" s="251" t="s">
        <v>491</v>
      </c>
      <c r="AM604" s="251" t="s">
        <v>486</v>
      </c>
      <c r="AN604" s="251" t="s">
        <v>486</v>
      </c>
      <c r="AO604" s="253" t="s">
        <v>486</v>
      </c>
      <c r="AP604" s="252" t="s">
        <v>486</v>
      </c>
      <c r="AQ604" s="254" t="s">
        <v>486</v>
      </c>
      <c r="AR604" s="251" t="s">
        <v>486</v>
      </c>
    </row>
    <row r="605" spans="1:44" ht="15" x14ac:dyDescent="0.25">
      <c r="A605" s="245" t="str">
        <f>HYPERLINK("http://www.ofsted.gov.uk/inspection-reports/find-inspection-report/provider/ELS/132736 ","Ofsted School Webpage")</f>
        <v>Ofsted School Webpage</v>
      </c>
      <c r="B605" s="246">
        <v>132736</v>
      </c>
      <c r="C605" s="246">
        <v>2046407</v>
      </c>
      <c r="D605" s="246" t="s">
        <v>2530</v>
      </c>
      <c r="E605" s="246" t="s">
        <v>247</v>
      </c>
      <c r="F605" s="246" t="s">
        <v>93</v>
      </c>
      <c r="G605" s="246" t="s">
        <v>84</v>
      </c>
      <c r="H605" s="246" t="s">
        <v>84</v>
      </c>
      <c r="I605" s="246" t="s">
        <v>84</v>
      </c>
      <c r="J605" s="246" t="s">
        <v>1490</v>
      </c>
      <c r="K605" s="246" t="s">
        <v>486</v>
      </c>
      <c r="L605" s="246" t="s">
        <v>487</v>
      </c>
      <c r="M605" s="246" t="s">
        <v>506</v>
      </c>
      <c r="N605" s="246" t="s">
        <v>506</v>
      </c>
      <c r="O605" s="246" t="s">
        <v>617</v>
      </c>
      <c r="P605" s="246" t="s">
        <v>2531</v>
      </c>
      <c r="Q605" s="247">
        <v>10038164</v>
      </c>
      <c r="R605" s="248">
        <v>43214</v>
      </c>
      <c r="S605" s="248">
        <v>43216</v>
      </c>
      <c r="T605" s="248">
        <v>43243</v>
      </c>
      <c r="U605" s="246" t="s">
        <v>488</v>
      </c>
      <c r="V605" s="246">
        <v>2</v>
      </c>
      <c r="W605" s="246" t="s">
        <v>219</v>
      </c>
      <c r="X605" s="246">
        <v>2</v>
      </c>
      <c r="Y605" s="246">
        <v>2</v>
      </c>
      <c r="Z605" s="246">
        <v>2</v>
      </c>
      <c r="AA605" s="246">
        <v>2</v>
      </c>
      <c r="AB605" s="246" t="s">
        <v>486</v>
      </c>
      <c r="AC605" s="246" t="s">
        <v>486</v>
      </c>
      <c r="AD605" s="246" t="s">
        <v>490</v>
      </c>
      <c r="AE605" s="246" t="s">
        <v>486</v>
      </c>
      <c r="AF605" s="246" t="s">
        <v>486</v>
      </c>
      <c r="AG605" s="246" t="s">
        <v>486</v>
      </c>
      <c r="AH605" s="246" t="s">
        <v>486</v>
      </c>
      <c r="AI605" s="246" t="s">
        <v>486</v>
      </c>
      <c r="AJ605" s="246" t="s">
        <v>486</v>
      </c>
      <c r="AK605" s="246" t="s">
        <v>486</v>
      </c>
      <c r="AL605" s="246" t="s">
        <v>491</v>
      </c>
      <c r="AM605" s="246" t="s">
        <v>486</v>
      </c>
      <c r="AN605" s="246" t="s">
        <v>486</v>
      </c>
      <c r="AO605" s="248" t="s">
        <v>486</v>
      </c>
      <c r="AP605" s="247" t="s">
        <v>486</v>
      </c>
      <c r="AQ605" s="249" t="s">
        <v>486</v>
      </c>
      <c r="AR605" s="246" t="s">
        <v>486</v>
      </c>
    </row>
    <row r="606" spans="1:44" ht="15" x14ac:dyDescent="0.25">
      <c r="A606" s="250" t="str">
        <f>HYPERLINK("http://www.ofsted.gov.uk/inspection-reports/find-inspection-report/provider/ELS/134627 ","Ofsted School Webpage")</f>
        <v>Ofsted School Webpage</v>
      </c>
      <c r="B606" s="251">
        <v>134627</v>
      </c>
      <c r="C606" s="251">
        <v>3166066</v>
      </c>
      <c r="D606" s="251" t="s">
        <v>2532</v>
      </c>
      <c r="E606" s="251" t="s">
        <v>247</v>
      </c>
      <c r="F606" s="251" t="s">
        <v>93</v>
      </c>
      <c r="G606" s="251" t="s">
        <v>84</v>
      </c>
      <c r="H606" s="251" t="s">
        <v>84</v>
      </c>
      <c r="I606" s="251" t="s">
        <v>84</v>
      </c>
      <c r="J606" s="251" t="s">
        <v>1490</v>
      </c>
      <c r="K606" s="251" t="s">
        <v>486</v>
      </c>
      <c r="L606" s="251" t="s">
        <v>487</v>
      </c>
      <c r="M606" s="251" t="s">
        <v>506</v>
      </c>
      <c r="N606" s="251" t="s">
        <v>506</v>
      </c>
      <c r="O606" s="251" t="s">
        <v>799</v>
      </c>
      <c r="P606" s="251" t="s">
        <v>2533</v>
      </c>
      <c r="Q606" s="252">
        <v>10026293</v>
      </c>
      <c r="R606" s="253">
        <v>43214</v>
      </c>
      <c r="S606" s="253">
        <v>43216</v>
      </c>
      <c r="T606" s="253">
        <v>43238</v>
      </c>
      <c r="U606" s="251" t="s">
        <v>488</v>
      </c>
      <c r="V606" s="251">
        <v>2</v>
      </c>
      <c r="W606" s="251" t="s">
        <v>219</v>
      </c>
      <c r="X606" s="251">
        <v>2</v>
      </c>
      <c r="Y606" s="251">
        <v>2</v>
      </c>
      <c r="Z606" s="251">
        <v>2</v>
      </c>
      <c r="AA606" s="251">
        <v>2</v>
      </c>
      <c r="AB606" s="251">
        <v>3</v>
      </c>
      <c r="AC606" s="251" t="s">
        <v>486</v>
      </c>
      <c r="AD606" s="251" t="s">
        <v>490</v>
      </c>
      <c r="AE606" s="251" t="s">
        <v>486</v>
      </c>
      <c r="AF606" s="251" t="s">
        <v>486</v>
      </c>
      <c r="AG606" s="251" t="s">
        <v>486</v>
      </c>
      <c r="AH606" s="251" t="s">
        <v>486</v>
      </c>
      <c r="AI606" s="251" t="s">
        <v>486</v>
      </c>
      <c r="AJ606" s="251" t="s">
        <v>486</v>
      </c>
      <c r="AK606" s="251" t="s">
        <v>486</v>
      </c>
      <c r="AL606" s="251" t="s">
        <v>491</v>
      </c>
      <c r="AM606" s="251" t="s">
        <v>486</v>
      </c>
      <c r="AN606" s="251" t="s">
        <v>486</v>
      </c>
      <c r="AO606" s="253" t="s">
        <v>486</v>
      </c>
      <c r="AP606" s="252" t="s">
        <v>486</v>
      </c>
      <c r="AQ606" s="254" t="s">
        <v>486</v>
      </c>
      <c r="AR606" s="251" t="s">
        <v>486</v>
      </c>
    </row>
    <row r="607" spans="1:44" ht="15" x14ac:dyDescent="0.25">
      <c r="A607" s="245" t="str">
        <f>HYPERLINK("http://www.ofsted.gov.uk/inspection-reports/find-inspection-report/provider/ELS/134764 ","Ofsted School Webpage")</f>
        <v>Ofsted School Webpage</v>
      </c>
      <c r="B607" s="246">
        <v>134764</v>
      </c>
      <c r="C607" s="246">
        <v>3026086</v>
      </c>
      <c r="D607" s="246" t="s">
        <v>2534</v>
      </c>
      <c r="E607" s="246" t="s">
        <v>247</v>
      </c>
      <c r="F607" s="246" t="s">
        <v>93</v>
      </c>
      <c r="G607" s="246" t="s">
        <v>93</v>
      </c>
      <c r="H607" s="246" t="s">
        <v>93</v>
      </c>
      <c r="I607" s="246" t="s">
        <v>90</v>
      </c>
      <c r="J607" s="246" t="s">
        <v>1490</v>
      </c>
      <c r="K607" s="246" t="s">
        <v>486</v>
      </c>
      <c r="L607" s="246" t="s">
        <v>487</v>
      </c>
      <c r="M607" s="246" t="s">
        <v>506</v>
      </c>
      <c r="N607" s="246" t="s">
        <v>506</v>
      </c>
      <c r="O607" s="246" t="s">
        <v>614</v>
      </c>
      <c r="P607" s="246" t="s">
        <v>2535</v>
      </c>
      <c r="Q607" s="247">
        <v>10026294</v>
      </c>
      <c r="R607" s="248">
        <v>43214</v>
      </c>
      <c r="S607" s="248">
        <v>43216</v>
      </c>
      <c r="T607" s="248">
        <v>43244</v>
      </c>
      <c r="U607" s="246" t="s">
        <v>488</v>
      </c>
      <c r="V607" s="246">
        <v>1</v>
      </c>
      <c r="W607" s="246" t="s">
        <v>219</v>
      </c>
      <c r="X607" s="246">
        <v>1</v>
      </c>
      <c r="Y607" s="246">
        <v>1</v>
      </c>
      <c r="Z607" s="246">
        <v>1</v>
      </c>
      <c r="AA607" s="246">
        <v>1</v>
      </c>
      <c r="AB607" s="246" t="s">
        <v>486</v>
      </c>
      <c r="AC607" s="246">
        <v>1</v>
      </c>
      <c r="AD607" s="246" t="s">
        <v>490</v>
      </c>
      <c r="AE607" s="246" t="s">
        <v>486</v>
      </c>
      <c r="AF607" s="246" t="s">
        <v>486</v>
      </c>
      <c r="AG607" s="246" t="s">
        <v>486</v>
      </c>
      <c r="AH607" s="246" t="s">
        <v>486</v>
      </c>
      <c r="AI607" s="246" t="s">
        <v>486</v>
      </c>
      <c r="AJ607" s="246" t="s">
        <v>486</v>
      </c>
      <c r="AK607" s="246" t="s">
        <v>486</v>
      </c>
      <c r="AL607" s="246" t="s">
        <v>491</v>
      </c>
      <c r="AM607" s="246" t="s">
        <v>486</v>
      </c>
      <c r="AN607" s="246" t="s">
        <v>486</v>
      </c>
      <c r="AO607" s="248" t="s">
        <v>486</v>
      </c>
      <c r="AP607" s="247" t="s">
        <v>486</v>
      </c>
      <c r="AQ607" s="249" t="s">
        <v>486</v>
      </c>
      <c r="AR607" s="246" t="s">
        <v>486</v>
      </c>
    </row>
    <row r="608" spans="1:44" ht="15" x14ac:dyDescent="0.25">
      <c r="A608" s="250" t="str">
        <f>HYPERLINK("http://www.ofsted.gov.uk/inspection-reports/find-inspection-report/provider/ELS/138138 ","Ofsted School Webpage")</f>
        <v>Ofsted School Webpage</v>
      </c>
      <c r="B608" s="251">
        <v>138138</v>
      </c>
      <c r="C608" s="251">
        <v>9266002</v>
      </c>
      <c r="D608" s="251" t="s">
        <v>2536</v>
      </c>
      <c r="E608" s="251" t="s">
        <v>248</v>
      </c>
      <c r="F608" s="251" t="s">
        <v>93</v>
      </c>
      <c r="G608" s="251" t="s">
        <v>93</v>
      </c>
      <c r="H608" s="251" t="s">
        <v>93</v>
      </c>
      <c r="I608" s="251" t="s">
        <v>90</v>
      </c>
      <c r="J608" s="251" t="s">
        <v>1490</v>
      </c>
      <c r="K608" s="251" t="s">
        <v>486</v>
      </c>
      <c r="L608" s="251" t="s">
        <v>487</v>
      </c>
      <c r="M608" s="251" t="s">
        <v>516</v>
      </c>
      <c r="N608" s="251" t="s">
        <v>516</v>
      </c>
      <c r="O608" s="251" t="s">
        <v>528</v>
      </c>
      <c r="P608" s="251" t="s">
        <v>2537</v>
      </c>
      <c r="Q608" s="252">
        <v>10046996</v>
      </c>
      <c r="R608" s="253">
        <v>43214</v>
      </c>
      <c r="S608" s="253">
        <v>43216</v>
      </c>
      <c r="T608" s="253">
        <v>43241</v>
      </c>
      <c r="U608" s="251" t="s">
        <v>488</v>
      </c>
      <c r="V608" s="251">
        <v>2</v>
      </c>
      <c r="W608" s="251" t="s">
        <v>219</v>
      </c>
      <c r="X608" s="251">
        <v>2</v>
      </c>
      <c r="Y608" s="251">
        <v>2</v>
      </c>
      <c r="Z608" s="251">
        <v>2</v>
      </c>
      <c r="AA608" s="251">
        <v>2</v>
      </c>
      <c r="AB608" s="251" t="s">
        <v>486</v>
      </c>
      <c r="AC608" s="251">
        <v>2</v>
      </c>
      <c r="AD608" s="251" t="s">
        <v>490</v>
      </c>
      <c r="AE608" s="251" t="s">
        <v>486</v>
      </c>
      <c r="AF608" s="251" t="s">
        <v>486</v>
      </c>
      <c r="AG608" s="251" t="s">
        <v>486</v>
      </c>
      <c r="AH608" s="251" t="s">
        <v>486</v>
      </c>
      <c r="AI608" s="251" t="s">
        <v>486</v>
      </c>
      <c r="AJ608" s="251" t="s">
        <v>486</v>
      </c>
      <c r="AK608" s="251" t="s">
        <v>486</v>
      </c>
      <c r="AL608" s="251" t="s">
        <v>491</v>
      </c>
      <c r="AM608" s="251" t="s">
        <v>486</v>
      </c>
      <c r="AN608" s="251" t="s">
        <v>486</v>
      </c>
      <c r="AO608" s="253" t="s">
        <v>486</v>
      </c>
      <c r="AP608" s="252" t="s">
        <v>486</v>
      </c>
      <c r="AQ608" s="254" t="s">
        <v>486</v>
      </c>
      <c r="AR608" s="251" t="s">
        <v>486</v>
      </c>
    </row>
    <row r="609" spans="1:44" ht="15" x14ac:dyDescent="0.25">
      <c r="A609" s="245" t="str">
        <f>HYPERLINK("http://www.ofsted.gov.uk/inspection-reports/find-inspection-report/provider/ELS/138803 ","Ofsted School Webpage")</f>
        <v>Ofsted School Webpage</v>
      </c>
      <c r="B609" s="246">
        <v>138803</v>
      </c>
      <c r="C609" s="246">
        <v>2086001</v>
      </c>
      <c r="D609" s="246" t="s">
        <v>2538</v>
      </c>
      <c r="E609" s="246" t="s">
        <v>248</v>
      </c>
      <c r="F609" s="246" t="s">
        <v>93</v>
      </c>
      <c r="G609" s="246" t="s">
        <v>93</v>
      </c>
      <c r="H609" s="246" t="s">
        <v>93</v>
      </c>
      <c r="I609" s="246" t="s">
        <v>90</v>
      </c>
      <c r="J609" s="246" t="s">
        <v>1490</v>
      </c>
      <c r="K609" s="246" t="s">
        <v>486</v>
      </c>
      <c r="L609" s="246" t="s">
        <v>487</v>
      </c>
      <c r="M609" s="246" t="s">
        <v>506</v>
      </c>
      <c r="N609" s="246" t="s">
        <v>506</v>
      </c>
      <c r="O609" s="246" t="s">
        <v>820</v>
      </c>
      <c r="P609" s="246" t="s">
        <v>2539</v>
      </c>
      <c r="Q609" s="247">
        <v>10020708</v>
      </c>
      <c r="R609" s="248">
        <v>43214</v>
      </c>
      <c r="S609" s="248">
        <v>43216</v>
      </c>
      <c r="T609" s="248">
        <v>43244</v>
      </c>
      <c r="U609" s="246" t="s">
        <v>488</v>
      </c>
      <c r="V609" s="246">
        <v>1</v>
      </c>
      <c r="W609" s="246" t="s">
        <v>219</v>
      </c>
      <c r="X609" s="246">
        <v>1</v>
      </c>
      <c r="Y609" s="246">
        <v>1</v>
      </c>
      <c r="Z609" s="246">
        <v>1</v>
      </c>
      <c r="AA609" s="246">
        <v>1</v>
      </c>
      <c r="AB609" s="246" t="s">
        <v>486</v>
      </c>
      <c r="AC609" s="246" t="s">
        <v>486</v>
      </c>
      <c r="AD609" s="246" t="s">
        <v>490</v>
      </c>
      <c r="AE609" s="246" t="s">
        <v>486</v>
      </c>
      <c r="AF609" s="246" t="s">
        <v>486</v>
      </c>
      <c r="AG609" s="246" t="s">
        <v>486</v>
      </c>
      <c r="AH609" s="246" t="s">
        <v>486</v>
      </c>
      <c r="AI609" s="246" t="s">
        <v>486</v>
      </c>
      <c r="AJ609" s="246" t="s">
        <v>486</v>
      </c>
      <c r="AK609" s="246" t="s">
        <v>486</v>
      </c>
      <c r="AL609" s="246" t="s">
        <v>491</v>
      </c>
      <c r="AM609" s="246" t="s">
        <v>486</v>
      </c>
      <c r="AN609" s="246" t="s">
        <v>486</v>
      </c>
      <c r="AO609" s="248" t="s">
        <v>486</v>
      </c>
      <c r="AP609" s="247" t="s">
        <v>486</v>
      </c>
      <c r="AQ609" s="249" t="s">
        <v>486</v>
      </c>
      <c r="AR609" s="246" t="s">
        <v>486</v>
      </c>
    </row>
    <row r="610" spans="1:44" ht="15" x14ac:dyDescent="0.25">
      <c r="A610" s="250" t="str">
        <f>HYPERLINK("http://www.ofsted.gov.uk/inspection-reports/find-inspection-report/provider/ELS/140487 ","Ofsted School Webpage")</f>
        <v>Ofsted School Webpage</v>
      </c>
      <c r="B610" s="251">
        <v>140487</v>
      </c>
      <c r="C610" s="251">
        <v>8926017</v>
      </c>
      <c r="D610" s="251" t="s">
        <v>2540</v>
      </c>
      <c r="E610" s="251" t="s">
        <v>247</v>
      </c>
      <c r="F610" s="251" t="s">
        <v>93</v>
      </c>
      <c r="G610" s="251" t="s">
        <v>93</v>
      </c>
      <c r="H610" s="251" t="s">
        <v>93</v>
      </c>
      <c r="I610" s="251" t="s">
        <v>90</v>
      </c>
      <c r="J610" s="251" t="s">
        <v>1490</v>
      </c>
      <c r="K610" s="251" t="s">
        <v>486</v>
      </c>
      <c r="L610" s="251" t="s">
        <v>487</v>
      </c>
      <c r="M610" s="251" t="s">
        <v>572</v>
      </c>
      <c r="N610" s="251" t="s">
        <v>572</v>
      </c>
      <c r="O610" s="251" t="s">
        <v>758</v>
      </c>
      <c r="P610" s="251" t="s">
        <v>2541</v>
      </c>
      <c r="Q610" s="252">
        <v>10039192</v>
      </c>
      <c r="R610" s="253">
        <v>43214</v>
      </c>
      <c r="S610" s="253">
        <v>43216</v>
      </c>
      <c r="T610" s="253">
        <v>43245</v>
      </c>
      <c r="U610" s="251" t="s">
        <v>488</v>
      </c>
      <c r="V610" s="251">
        <v>2</v>
      </c>
      <c r="W610" s="251" t="s">
        <v>219</v>
      </c>
      <c r="X610" s="251">
        <v>1</v>
      </c>
      <c r="Y610" s="251">
        <v>1</v>
      </c>
      <c r="Z610" s="251">
        <v>2</v>
      </c>
      <c r="AA610" s="251">
        <v>2</v>
      </c>
      <c r="AB610" s="251" t="s">
        <v>486</v>
      </c>
      <c r="AC610" s="251" t="s">
        <v>486</v>
      </c>
      <c r="AD610" s="251" t="s">
        <v>490</v>
      </c>
      <c r="AE610" s="251" t="s">
        <v>486</v>
      </c>
      <c r="AF610" s="251" t="s">
        <v>486</v>
      </c>
      <c r="AG610" s="251" t="s">
        <v>486</v>
      </c>
      <c r="AH610" s="251" t="s">
        <v>486</v>
      </c>
      <c r="AI610" s="251" t="s">
        <v>486</v>
      </c>
      <c r="AJ610" s="251" t="s">
        <v>486</v>
      </c>
      <c r="AK610" s="251" t="s">
        <v>486</v>
      </c>
      <c r="AL610" s="251" t="s">
        <v>491</v>
      </c>
      <c r="AM610" s="251" t="s">
        <v>486</v>
      </c>
      <c r="AN610" s="251" t="s">
        <v>486</v>
      </c>
      <c r="AO610" s="253" t="s">
        <v>486</v>
      </c>
      <c r="AP610" s="252" t="s">
        <v>486</v>
      </c>
      <c r="AQ610" s="254" t="s">
        <v>486</v>
      </c>
      <c r="AR610" s="251" t="s">
        <v>486</v>
      </c>
    </row>
    <row r="611" spans="1:44" ht="15" x14ac:dyDescent="0.25">
      <c r="A611" s="245" t="str">
        <f>HYPERLINK("http://www.ofsted.gov.uk/inspection-reports/find-inspection-report/provider/ELS/142535 ","Ofsted School Webpage")</f>
        <v>Ofsted School Webpage</v>
      </c>
      <c r="B611" s="246">
        <v>142535</v>
      </c>
      <c r="C611" s="246">
        <v>3506003</v>
      </c>
      <c r="D611" s="246" t="s">
        <v>2542</v>
      </c>
      <c r="E611" s="246" t="s">
        <v>247</v>
      </c>
      <c r="F611" s="246" t="s">
        <v>93</v>
      </c>
      <c r="G611" s="246" t="s">
        <v>71</v>
      </c>
      <c r="H611" s="246" t="s">
        <v>71</v>
      </c>
      <c r="I611" s="246" t="s">
        <v>71</v>
      </c>
      <c r="J611" s="246" t="s">
        <v>1490</v>
      </c>
      <c r="K611" s="246" t="s">
        <v>486</v>
      </c>
      <c r="L611" s="246" t="s">
        <v>487</v>
      </c>
      <c r="M611" s="246" t="s">
        <v>495</v>
      </c>
      <c r="N611" s="246" t="s">
        <v>495</v>
      </c>
      <c r="O611" s="246" t="s">
        <v>1169</v>
      </c>
      <c r="P611" s="246" t="s">
        <v>2543</v>
      </c>
      <c r="Q611" s="247">
        <v>10053750</v>
      </c>
      <c r="R611" s="248">
        <v>43214</v>
      </c>
      <c r="S611" s="248">
        <v>43216</v>
      </c>
      <c r="T611" s="248">
        <v>43258</v>
      </c>
      <c r="U611" s="246" t="s">
        <v>488</v>
      </c>
      <c r="V611" s="246">
        <v>2</v>
      </c>
      <c r="W611" s="246" t="s">
        <v>219</v>
      </c>
      <c r="X611" s="246">
        <v>2</v>
      </c>
      <c r="Y611" s="246">
        <v>2</v>
      </c>
      <c r="Z611" s="246">
        <v>2</v>
      </c>
      <c r="AA611" s="246">
        <v>2</v>
      </c>
      <c r="AB611" s="246" t="s">
        <v>486</v>
      </c>
      <c r="AC611" s="246" t="s">
        <v>486</v>
      </c>
      <c r="AD611" s="246" t="s">
        <v>490</v>
      </c>
      <c r="AE611" s="246" t="s">
        <v>486</v>
      </c>
      <c r="AF611" s="246" t="s">
        <v>486</v>
      </c>
      <c r="AG611" s="246" t="s">
        <v>486</v>
      </c>
      <c r="AH611" s="246" t="s">
        <v>486</v>
      </c>
      <c r="AI611" s="246" t="s">
        <v>486</v>
      </c>
      <c r="AJ611" s="246" t="s">
        <v>486</v>
      </c>
      <c r="AK611" s="246" t="s">
        <v>486</v>
      </c>
      <c r="AL611" s="246" t="s">
        <v>491</v>
      </c>
      <c r="AM611" s="246" t="s">
        <v>486</v>
      </c>
      <c r="AN611" s="246" t="s">
        <v>486</v>
      </c>
      <c r="AO611" s="248" t="s">
        <v>486</v>
      </c>
      <c r="AP611" s="247" t="s">
        <v>486</v>
      </c>
      <c r="AQ611" s="249" t="s">
        <v>486</v>
      </c>
      <c r="AR611" s="246" t="s">
        <v>486</v>
      </c>
    </row>
    <row r="612" spans="1:44" ht="15" x14ac:dyDescent="0.25">
      <c r="A612" s="250" t="str">
        <f>HYPERLINK("http://www.ofsted.gov.uk/inspection-reports/find-inspection-report/provider/ELS/143040 ","Ofsted School Webpage")</f>
        <v>Ofsted School Webpage</v>
      </c>
      <c r="B612" s="251">
        <v>143040</v>
      </c>
      <c r="C612" s="251">
        <v>3306030</v>
      </c>
      <c r="D612" s="251" t="s">
        <v>1323</v>
      </c>
      <c r="E612" s="251" t="s">
        <v>247</v>
      </c>
      <c r="F612" s="251" t="s">
        <v>93</v>
      </c>
      <c r="G612" s="251" t="s">
        <v>93</v>
      </c>
      <c r="H612" s="251" t="s">
        <v>93</v>
      </c>
      <c r="I612" s="251" t="s">
        <v>90</v>
      </c>
      <c r="J612" s="251" t="s">
        <v>1490</v>
      </c>
      <c r="K612" s="251" t="s">
        <v>486</v>
      </c>
      <c r="L612" s="251" t="s">
        <v>487</v>
      </c>
      <c r="M612" s="251" t="s">
        <v>502</v>
      </c>
      <c r="N612" s="251" t="s">
        <v>502</v>
      </c>
      <c r="O612" s="251" t="s">
        <v>909</v>
      </c>
      <c r="P612" s="251" t="s">
        <v>1324</v>
      </c>
      <c r="Q612" s="252">
        <v>10045267</v>
      </c>
      <c r="R612" s="253">
        <v>43214</v>
      </c>
      <c r="S612" s="253">
        <v>43216</v>
      </c>
      <c r="T612" s="253">
        <v>43244</v>
      </c>
      <c r="U612" s="251" t="s">
        <v>499</v>
      </c>
      <c r="V612" s="251">
        <v>3</v>
      </c>
      <c r="W612" s="251" t="s">
        <v>219</v>
      </c>
      <c r="X612" s="251">
        <v>3</v>
      </c>
      <c r="Y612" s="251">
        <v>2</v>
      </c>
      <c r="Z612" s="251">
        <v>3</v>
      </c>
      <c r="AA612" s="251">
        <v>3</v>
      </c>
      <c r="AB612" s="251" t="s">
        <v>486</v>
      </c>
      <c r="AC612" s="251" t="s">
        <v>486</v>
      </c>
      <c r="AD612" s="251" t="s">
        <v>490</v>
      </c>
      <c r="AE612" s="251" t="s">
        <v>486</v>
      </c>
      <c r="AF612" s="251" t="s">
        <v>486</v>
      </c>
      <c r="AG612" s="251" t="s">
        <v>486</v>
      </c>
      <c r="AH612" s="251" t="s">
        <v>486</v>
      </c>
      <c r="AI612" s="251" t="s">
        <v>486</v>
      </c>
      <c r="AJ612" s="251" t="s">
        <v>486</v>
      </c>
      <c r="AK612" s="251" t="s">
        <v>486</v>
      </c>
      <c r="AL612" s="251" t="s">
        <v>545</v>
      </c>
      <c r="AM612" s="251">
        <v>10085969</v>
      </c>
      <c r="AN612" s="251" t="s">
        <v>1109</v>
      </c>
      <c r="AO612" s="253">
        <v>43488</v>
      </c>
      <c r="AP612" s="252" t="s">
        <v>1523</v>
      </c>
      <c r="AQ612" s="254">
        <v>43528</v>
      </c>
      <c r="AR612" s="251" t="s">
        <v>1110</v>
      </c>
    </row>
    <row r="613" spans="1:44" ht="15" x14ac:dyDescent="0.25">
      <c r="A613" s="245" t="str">
        <f>HYPERLINK("http://www.ofsted.gov.uk/inspection-reports/find-inspection-report/provider/ELS/143640 ","Ofsted School Webpage")</f>
        <v>Ofsted School Webpage</v>
      </c>
      <c r="B613" s="246">
        <v>143640</v>
      </c>
      <c r="C613" s="246">
        <v>3046004</v>
      </c>
      <c r="D613" s="246" t="s">
        <v>1279</v>
      </c>
      <c r="E613" s="246" t="s">
        <v>247</v>
      </c>
      <c r="F613" s="246" t="s">
        <v>93</v>
      </c>
      <c r="G613" s="246" t="s">
        <v>83</v>
      </c>
      <c r="H613" s="246" t="s">
        <v>83</v>
      </c>
      <c r="I613" s="246" t="s">
        <v>84</v>
      </c>
      <c r="J613" s="246" t="s">
        <v>1490</v>
      </c>
      <c r="K613" s="246" t="s">
        <v>486</v>
      </c>
      <c r="L613" s="246" t="s">
        <v>487</v>
      </c>
      <c r="M613" s="246" t="s">
        <v>506</v>
      </c>
      <c r="N613" s="246" t="s">
        <v>506</v>
      </c>
      <c r="O613" s="246" t="s">
        <v>543</v>
      </c>
      <c r="P613" s="246" t="s">
        <v>1280</v>
      </c>
      <c r="Q613" s="247">
        <v>10041410</v>
      </c>
      <c r="R613" s="248">
        <v>43214</v>
      </c>
      <c r="S613" s="248">
        <v>43216</v>
      </c>
      <c r="T613" s="248">
        <v>43241</v>
      </c>
      <c r="U613" s="246" t="s">
        <v>499</v>
      </c>
      <c r="V613" s="246">
        <v>3</v>
      </c>
      <c r="W613" s="246" t="s">
        <v>219</v>
      </c>
      <c r="X613" s="246">
        <v>3</v>
      </c>
      <c r="Y613" s="246">
        <v>2</v>
      </c>
      <c r="Z613" s="246">
        <v>3</v>
      </c>
      <c r="AA613" s="246">
        <v>3</v>
      </c>
      <c r="AB613" s="246">
        <v>3</v>
      </c>
      <c r="AC613" s="246" t="s">
        <v>486</v>
      </c>
      <c r="AD613" s="246" t="s">
        <v>490</v>
      </c>
      <c r="AE613" s="246" t="s">
        <v>486</v>
      </c>
      <c r="AF613" s="246" t="s">
        <v>486</v>
      </c>
      <c r="AG613" s="246" t="s">
        <v>486</v>
      </c>
      <c r="AH613" s="246" t="s">
        <v>486</v>
      </c>
      <c r="AI613" s="246" t="s">
        <v>486</v>
      </c>
      <c r="AJ613" s="246" t="s">
        <v>486</v>
      </c>
      <c r="AK613" s="246" t="s">
        <v>486</v>
      </c>
      <c r="AL613" s="246" t="s">
        <v>545</v>
      </c>
      <c r="AM613" s="246">
        <v>10083873</v>
      </c>
      <c r="AN613" s="246" t="s">
        <v>1109</v>
      </c>
      <c r="AO613" s="248">
        <v>43446</v>
      </c>
      <c r="AP613" s="247" t="s">
        <v>1523</v>
      </c>
      <c r="AQ613" s="249">
        <v>43485</v>
      </c>
      <c r="AR613" s="246" t="s">
        <v>1136</v>
      </c>
    </row>
    <row r="614" spans="1:44" ht="15" x14ac:dyDescent="0.25">
      <c r="A614" s="250" t="str">
        <f>HYPERLINK("http://www.ofsted.gov.uk/inspection-reports/find-inspection-report/provider/ELS/144726 ","Ofsted School Webpage")</f>
        <v>Ofsted School Webpage</v>
      </c>
      <c r="B614" s="251">
        <v>144726</v>
      </c>
      <c r="C614" s="251">
        <v>9196008</v>
      </c>
      <c r="D614" s="251" t="s">
        <v>2544</v>
      </c>
      <c r="E614" s="251" t="s">
        <v>248</v>
      </c>
      <c r="F614" s="251" t="s">
        <v>93</v>
      </c>
      <c r="G614" s="251" t="s">
        <v>93</v>
      </c>
      <c r="H614" s="251" t="s">
        <v>93</v>
      </c>
      <c r="I614" s="251" t="s">
        <v>90</v>
      </c>
      <c r="J614" s="251" t="s">
        <v>1490</v>
      </c>
      <c r="K614" s="251" t="s">
        <v>486</v>
      </c>
      <c r="L614" s="251" t="s">
        <v>487</v>
      </c>
      <c r="M614" s="251" t="s">
        <v>516</v>
      </c>
      <c r="N614" s="251" t="s">
        <v>516</v>
      </c>
      <c r="O614" s="251" t="s">
        <v>556</v>
      </c>
      <c r="P614" s="251" t="s">
        <v>2545</v>
      </c>
      <c r="Q614" s="252">
        <v>10046991</v>
      </c>
      <c r="R614" s="253">
        <v>43214</v>
      </c>
      <c r="S614" s="253">
        <v>43216</v>
      </c>
      <c r="T614" s="253">
        <v>43262</v>
      </c>
      <c r="U614" s="251" t="s">
        <v>499</v>
      </c>
      <c r="V614" s="251">
        <v>2</v>
      </c>
      <c r="W614" s="251" t="s">
        <v>219</v>
      </c>
      <c r="X614" s="251">
        <v>2</v>
      </c>
      <c r="Y614" s="251">
        <v>2</v>
      </c>
      <c r="Z614" s="251">
        <v>2</v>
      </c>
      <c r="AA614" s="251">
        <v>2</v>
      </c>
      <c r="AB614" s="251" t="s">
        <v>486</v>
      </c>
      <c r="AC614" s="251">
        <v>2</v>
      </c>
      <c r="AD614" s="251" t="s">
        <v>490</v>
      </c>
      <c r="AE614" s="251" t="s">
        <v>486</v>
      </c>
      <c r="AF614" s="251" t="s">
        <v>486</v>
      </c>
      <c r="AG614" s="251" t="s">
        <v>486</v>
      </c>
      <c r="AH614" s="251" t="s">
        <v>486</v>
      </c>
      <c r="AI614" s="251" t="s">
        <v>486</v>
      </c>
      <c r="AJ614" s="251" t="s">
        <v>486</v>
      </c>
      <c r="AK614" s="251" t="s">
        <v>486</v>
      </c>
      <c r="AL614" s="251" t="s">
        <v>491</v>
      </c>
      <c r="AM614" s="251" t="s">
        <v>486</v>
      </c>
      <c r="AN614" s="251" t="s">
        <v>486</v>
      </c>
      <c r="AO614" s="253" t="s">
        <v>486</v>
      </c>
      <c r="AP614" s="252" t="s">
        <v>486</v>
      </c>
      <c r="AQ614" s="254" t="s">
        <v>486</v>
      </c>
      <c r="AR614" s="251" t="s">
        <v>486</v>
      </c>
    </row>
    <row r="615" spans="1:44" ht="15" x14ac:dyDescent="0.25">
      <c r="A615" s="245" t="str">
        <f>HYPERLINK("http://www.ofsted.gov.uk/inspection-reports/find-inspection-report/provider/ELS/144730 ","Ofsted School Webpage")</f>
        <v>Ofsted School Webpage</v>
      </c>
      <c r="B615" s="246">
        <v>144730</v>
      </c>
      <c r="C615" s="246">
        <v>9366011</v>
      </c>
      <c r="D615" s="246" t="s">
        <v>2546</v>
      </c>
      <c r="E615" s="246" t="s">
        <v>248</v>
      </c>
      <c r="F615" s="246" t="s">
        <v>93</v>
      </c>
      <c r="G615" s="246" t="s">
        <v>93</v>
      </c>
      <c r="H615" s="246" t="s">
        <v>93</v>
      </c>
      <c r="I615" s="246" t="s">
        <v>90</v>
      </c>
      <c r="J615" s="246" t="s">
        <v>1490</v>
      </c>
      <c r="K615" s="246" t="s">
        <v>486</v>
      </c>
      <c r="L615" s="246" t="s">
        <v>487</v>
      </c>
      <c r="M615" s="246" t="s">
        <v>581</v>
      </c>
      <c r="N615" s="246" t="s">
        <v>581</v>
      </c>
      <c r="O615" s="246" t="s">
        <v>788</v>
      </c>
      <c r="P615" s="246" t="s">
        <v>2547</v>
      </c>
      <c r="Q615" s="247">
        <v>10045497</v>
      </c>
      <c r="R615" s="248">
        <v>43214</v>
      </c>
      <c r="S615" s="248">
        <v>43216</v>
      </c>
      <c r="T615" s="248">
        <v>43242</v>
      </c>
      <c r="U615" s="246" t="s">
        <v>499</v>
      </c>
      <c r="V615" s="246">
        <v>2</v>
      </c>
      <c r="W615" s="246" t="s">
        <v>219</v>
      </c>
      <c r="X615" s="246">
        <v>2</v>
      </c>
      <c r="Y615" s="246">
        <v>2</v>
      </c>
      <c r="Z615" s="246">
        <v>2</v>
      </c>
      <c r="AA615" s="246">
        <v>2</v>
      </c>
      <c r="AB615" s="246" t="s">
        <v>486</v>
      </c>
      <c r="AC615" s="246" t="s">
        <v>486</v>
      </c>
      <c r="AD615" s="246" t="s">
        <v>490</v>
      </c>
      <c r="AE615" s="246" t="s">
        <v>486</v>
      </c>
      <c r="AF615" s="246" t="s">
        <v>486</v>
      </c>
      <c r="AG615" s="246" t="s">
        <v>486</v>
      </c>
      <c r="AH615" s="246" t="s">
        <v>486</v>
      </c>
      <c r="AI615" s="246" t="s">
        <v>486</v>
      </c>
      <c r="AJ615" s="246" t="s">
        <v>486</v>
      </c>
      <c r="AK615" s="246" t="s">
        <v>486</v>
      </c>
      <c r="AL615" s="246" t="s">
        <v>491</v>
      </c>
      <c r="AM615" s="246" t="s">
        <v>486</v>
      </c>
      <c r="AN615" s="246" t="s">
        <v>486</v>
      </c>
      <c r="AO615" s="248" t="s">
        <v>486</v>
      </c>
      <c r="AP615" s="247" t="s">
        <v>486</v>
      </c>
      <c r="AQ615" s="249" t="s">
        <v>486</v>
      </c>
      <c r="AR615" s="246" t="s">
        <v>486</v>
      </c>
    </row>
    <row r="616" spans="1:44" ht="15" x14ac:dyDescent="0.25">
      <c r="A616" s="250" t="str">
        <f>HYPERLINK("http://www.ofsted.gov.uk/inspection-reports/find-inspection-report/provider/ELS/144807 ","Ofsted School Webpage")</f>
        <v>Ofsted School Webpage</v>
      </c>
      <c r="B616" s="251">
        <v>144807</v>
      </c>
      <c r="C616" s="251">
        <v>8226007</v>
      </c>
      <c r="D616" s="251" t="s">
        <v>1160</v>
      </c>
      <c r="E616" s="251" t="s">
        <v>247</v>
      </c>
      <c r="F616" s="251" t="s">
        <v>93</v>
      </c>
      <c r="G616" s="251" t="s">
        <v>71</v>
      </c>
      <c r="H616" s="251" t="s">
        <v>71</v>
      </c>
      <c r="I616" s="251" t="s">
        <v>71</v>
      </c>
      <c r="J616" s="251" t="s">
        <v>1490</v>
      </c>
      <c r="K616" s="251" t="s">
        <v>486</v>
      </c>
      <c r="L616" s="251" t="s">
        <v>487</v>
      </c>
      <c r="M616" s="251" t="s">
        <v>516</v>
      </c>
      <c r="N616" s="251" t="s">
        <v>516</v>
      </c>
      <c r="O616" s="251" t="s">
        <v>1161</v>
      </c>
      <c r="P616" s="251" t="s">
        <v>1162</v>
      </c>
      <c r="Q616" s="252">
        <v>10046993</v>
      </c>
      <c r="R616" s="253">
        <v>43214</v>
      </c>
      <c r="S616" s="253">
        <v>43216</v>
      </c>
      <c r="T616" s="253">
        <v>43262</v>
      </c>
      <c r="U616" s="251" t="s">
        <v>499</v>
      </c>
      <c r="V616" s="251">
        <v>2</v>
      </c>
      <c r="W616" s="251" t="s">
        <v>219</v>
      </c>
      <c r="X616" s="251">
        <v>2</v>
      </c>
      <c r="Y616" s="251">
        <v>2</v>
      </c>
      <c r="Z616" s="251">
        <v>2</v>
      </c>
      <c r="AA616" s="251">
        <v>2</v>
      </c>
      <c r="AB616" s="251" t="s">
        <v>486</v>
      </c>
      <c r="AC616" s="251">
        <v>0</v>
      </c>
      <c r="AD616" s="251" t="s">
        <v>490</v>
      </c>
      <c r="AE616" s="251" t="s">
        <v>486</v>
      </c>
      <c r="AF616" s="251" t="s">
        <v>486</v>
      </c>
      <c r="AG616" s="251" t="s">
        <v>486</v>
      </c>
      <c r="AH616" s="251" t="s">
        <v>486</v>
      </c>
      <c r="AI616" s="251" t="s">
        <v>486</v>
      </c>
      <c r="AJ616" s="251" t="s">
        <v>486</v>
      </c>
      <c r="AK616" s="251" t="s">
        <v>486</v>
      </c>
      <c r="AL616" s="251" t="s">
        <v>491</v>
      </c>
      <c r="AM616" s="251" t="s">
        <v>486</v>
      </c>
      <c r="AN616" s="251" t="s">
        <v>486</v>
      </c>
      <c r="AO616" s="253" t="s">
        <v>486</v>
      </c>
      <c r="AP616" s="252" t="s">
        <v>486</v>
      </c>
      <c r="AQ616" s="254" t="s">
        <v>486</v>
      </c>
      <c r="AR616" s="251" t="s">
        <v>486</v>
      </c>
    </row>
    <row r="617" spans="1:44" ht="15" x14ac:dyDescent="0.25">
      <c r="A617" s="245" t="str">
        <f>HYPERLINK("http://www.ofsted.gov.uk/inspection-reports/find-inspection-report/provider/ELS/102945 ","Ofsted School Webpage")</f>
        <v>Ofsted School Webpage</v>
      </c>
      <c r="B617" s="246">
        <v>102945</v>
      </c>
      <c r="C617" s="246">
        <v>3186070</v>
      </c>
      <c r="D617" s="246" t="s">
        <v>2548</v>
      </c>
      <c r="E617" s="246" t="s">
        <v>247</v>
      </c>
      <c r="F617" s="246" t="s">
        <v>93</v>
      </c>
      <c r="G617" s="246" t="s">
        <v>93</v>
      </c>
      <c r="H617" s="246" t="s">
        <v>93</v>
      </c>
      <c r="I617" s="246" t="s">
        <v>90</v>
      </c>
      <c r="J617" s="246" t="s">
        <v>1490</v>
      </c>
      <c r="K617" s="246" t="s">
        <v>486</v>
      </c>
      <c r="L617" s="246" t="s">
        <v>487</v>
      </c>
      <c r="M617" s="246" t="s">
        <v>506</v>
      </c>
      <c r="N617" s="246" t="s">
        <v>506</v>
      </c>
      <c r="O617" s="246" t="s">
        <v>1040</v>
      </c>
      <c r="P617" s="246" t="s">
        <v>2549</v>
      </c>
      <c r="Q617" s="247">
        <v>10035787</v>
      </c>
      <c r="R617" s="248">
        <v>43215</v>
      </c>
      <c r="S617" s="248">
        <v>43217</v>
      </c>
      <c r="T617" s="248">
        <v>43238</v>
      </c>
      <c r="U617" s="246" t="s">
        <v>488</v>
      </c>
      <c r="V617" s="246">
        <v>2</v>
      </c>
      <c r="W617" s="246" t="s">
        <v>219</v>
      </c>
      <c r="X617" s="246">
        <v>2</v>
      </c>
      <c r="Y617" s="246">
        <v>2</v>
      </c>
      <c r="Z617" s="246">
        <v>2</v>
      </c>
      <c r="AA617" s="246">
        <v>2</v>
      </c>
      <c r="AB617" s="246">
        <v>2</v>
      </c>
      <c r="AC617" s="246">
        <v>2</v>
      </c>
      <c r="AD617" s="246" t="s">
        <v>490</v>
      </c>
      <c r="AE617" s="246" t="s">
        <v>486</v>
      </c>
      <c r="AF617" s="246" t="s">
        <v>486</v>
      </c>
      <c r="AG617" s="246" t="s">
        <v>486</v>
      </c>
      <c r="AH617" s="246" t="s">
        <v>486</v>
      </c>
      <c r="AI617" s="246" t="s">
        <v>486</v>
      </c>
      <c r="AJ617" s="246" t="s">
        <v>486</v>
      </c>
      <c r="AK617" s="246" t="s">
        <v>486</v>
      </c>
      <c r="AL617" s="246" t="s">
        <v>491</v>
      </c>
      <c r="AM617" s="246" t="s">
        <v>486</v>
      </c>
      <c r="AN617" s="246" t="s">
        <v>486</v>
      </c>
      <c r="AO617" s="248" t="s">
        <v>486</v>
      </c>
      <c r="AP617" s="247" t="s">
        <v>486</v>
      </c>
      <c r="AQ617" s="249" t="s">
        <v>486</v>
      </c>
      <c r="AR617" s="246" t="s">
        <v>486</v>
      </c>
    </row>
    <row r="618" spans="1:44" ht="15" x14ac:dyDescent="0.25">
      <c r="A618" s="250" t="str">
        <f>HYPERLINK("http://www.ofsted.gov.uk/inspection-reports/find-inspection-report/provider/ELS/140655 ","Ofsted School Webpage")</f>
        <v>Ofsted School Webpage</v>
      </c>
      <c r="B618" s="251">
        <v>140655</v>
      </c>
      <c r="C618" s="251">
        <v>9196053</v>
      </c>
      <c r="D618" s="251" t="s">
        <v>2550</v>
      </c>
      <c r="E618" s="251" t="s">
        <v>248</v>
      </c>
      <c r="F618" s="251" t="s">
        <v>93</v>
      </c>
      <c r="G618" s="251" t="s">
        <v>93</v>
      </c>
      <c r="H618" s="251" t="s">
        <v>93</v>
      </c>
      <c r="I618" s="251" t="s">
        <v>90</v>
      </c>
      <c r="J618" s="251" t="s">
        <v>1490</v>
      </c>
      <c r="K618" s="251" t="s">
        <v>486</v>
      </c>
      <c r="L618" s="251" t="s">
        <v>487</v>
      </c>
      <c r="M618" s="251" t="s">
        <v>516</v>
      </c>
      <c r="N618" s="251" t="s">
        <v>516</v>
      </c>
      <c r="O618" s="251" t="s">
        <v>556</v>
      </c>
      <c r="P618" s="251" t="s">
        <v>2551</v>
      </c>
      <c r="Q618" s="252">
        <v>10043521</v>
      </c>
      <c r="R618" s="253">
        <v>43215</v>
      </c>
      <c r="S618" s="253">
        <v>43217</v>
      </c>
      <c r="T618" s="253">
        <v>43256</v>
      </c>
      <c r="U618" s="251" t="s">
        <v>488</v>
      </c>
      <c r="V618" s="251">
        <v>3</v>
      </c>
      <c r="W618" s="251" t="s">
        <v>219</v>
      </c>
      <c r="X618" s="251">
        <v>3</v>
      </c>
      <c r="Y618" s="251">
        <v>3</v>
      </c>
      <c r="Z618" s="251">
        <v>3</v>
      </c>
      <c r="AA618" s="251">
        <v>3</v>
      </c>
      <c r="AB618" s="251" t="s">
        <v>486</v>
      </c>
      <c r="AC618" s="251" t="s">
        <v>486</v>
      </c>
      <c r="AD618" s="251" t="s">
        <v>490</v>
      </c>
      <c r="AE618" s="251" t="s">
        <v>486</v>
      </c>
      <c r="AF618" s="251" t="s">
        <v>486</v>
      </c>
      <c r="AG618" s="251" t="s">
        <v>486</v>
      </c>
      <c r="AH618" s="251" t="s">
        <v>486</v>
      </c>
      <c r="AI618" s="251" t="s">
        <v>486</v>
      </c>
      <c r="AJ618" s="251" t="s">
        <v>486</v>
      </c>
      <c r="AK618" s="251" t="s">
        <v>486</v>
      </c>
      <c r="AL618" s="251" t="s">
        <v>545</v>
      </c>
      <c r="AM618" s="251" t="s">
        <v>486</v>
      </c>
      <c r="AN618" s="251" t="s">
        <v>486</v>
      </c>
      <c r="AO618" s="253" t="s">
        <v>486</v>
      </c>
      <c r="AP618" s="252" t="s">
        <v>486</v>
      </c>
      <c r="AQ618" s="254" t="s">
        <v>486</v>
      </c>
      <c r="AR618" s="251" t="s">
        <v>486</v>
      </c>
    </row>
    <row r="619" spans="1:44" ht="15" x14ac:dyDescent="0.25">
      <c r="A619" s="245" t="str">
        <f>HYPERLINK("http://www.ofsted.gov.uk/inspection-reports/find-inspection-report/provider/ELS/100303 ","Ofsted School Webpage")</f>
        <v>Ofsted School Webpage</v>
      </c>
      <c r="B619" s="246">
        <v>100303</v>
      </c>
      <c r="C619" s="246">
        <v>2116385</v>
      </c>
      <c r="D619" s="246" t="s">
        <v>2552</v>
      </c>
      <c r="E619" s="246" t="s">
        <v>247</v>
      </c>
      <c r="F619" s="246" t="s">
        <v>93</v>
      </c>
      <c r="G619" s="246" t="s">
        <v>93</v>
      </c>
      <c r="H619" s="246" t="s">
        <v>93</v>
      </c>
      <c r="I619" s="246" t="s">
        <v>90</v>
      </c>
      <c r="J619" s="246" t="s">
        <v>1490</v>
      </c>
      <c r="K619" s="246" t="s">
        <v>486</v>
      </c>
      <c r="L619" s="246" t="s">
        <v>487</v>
      </c>
      <c r="M619" s="246" t="s">
        <v>506</v>
      </c>
      <c r="N619" s="246" t="s">
        <v>506</v>
      </c>
      <c r="O619" s="246" t="s">
        <v>849</v>
      </c>
      <c r="P619" s="246" t="s">
        <v>2553</v>
      </c>
      <c r="Q619" s="247">
        <v>10026270</v>
      </c>
      <c r="R619" s="248">
        <v>43221</v>
      </c>
      <c r="S619" s="248">
        <v>43223</v>
      </c>
      <c r="T619" s="248">
        <v>43271</v>
      </c>
      <c r="U619" s="246" t="s">
        <v>488</v>
      </c>
      <c r="V619" s="246">
        <v>2</v>
      </c>
      <c r="W619" s="246" t="s">
        <v>219</v>
      </c>
      <c r="X619" s="246">
        <v>2</v>
      </c>
      <c r="Y619" s="246">
        <v>2</v>
      </c>
      <c r="Z619" s="246">
        <v>2</v>
      </c>
      <c r="AA619" s="246">
        <v>2</v>
      </c>
      <c r="AB619" s="246">
        <v>2</v>
      </c>
      <c r="AC619" s="246" t="s">
        <v>486</v>
      </c>
      <c r="AD619" s="246" t="s">
        <v>490</v>
      </c>
      <c r="AE619" s="246" t="s">
        <v>486</v>
      </c>
      <c r="AF619" s="246" t="s">
        <v>486</v>
      </c>
      <c r="AG619" s="246" t="s">
        <v>486</v>
      </c>
      <c r="AH619" s="246" t="s">
        <v>486</v>
      </c>
      <c r="AI619" s="246" t="s">
        <v>486</v>
      </c>
      <c r="AJ619" s="246" t="s">
        <v>486</v>
      </c>
      <c r="AK619" s="246" t="s">
        <v>486</v>
      </c>
      <c r="AL619" s="246" t="s">
        <v>491</v>
      </c>
      <c r="AM619" s="246" t="s">
        <v>486</v>
      </c>
      <c r="AN619" s="246" t="s">
        <v>486</v>
      </c>
      <c r="AO619" s="248" t="s">
        <v>486</v>
      </c>
      <c r="AP619" s="247" t="s">
        <v>486</v>
      </c>
      <c r="AQ619" s="249" t="s">
        <v>486</v>
      </c>
      <c r="AR619" s="246" t="s">
        <v>486</v>
      </c>
    </row>
    <row r="620" spans="1:44" ht="15" x14ac:dyDescent="0.25">
      <c r="A620" s="250" t="str">
        <f>HYPERLINK("http://www.ofsted.gov.uk/inspection-reports/find-inspection-report/provider/ELS/102950 ","Ofsted School Webpage")</f>
        <v>Ofsted School Webpage</v>
      </c>
      <c r="B620" s="251">
        <v>102950</v>
      </c>
      <c r="C620" s="251">
        <v>3186078</v>
      </c>
      <c r="D620" s="251" t="s">
        <v>2554</v>
      </c>
      <c r="E620" s="251" t="s">
        <v>247</v>
      </c>
      <c r="F620" s="251" t="s">
        <v>93</v>
      </c>
      <c r="G620" s="251" t="s">
        <v>93</v>
      </c>
      <c r="H620" s="251" t="s">
        <v>93</v>
      </c>
      <c r="I620" s="251" t="s">
        <v>90</v>
      </c>
      <c r="J620" s="251" t="s">
        <v>1490</v>
      </c>
      <c r="K620" s="251" t="s">
        <v>486</v>
      </c>
      <c r="L620" s="251" t="s">
        <v>487</v>
      </c>
      <c r="M620" s="251" t="s">
        <v>506</v>
      </c>
      <c r="N620" s="251" t="s">
        <v>506</v>
      </c>
      <c r="O620" s="251" t="s">
        <v>1040</v>
      </c>
      <c r="P620" s="251" t="s">
        <v>2555</v>
      </c>
      <c r="Q620" s="252">
        <v>10026280</v>
      </c>
      <c r="R620" s="253">
        <v>43221</v>
      </c>
      <c r="S620" s="253">
        <v>43223</v>
      </c>
      <c r="T620" s="253">
        <v>43258</v>
      </c>
      <c r="U620" s="251" t="s">
        <v>488</v>
      </c>
      <c r="V620" s="251">
        <v>2</v>
      </c>
      <c r="W620" s="251" t="s">
        <v>219</v>
      </c>
      <c r="X620" s="251">
        <v>2</v>
      </c>
      <c r="Y620" s="251">
        <v>2</v>
      </c>
      <c r="Z620" s="251">
        <v>2</v>
      </c>
      <c r="AA620" s="251">
        <v>2</v>
      </c>
      <c r="AB620" s="251">
        <v>2</v>
      </c>
      <c r="AC620" s="251">
        <v>1</v>
      </c>
      <c r="AD620" s="251" t="s">
        <v>490</v>
      </c>
      <c r="AE620" s="251" t="s">
        <v>486</v>
      </c>
      <c r="AF620" s="251" t="s">
        <v>486</v>
      </c>
      <c r="AG620" s="251" t="s">
        <v>486</v>
      </c>
      <c r="AH620" s="251" t="s">
        <v>486</v>
      </c>
      <c r="AI620" s="251" t="s">
        <v>486</v>
      </c>
      <c r="AJ620" s="251" t="s">
        <v>486</v>
      </c>
      <c r="AK620" s="251" t="s">
        <v>486</v>
      </c>
      <c r="AL620" s="251" t="s">
        <v>491</v>
      </c>
      <c r="AM620" s="251" t="s">
        <v>486</v>
      </c>
      <c r="AN620" s="251" t="s">
        <v>486</v>
      </c>
      <c r="AO620" s="253" t="s">
        <v>486</v>
      </c>
      <c r="AP620" s="252" t="s">
        <v>486</v>
      </c>
      <c r="AQ620" s="254" t="s">
        <v>486</v>
      </c>
      <c r="AR620" s="251" t="s">
        <v>486</v>
      </c>
    </row>
    <row r="621" spans="1:44" ht="15" x14ac:dyDescent="0.25">
      <c r="A621" s="245" t="str">
        <f>HYPERLINK("http://www.ofsted.gov.uk/inspection-reports/find-inspection-report/provider/ELS/106816 ","Ofsted School Webpage")</f>
        <v>Ofsted School Webpage</v>
      </c>
      <c r="B621" s="246">
        <v>106816</v>
      </c>
      <c r="C621" s="246">
        <v>3716010</v>
      </c>
      <c r="D621" s="246" t="s">
        <v>2556</v>
      </c>
      <c r="E621" s="246" t="s">
        <v>247</v>
      </c>
      <c r="F621" s="246" t="s">
        <v>93</v>
      </c>
      <c r="G621" s="246" t="s">
        <v>93</v>
      </c>
      <c r="H621" s="246" t="s">
        <v>93</v>
      </c>
      <c r="I621" s="246" t="s">
        <v>90</v>
      </c>
      <c r="J621" s="246" t="s">
        <v>1490</v>
      </c>
      <c r="K621" s="246" t="s">
        <v>486</v>
      </c>
      <c r="L621" s="246" t="s">
        <v>487</v>
      </c>
      <c r="M621" s="246" t="s">
        <v>523</v>
      </c>
      <c r="N621" s="246" t="s">
        <v>524</v>
      </c>
      <c r="O621" s="246" t="s">
        <v>808</v>
      </c>
      <c r="P621" s="246" t="s">
        <v>2557</v>
      </c>
      <c r="Q621" s="247">
        <v>10046951</v>
      </c>
      <c r="R621" s="248">
        <v>43221</v>
      </c>
      <c r="S621" s="248">
        <v>43223</v>
      </c>
      <c r="T621" s="248">
        <v>43251</v>
      </c>
      <c r="U621" s="246" t="s">
        <v>488</v>
      </c>
      <c r="V621" s="246">
        <v>3</v>
      </c>
      <c r="W621" s="246" t="s">
        <v>219</v>
      </c>
      <c r="X621" s="246">
        <v>3</v>
      </c>
      <c r="Y621" s="246">
        <v>2</v>
      </c>
      <c r="Z621" s="246">
        <v>2</v>
      </c>
      <c r="AA621" s="246">
        <v>2</v>
      </c>
      <c r="AB621" s="246">
        <v>2</v>
      </c>
      <c r="AC621" s="246" t="s">
        <v>486</v>
      </c>
      <c r="AD621" s="246" t="s">
        <v>490</v>
      </c>
      <c r="AE621" s="246" t="s">
        <v>486</v>
      </c>
      <c r="AF621" s="246" t="s">
        <v>486</v>
      </c>
      <c r="AG621" s="246" t="s">
        <v>486</v>
      </c>
      <c r="AH621" s="246" t="s">
        <v>486</v>
      </c>
      <c r="AI621" s="246" t="s">
        <v>486</v>
      </c>
      <c r="AJ621" s="246" t="s">
        <v>486</v>
      </c>
      <c r="AK621" s="246" t="s">
        <v>486</v>
      </c>
      <c r="AL621" s="246" t="s">
        <v>491</v>
      </c>
      <c r="AM621" s="246" t="s">
        <v>486</v>
      </c>
      <c r="AN621" s="246" t="s">
        <v>486</v>
      </c>
      <c r="AO621" s="248" t="s">
        <v>486</v>
      </c>
      <c r="AP621" s="247" t="s">
        <v>486</v>
      </c>
      <c r="AQ621" s="249" t="s">
        <v>486</v>
      </c>
      <c r="AR621" s="246" t="s">
        <v>486</v>
      </c>
    </row>
    <row r="622" spans="1:44" ht="15" x14ac:dyDescent="0.25">
      <c r="A622" s="250" t="str">
        <f>HYPERLINK("http://www.ofsted.gov.uk/inspection-reports/find-inspection-report/provider/ELS/110932 ","Ofsted School Webpage")</f>
        <v>Ofsted School Webpage</v>
      </c>
      <c r="B622" s="251">
        <v>110932</v>
      </c>
      <c r="C622" s="251">
        <v>8736019</v>
      </c>
      <c r="D622" s="251" t="s">
        <v>1271</v>
      </c>
      <c r="E622" s="251" t="s">
        <v>247</v>
      </c>
      <c r="F622" s="251" t="s">
        <v>93</v>
      </c>
      <c r="G622" s="251" t="s">
        <v>93</v>
      </c>
      <c r="H622" s="251" t="s">
        <v>93</v>
      </c>
      <c r="I622" s="251" t="s">
        <v>90</v>
      </c>
      <c r="J622" s="251" t="s">
        <v>1490</v>
      </c>
      <c r="K622" s="251" t="s">
        <v>486</v>
      </c>
      <c r="L622" s="251" t="s">
        <v>487</v>
      </c>
      <c r="M622" s="251" t="s">
        <v>516</v>
      </c>
      <c r="N622" s="251" t="s">
        <v>516</v>
      </c>
      <c r="O622" s="251" t="s">
        <v>867</v>
      </c>
      <c r="P622" s="251" t="s">
        <v>1272</v>
      </c>
      <c r="Q622" s="252">
        <v>10043518</v>
      </c>
      <c r="R622" s="253">
        <v>43221</v>
      </c>
      <c r="S622" s="253">
        <v>43223</v>
      </c>
      <c r="T622" s="253">
        <v>43264</v>
      </c>
      <c r="U622" s="251" t="s">
        <v>624</v>
      </c>
      <c r="V622" s="251">
        <v>2</v>
      </c>
      <c r="W622" s="251" t="s">
        <v>219</v>
      </c>
      <c r="X622" s="251">
        <v>2</v>
      </c>
      <c r="Y622" s="251">
        <v>2</v>
      </c>
      <c r="Z622" s="251">
        <v>2</v>
      </c>
      <c r="AA622" s="251">
        <v>2</v>
      </c>
      <c r="AB622" s="251" t="s">
        <v>486</v>
      </c>
      <c r="AC622" s="251">
        <v>2</v>
      </c>
      <c r="AD622" s="251" t="s">
        <v>490</v>
      </c>
      <c r="AE622" s="251" t="s">
        <v>486</v>
      </c>
      <c r="AF622" s="251" t="s">
        <v>486</v>
      </c>
      <c r="AG622" s="251" t="s">
        <v>486</v>
      </c>
      <c r="AH622" s="251" t="s">
        <v>486</v>
      </c>
      <c r="AI622" s="251" t="s">
        <v>486</v>
      </c>
      <c r="AJ622" s="251" t="s">
        <v>486</v>
      </c>
      <c r="AK622" s="251" t="s">
        <v>486</v>
      </c>
      <c r="AL622" s="251" t="s">
        <v>491</v>
      </c>
      <c r="AM622" s="251" t="s">
        <v>486</v>
      </c>
      <c r="AN622" s="251" t="s">
        <v>486</v>
      </c>
      <c r="AO622" s="253" t="s">
        <v>486</v>
      </c>
      <c r="AP622" s="252" t="s">
        <v>486</v>
      </c>
      <c r="AQ622" s="254" t="s">
        <v>486</v>
      </c>
      <c r="AR622" s="251" t="s">
        <v>486</v>
      </c>
    </row>
    <row r="623" spans="1:44" ht="15" x14ac:dyDescent="0.25">
      <c r="A623" s="245" t="str">
        <f>HYPERLINK("http://www.ofsted.gov.uk/inspection-reports/find-inspection-report/provider/ELS/119853 ","Ofsted School Webpage")</f>
        <v>Ofsted School Webpage</v>
      </c>
      <c r="B623" s="246">
        <v>119853</v>
      </c>
      <c r="C623" s="246">
        <v>8886026</v>
      </c>
      <c r="D623" s="246" t="s">
        <v>2558</v>
      </c>
      <c r="E623" s="246" t="s">
        <v>248</v>
      </c>
      <c r="F623" s="246" t="s">
        <v>93</v>
      </c>
      <c r="G623" s="246" t="s">
        <v>93</v>
      </c>
      <c r="H623" s="246" t="s">
        <v>93</v>
      </c>
      <c r="I623" s="246" t="s">
        <v>90</v>
      </c>
      <c r="J623" s="246" t="s">
        <v>1490</v>
      </c>
      <c r="K623" s="246" t="s">
        <v>486</v>
      </c>
      <c r="L623" s="246" t="s">
        <v>487</v>
      </c>
      <c r="M623" s="246" t="s">
        <v>495</v>
      </c>
      <c r="N623" s="246" t="s">
        <v>495</v>
      </c>
      <c r="O623" s="246" t="s">
        <v>534</v>
      </c>
      <c r="P623" s="246" t="s">
        <v>2559</v>
      </c>
      <c r="Q623" s="247">
        <v>10043370</v>
      </c>
      <c r="R623" s="248">
        <v>43221</v>
      </c>
      <c r="S623" s="248">
        <v>43223</v>
      </c>
      <c r="T623" s="248">
        <v>43266</v>
      </c>
      <c r="U623" s="246" t="s">
        <v>488</v>
      </c>
      <c r="V623" s="246">
        <v>3</v>
      </c>
      <c r="W623" s="246" t="s">
        <v>219</v>
      </c>
      <c r="X623" s="246">
        <v>3</v>
      </c>
      <c r="Y623" s="246">
        <v>2</v>
      </c>
      <c r="Z623" s="246">
        <v>2</v>
      </c>
      <c r="AA623" s="246">
        <v>2</v>
      </c>
      <c r="AB623" s="246" t="s">
        <v>486</v>
      </c>
      <c r="AC623" s="246" t="s">
        <v>486</v>
      </c>
      <c r="AD623" s="246" t="s">
        <v>490</v>
      </c>
      <c r="AE623" s="246" t="s">
        <v>486</v>
      </c>
      <c r="AF623" s="246" t="s">
        <v>486</v>
      </c>
      <c r="AG623" s="246" t="s">
        <v>486</v>
      </c>
      <c r="AH623" s="246" t="s">
        <v>486</v>
      </c>
      <c r="AI623" s="246" t="s">
        <v>486</v>
      </c>
      <c r="AJ623" s="246" t="s">
        <v>486</v>
      </c>
      <c r="AK623" s="246" t="s">
        <v>486</v>
      </c>
      <c r="AL623" s="246" t="s">
        <v>491</v>
      </c>
      <c r="AM623" s="246" t="s">
        <v>486</v>
      </c>
      <c r="AN623" s="246" t="s">
        <v>486</v>
      </c>
      <c r="AO623" s="248" t="s">
        <v>486</v>
      </c>
      <c r="AP623" s="247" t="s">
        <v>486</v>
      </c>
      <c r="AQ623" s="249" t="s">
        <v>486</v>
      </c>
      <c r="AR623" s="246" t="s">
        <v>486</v>
      </c>
    </row>
    <row r="624" spans="1:44" ht="15" x14ac:dyDescent="0.25">
      <c r="A624" s="250" t="str">
        <f>HYPERLINK("http://www.ofsted.gov.uk/inspection-reports/find-inspection-report/provider/ELS/131237 ","Ofsted School Webpage")</f>
        <v>Ofsted School Webpage</v>
      </c>
      <c r="B624" s="251">
        <v>131237</v>
      </c>
      <c r="C624" s="251">
        <v>2106391</v>
      </c>
      <c r="D624" s="251" t="s">
        <v>2560</v>
      </c>
      <c r="E624" s="251" t="s">
        <v>248</v>
      </c>
      <c r="F624" s="251" t="s">
        <v>93</v>
      </c>
      <c r="G624" s="251" t="s">
        <v>93</v>
      </c>
      <c r="H624" s="251" t="s">
        <v>93</v>
      </c>
      <c r="I624" s="251" t="s">
        <v>90</v>
      </c>
      <c r="J624" s="251" t="s">
        <v>1490</v>
      </c>
      <c r="K624" s="251" t="s">
        <v>486</v>
      </c>
      <c r="L624" s="251" t="s">
        <v>487</v>
      </c>
      <c r="M624" s="251" t="s">
        <v>506</v>
      </c>
      <c r="N624" s="251" t="s">
        <v>506</v>
      </c>
      <c r="O624" s="251" t="s">
        <v>1311</v>
      </c>
      <c r="P624" s="251" t="s">
        <v>2561</v>
      </c>
      <c r="Q624" s="252">
        <v>10026284</v>
      </c>
      <c r="R624" s="253">
        <v>43221</v>
      </c>
      <c r="S624" s="253">
        <v>43223</v>
      </c>
      <c r="T624" s="253">
        <v>43262</v>
      </c>
      <c r="U624" s="251" t="s">
        <v>488</v>
      </c>
      <c r="V624" s="251">
        <v>1</v>
      </c>
      <c r="W624" s="251" t="s">
        <v>219</v>
      </c>
      <c r="X624" s="251">
        <v>1</v>
      </c>
      <c r="Y624" s="251">
        <v>1</v>
      </c>
      <c r="Z624" s="251">
        <v>1</v>
      </c>
      <c r="AA624" s="251">
        <v>1</v>
      </c>
      <c r="AB624" s="251" t="s">
        <v>486</v>
      </c>
      <c r="AC624" s="251" t="s">
        <v>486</v>
      </c>
      <c r="AD624" s="251" t="s">
        <v>490</v>
      </c>
      <c r="AE624" s="251" t="s">
        <v>486</v>
      </c>
      <c r="AF624" s="251" t="s">
        <v>486</v>
      </c>
      <c r="AG624" s="251" t="s">
        <v>486</v>
      </c>
      <c r="AH624" s="251" t="s">
        <v>486</v>
      </c>
      <c r="AI624" s="251" t="s">
        <v>486</v>
      </c>
      <c r="AJ624" s="251" t="s">
        <v>486</v>
      </c>
      <c r="AK624" s="251" t="s">
        <v>486</v>
      </c>
      <c r="AL624" s="251" t="s">
        <v>491</v>
      </c>
      <c r="AM624" s="251" t="s">
        <v>486</v>
      </c>
      <c r="AN624" s="251" t="s">
        <v>486</v>
      </c>
      <c r="AO624" s="253" t="s">
        <v>486</v>
      </c>
      <c r="AP624" s="252" t="s">
        <v>486</v>
      </c>
      <c r="AQ624" s="254" t="s">
        <v>486</v>
      </c>
      <c r="AR624" s="251" t="s">
        <v>486</v>
      </c>
    </row>
    <row r="625" spans="1:44" ht="15" x14ac:dyDescent="0.25">
      <c r="A625" s="245" t="str">
        <f>HYPERLINK("http://www.ofsted.gov.uk/inspection-reports/find-inspection-report/provider/ELS/133964 ","Ofsted School Webpage")</f>
        <v>Ofsted School Webpage</v>
      </c>
      <c r="B625" s="246">
        <v>133964</v>
      </c>
      <c r="C625" s="246">
        <v>8506079</v>
      </c>
      <c r="D625" s="246" t="s">
        <v>2562</v>
      </c>
      <c r="E625" s="246" t="s">
        <v>247</v>
      </c>
      <c r="F625" s="246" t="s">
        <v>93</v>
      </c>
      <c r="G625" s="246" t="s">
        <v>71</v>
      </c>
      <c r="H625" s="246" t="s">
        <v>71</v>
      </c>
      <c r="I625" s="246" t="s">
        <v>71</v>
      </c>
      <c r="J625" s="246" t="s">
        <v>1490</v>
      </c>
      <c r="K625" s="246" t="s">
        <v>486</v>
      </c>
      <c r="L625" s="246" t="s">
        <v>487</v>
      </c>
      <c r="M625" s="246" t="s">
        <v>581</v>
      </c>
      <c r="N625" s="246" t="s">
        <v>581</v>
      </c>
      <c r="O625" s="246" t="s">
        <v>582</v>
      </c>
      <c r="P625" s="246" t="s">
        <v>2563</v>
      </c>
      <c r="Q625" s="247">
        <v>10047027</v>
      </c>
      <c r="R625" s="248">
        <v>43221</v>
      </c>
      <c r="S625" s="248">
        <v>43223</v>
      </c>
      <c r="T625" s="248">
        <v>43249</v>
      </c>
      <c r="U625" s="246" t="s">
        <v>488</v>
      </c>
      <c r="V625" s="246">
        <v>2</v>
      </c>
      <c r="W625" s="246" t="s">
        <v>219</v>
      </c>
      <c r="X625" s="246">
        <v>2</v>
      </c>
      <c r="Y625" s="246">
        <v>2</v>
      </c>
      <c r="Z625" s="246">
        <v>2</v>
      </c>
      <c r="AA625" s="246">
        <v>2</v>
      </c>
      <c r="AB625" s="246" t="s">
        <v>486</v>
      </c>
      <c r="AC625" s="246" t="s">
        <v>486</v>
      </c>
      <c r="AD625" s="246" t="s">
        <v>490</v>
      </c>
      <c r="AE625" s="246" t="s">
        <v>486</v>
      </c>
      <c r="AF625" s="246" t="s">
        <v>486</v>
      </c>
      <c r="AG625" s="246" t="s">
        <v>486</v>
      </c>
      <c r="AH625" s="246" t="s">
        <v>486</v>
      </c>
      <c r="AI625" s="246" t="s">
        <v>486</v>
      </c>
      <c r="AJ625" s="246" t="s">
        <v>486</v>
      </c>
      <c r="AK625" s="246" t="s">
        <v>486</v>
      </c>
      <c r="AL625" s="246" t="s">
        <v>491</v>
      </c>
      <c r="AM625" s="246" t="s">
        <v>486</v>
      </c>
      <c r="AN625" s="246" t="s">
        <v>486</v>
      </c>
      <c r="AO625" s="248" t="s">
        <v>486</v>
      </c>
      <c r="AP625" s="247" t="s">
        <v>486</v>
      </c>
      <c r="AQ625" s="249" t="s">
        <v>486</v>
      </c>
      <c r="AR625" s="246" t="s">
        <v>486</v>
      </c>
    </row>
    <row r="626" spans="1:44" ht="15" x14ac:dyDescent="0.25">
      <c r="A626" s="250" t="str">
        <f>HYPERLINK("http://www.ofsted.gov.uk/inspection-reports/find-inspection-report/provider/ELS/134940 ","Ofsted School Webpage")</f>
        <v>Ofsted School Webpage</v>
      </c>
      <c r="B626" s="251">
        <v>134940</v>
      </c>
      <c r="C626" s="251">
        <v>8826053</v>
      </c>
      <c r="D626" s="251" t="s">
        <v>2564</v>
      </c>
      <c r="E626" s="251" t="s">
        <v>248</v>
      </c>
      <c r="F626" s="251" t="s">
        <v>93</v>
      </c>
      <c r="G626" s="251" t="s">
        <v>93</v>
      </c>
      <c r="H626" s="251" t="s">
        <v>93</v>
      </c>
      <c r="I626" s="251" t="s">
        <v>90</v>
      </c>
      <c r="J626" s="251" t="s">
        <v>1490</v>
      </c>
      <c r="K626" s="251" t="s">
        <v>486</v>
      </c>
      <c r="L626" s="251" t="s">
        <v>487</v>
      </c>
      <c r="M626" s="251" t="s">
        <v>516</v>
      </c>
      <c r="N626" s="251" t="s">
        <v>516</v>
      </c>
      <c r="O626" s="251" t="s">
        <v>990</v>
      </c>
      <c r="P626" s="251" t="s">
        <v>2565</v>
      </c>
      <c r="Q626" s="252">
        <v>10046986</v>
      </c>
      <c r="R626" s="253">
        <v>43221</v>
      </c>
      <c r="S626" s="253">
        <v>43223</v>
      </c>
      <c r="T626" s="253">
        <v>43264</v>
      </c>
      <c r="U626" s="251" t="s">
        <v>2930</v>
      </c>
      <c r="V626" s="251">
        <v>2</v>
      </c>
      <c r="W626" s="251" t="s">
        <v>219</v>
      </c>
      <c r="X626" s="251">
        <v>2</v>
      </c>
      <c r="Y626" s="251">
        <v>2</v>
      </c>
      <c r="Z626" s="251">
        <v>2</v>
      </c>
      <c r="AA626" s="251">
        <v>2</v>
      </c>
      <c r="AB626" s="251" t="s">
        <v>486</v>
      </c>
      <c r="AC626" s="251">
        <v>0</v>
      </c>
      <c r="AD626" s="251" t="s">
        <v>490</v>
      </c>
      <c r="AE626" s="251" t="s">
        <v>486</v>
      </c>
      <c r="AF626" s="251" t="s">
        <v>486</v>
      </c>
      <c r="AG626" s="251" t="s">
        <v>486</v>
      </c>
      <c r="AH626" s="251" t="s">
        <v>486</v>
      </c>
      <c r="AI626" s="251" t="s">
        <v>486</v>
      </c>
      <c r="AJ626" s="251" t="s">
        <v>486</v>
      </c>
      <c r="AK626" s="251" t="s">
        <v>486</v>
      </c>
      <c r="AL626" s="251" t="s">
        <v>491</v>
      </c>
      <c r="AM626" s="251" t="s">
        <v>486</v>
      </c>
      <c r="AN626" s="251" t="s">
        <v>486</v>
      </c>
      <c r="AO626" s="253" t="s">
        <v>486</v>
      </c>
      <c r="AP626" s="252" t="s">
        <v>486</v>
      </c>
      <c r="AQ626" s="254" t="s">
        <v>486</v>
      </c>
      <c r="AR626" s="251" t="s">
        <v>486</v>
      </c>
    </row>
    <row r="627" spans="1:44" ht="15" x14ac:dyDescent="0.25">
      <c r="A627" s="245" t="str">
        <f>HYPERLINK("http://www.ofsted.gov.uk/inspection-reports/find-inspection-report/provider/ELS/135882 ","Ofsted School Webpage")</f>
        <v>Ofsted School Webpage</v>
      </c>
      <c r="B627" s="246">
        <v>135882</v>
      </c>
      <c r="C627" s="246">
        <v>3306206</v>
      </c>
      <c r="D627" s="246" t="s">
        <v>2566</v>
      </c>
      <c r="E627" s="246" t="s">
        <v>247</v>
      </c>
      <c r="F627" s="246" t="s">
        <v>93</v>
      </c>
      <c r="G627" s="246" t="s">
        <v>84</v>
      </c>
      <c r="H627" s="246" t="s">
        <v>84</v>
      </c>
      <c r="I627" s="246" t="s">
        <v>84</v>
      </c>
      <c r="J627" s="246" t="s">
        <v>1490</v>
      </c>
      <c r="K627" s="246" t="s">
        <v>486</v>
      </c>
      <c r="L627" s="246" t="s">
        <v>487</v>
      </c>
      <c r="M627" s="246" t="s">
        <v>502</v>
      </c>
      <c r="N627" s="246" t="s">
        <v>502</v>
      </c>
      <c r="O627" s="246" t="s">
        <v>909</v>
      </c>
      <c r="P627" s="246" t="s">
        <v>2567</v>
      </c>
      <c r="Q627" s="247">
        <v>10052008</v>
      </c>
      <c r="R627" s="248">
        <v>43221</v>
      </c>
      <c r="S627" s="248">
        <v>43223</v>
      </c>
      <c r="T627" s="248">
        <v>43272</v>
      </c>
      <c r="U627" s="246" t="s">
        <v>488</v>
      </c>
      <c r="V627" s="246">
        <v>2</v>
      </c>
      <c r="W627" s="246" t="s">
        <v>219</v>
      </c>
      <c r="X627" s="246">
        <v>2</v>
      </c>
      <c r="Y627" s="246">
        <v>2</v>
      </c>
      <c r="Z627" s="246">
        <v>2</v>
      </c>
      <c r="AA627" s="246">
        <v>2</v>
      </c>
      <c r="AB627" s="246">
        <v>2</v>
      </c>
      <c r="AC627" s="246" t="s">
        <v>486</v>
      </c>
      <c r="AD627" s="246" t="s">
        <v>490</v>
      </c>
      <c r="AE627" s="246" t="s">
        <v>486</v>
      </c>
      <c r="AF627" s="246" t="s">
        <v>486</v>
      </c>
      <c r="AG627" s="246" t="s">
        <v>486</v>
      </c>
      <c r="AH627" s="246" t="s">
        <v>486</v>
      </c>
      <c r="AI627" s="246" t="s">
        <v>486</v>
      </c>
      <c r="AJ627" s="246" t="s">
        <v>486</v>
      </c>
      <c r="AK627" s="246" t="s">
        <v>486</v>
      </c>
      <c r="AL627" s="246" t="s">
        <v>491</v>
      </c>
      <c r="AM627" s="246" t="s">
        <v>486</v>
      </c>
      <c r="AN627" s="246" t="s">
        <v>486</v>
      </c>
      <c r="AO627" s="248" t="s">
        <v>486</v>
      </c>
      <c r="AP627" s="247" t="s">
        <v>486</v>
      </c>
      <c r="AQ627" s="249" t="s">
        <v>486</v>
      </c>
      <c r="AR627" s="246" t="s">
        <v>486</v>
      </c>
    </row>
    <row r="628" spans="1:44" ht="15" x14ac:dyDescent="0.25">
      <c r="A628" s="250" t="str">
        <f>HYPERLINK("http://www.ofsted.gov.uk/inspection-reports/find-inspection-report/provider/ELS/136245 ","Ofsted School Webpage")</f>
        <v>Ofsted School Webpage</v>
      </c>
      <c r="B628" s="251">
        <v>136245</v>
      </c>
      <c r="C628" s="251">
        <v>8606443</v>
      </c>
      <c r="D628" s="251" t="s">
        <v>2568</v>
      </c>
      <c r="E628" s="251" t="s">
        <v>248</v>
      </c>
      <c r="F628" s="251" t="s">
        <v>93</v>
      </c>
      <c r="G628" s="251" t="s">
        <v>93</v>
      </c>
      <c r="H628" s="251" t="s">
        <v>93</v>
      </c>
      <c r="I628" s="251" t="s">
        <v>90</v>
      </c>
      <c r="J628" s="251" t="s">
        <v>1490</v>
      </c>
      <c r="K628" s="251" t="s">
        <v>486</v>
      </c>
      <c r="L628" s="251" t="s">
        <v>487</v>
      </c>
      <c r="M628" s="251" t="s">
        <v>502</v>
      </c>
      <c r="N628" s="251" t="s">
        <v>502</v>
      </c>
      <c r="O628" s="251" t="s">
        <v>652</v>
      </c>
      <c r="P628" s="251" t="s">
        <v>2569</v>
      </c>
      <c r="Q628" s="252">
        <v>10026109</v>
      </c>
      <c r="R628" s="253">
        <v>43221</v>
      </c>
      <c r="S628" s="253">
        <v>43223</v>
      </c>
      <c r="T628" s="253">
        <v>43245</v>
      </c>
      <c r="U628" s="251" t="s">
        <v>488</v>
      </c>
      <c r="V628" s="251">
        <v>2</v>
      </c>
      <c r="W628" s="251" t="s">
        <v>219</v>
      </c>
      <c r="X628" s="251">
        <v>2</v>
      </c>
      <c r="Y628" s="251">
        <v>1</v>
      </c>
      <c r="Z628" s="251">
        <v>2</v>
      </c>
      <c r="AA628" s="251">
        <v>2</v>
      </c>
      <c r="AB628" s="251" t="s">
        <v>486</v>
      </c>
      <c r="AC628" s="251" t="s">
        <v>486</v>
      </c>
      <c r="AD628" s="251" t="s">
        <v>490</v>
      </c>
      <c r="AE628" s="251" t="s">
        <v>486</v>
      </c>
      <c r="AF628" s="251" t="s">
        <v>486</v>
      </c>
      <c r="AG628" s="251" t="s">
        <v>486</v>
      </c>
      <c r="AH628" s="251" t="s">
        <v>486</v>
      </c>
      <c r="AI628" s="251" t="s">
        <v>486</v>
      </c>
      <c r="AJ628" s="251" t="s">
        <v>486</v>
      </c>
      <c r="AK628" s="251" t="s">
        <v>486</v>
      </c>
      <c r="AL628" s="251" t="s">
        <v>491</v>
      </c>
      <c r="AM628" s="251" t="s">
        <v>486</v>
      </c>
      <c r="AN628" s="251" t="s">
        <v>486</v>
      </c>
      <c r="AO628" s="253" t="s">
        <v>486</v>
      </c>
      <c r="AP628" s="252" t="s">
        <v>486</v>
      </c>
      <c r="AQ628" s="254" t="s">
        <v>486</v>
      </c>
      <c r="AR628" s="251" t="s">
        <v>486</v>
      </c>
    </row>
    <row r="629" spans="1:44" ht="15" x14ac:dyDescent="0.25">
      <c r="A629" s="245" t="str">
        <f>HYPERLINK("http://www.ofsted.gov.uk/inspection-reports/find-inspection-report/provider/ELS/136262 ","Ofsted School Webpage")</f>
        <v>Ofsted School Webpage</v>
      </c>
      <c r="B629" s="246">
        <v>136262</v>
      </c>
      <c r="C629" s="246">
        <v>8856040</v>
      </c>
      <c r="D629" s="246" t="s">
        <v>2570</v>
      </c>
      <c r="E629" s="246" t="s">
        <v>248</v>
      </c>
      <c r="F629" s="246" t="s">
        <v>93</v>
      </c>
      <c r="G629" s="246" t="s">
        <v>93</v>
      </c>
      <c r="H629" s="246" t="s">
        <v>93</v>
      </c>
      <c r="I629" s="246" t="s">
        <v>90</v>
      </c>
      <c r="J629" s="246" t="s">
        <v>1490</v>
      </c>
      <c r="K629" s="246" t="s">
        <v>486</v>
      </c>
      <c r="L629" s="246" t="s">
        <v>487</v>
      </c>
      <c r="M629" s="246" t="s">
        <v>502</v>
      </c>
      <c r="N629" s="246" t="s">
        <v>502</v>
      </c>
      <c r="O629" s="246" t="s">
        <v>550</v>
      </c>
      <c r="P629" s="246" t="s">
        <v>2571</v>
      </c>
      <c r="Q629" s="247">
        <v>10038845</v>
      </c>
      <c r="R629" s="248">
        <v>43221</v>
      </c>
      <c r="S629" s="248">
        <v>43223</v>
      </c>
      <c r="T629" s="248">
        <v>43245</v>
      </c>
      <c r="U629" s="246" t="s">
        <v>488</v>
      </c>
      <c r="V629" s="246">
        <v>2</v>
      </c>
      <c r="W629" s="246" t="s">
        <v>219</v>
      </c>
      <c r="X629" s="246">
        <v>2</v>
      </c>
      <c r="Y629" s="246">
        <v>1</v>
      </c>
      <c r="Z629" s="246">
        <v>2</v>
      </c>
      <c r="AA629" s="246">
        <v>2</v>
      </c>
      <c r="AB629" s="246" t="s">
        <v>486</v>
      </c>
      <c r="AC629" s="246">
        <v>2</v>
      </c>
      <c r="AD629" s="246" t="s">
        <v>490</v>
      </c>
      <c r="AE629" s="246" t="s">
        <v>486</v>
      </c>
      <c r="AF629" s="246" t="s">
        <v>486</v>
      </c>
      <c r="AG629" s="246" t="s">
        <v>486</v>
      </c>
      <c r="AH629" s="246" t="s">
        <v>486</v>
      </c>
      <c r="AI629" s="246" t="s">
        <v>486</v>
      </c>
      <c r="AJ629" s="246" t="s">
        <v>486</v>
      </c>
      <c r="AK629" s="246" t="s">
        <v>486</v>
      </c>
      <c r="AL629" s="246" t="s">
        <v>491</v>
      </c>
      <c r="AM629" s="246" t="s">
        <v>486</v>
      </c>
      <c r="AN629" s="246" t="s">
        <v>486</v>
      </c>
      <c r="AO629" s="248" t="s">
        <v>486</v>
      </c>
      <c r="AP629" s="247" t="s">
        <v>486</v>
      </c>
      <c r="AQ629" s="249" t="s">
        <v>486</v>
      </c>
      <c r="AR629" s="246" t="s">
        <v>486</v>
      </c>
    </row>
    <row r="630" spans="1:44" ht="15" x14ac:dyDescent="0.25">
      <c r="A630" s="250" t="str">
        <f>HYPERLINK("http://www.ofsted.gov.uk/inspection-reports/find-inspection-report/provider/ELS/136265 ","Ofsted School Webpage")</f>
        <v>Ofsted School Webpage</v>
      </c>
      <c r="B630" s="251">
        <v>136265</v>
      </c>
      <c r="C630" s="251">
        <v>3056082</v>
      </c>
      <c r="D630" s="251" t="s">
        <v>2572</v>
      </c>
      <c r="E630" s="251" t="s">
        <v>248</v>
      </c>
      <c r="F630" s="251" t="s">
        <v>93</v>
      </c>
      <c r="G630" s="251" t="s">
        <v>93</v>
      </c>
      <c r="H630" s="251" t="s">
        <v>93</v>
      </c>
      <c r="I630" s="251" t="s">
        <v>90</v>
      </c>
      <c r="J630" s="251" t="s">
        <v>1490</v>
      </c>
      <c r="K630" s="251" t="s">
        <v>486</v>
      </c>
      <c r="L630" s="251" t="s">
        <v>487</v>
      </c>
      <c r="M630" s="251" t="s">
        <v>506</v>
      </c>
      <c r="N630" s="251" t="s">
        <v>506</v>
      </c>
      <c r="O630" s="251" t="s">
        <v>679</v>
      </c>
      <c r="P630" s="251" t="s">
        <v>2573</v>
      </c>
      <c r="Q630" s="252">
        <v>10038175</v>
      </c>
      <c r="R630" s="253">
        <v>43221</v>
      </c>
      <c r="S630" s="253">
        <v>43223</v>
      </c>
      <c r="T630" s="253">
        <v>43244</v>
      </c>
      <c r="U630" s="251" t="s">
        <v>488</v>
      </c>
      <c r="V630" s="251">
        <v>3</v>
      </c>
      <c r="W630" s="251" t="s">
        <v>219</v>
      </c>
      <c r="X630" s="251">
        <v>2</v>
      </c>
      <c r="Y630" s="251">
        <v>2</v>
      </c>
      <c r="Z630" s="251">
        <v>3</v>
      </c>
      <c r="AA630" s="251">
        <v>3</v>
      </c>
      <c r="AB630" s="251" t="s">
        <v>486</v>
      </c>
      <c r="AC630" s="251">
        <v>3</v>
      </c>
      <c r="AD630" s="251" t="s">
        <v>490</v>
      </c>
      <c r="AE630" s="251" t="s">
        <v>486</v>
      </c>
      <c r="AF630" s="251" t="s">
        <v>486</v>
      </c>
      <c r="AG630" s="251" t="s">
        <v>486</v>
      </c>
      <c r="AH630" s="251" t="s">
        <v>486</v>
      </c>
      <c r="AI630" s="251" t="s">
        <v>486</v>
      </c>
      <c r="AJ630" s="251" t="s">
        <v>486</v>
      </c>
      <c r="AK630" s="251" t="s">
        <v>486</v>
      </c>
      <c r="AL630" s="251" t="s">
        <v>491</v>
      </c>
      <c r="AM630" s="251" t="s">
        <v>486</v>
      </c>
      <c r="AN630" s="251" t="s">
        <v>486</v>
      </c>
      <c r="AO630" s="253" t="s">
        <v>486</v>
      </c>
      <c r="AP630" s="252" t="s">
        <v>486</v>
      </c>
      <c r="AQ630" s="254" t="s">
        <v>486</v>
      </c>
      <c r="AR630" s="251" t="s">
        <v>486</v>
      </c>
    </row>
    <row r="631" spans="1:44" ht="15" x14ac:dyDescent="0.25">
      <c r="A631" s="245" t="str">
        <f>HYPERLINK("http://www.ofsted.gov.uk/inspection-reports/find-inspection-report/provider/ELS/137385 ","Ofsted School Webpage")</f>
        <v>Ofsted School Webpage</v>
      </c>
      <c r="B631" s="246">
        <v>137385</v>
      </c>
      <c r="C631" s="246">
        <v>9296002</v>
      </c>
      <c r="D631" s="246" t="s">
        <v>2574</v>
      </c>
      <c r="E631" s="246" t="s">
        <v>248</v>
      </c>
      <c r="F631" s="246" t="s">
        <v>93</v>
      </c>
      <c r="G631" s="246" t="s">
        <v>93</v>
      </c>
      <c r="H631" s="246" t="s">
        <v>93</v>
      </c>
      <c r="I631" s="246" t="s">
        <v>90</v>
      </c>
      <c r="J631" s="246" t="s">
        <v>1490</v>
      </c>
      <c r="K631" s="246" t="s">
        <v>486</v>
      </c>
      <c r="L631" s="246" t="s">
        <v>487</v>
      </c>
      <c r="M631" s="246" t="s">
        <v>523</v>
      </c>
      <c r="N631" s="246" t="s">
        <v>539</v>
      </c>
      <c r="O631" s="246" t="s">
        <v>576</v>
      </c>
      <c r="P631" s="246" t="s">
        <v>2575</v>
      </c>
      <c r="Q631" s="247">
        <v>10051859</v>
      </c>
      <c r="R631" s="248">
        <v>43221</v>
      </c>
      <c r="S631" s="248">
        <v>43223</v>
      </c>
      <c r="T631" s="248">
        <v>43257</v>
      </c>
      <c r="U631" s="246" t="s">
        <v>488</v>
      </c>
      <c r="V631" s="246">
        <v>2</v>
      </c>
      <c r="W631" s="246" t="s">
        <v>219</v>
      </c>
      <c r="X631" s="246">
        <v>2</v>
      </c>
      <c r="Y631" s="246">
        <v>2</v>
      </c>
      <c r="Z631" s="246">
        <v>2</v>
      </c>
      <c r="AA631" s="246">
        <v>2</v>
      </c>
      <c r="AB631" s="246" t="s">
        <v>486</v>
      </c>
      <c r="AC631" s="246" t="s">
        <v>486</v>
      </c>
      <c r="AD631" s="246" t="s">
        <v>490</v>
      </c>
      <c r="AE631" s="246" t="s">
        <v>486</v>
      </c>
      <c r="AF631" s="246" t="s">
        <v>486</v>
      </c>
      <c r="AG631" s="246" t="s">
        <v>486</v>
      </c>
      <c r="AH631" s="246" t="s">
        <v>486</v>
      </c>
      <c r="AI631" s="246" t="s">
        <v>486</v>
      </c>
      <c r="AJ631" s="246" t="s">
        <v>486</v>
      </c>
      <c r="AK631" s="246" t="s">
        <v>486</v>
      </c>
      <c r="AL631" s="246" t="s">
        <v>491</v>
      </c>
      <c r="AM631" s="246" t="s">
        <v>486</v>
      </c>
      <c r="AN631" s="246" t="s">
        <v>486</v>
      </c>
      <c r="AO631" s="248" t="s">
        <v>486</v>
      </c>
      <c r="AP631" s="247" t="s">
        <v>486</v>
      </c>
      <c r="AQ631" s="249" t="s">
        <v>486</v>
      </c>
      <c r="AR631" s="246" t="s">
        <v>486</v>
      </c>
    </row>
    <row r="632" spans="1:44" ht="15" x14ac:dyDescent="0.25">
      <c r="A632" s="250" t="str">
        <f>HYPERLINK("http://www.ofsted.gov.uk/inspection-reports/find-inspection-report/provider/ELS/139239 ","Ofsted School Webpage")</f>
        <v>Ofsted School Webpage</v>
      </c>
      <c r="B632" s="251">
        <v>139239</v>
      </c>
      <c r="C632" s="251">
        <v>2136000</v>
      </c>
      <c r="D632" s="251" t="s">
        <v>2576</v>
      </c>
      <c r="E632" s="251" t="s">
        <v>247</v>
      </c>
      <c r="F632" s="251" t="s">
        <v>93</v>
      </c>
      <c r="G632" s="251" t="s">
        <v>93</v>
      </c>
      <c r="H632" s="251" t="s">
        <v>93</v>
      </c>
      <c r="I632" s="251" t="s">
        <v>90</v>
      </c>
      <c r="J632" s="251" t="s">
        <v>1490</v>
      </c>
      <c r="K632" s="251" t="s">
        <v>486</v>
      </c>
      <c r="L632" s="251" t="s">
        <v>487</v>
      </c>
      <c r="M632" s="251" t="s">
        <v>506</v>
      </c>
      <c r="N632" s="251" t="s">
        <v>506</v>
      </c>
      <c r="O632" s="251" t="s">
        <v>658</v>
      </c>
      <c r="P632" s="251" t="s">
        <v>2577</v>
      </c>
      <c r="Q632" s="252">
        <v>10020730</v>
      </c>
      <c r="R632" s="253">
        <v>43221</v>
      </c>
      <c r="S632" s="253">
        <v>43223</v>
      </c>
      <c r="T632" s="253">
        <v>43257</v>
      </c>
      <c r="U632" s="251" t="s">
        <v>488</v>
      </c>
      <c r="V632" s="251">
        <v>2</v>
      </c>
      <c r="W632" s="251" t="s">
        <v>219</v>
      </c>
      <c r="X632" s="251">
        <v>2</v>
      </c>
      <c r="Y632" s="251">
        <v>1</v>
      </c>
      <c r="Z632" s="251">
        <v>2</v>
      </c>
      <c r="AA632" s="251">
        <v>2</v>
      </c>
      <c r="AB632" s="251">
        <v>2</v>
      </c>
      <c r="AC632" s="251" t="s">
        <v>486</v>
      </c>
      <c r="AD632" s="251" t="s">
        <v>490</v>
      </c>
      <c r="AE632" s="251" t="s">
        <v>486</v>
      </c>
      <c r="AF632" s="251" t="s">
        <v>486</v>
      </c>
      <c r="AG632" s="251" t="s">
        <v>486</v>
      </c>
      <c r="AH632" s="251" t="s">
        <v>486</v>
      </c>
      <c r="AI632" s="251" t="s">
        <v>486</v>
      </c>
      <c r="AJ632" s="251" t="s">
        <v>486</v>
      </c>
      <c r="AK632" s="251" t="s">
        <v>486</v>
      </c>
      <c r="AL632" s="251" t="s">
        <v>491</v>
      </c>
      <c r="AM632" s="251" t="s">
        <v>486</v>
      </c>
      <c r="AN632" s="251" t="s">
        <v>486</v>
      </c>
      <c r="AO632" s="253" t="s">
        <v>486</v>
      </c>
      <c r="AP632" s="252" t="s">
        <v>486</v>
      </c>
      <c r="AQ632" s="254" t="s">
        <v>486</v>
      </c>
      <c r="AR632" s="251" t="s">
        <v>486</v>
      </c>
    </row>
    <row r="633" spans="1:44" ht="15" x14ac:dyDescent="0.25">
      <c r="A633" s="245" t="str">
        <f>HYPERLINK("http://www.ofsted.gov.uk/inspection-reports/find-inspection-report/provider/ELS/140960 ","Ofsted School Webpage")</f>
        <v>Ofsted School Webpage</v>
      </c>
      <c r="B633" s="246">
        <v>140960</v>
      </c>
      <c r="C633" s="246">
        <v>8866142</v>
      </c>
      <c r="D633" s="246" t="s">
        <v>2578</v>
      </c>
      <c r="E633" s="246" t="s">
        <v>248</v>
      </c>
      <c r="F633" s="246" t="s">
        <v>93</v>
      </c>
      <c r="G633" s="246" t="s">
        <v>93</v>
      </c>
      <c r="H633" s="246" t="s">
        <v>93</v>
      </c>
      <c r="I633" s="246" t="s">
        <v>90</v>
      </c>
      <c r="J633" s="246" t="s">
        <v>1490</v>
      </c>
      <c r="K633" s="246" t="s">
        <v>486</v>
      </c>
      <c r="L633" s="246" t="s">
        <v>487</v>
      </c>
      <c r="M633" s="246" t="s">
        <v>581</v>
      </c>
      <c r="N633" s="246" t="s">
        <v>581</v>
      </c>
      <c r="O633" s="246" t="s">
        <v>694</v>
      </c>
      <c r="P633" s="246" t="s">
        <v>2579</v>
      </c>
      <c r="Q633" s="247">
        <v>10039168</v>
      </c>
      <c r="R633" s="248">
        <v>43221</v>
      </c>
      <c r="S633" s="248">
        <v>43223</v>
      </c>
      <c r="T633" s="248">
        <v>43243</v>
      </c>
      <c r="U633" s="246" t="s">
        <v>488</v>
      </c>
      <c r="V633" s="246">
        <v>2</v>
      </c>
      <c r="W633" s="246" t="s">
        <v>219</v>
      </c>
      <c r="X633" s="246">
        <v>2</v>
      </c>
      <c r="Y633" s="246">
        <v>2</v>
      </c>
      <c r="Z633" s="246">
        <v>2</v>
      </c>
      <c r="AA633" s="246">
        <v>2</v>
      </c>
      <c r="AB633" s="246" t="s">
        <v>486</v>
      </c>
      <c r="AC633" s="246" t="s">
        <v>486</v>
      </c>
      <c r="AD633" s="246" t="s">
        <v>490</v>
      </c>
      <c r="AE633" s="246" t="s">
        <v>486</v>
      </c>
      <c r="AF633" s="246" t="s">
        <v>486</v>
      </c>
      <c r="AG633" s="246" t="s">
        <v>486</v>
      </c>
      <c r="AH633" s="246" t="s">
        <v>486</v>
      </c>
      <c r="AI633" s="246" t="s">
        <v>486</v>
      </c>
      <c r="AJ633" s="246" t="s">
        <v>486</v>
      </c>
      <c r="AK633" s="246" t="s">
        <v>486</v>
      </c>
      <c r="AL633" s="246" t="s">
        <v>491</v>
      </c>
      <c r="AM633" s="246" t="s">
        <v>486</v>
      </c>
      <c r="AN633" s="246" t="s">
        <v>486</v>
      </c>
      <c r="AO633" s="248" t="s">
        <v>486</v>
      </c>
      <c r="AP633" s="247" t="s">
        <v>486</v>
      </c>
      <c r="AQ633" s="249" t="s">
        <v>486</v>
      </c>
      <c r="AR633" s="246" t="s">
        <v>486</v>
      </c>
    </row>
    <row r="634" spans="1:44" ht="15" x14ac:dyDescent="0.25">
      <c r="A634" s="250" t="str">
        <f>HYPERLINK("http://www.ofsted.gov.uk/inspection-reports/find-inspection-report/provider/ELS/143105 ","Ofsted School Webpage")</f>
        <v>Ofsted School Webpage</v>
      </c>
      <c r="B634" s="251">
        <v>143105</v>
      </c>
      <c r="C634" s="251">
        <v>3316004</v>
      </c>
      <c r="D634" s="251" t="s">
        <v>2580</v>
      </c>
      <c r="E634" s="251" t="s">
        <v>247</v>
      </c>
      <c r="F634" s="251" t="s">
        <v>93</v>
      </c>
      <c r="G634" s="251" t="s">
        <v>93</v>
      </c>
      <c r="H634" s="251" t="s">
        <v>93</v>
      </c>
      <c r="I634" s="251" t="s">
        <v>90</v>
      </c>
      <c r="J634" s="251" t="s">
        <v>1490</v>
      </c>
      <c r="K634" s="251" t="s">
        <v>486</v>
      </c>
      <c r="L634" s="251" t="s">
        <v>487</v>
      </c>
      <c r="M634" s="251" t="s">
        <v>502</v>
      </c>
      <c r="N634" s="251" t="s">
        <v>502</v>
      </c>
      <c r="O634" s="251" t="s">
        <v>2095</v>
      </c>
      <c r="P634" s="251" t="s">
        <v>2581</v>
      </c>
      <c r="Q634" s="252">
        <v>10033590</v>
      </c>
      <c r="R634" s="253">
        <v>43221</v>
      </c>
      <c r="S634" s="253">
        <v>43223</v>
      </c>
      <c r="T634" s="253">
        <v>43262</v>
      </c>
      <c r="U634" s="251" t="s">
        <v>2582</v>
      </c>
      <c r="V634" s="251">
        <v>3</v>
      </c>
      <c r="W634" s="251" t="s">
        <v>219</v>
      </c>
      <c r="X634" s="251">
        <v>3</v>
      </c>
      <c r="Y634" s="251">
        <v>2</v>
      </c>
      <c r="Z634" s="251">
        <v>2</v>
      </c>
      <c r="AA634" s="251">
        <v>2</v>
      </c>
      <c r="AB634" s="251" t="s">
        <v>486</v>
      </c>
      <c r="AC634" s="251">
        <v>2</v>
      </c>
      <c r="AD634" s="251" t="s">
        <v>512</v>
      </c>
      <c r="AE634" s="251" t="s">
        <v>486</v>
      </c>
      <c r="AF634" s="251" t="s">
        <v>486</v>
      </c>
      <c r="AG634" s="251" t="s">
        <v>490</v>
      </c>
      <c r="AH634" s="251" t="s">
        <v>486</v>
      </c>
      <c r="AI634" s="251" t="s">
        <v>486</v>
      </c>
      <c r="AJ634" s="251" t="s">
        <v>486</v>
      </c>
      <c r="AK634" s="251" t="s">
        <v>486</v>
      </c>
      <c r="AL634" s="251" t="s">
        <v>491</v>
      </c>
      <c r="AM634" s="251" t="s">
        <v>486</v>
      </c>
      <c r="AN634" s="251" t="s">
        <v>486</v>
      </c>
      <c r="AO634" s="253" t="s">
        <v>486</v>
      </c>
      <c r="AP634" s="252" t="s">
        <v>486</v>
      </c>
      <c r="AQ634" s="254" t="s">
        <v>486</v>
      </c>
      <c r="AR634" s="251" t="s">
        <v>486</v>
      </c>
    </row>
    <row r="635" spans="1:44" ht="15" x14ac:dyDescent="0.25">
      <c r="A635" s="245" t="str">
        <f>HYPERLINK("http://www.ofsted.gov.uk/inspection-reports/find-inspection-report/provider/ELS/144775 ","Ofsted School Webpage")</f>
        <v>Ofsted School Webpage</v>
      </c>
      <c r="B635" s="246">
        <v>144775</v>
      </c>
      <c r="C635" s="246">
        <v>8816068</v>
      </c>
      <c r="D635" s="246" t="s">
        <v>2583</v>
      </c>
      <c r="E635" s="246" t="s">
        <v>248</v>
      </c>
      <c r="F635" s="246" t="s">
        <v>93</v>
      </c>
      <c r="G635" s="246" t="s">
        <v>93</v>
      </c>
      <c r="H635" s="246" t="s">
        <v>93</v>
      </c>
      <c r="I635" s="246" t="s">
        <v>90</v>
      </c>
      <c r="J635" s="246" t="s">
        <v>1490</v>
      </c>
      <c r="K635" s="246" t="s">
        <v>486</v>
      </c>
      <c r="L635" s="246" t="s">
        <v>487</v>
      </c>
      <c r="M635" s="246" t="s">
        <v>516</v>
      </c>
      <c r="N635" s="246" t="s">
        <v>516</v>
      </c>
      <c r="O635" s="246" t="s">
        <v>764</v>
      </c>
      <c r="P635" s="246" t="s">
        <v>2584</v>
      </c>
      <c r="Q635" s="247">
        <v>10046992</v>
      </c>
      <c r="R635" s="248">
        <v>43221</v>
      </c>
      <c r="S635" s="248">
        <v>43223</v>
      </c>
      <c r="T635" s="248">
        <v>43265</v>
      </c>
      <c r="U635" s="246" t="s">
        <v>499</v>
      </c>
      <c r="V635" s="246">
        <v>3</v>
      </c>
      <c r="W635" s="246" t="s">
        <v>219</v>
      </c>
      <c r="X635" s="246">
        <v>3</v>
      </c>
      <c r="Y635" s="246">
        <v>2</v>
      </c>
      <c r="Z635" s="246">
        <v>3</v>
      </c>
      <c r="AA635" s="246">
        <v>3</v>
      </c>
      <c r="AB635" s="246" t="s">
        <v>486</v>
      </c>
      <c r="AC635" s="246">
        <v>0</v>
      </c>
      <c r="AD635" s="246" t="s">
        <v>490</v>
      </c>
      <c r="AE635" s="246" t="s">
        <v>486</v>
      </c>
      <c r="AF635" s="246" t="s">
        <v>486</v>
      </c>
      <c r="AG635" s="246" t="s">
        <v>486</v>
      </c>
      <c r="AH635" s="246" t="s">
        <v>486</v>
      </c>
      <c r="AI635" s="246" t="s">
        <v>486</v>
      </c>
      <c r="AJ635" s="246" t="s">
        <v>486</v>
      </c>
      <c r="AK635" s="246" t="s">
        <v>486</v>
      </c>
      <c r="AL635" s="246" t="s">
        <v>545</v>
      </c>
      <c r="AM635" s="246" t="s">
        <v>486</v>
      </c>
      <c r="AN635" s="246" t="s">
        <v>486</v>
      </c>
      <c r="AO635" s="248" t="s">
        <v>486</v>
      </c>
      <c r="AP635" s="247" t="s">
        <v>486</v>
      </c>
      <c r="AQ635" s="249" t="s">
        <v>486</v>
      </c>
      <c r="AR635" s="246" t="s">
        <v>486</v>
      </c>
    </row>
    <row r="636" spans="1:44" ht="15" x14ac:dyDescent="0.25">
      <c r="A636" s="250" t="str">
        <f>HYPERLINK("http://www.ofsted.gov.uk/inspection-reports/find-inspection-report/provider/ELS/144816 ","Ofsted School Webpage")</f>
        <v>Ofsted School Webpage</v>
      </c>
      <c r="B636" s="251">
        <v>144816</v>
      </c>
      <c r="C636" s="251">
        <v>8886073</v>
      </c>
      <c r="D636" s="251" t="s">
        <v>2585</v>
      </c>
      <c r="E636" s="251" t="s">
        <v>247</v>
      </c>
      <c r="F636" s="251" t="s">
        <v>93</v>
      </c>
      <c r="G636" s="251" t="s">
        <v>83</v>
      </c>
      <c r="H636" s="251" t="s">
        <v>83</v>
      </c>
      <c r="I636" s="251" t="s">
        <v>84</v>
      </c>
      <c r="J636" s="251" t="s">
        <v>1490</v>
      </c>
      <c r="K636" s="251" t="s">
        <v>486</v>
      </c>
      <c r="L636" s="251" t="s">
        <v>487</v>
      </c>
      <c r="M636" s="251" t="s">
        <v>495</v>
      </c>
      <c r="N636" s="251" t="s">
        <v>495</v>
      </c>
      <c r="O636" s="251" t="s">
        <v>534</v>
      </c>
      <c r="P636" s="251" t="s">
        <v>2586</v>
      </c>
      <c r="Q636" s="252">
        <v>10048614</v>
      </c>
      <c r="R636" s="253">
        <v>43221</v>
      </c>
      <c r="S636" s="253">
        <v>43223</v>
      </c>
      <c r="T636" s="253">
        <v>43264</v>
      </c>
      <c r="U636" s="251" t="s">
        <v>499</v>
      </c>
      <c r="V636" s="251">
        <v>2</v>
      </c>
      <c r="W636" s="251" t="s">
        <v>219</v>
      </c>
      <c r="X636" s="251">
        <v>2</v>
      </c>
      <c r="Y636" s="251">
        <v>1</v>
      </c>
      <c r="Z636" s="251">
        <v>2</v>
      </c>
      <c r="AA636" s="251">
        <v>2</v>
      </c>
      <c r="AB636" s="251" t="s">
        <v>486</v>
      </c>
      <c r="AC636" s="251" t="s">
        <v>486</v>
      </c>
      <c r="AD636" s="251" t="s">
        <v>490</v>
      </c>
      <c r="AE636" s="251" t="s">
        <v>486</v>
      </c>
      <c r="AF636" s="251" t="s">
        <v>486</v>
      </c>
      <c r="AG636" s="251" t="s">
        <v>486</v>
      </c>
      <c r="AH636" s="251" t="s">
        <v>486</v>
      </c>
      <c r="AI636" s="251" t="s">
        <v>486</v>
      </c>
      <c r="AJ636" s="251" t="s">
        <v>486</v>
      </c>
      <c r="AK636" s="251" t="s">
        <v>486</v>
      </c>
      <c r="AL636" s="251" t="s">
        <v>491</v>
      </c>
      <c r="AM636" s="251" t="s">
        <v>486</v>
      </c>
      <c r="AN636" s="251" t="s">
        <v>486</v>
      </c>
      <c r="AO636" s="253" t="s">
        <v>486</v>
      </c>
      <c r="AP636" s="252" t="s">
        <v>486</v>
      </c>
      <c r="AQ636" s="254" t="s">
        <v>486</v>
      </c>
      <c r="AR636" s="251" t="s">
        <v>486</v>
      </c>
    </row>
    <row r="637" spans="1:44" ht="15" x14ac:dyDescent="0.25">
      <c r="A637" s="245" t="str">
        <f>HYPERLINK("http://www.ofsted.gov.uk/inspection-reports/find-inspection-report/provider/ELS/144965 ","Ofsted School Webpage")</f>
        <v>Ofsted School Webpage</v>
      </c>
      <c r="B637" s="246">
        <v>144965</v>
      </c>
      <c r="C637" s="246">
        <v>2076014</v>
      </c>
      <c r="D637" s="246" t="s">
        <v>2587</v>
      </c>
      <c r="E637" s="246" t="s">
        <v>247</v>
      </c>
      <c r="F637" s="246" t="s">
        <v>93</v>
      </c>
      <c r="G637" s="246" t="s">
        <v>93</v>
      </c>
      <c r="H637" s="246" t="s">
        <v>93</v>
      </c>
      <c r="I637" s="246" t="s">
        <v>90</v>
      </c>
      <c r="J637" s="246" t="s">
        <v>1490</v>
      </c>
      <c r="K637" s="246" t="s">
        <v>486</v>
      </c>
      <c r="L637" s="246" t="s">
        <v>487</v>
      </c>
      <c r="M637" s="246" t="s">
        <v>506</v>
      </c>
      <c r="N637" s="246" t="s">
        <v>506</v>
      </c>
      <c r="O637" s="246" t="s">
        <v>640</v>
      </c>
      <c r="P637" s="246" t="s">
        <v>2588</v>
      </c>
      <c r="Q637" s="247">
        <v>10044423</v>
      </c>
      <c r="R637" s="248">
        <v>43221</v>
      </c>
      <c r="S637" s="248">
        <v>43223</v>
      </c>
      <c r="T637" s="248">
        <v>43264</v>
      </c>
      <c r="U637" s="246" t="s">
        <v>499</v>
      </c>
      <c r="V637" s="246">
        <v>1</v>
      </c>
      <c r="W637" s="246" t="s">
        <v>219</v>
      </c>
      <c r="X637" s="246">
        <v>1</v>
      </c>
      <c r="Y637" s="246">
        <v>1</v>
      </c>
      <c r="Z637" s="246">
        <v>1</v>
      </c>
      <c r="AA637" s="246">
        <v>1</v>
      </c>
      <c r="AB637" s="246" t="s">
        <v>486</v>
      </c>
      <c r="AC637" s="246" t="s">
        <v>486</v>
      </c>
      <c r="AD637" s="246" t="s">
        <v>490</v>
      </c>
      <c r="AE637" s="246" t="s">
        <v>486</v>
      </c>
      <c r="AF637" s="246" t="s">
        <v>486</v>
      </c>
      <c r="AG637" s="246" t="s">
        <v>486</v>
      </c>
      <c r="AH637" s="246" t="s">
        <v>486</v>
      </c>
      <c r="AI637" s="246" t="s">
        <v>486</v>
      </c>
      <c r="AJ637" s="246" t="s">
        <v>486</v>
      </c>
      <c r="AK637" s="246" t="s">
        <v>486</v>
      </c>
      <c r="AL637" s="246" t="s">
        <v>491</v>
      </c>
      <c r="AM637" s="246" t="s">
        <v>486</v>
      </c>
      <c r="AN637" s="246" t="s">
        <v>486</v>
      </c>
      <c r="AO637" s="248" t="s">
        <v>486</v>
      </c>
      <c r="AP637" s="247" t="s">
        <v>486</v>
      </c>
      <c r="AQ637" s="249" t="s">
        <v>486</v>
      </c>
      <c r="AR637" s="246" t="s">
        <v>486</v>
      </c>
    </row>
    <row r="638" spans="1:44" ht="15" x14ac:dyDescent="0.25">
      <c r="A638" s="250" t="str">
        <f>HYPERLINK("http://www.ofsted.gov.uk/inspection-reports/find-inspection-report/provider/ELS/131504 ","Ofsted School Webpage")</f>
        <v>Ofsted School Webpage</v>
      </c>
      <c r="B638" s="251">
        <v>131504</v>
      </c>
      <c r="C638" s="251">
        <v>9386265</v>
      </c>
      <c r="D638" s="251" t="s">
        <v>2589</v>
      </c>
      <c r="E638" s="251" t="s">
        <v>248</v>
      </c>
      <c r="F638" s="251" t="s">
        <v>93</v>
      </c>
      <c r="G638" s="251" t="s">
        <v>93</v>
      </c>
      <c r="H638" s="251" t="s">
        <v>93</v>
      </c>
      <c r="I638" s="251" t="s">
        <v>90</v>
      </c>
      <c r="J638" s="251" t="s">
        <v>1490</v>
      </c>
      <c r="K638" s="251" t="s">
        <v>486</v>
      </c>
      <c r="L638" s="251" t="s">
        <v>487</v>
      </c>
      <c r="M638" s="251" t="s">
        <v>581</v>
      </c>
      <c r="N638" s="251" t="s">
        <v>581</v>
      </c>
      <c r="O638" s="251" t="s">
        <v>829</v>
      </c>
      <c r="P638" s="251" t="s">
        <v>2590</v>
      </c>
      <c r="Q638" s="252">
        <v>10008597</v>
      </c>
      <c r="R638" s="253">
        <v>43228</v>
      </c>
      <c r="S638" s="253">
        <v>43230</v>
      </c>
      <c r="T638" s="253">
        <v>43250</v>
      </c>
      <c r="U638" s="251" t="s">
        <v>488</v>
      </c>
      <c r="V638" s="251">
        <v>2</v>
      </c>
      <c r="W638" s="251" t="s">
        <v>219</v>
      </c>
      <c r="X638" s="251">
        <v>2</v>
      </c>
      <c r="Y638" s="251">
        <v>2</v>
      </c>
      <c r="Z638" s="251">
        <v>2</v>
      </c>
      <c r="AA638" s="251">
        <v>2</v>
      </c>
      <c r="AB638" s="251" t="s">
        <v>486</v>
      </c>
      <c r="AC638" s="251" t="s">
        <v>486</v>
      </c>
      <c r="AD638" s="251" t="s">
        <v>490</v>
      </c>
      <c r="AE638" s="251" t="s">
        <v>486</v>
      </c>
      <c r="AF638" s="251" t="s">
        <v>486</v>
      </c>
      <c r="AG638" s="251" t="s">
        <v>486</v>
      </c>
      <c r="AH638" s="251" t="s">
        <v>486</v>
      </c>
      <c r="AI638" s="251" t="s">
        <v>486</v>
      </c>
      <c r="AJ638" s="251" t="s">
        <v>486</v>
      </c>
      <c r="AK638" s="251" t="s">
        <v>486</v>
      </c>
      <c r="AL638" s="251" t="s">
        <v>491</v>
      </c>
      <c r="AM638" s="251" t="s">
        <v>486</v>
      </c>
      <c r="AN638" s="251" t="s">
        <v>486</v>
      </c>
      <c r="AO638" s="253" t="s">
        <v>486</v>
      </c>
      <c r="AP638" s="252" t="s">
        <v>486</v>
      </c>
      <c r="AQ638" s="254" t="s">
        <v>486</v>
      </c>
      <c r="AR638" s="251" t="s">
        <v>486</v>
      </c>
    </row>
    <row r="639" spans="1:44" ht="15" x14ac:dyDescent="0.25">
      <c r="A639" s="245" t="str">
        <f>HYPERLINK("http://www.ofsted.gov.uk/inspection-reports/find-inspection-report/provider/ELS/144717 ","Ofsted School Webpage")</f>
        <v>Ofsted School Webpage</v>
      </c>
      <c r="B639" s="246">
        <v>144717</v>
      </c>
      <c r="C639" s="246">
        <v>8846016</v>
      </c>
      <c r="D639" s="246" t="s">
        <v>2591</v>
      </c>
      <c r="E639" s="246" t="s">
        <v>247</v>
      </c>
      <c r="F639" s="246" t="s">
        <v>93</v>
      </c>
      <c r="G639" s="246" t="s">
        <v>93</v>
      </c>
      <c r="H639" s="246" t="s">
        <v>93</v>
      </c>
      <c r="I639" s="246" t="s">
        <v>90</v>
      </c>
      <c r="J639" s="246" t="s">
        <v>1490</v>
      </c>
      <c r="K639" s="246" t="s">
        <v>486</v>
      </c>
      <c r="L639" s="246" t="s">
        <v>487</v>
      </c>
      <c r="M639" s="246" t="s">
        <v>502</v>
      </c>
      <c r="N639" s="246" t="s">
        <v>502</v>
      </c>
      <c r="O639" s="246" t="s">
        <v>1251</v>
      </c>
      <c r="P639" s="246" t="s">
        <v>2592</v>
      </c>
      <c r="Q639" s="247">
        <v>10045272</v>
      </c>
      <c r="R639" s="248">
        <v>43228</v>
      </c>
      <c r="S639" s="248">
        <v>43230</v>
      </c>
      <c r="T639" s="248">
        <v>43269</v>
      </c>
      <c r="U639" s="246" t="s">
        <v>499</v>
      </c>
      <c r="V639" s="246">
        <v>3</v>
      </c>
      <c r="W639" s="246" t="s">
        <v>219</v>
      </c>
      <c r="X639" s="246">
        <v>3</v>
      </c>
      <c r="Y639" s="246">
        <v>3</v>
      </c>
      <c r="Z639" s="246">
        <v>3</v>
      </c>
      <c r="AA639" s="246">
        <v>3</v>
      </c>
      <c r="AB639" s="246" t="s">
        <v>486</v>
      </c>
      <c r="AC639" s="246" t="s">
        <v>486</v>
      </c>
      <c r="AD639" s="246" t="s">
        <v>490</v>
      </c>
      <c r="AE639" s="246" t="s">
        <v>486</v>
      </c>
      <c r="AF639" s="246" t="s">
        <v>486</v>
      </c>
      <c r="AG639" s="246" t="s">
        <v>486</v>
      </c>
      <c r="AH639" s="246" t="s">
        <v>486</v>
      </c>
      <c r="AI639" s="246" t="s">
        <v>486</v>
      </c>
      <c r="AJ639" s="246" t="s">
        <v>486</v>
      </c>
      <c r="AK639" s="246" t="s">
        <v>486</v>
      </c>
      <c r="AL639" s="246" t="s">
        <v>545</v>
      </c>
      <c r="AM639" s="246" t="s">
        <v>486</v>
      </c>
      <c r="AN639" s="246" t="s">
        <v>486</v>
      </c>
      <c r="AO639" s="248" t="s">
        <v>486</v>
      </c>
      <c r="AP639" s="247" t="s">
        <v>486</v>
      </c>
      <c r="AQ639" s="249" t="s">
        <v>486</v>
      </c>
      <c r="AR639" s="246" t="s">
        <v>486</v>
      </c>
    </row>
    <row r="640" spans="1:44" ht="15" x14ac:dyDescent="0.25">
      <c r="A640" s="250" t="str">
        <f>HYPERLINK("http://www.ofsted.gov.uk/inspection-reports/find-inspection-report/provider/ELS/110557 ","Ofsted School Webpage")</f>
        <v>Ofsted School Webpage</v>
      </c>
      <c r="B640" s="251">
        <v>110557</v>
      </c>
      <c r="C640" s="251">
        <v>8256016</v>
      </c>
      <c r="D640" s="251" t="s">
        <v>2593</v>
      </c>
      <c r="E640" s="251" t="s">
        <v>247</v>
      </c>
      <c r="F640" s="251" t="s">
        <v>93</v>
      </c>
      <c r="G640" s="251" t="s">
        <v>93</v>
      </c>
      <c r="H640" s="251" t="s">
        <v>93</v>
      </c>
      <c r="I640" s="251" t="s">
        <v>90</v>
      </c>
      <c r="J640" s="251" t="s">
        <v>1490</v>
      </c>
      <c r="K640" s="251" t="s">
        <v>486</v>
      </c>
      <c r="L640" s="251" t="s">
        <v>487</v>
      </c>
      <c r="M640" s="251" t="s">
        <v>581</v>
      </c>
      <c r="N640" s="251" t="s">
        <v>581</v>
      </c>
      <c r="O640" s="251" t="s">
        <v>714</v>
      </c>
      <c r="P640" s="251" t="s">
        <v>2594</v>
      </c>
      <c r="Q640" s="252">
        <v>10047023</v>
      </c>
      <c r="R640" s="253">
        <v>43229</v>
      </c>
      <c r="S640" s="253">
        <v>43231</v>
      </c>
      <c r="T640" s="253">
        <v>43269</v>
      </c>
      <c r="U640" s="251" t="s">
        <v>488</v>
      </c>
      <c r="V640" s="251">
        <v>2</v>
      </c>
      <c r="W640" s="251" t="s">
        <v>219</v>
      </c>
      <c r="X640" s="251">
        <v>2</v>
      </c>
      <c r="Y640" s="251">
        <v>1</v>
      </c>
      <c r="Z640" s="251">
        <v>2</v>
      </c>
      <c r="AA640" s="251">
        <v>2</v>
      </c>
      <c r="AB640" s="251">
        <v>1</v>
      </c>
      <c r="AC640" s="251" t="s">
        <v>486</v>
      </c>
      <c r="AD640" s="251" t="s">
        <v>490</v>
      </c>
      <c r="AE640" s="251" t="s">
        <v>486</v>
      </c>
      <c r="AF640" s="251" t="s">
        <v>486</v>
      </c>
      <c r="AG640" s="251" t="s">
        <v>486</v>
      </c>
      <c r="AH640" s="251" t="s">
        <v>486</v>
      </c>
      <c r="AI640" s="251" t="s">
        <v>486</v>
      </c>
      <c r="AJ640" s="251" t="s">
        <v>486</v>
      </c>
      <c r="AK640" s="251" t="s">
        <v>486</v>
      </c>
      <c r="AL640" s="251" t="s">
        <v>491</v>
      </c>
      <c r="AM640" s="251" t="s">
        <v>486</v>
      </c>
      <c r="AN640" s="251" t="s">
        <v>486</v>
      </c>
      <c r="AO640" s="253" t="s">
        <v>486</v>
      </c>
      <c r="AP640" s="252" t="s">
        <v>486</v>
      </c>
      <c r="AQ640" s="254" t="s">
        <v>486</v>
      </c>
      <c r="AR640" s="251" t="s">
        <v>486</v>
      </c>
    </row>
    <row r="641" spans="1:44" ht="15" x14ac:dyDescent="0.25">
      <c r="A641" s="245" t="str">
        <f>HYPERLINK("http://www.ofsted.gov.uk/inspection-reports/find-inspection-report/provider/ELS/120329 ","Ofsted School Webpage")</f>
        <v>Ofsted School Webpage</v>
      </c>
      <c r="B641" s="246">
        <v>120329</v>
      </c>
      <c r="C641" s="246">
        <v>8566003</v>
      </c>
      <c r="D641" s="246" t="s">
        <v>2595</v>
      </c>
      <c r="E641" s="246" t="s">
        <v>247</v>
      </c>
      <c r="F641" s="246" t="s">
        <v>93</v>
      </c>
      <c r="G641" s="246" t="s">
        <v>93</v>
      </c>
      <c r="H641" s="246" t="s">
        <v>93</v>
      </c>
      <c r="I641" s="246" t="s">
        <v>90</v>
      </c>
      <c r="J641" s="246" t="s">
        <v>1490</v>
      </c>
      <c r="K641" s="246" t="s">
        <v>486</v>
      </c>
      <c r="L641" s="246" t="s">
        <v>487</v>
      </c>
      <c r="M641" s="246" t="s">
        <v>572</v>
      </c>
      <c r="N641" s="246" t="s">
        <v>572</v>
      </c>
      <c r="O641" s="246" t="s">
        <v>589</v>
      </c>
      <c r="P641" s="246" t="s">
        <v>2596</v>
      </c>
      <c r="Q641" s="247">
        <v>10048631</v>
      </c>
      <c r="R641" s="248">
        <v>43229</v>
      </c>
      <c r="S641" s="248">
        <v>43231</v>
      </c>
      <c r="T641" s="248">
        <v>43262</v>
      </c>
      <c r="U641" s="246" t="s">
        <v>488</v>
      </c>
      <c r="V641" s="246">
        <v>3</v>
      </c>
      <c r="W641" s="246" t="s">
        <v>219</v>
      </c>
      <c r="X641" s="246">
        <v>3</v>
      </c>
      <c r="Y641" s="246">
        <v>2</v>
      </c>
      <c r="Z641" s="246">
        <v>2</v>
      </c>
      <c r="AA641" s="246">
        <v>2</v>
      </c>
      <c r="AB641" s="246">
        <v>2</v>
      </c>
      <c r="AC641" s="246" t="s">
        <v>486</v>
      </c>
      <c r="AD641" s="246" t="s">
        <v>490</v>
      </c>
      <c r="AE641" s="246" t="s">
        <v>486</v>
      </c>
      <c r="AF641" s="246" t="s">
        <v>486</v>
      </c>
      <c r="AG641" s="246" t="s">
        <v>486</v>
      </c>
      <c r="AH641" s="246" t="s">
        <v>486</v>
      </c>
      <c r="AI641" s="246" t="s">
        <v>486</v>
      </c>
      <c r="AJ641" s="246" t="s">
        <v>486</v>
      </c>
      <c r="AK641" s="246" t="s">
        <v>486</v>
      </c>
      <c r="AL641" s="246" t="s">
        <v>545</v>
      </c>
      <c r="AM641" s="246" t="s">
        <v>486</v>
      </c>
      <c r="AN641" s="246" t="s">
        <v>486</v>
      </c>
      <c r="AO641" s="248" t="s">
        <v>486</v>
      </c>
      <c r="AP641" s="247" t="s">
        <v>486</v>
      </c>
      <c r="AQ641" s="249" t="s">
        <v>486</v>
      </c>
      <c r="AR641" s="246" t="s">
        <v>486</v>
      </c>
    </row>
    <row r="642" spans="1:44" ht="15" x14ac:dyDescent="0.25">
      <c r="A642" s="250" t="str">
        <f>HYPERLINK("http://www.ofsted.gov.uk/inspection-reports/find-inspection-report/provider/ELS/133646 ","Ofsted School Webpage")</f>
        <v>Ofsted School Webpage</v>
      </c>
      <c r="B642" s="251">
        <v>133646</v>
      </c>
      <c r="C642" s="251">
        <v>2116392</v>
      </c>
      <c r="D642" s="251" t="s">
        <v>2597</v>
      </c>
      <c r="E642" s="251" t="s">
        <v>247</v>
      </c>
      <c r="F642" s="251" t="s">
        <v>93</v>
      </c>
      <c r="G642" s="251" t="s">
        <v>84</v>
      </c>
      <c r="H642" s="251" t="s">
        <v>84</v>
      </c>
      <c r="I642" s="251" t="s">
        <v>84</v>
      </c>
      <c r="J642" s="251" t="s">
        <v>1490</v>
      </c>
      <c r="K642" s="251" t="s">
        <v>486</v>
      </c>
      <c r="L642" s="251" t="s">
        <v>487</v>
      </c>
      <c r="M642" s="251" t="s">
        <v>506</v>
      </c>
      <c r="N642" s="251" t="s">
        <v>506</v>
      </c>
      <c r="O642" s="251" t="s">
        <v>849</v>
      </c>
      <c r="P642" s="251" t="s">
        <v>2004</v>
      </c>
      <c r="Q642" s="252">
        <v>10038167</v>
      </c>
      <c r="R642" s="253">
        <v>43229</v>
      </c>
      <c r="S642" s="253">
        <v>43231</v>
      </c>
      <c r="T642" s="253">
        <v>43242</v>
      </c>
      <c r="U642" s="251" t="s">
        <v>488</v>
      </c>
      <c r="V642" s="251">
        <v>2</v>
      </c>
      <c r="W642" s="251" t="s">
        <v>219</v>
      </c>
      <c r="X642" s="251">
        <v>2</v>
      </c>
      <c r="Y642" s="251">
        <v>1</v>
      </c>
      <c r="Z642" s="251">
        <v>2</v>
      </c>
      <c r="AA642" s="251">
        <v>2</v>
      </c>
      <c r="AB642" s="251" t="s">
        <v>486</v>
      </c>
      <c r="AC642" s="251" t="s">
        <v>486</v>
      </c>
      <c r="AD642" s="251" t="s">
        <v>490</v>
      </c>
      <c r="AE642" s="251" t="s">
        <v>486</v>
      </c>
      <c r="AF642" s="251" t="s">
        <v>486</v>
      </c>
      <c r="AG642" s="251" t="s">
        <v>486</v>
      </c>
      <c r="AH642" s="251" t="s">
        <v>486</v>
      </c>
      <c r="AI642" s="251" t="s">
        <v>486</v>
      </c>
      <c r="AJ642" s="251" t="s">
        <v>486</v>
      </c>
      <c r="AK642" s="251" t="s">
        <v>486</v>
      </c>
      <c r="AL642" s="251" t="s">
        <v>491</v>
      </c>
      <c r="AM642" s="251" t="s">
        <v>486</v>
      </c>
      <c r="AN642" s="251" t="s">
        <v>486</v>
      </c>
      <c r="AO642" s="253" t="s">
        <v>486</v>
      </c>
      <c r="AP642" s="252" t="s">
        <v>486</v>
      </c>
      <c r="AQ642" s="254" t="s">
        <v>486</v>
      </c>
      <c r="AR642" s="251" t="s">
        <v>486</v>
      </c>
    </row>
    <row r="643" spans="1:44" ht="15" x14ac:dyDescent="0.25">
      <c r="A643" s="245" t="str">
        <f>HYPERLINK("http://www.ofsted.gov.uk/inspection-reports/find-inspection-report/provider/ELS/134660 ","Ofsted School Webpage")</f>
        <v>Ofsted School Webpage</v>
      </c>
      <c r="B643" s="246">
        <v>134660</v>
      </c>
      <c r="C643" s="246">
        <v>8156036</v>
      </c>
      <c r="D643" s="246" t="s">
        <v>2598</v>
      </c>
      <c r="E643" s="246" t="s">
        <v>248</v>
      </c>
      <c r="F643" s="246" t="s">
        <v>93</v>
      </c>
      <c r="G643" s="246" t="s">
        <v>93</v>
      </c>
      <c r="H643" s="246" t="s">
        <v>93</v>
      </c>
      <c r="I643" s="246" t="s">
        <v>90</v>
      </c>
      <c r="J643" s="246" t="s">
        <v>1490</v>
      </c>
      <c r="K643" s="246" t="s">
        <v>486</v>
      </c>
      <c r="L643" s="246" t="s">
        <v>487</v>
      </c>
      <c r="M643" s="246" t="s">
        <v>523</v>
      </c>
      <c r="N643" s="246" t="s">
        <v>524</v>
      </c>
      <c r="O643" s="246" t="s">
        <v>846</v>
      </c>
      <c r="P643" s="246" t="s">
        <v>2599</v>
      </c>
      <c r="Q643" s="247">
        <v>10046963</v>
      </c>
      <c r="R643" s="248">
        <v>43229</v>
      </c>
      <c r="S643" s="248">
        <v>43231</v>
      </c>
      <c r="T643" s="248">
        <v>43252</v>
      </c>
      <c r="U643" s="246" t="s">
        <v>488</v>
      </c>
      <c r="V643" s="246">
        <v>2</v>
      </c>
      <c r="W643" s="246" t="s">
        <v>219</v>
      </c>
      <c r="X643" s="246">
        <v>2</v>
      </c>
      <c r="Y643" s="246">
        <v>2</v>
      </c>
      <c r="Z643" s="246">
        <v>2</v>
      </c>
      <c r="AA643" s="246">
        <v>2</v>
      </c>
      <c r="AB643" s="246" t="s">
        <v>486</v>
      </c>
      <c r="AC643" s="246" t="s">
        <v>486</v>
      </c>
      <c r="AD643" s="246" t="s">
        <v>490</v>
      </c>
      <c r="AE643" s="246" t="s">
        <v>486</v>
      </c>
      <c r="AF643" s="246" t="s">
        <v>486</v>
      </c>
      <c r="AG643" s="246" t="s">
        <v>486</v>
      </c>
      <c r="AH643" s="246" t="s">
        <v>486</v>
      </c>
      <c r="AI643" s="246" t="s">
        <v>486</v>
      </c>
      <c r="AJ643" s="246" t="s">
        <v>486</v>
      </c>
      <c r="AK643" s="246" t="s">
        <v>486</v>
      </c>
      <c r="AL643" s="246" t="s">
        <v>491</v>
      </c>
      <c r="AM643" s="246" t="s">
        <v>486</v>
      </c>
      <c r="AN643" s="246" t="s">
        <v>486</v>
      </c>
      <c r="AO643" s="248" t="s">
        <v>486</v>
      </c>
      <c r="AP643" s="247" t="s">
        <v>486</v>
      </c>
      <c r="AQ643" s="249" t="s">
        <v>486</v>
      </c>
      <c r="AR643" s="246" t="s">
        <v>486</v>
      </c>
    </row>
    <row r="644" spans="1:44" ht="15" x14ac:dyDescent="0.25">
      <c r="A644" s="250" t="str">
        <f>HYPERLINK("http://www.ofsted.gov.uk/inspection-reports/find-inspection-report/provider/ELS/135066 ","Ofsted School Webpage")</f>
        <v>Ofsted School Webpage</v>
      </c>
      <c r="B644" s="251">
        <v>135066</v>
      </c>
      <c r="C644" s="251">
        <v>9266152</v>
      </c>
      <c r="D644" s="251" t="s">
        <v>2600</v>
      </c>
      <c r="E644" s="251" t="s">
        <v>248</v>
      </c>
      <c r="F644" s="251" t="s">
        <v>93</v>
      </c>
      <c r="G644" s="251" t="s">
        <v>93</v>
      </c>
      <c r="H644" s="251" t="s">
        <v>93</v>
      </c>
      <c r="I644" s="251" t="s">
        <v>90</v>
      </c>
      <c r="J644" s="251" t="s">
        <v>1490</v>
      </c>
      <c r="K644" s="251" t="s">
        <v>486</v>
      </c>
      <c r="L644" s="251" t="s">
        <v>487</v>
      </c>
      <c r="M644" s="251" t="s">
        <v>516</v>
      </c>
      <c r="N644" s="251" t="s">
        <v>516</v>
      </c>
      <c r="O644" s="251" t="s">
        <v>528</v>
      </c>
      <c r="P644" s="251" t="s">
        <v>2601</v>
      </c>
      <c r="Q644" s="252">
        <v>10046995</v>
      </c>
      <c r="R644" s="253">
        <v>43229</v>
      </c>
      <c r="S644" s="253">
        <v>43231</v>
      </c>
      <c r="T644" s="253">
        <v>43266</v>
      </c>
      <c r="U644" s="251" t="s">
        <v>488</v>
      </c>
      <c r="V644" s="251">
        <v>2</v>
      </c>
      <c r="W644" s="251" t="s">
        <v>219</v>
      </c>
      <c r="X644" s="251">
        <v>2</v>
      </c>
      <c r="Y644" s="251">
        <v>2</v>
      </c>
      <c r="Z644" s="251">
        <v>2</v>
      </c>
      <c r="AA644" s="251">
        <v>2</v>
      </c>
      <c r="AB644" s="251" t="s">
        <v>486</v>
      </c>
      <c r="AC644" s="251">
        <v>2</v>
      </c>
      <c r="AD644" s="251" t="s">
        <v>490</v>
      </c>
      <c r="AE644" s="251" t="s">
        <v>486</v>
      </c>
      <c r="AF644" s="251" t="s">
        <v>486</v>
      </c>
      <c r="AG644" s="251" t="s">
        <v>486</v>
      </c>
      <c r="AH644" s="251" t="s">
        <v>486</v>
      </c>
      <c r="AI644" s="251" t="s">
        <v>486</v>
      </c>
      <c r="AJ644" s="251" t="s">
        <v>486</v>
      </c>
      <c r="AK644" s="251" t="s">
        <v>486</v>
      </c>
      <c r="AL644" s="251" t="s">
        <v>491</v>
      </c>
      <c r="AM644" s="251" t="s">
        <v>486</v>
      </c>
      <c r="AN644" s="251" t="s">
        <v>486</v>
      </c>
      <c r="AO644" s="253" t="s">
        <v>486</v>
      </c>
      <c r="AP644" s="252" t="s">
        <v>486</v>
      </c>
      <c r="AQ644" s="254" t="s">
        <v>486</v>
      </c>
      <c r="AR644" s="251" t="s">
        <v>486</v>
      </c>
    </row>
    <row r="645" spans="1:44" ht="15" x14ac:dyDescent="0.25">
      <c r="A645" s="245" t="str">
        <f>HYPERLINK("http://www.ofsted.gov.uk/inspection-reports/find-inspection-report/provider/ELS/135483 ","Ofsted School Webpage")</f>
        <v>Ofsted School Webpage</v>
      </c>
      <c r="B645" s="246">
        <v>135483</v>
      </c>
      <c r="C645" s="246">
        <v>3356013</v>
      </c>
      <c r="D645" s="246" t="s">
        <v>2602</v>
      </c>
      <c r="E645" s="246" t="s">
        <v>247</v>
      </c>
      <c r="F645" s="246" t="s">
        <v>93</v>
      </c>
      <c r="G645" s="246" t="s">
        <v>84</v>
      </c>
      <c r="H645" s="246" t="s">
        <v>84</v>
      </c>
      <c r="I645" s="246" t="s">
        <v>84</v>
      </c>
      <c r="J645" s="246" t="s">
        <v>1490</v>
      </c>
      <c r="K645" s="246" t="s">
        <v>486</v>
      </c>
      <c r="L645" s="246" t="s">
        <v>487</v>
      </c>
      <c r="M645" s="246" t="s">
        <v>502</v>
      </c>
      <c r="N645" s="246" t="s">
        <v>502</v>
      </c>
      <c r="O645" s="246" t="s">
        <v>2187</v>
      </c>
      <c r="P645" s="246" t="s">
        <v>2603</v>
      </c>
      <c r="Q645" s="247">
        <v>10038834</v>
      </c>
      <c r="R645" s="248">
        <v>43229</v>
      </c>
      <c r="S645" s="248">
        <v>43231</v>
      </c>
      <c r="T645" s="248">
        <v>43262</v>
      </c>
      <c r="U645" s="246" t="s">
        <v>488</v>
      </c>
      <c r="V645" s="246">
        <v>2</v>
      </c>
      <c r="W645" s="246" t="s">
        <v>219</v>
      </c>
      <c r="X645" s="246">
        <v>2</v>
      </c>
      <c r="Y645" s="246">
        <v>2</v>
      </c>
      <c r="Z645" s="246">
        <v>2</v>
      </c>
      <c r="AA645" s="246">
        <v>2</v>
      </c>
      <c r="AB645" s="246" t="s">
        <v>486</v>
      </c>
      <c r="AC645" s="246" t="s">
        <v>486</v>
      </c>
      <c r="AD645" s="246" t="s">
        <v>490</v>
      </c>
      <c r="AE645" s="246" t="s">
        <v>486</v>
      </c>
      <c r="AF645" s="246" t="s">
        <v>486</v>
      </c>
      <c r="AG645" s="246" t="s">
        <v>486</v>
      </c>
      <c r="AH645" s="246" t="s">
        <v>486</v>
      </c>
      <c r="AI645" s="246" t="s">
        <v>486</v>
      </c>
      <c r="AJ645" s="246" t="s">
        <v>486</v>
      </c>
      <c r="AK645" s="246" t="s">
        <v>486</v>
      </c>
      <c r="AL645" s="246" t="s">
        <v>491</v>
      </c>
      <c r="AM645" s="246" t="s">
        <v>486</v>
      </c>
      <c r="AN645" s="246" t="s">
        <v>486</v>
      </c>
      <c r="AO645" s="248" t="s">
        <v>486</v>
      </c>
      <c r="AP645" s="247" t="s">
        <v>486</v>
      </c>
      <c r="AQ645" s="249" t="s">
        <v>486</v>
      </c>
      <c r="AR645" s="246" t="s">
        <v>486</v>
      </c>
    </row>
    <row r="646" spans="1:44" ht="15" x14ac:dyDescent="0.25">
      <c r="A646" s="250" t="str">
        <f>HYPERLINK("http://www.ofsted.gov.uk/inspection-reports/find-inspection-report/provider/ELS/136211 ","Ofsted School Webpage")</f>
        <v>Ofsted School Webpage</v>
      </c>
      <c r="B646" s="251">
        <v>136211</v>
      </c>
      <c r="C646" s="251">
        <v>8866136</v>
      </c>
      <c r="D646" s="251" t="s">
        <v>2604</v>
      </c>
      <c r="E646" s="251" t="s">
        <v>247</v>
      </c>
      <c r="F646" s="251" t="s">
        <v>93</v>
      </c>
      <c r="G646" s="251" t="s">
        <v>93</v>
      </c>
      <c r="H646" s="251" t="s">
        <v>93</v>
      </c>
      <c r="I646" s="251" t="s">
        <v>90</v>
      </c>
      <c r="J646" s="251" t="s">
        <v>1490</v>
      </c>
      <c r="K646" s="251" t="s">
        <v>486</v>
      </c>
      <c r="L646" s="251" t="s">
        <v>487</v>
      </c>
      <c r="M646" s="251" t="s">
        <v>581</v>
      </c>
      <c r="N646" s="251" t="s">
        <v>581</v>
      </c>
      <c r="O646" s="251" t="s">
        <v>694</v>
      </c>
      <c r="P646" s="251" t="s">
        <v>2605</v>
      </c>
      <c r="Q646" s="252">
        <v>10033955</v>
      </c>
      <c r="R646" s="253">
        <v>43229</v>
      </c>
      <c r="S646" s="253">
        <v>43231</v>
      </c>
      <c r="T646" s="253">
        <v>43272</v>
      </c>
      <c r="U646" s="251" t="s">
        <v>488</v>
      </c>
      <c r="V646" s="251">
        <v>1</v>
      </c>
      <c r="W646" s="251" t="s">
        <v>219</v>
      </c>
      <c r="X646" s="251">
        <v>1</v>
      </c>
      <c r="Y646" s="251">
        <v>1</v>
      </c>
      <c r="Z646" s="251">
        <v>1</v>
      </c>
      <c r="AA646" s="251">
        <v>1</v>
      </c>
      <c r="AB646" s="251" t="s">
        <v>486</v>
      </c>
      <c r="AC646" s="251" t="s">
        <v>486</v>
      </c>
      <c r="AD646" s="251" t="s">
        <v>490</v>
      </c>
      <c r="AE646" s="251" t="s">
        <v>486</v>
      </c>
      <c r="AF646" s="251" t="s">
        <v>486</v>
      </c>
      <c r="AG646" s="251" t="s">
        <v>486</v>
      </c>
      <c r="AH646" s="251" t="s">
        <v>486</v>
      </c>
      <c r="AI646" s="251" t="s">
        <v>486</v>
      </c>
      <c r="AJ646" s="251" t="s">
        <v>486</v>
      </c>
      <c r="AK646" s="251" t="s">
        <v>486</v>
      </c>
      <c r="AL646" s="251" t="s">
        <v>491</v>
      </c>
      <c r="AM646" s="251" t="s">
        <v>486</v>
      </c>
      <c r="AN646" s="251" t="s">
        <v>486</v>
      </c>
      <c r="AO646" s="253" t="s">
        <v>486</v>
      </c>
      <c r="AP646" s="252" t="s">
        <v>486</v>
      </c>
      <c r="AQ646" s="254" t="s">
        <v>486</v>
      </c>
      <c r="AR646" s="251" t="s">
        <v>486</v>
      </c>
    </row>
    <row r="647" spans="1:44" ht="15" x14ac:dyDescent="0.25">
      <c r="A647" s="245" t="str">
        <f>HYPERLINK("http://www.ofsted.gov.uk/inspection-reports/find-inspection-report/provider/ELS/100298 ","Ofsted School Webpage")</f>
        <v>Ofsted School Webpage</v>
      </c>
      <c r="B647" s="246">
        <v>100298</v>
      </c>
      <c r="C647" s="246">
        <v>2046385</v>
      </c>
      <c r="D647" s="246" t="s">
        <v>1362</v>
      </c>
      <c r="E647" s="246" t="s">
        <v>247</v>
      </c>
      <c r="F647" s="246" t="s">
        <v>93</v>
      </c>
      <c r="G647" s="246" t="s">
        <v>81</v>
      </c>
      <c r="H647" s="246" t="s">
        <v>81</v>
      </c>
      <c r="I647" s="246" t="s">
        <v>81</v>
      </c>
      <c r="J647" s="246" t="s">
        <v>1490</v>
      </c>
      <c r="K647" s="246" t="s">
        <v>486</v>
      </c>
      <c r="L647" s="246" t="s">
        <v>487</v>
      </c>
      <c r="M647" s="246" t="s">
        <v>506</v>
      </c>
      <c r="N647" s="246" t="s">
        <v>506</v>
      </c>
      <c r="O647" s="246" t="s">
        <v>617</v>
      </c>
      <c r="P647" s="246" t="s">
        <v>1363</v>
      </c>
      <c r="Q647" s="247">
        <v>10035772</v>
      </c>
      <c r="R647" s="248">
        <v>43235</v>
      </c>
      <c r="S647" s="248">
        <v>43237</v>
      </c>
      <c r="T647" s="248">
        <v>43348</v>
      </c>
      <c r="U647" s="246" t="s">
        <v>488</v>
      </c>
      <c r="V647" s="246">
        <v>4</v>
      </c>
      <c r="W647" s="246" t="s">
        <v>219</v>
      </c>
      <c r="X647" s="246">
        <v>4</v>
      </c>
      <c r="Y647" s="246">
        <v>3</v>
      </c>
      <c r="Z647" s="246">
        <v>4</v>
      </c>
      <c r="AA647" s="246">
        <v>4</v>
      </c>
      <c r="AB647" s="246">
        <v>4</v>
      </c>
      <c r="AC647" s="246" t="s">
        <v>486</v>
      </c>
      <c r="AD647" s="246" t="s">
        <v>490</v>
      </c>
      <c r="AE647" s="246" t="s">
        <v>486</v>
      </c>
      <c r="AF647" s="246" t="s">
        <v>486</v>
      </c>
      <c r="AG647" s="246" t="s">
        <v>486</v>
      </c>
      <c r="AH647" s="246" t="s">
        <v>486</v>
      </c>
      <c r="AI647" s="246" t="s">
        <v>486</v>
      </c>
      <c r="AJ647" s="246" t="s">
        <v>486</v>
      </c>
      <c r="AK647" s="246" t="s">
        <v>486</v>
      </c>
      <c r="AL647" s="246" t="s">
        <v>545</v>
      </c>
      <c r="AM647" s="246">
        <v>10092174</v>
      </c>
      <c r="AN647" s="246" t="s">
        <v>1109</v>
      </c>
      <c r="AO647" s="248">
        <v>43509</v>
      </c>
      <c r="AP647" s="247" t="s">
        <v>1523</v>
      </c>
      <c r="AQ647" s="249">
        <v>43543</v>
      </c>
      <c r="AR647" s="246" t="s">
        <v>1136</v>
      </c>
    </row>
    <row r="648" spans="1:44" ht="15" x14ac:dyDescent="0.25">
      <c r="A648" s="250" t="str">
        <f>HYPERLINK("http://www.ofsted.gov.uk/inspection-reports/find-inspection-report/provider/ELS/101174 ","Ofsted School Webpage")</f>
        <v>Ofsted School Webpage</v>
      </c>
      <c r="B648" s="251">
        <v>101174</v>
      </c>
      <c r="C648" s="251">
        <v>2136333</v>
      </c>
      <c r="D648" s="251" t="s">
        <v>2606</v>
      </c>
      <c r="E648" s="251" t="s">
        <v>247</v>
      </c>
      <c r="F648" s="251" t="s">
        <v>93</v>
      </c>
      <c r="G648" s="251" t="s">
        <v>93</v>
      </c>
      <c r="H648" s="251" t="s">
        <v>93</v>
      </c>
      <c r="I648" s="251" t="s">
        <v>90</v>
      </c>
      <c r="J648" s="251" t="s">
        <v>1490</v>
      </c>
      <c r="K648" s="251" t="s">
        <v>486</v>
      </c>
      <c r="L648" s="251" t="s">
        <v>487</v>
      </c>
      <c r="M648" s="251" t="s">
        <v>506</v>
      </c>
      <c r="N648" s="251" t="s">
        <v>506</v>
      </c>
      <c r="O648" s="251" t="s">
        <v>658</v>
      </c>
      <c r="P648" s="251" t="s">
        <v>2607</v>
      </c>
      <c r="Q648" s="252">
        <v>10020767</v>
      </c>
      <c r="R648" s="253">
        <v>43235</v>
      </c>
      <c r="S648" s="253">
        <v>43237</v>
      </c>
      <c r="T648" s="253">
        <v>43266</v>
      </c>
      <c r="U648" s="251" t="s">
        <v>488</v>
      </c>
      <c r="V648" s="251">
        <v>2</v>
      </c>
      <c r="W648" s="251" t="s">
        <v>219</v>
      </c>
      <c r="X648" s="251">
        <v>2</v>
      </c>
      <c r="Y648" s="251">
        <v>1</v>
      </c>
      <c r="Z648" s="251">
        <v>2</v>
      </c>
      <c r="AA648" s="251">
        <v>2</v>
      </c>
      <c r="AB648" s="251">
        <v>1</v>
      </c>
      <c r="AC648" s="251" t="s">
        <v>486</v>
      </c>
      <c r="AD648" s="251" t="s">
        <v>490</v>
      </c>
      <c r="AE648" s="251" t="s">
        <v>486</v>
      </c>
      <c r="AF648" s="251" t="s">
        <v>486</v>
      </c>
      <c r="AG648" s="251" t="s">
        <v>486</v>
      </c>
      <c r="AH648" s="251" t="s">
        <v>486</v>
      </c>
      <c r="AI648" s="251" t="s">
        <v>486</v>
      </c>
      <c r="AJ648" s="251" t="s">
        <v>486</v>
      </c>
      <c r="AK648" s="251" t="s">
        <v>486</v>
      </c>
      <c r="AL648" s="251" t="s">
        <v>491</v>
      </c>
      <c r="AM648" s="251" t="s">
        <v>486</v>
      </c>
      <c r="AN648" s="251" t="s">
        <v>486</v>
      </c>
      <c r="AO648" s="253" t="s">
        <v>486</v>
      </c>
      <c r="AP648" s="252" t="s">
        <v>486</v>
      </c>
      <c r="AQ648" s="254" t="s">
        <v>486</v>
      </c>
      <c r="AR648" s="251" t="s">
        <v>486</v>
      </c>
    </row>
    <row r="649" spans="1:44" ht="15" x14ac:dyDescent="0.25">
      <c r="A649" s="245" t="str">
        <f>HYPERLINK("http://www.ofsted.gov.uk/inspection-reports/find-inspection-report/provider/ELS/114646 ","Ofsted School Webpage")</f>
        <v>Ofsted School Webpage</v>
      </c>
      <c r="B649" s="246">
        <v>114646</v>
      </c>
      <c r="C649" s="246">
        <v>8456003</v>
      </c>
      <c r="D649" s="246" t="s">
        <v>2608</v>
      </c>
      <c r="E649" s="246" t="s">
        <v>247</v>
      </c>
      <c r="F649" s="246" t="s">
        <v>93</v>
      </c>
      <c r="G649" s="246" t="s">
        <v>71</v>
      </c>
      <c r="H649" s="246" t="s">
        <v>71</v>
      </c>
      <c r="I649" s="246" t="s">
        <v>71</v>
      </c>
      <c r="J649" s="246" t="s">
        <v>1490</v>
      </c>
      <c r="K649" s="246" t="s">
        <v>486</v>
      </c>
      <c r="L649" s="246" t="s">
        <v>487</v>
      </c>
      <c r="M649" s="246" t="s">
        <v>581</v>
      </c>
      <c r="N649" s="246" t="s">
        <v>581</v>
      </c>
      <c r="O649" s="246" t="s">
        <v>761</v>
      </c>
      <c r="P649" s="246" t="s">
        <v>2609</v>
      </c>
      <c r="Q649" s="247">
        <v>10020919</v>
      </c>
      <c r="R649" s="248">
        <v>43235</v>
      </c>
      <c r="S649" s="248">
        <v>43237</v>
      </c>
      <c r="T649" s="248">
        <v>43266</v>
      </c>
      <c r="U649" s="246" t="s">
        <v>488</v>
      </c>
      <c r="V649" s="246">
        <v>2</v>
      </c>
      <c r="W649" s="246" t="s">
        <v>219</v>
      </c>
      <c r="X649" s="246">
        <v>2</v>
      </c>
      <c r="Y649" s="246">
        <v>1</v>
      </c>
      <c r="Z649" s="246">
        <v>2</v>
      </c>
      <c r="AA649" s="246">
        <v>2</v>
      </c>
      <c r="AB649" s="246">
        <v>2</v>
      </c>
      <c r="AC649" s="246" t="s">
        <v>486</v>
      </c>
      <c r="AD649" s="246" t="s">
        <v>486</v>
      </c>
      <c r="AE649" s="246" t="s">
        <v>486</v>
      </c>
      <c r="AF649" s="246" t="s">
        <v>486</v>
      </c>
      <c r="AG649" s="246" t="s">
        <v>486</v>
      </c>
      <c r="AH649" s="246" t="s">
        <v>486</v>
      </c>
      <c r="AI649" s="246" t="s">
        <v>486</v>
      </c>
      <c r="AJ649" s="246" t="s">
        <v>486</v>
      </c>
      <c r="AK649" s="246" t="s">
        <v>486</v>
      </c>
      <c r="AL649" s="246" t="s">
        <v>491</v>
      </c>
      <c r="AM649" s="246" t="s">
        <v>486</v>
      </c>
      <c r="AN649" s="246" t="s">
        <v>486</v>
      </c>
      <c r="AO649" s="248" t="s">
        <v>486</v>
      </c>
      <c r="AP649" s="247" t="s">
        <v>486</v>
      </c>
      <c r="AQ649" s="249" t="s">
        <v>486</v>
      </c>
      <c r="AR649" s="246" t="s">
        <v>486</v>
      </c>
    </row>
    <row r="650" spans="1:44" ht="15" x14ac:dyDescent="0.25">
      <c r="A650" s="250" t="str">
        <f>HYPERLINK("http://www.ofsted.gov.uk/inspection-reports/find-inspection-report/provider/ELS/125790 ","Ofsted School Webpage")</f>
        <v>Ofsted School Webpage</v>
      </c>
      <c r="B650" s="251">
        <v>125790</v>
      </c>
      <c r="C650" s="251">
        <v>9376092</v>
      </c>
      <c r="D650" s="251" t="s">
        <v>2610</v>
      </c>
      <c r="E650" s="251" t="s">
        <v>248</v>
      </c>
      <c r="F650" s="251" t="s">
        <v>93</v>
      </c>
      <c r="G650" s="251" t="s">
        <v>93</v>
      </c>
      <c r="H650" s="251" t="s">
        <v>93</v>
      </c>
      <c r="I650" s="251" t="s">
        <v>90</v>
      </c>
      <c r="J650" s="251" t="s">
        <v>1490</v>
      </c>
      <c r="K650" s="251" t="s">
        <v>486</v>
      </c>
      <c r="L650" s="251" t="s">
        <v>487</v>
      </c>
      <c r="M650" s="251" t="s">
        <v>502</v>
      </c>
      <c r="N650" s="251" t="s">
        <v>502</v>
      </c>
      <c r="O650" s="251" t="s">
        <v>503</v>
      </c>
      <c r="P650" s="251" t="s">
        <v>2611</v>
      </c>
      <c r="Q650" s="252">
        <v>10047127</v>
      </c>
      <c r="R650" s="253">
        <v>43235</v>
      </c>
      <c r="S650" s="253">
        <v>43237</v>
      </c>
      <c r="T650" s="253">
        <v>43269</v>
      </c>
      <c r="U650" s="251" t="s">
        <v>488</v>
      </c>
      <c r="V650" s="251">
        <v>2</v>
      </c>
      <c r="W650" s="251" t="s">
        <v>219</v>
      </c>
      <c r="X650" s="251">
        <v>2</v>
      </c>
      <c r="Y650" s="251">
        <v>1</v>
      </c>
      <c r="Z650" s="251">
        <v>2</v>
      </c>
      <c r="AA650" s="251">
        <v>2</v>
      </c>
      <c r="AB650" s="251" t="s">
        <v>486</v>
      </c>
      <c r="AC650" s="251" t="s">
        <v>486</v>
      </c>
      <c r="AD650" s="251" t="s">
        <v>490</v>
      </c>
      <c r="AE650" s="251" t="s">
        <v>486</v>
      </c>
      <c r="AF650" s="251" t="s">
        <v>486</v>
      </c>
      <c r="AG650" s="251" t="s">
        <v>486</v>
      </c>
      <c r="AH650" s="251" t="s">
        <v>486</v>
      </c>
      <c r="AI650" s="251" t="s">
        <v>486</v>
      </c>
      <c r="AJ650" s="251" t="s">
        <v>486</v>
      </c>
      <c r="AK650" s="251" t="s">
        <v>486</v>
      </c>
      <c r="AL650" s="251" t="s">
        <v>491</v>
      </c>
      <c r="AM650" s="251" t="s">
        <v>486</v>
      </c>
      <c r="AN650" s="251" t="s">
        <v>486</v>
      </c>
      <c r="AO650" s="253" t="s">
        <v>486</v>
      </c>
      <c r="AP650" s="252" t="s">
        <v>486</v>
      </c>
      <c r="AQ650" s="254" t="s">
        <v>486</v>
      </c>
      <c r="AR650" s="251" t="s">
        <v>486</v>
      </c>
    </row>
    <row r="651" spans="1:44" ht="15" x14ac:dyDescent="0.25">
      <c r="A651" s="245" t="str">
        <f>HYPERLINK("http://www.ofsted.gov.uk/inspection-reports/find-inspection-report/provider/ELS/130283 ","Ofsted School Webpage")</f>
        <v>Ofsted School Webpage</v>
      </c>
      <c r="B651" s="246">
        <v>130283</v>
      </c>
      <c r="C651" s="246">
        <v>9256041</v>
      </c>
      <c r="D651" s="246" t="s">
        <v>2612</v>
      </c>
      <c r="E651" s="246" t="s">
        <v>247</v>
      </c>
      <c r="F651" s="246" t="s">
        <v>93</v>
      </c>
      <c r="G651" s="246" t="s">
        <v>74</v>
      </c>
      <c r="H651" s="246" t="s">
        <v>74</v>
      </c>
      <c r="I651" s="246" t="s">
        <v>71</v>
      </c>
      <c r="J651" s="246" t="s">
        <v>1490</v>
      </c>
      <c r="K651" s="246" t="s">
        <v>486</v>
      </c>
      <c r="L651" s="246" t="s">
        <v>487</v>
      </c>
      <c r="M651" s="246" t="s">
        <v>572</v>
      </c>
      <c r="N651" s="246" t="s">
        <v>572</v>
      </c>
      <c r="O651" s="246" t="s">
        <v>929</v>
      </c>
      <c r="P651" s="246" t="s">
        <v>2613</v>
      </c>
      <c r="Q651" s="247">
        <v>10048632</v>
      </c>
      <c r="R651" s="248">
        <v>43235</v>
      </c>
      <c r="S651" s="248">
        <v>43237</v>
      </c>
      <c r="T651" s="248">
        <v>43265</v>
      </c>
      <c r="U651" s="246" t="s">
        <v>488</v>
      </c>
      <c r="V651" s="246">
        <v>2</v>
      </c>
      <c r="W651" s="246" t="s">
        <v>219</v>
      </c>
      <c r="X651" s="246">
        <v>2</v>
      </c>
      <c r="Y651" s="246">
        <v>1</v>
      </c>
      <c r="Z651" s="246">
        <v>2</v>
      </c>
      <c r="AA651" s="246">
        <v>2</v>
      </c>
      <c r="AB651" s="246">
        <v>1</v>
      </c>
      <c r="AC651" s="246" t="s">
        <v>486</v>
      </c>
      <c r="AD651" s="246" t="s">
        <v>490</v>
      </c>
      <c r="AE651" s="246" t="s">
        <v>486</v>
      </c>
      <c r="AF651" s="246" t="s">
        <v>486</v>
      </c>
      <c r="AG651" s="246" t="s">
        <v>486</v>
      </c>
      <c r="AH651" s="246" t="s">
        <v>486</v>
      </c>
      <c r="AI651" s="246" t="s">
        <v>486</v>
      </c>
      <c r="AJ651" s="246" t="s">
        <v>486</v>
      </c>
      <c r="AK651" s="246" t="s">
        <v>486</v>
      </c>
      <c r="AL651" s="246" t="s">
        <v>491</v>
      </c>
      <c r="AM651" s="246" t="s">
        <v>486</v>
      </c>
      <c r="AN651" s="246" t="s">
        <v>486</v>
      </c>
      <c r="AO651" s="248" t="s">
        <v>486</v>
      </c>
      <c r="AP651" s="247" t="s">
        <v>486</v>
      </c>
      <c r="AQ651" s="249" t="s">
        <v>486</v>
      </c>
      <c r="AR651" s="246" t="s">
        <v>486</v>
      </c>
    </row>
    <row r="652" spans="1:44" ht="15" x14ac:dyDescent="0.25">
      <c r="A652" s="250" t="str">
        <f>HYPERLINK("http://www.ofsted.gov.uk/inspection-reports/find-inspection-report/provider/ELS/131170 ","Ofsted School Webpage")</f>
        <v>Ofsted School Webpage</v>
      </c>
      <c r="B652" s="251">
        <v>131170</v>
      </c>
      <c r="C652" s="251">
        <v>2046398</v>
      </c>
      <c r="D652" s="251" t="s">
        <v>2614</v>
      </c>
      <c r="E652" s="251" t="s">
        <v>247</v>
      </c>
      <c r="F652" s="251" t="s">
        <v>93</v>
      </c>
      <c r="G652" s="251" t="s">
        <v>82</v>
      </c>
      <c r="H652" s="251" t="s">
        <v>82</v>
      </c>
      <c r="I652" s="251" t="s">
        <v>81</v>
      </c>
      <c r="J652" s="251" t="s">
        <v>1490</v>
      </c>
      <c r="K652" s="251" t="s">
        <v>486</v>
      </c>
      <c r="L652" s="251" t="s">
        <v>487</v>
      </c>
      <c r="M652" s="251" t="s">
        <v>506</v>
      </c>
      <c r="N652" s="251" t="s">
        <v>506</v>
      </c>
      <c r="O652" s="251" t="s">
        <v>617</v>
      </c>
      <c r="P652" s="251" t="s">
        <v>2615</v>
      </c>
      <c r="Q652" s="252">
        <v>10038160</v>
      </c>
      <c r="R652" s="253">
        <v>43235</v>
      </c>
      <c r="S652" s="253">
        <v>43237</v>
      </c>
      <c r="T652" s="253">
        <v>43384</v>
      </c>
      <c r="U652" s="251" t="s">
        <v>488</v>
      </c>
      <c r="V652" s="251">
        <v>3</v>
      </c>
      <c r="W652" s="251" t="s">
        <v>219</v>
      </c>
      <c r="X652" s="251">
        <v>3</v>
      </c>
      <c r="Y652" s="251">
        <v>3</v>
      </c>
      <c r="Z652" s="251">
        <v>3</v>
      </c>
      <c r="AA652" s="251">
        <v>3</v>
      </c>
      <c r="AB652" s="251">
        <v>3</v>
      </c>
      <c r="AC652" s="251" t="s">
        <v>486</v>
      </c>
      <c r="AD652" s="251" t="s">
        <v>490</v>
      </c>
      <c r="AE652" s="251" t="s">
        <v>486</v>
      </c>
      <c r="AF652" s="251" t="s">
        <v>486</v>
      </c>
      <c r="AG652" s="251" t="s">
        <v>486</v>
      </c>
      <c r="AH652" s="251" t="s">
        <v>486</v>
      </c>
      <c r="AI652" s="251" t="s">
        <v>486</v>
      </c>
      <c r="AJ652" s="251" t="s">
        <v>486</v>
      </c>
      <c r="AK652" s="251" t="s">
        <v>486</v>
      </c>
      <c r="AL652" s="251" t="s">
        <v>491</v>
      </c>
      <c r="AM652" s="251" t="s">
        <v>486</v>
      </c>
      <c r="AN652" s="251" t="s">
        <v>486</v>
      </c>
      <c r="AO652" s="253" t="s">
        <v>486</v>
      </c>
      <c r="AP652" s="252" t="s">
        <v>486</v>
      </c>
      <c r="AQ652" s="254" t="s">
        <v>486</v>
      </c>
      <c r="AR652" s="251" t="s">
        <v>486</v>
      </c>
    </row>
    <row r="653" spans="1:44" ht="15" x14ac:dyDescent="0.25">
      <c r="A653" s="245" t="str">
        <f>HYPERLINK("http://www.ofsted.gov.uk/inspection-reports/find-inspection-report/provider/ELS/133429 ","Ofsted School Webpage")</f>
        <v>Ofsted School Webpage</v>
      </c>
      <c r="B653" s="246">
        <v>133429</v>
      </c>
      <c r="C653" s="246">
        <v>8116012</v>
      </c>
      <c r="D653" s="246" t="s">
        <v>2616</v>
      </c>
      <c r="E653" s="246" t="s">
        <v>248</v>
      </c>
      <c r="F653" s="246" t="s">
        <v>93</v>
      </c>
      <c r="G653" s="246" t="s">
        <v>93</v>
      </c>
      <c r="H653" s="246" t="s">
        <v>93</v>
      </c>
      <c r="I653" s="246" t="s">
        <v>90</v>
      </c>
      <c r="J653" s="246" t="s">
        <v>1490</v>
      </c>
      <c r="K653" s="246" t="s">
        <v>486</v>
      </c>
      <c r="L653" s="246" t="s">
        <v>487</v>
      </c>
      <c r="M653" s="246" t="s">
        <v>523</v>
      </c>
      <c r="N653" s="246" t="s">
        <v>524</v>
      </c>
      <c r="O653" s="246" t="s">
        <v>961</v>
      </c>
      <c r="P653" s="246" t="s">
        <v>2617</v>
      </c>
      <c r="Q653" s="247">
        <v>10046962</v>
      </c>
      <c r="R653" s="248">
        <v>43235</v>
      </c>
      <c r="S653" s="248">
        <v>43237</v>
      </c>
      <c r="T653" s="248">
        <v>43270</v>
      </c>
      <c r="U653" s="246" t="s">
        <v>488</v>
      </c>
      <c r="V653" s="246">
        <v>2</v>
      </c>
      <c r="W653" s="246" t="s">
        <v>219</v>
      </c>
      <c r="X653" s="246">
        <v>2</v>
      </c>
      <c r="Y653" s="246">
        <v>3</v>
      </c>
      <c r="Z653" s="246">
        <v>2</v>
      </c>
      <c r="AA653" s="246">
        <v>2</v>
      </c>
      <c r="AB653" s="246" t="s">
        <v>486</v>
      </c>
      <c r="AC653" s="246" t="s">
        <v>486</v>
      </c>
      <c r="AD653" s="246" t="s">
        <v>490</v>
      </c>
      <c r="AE653" s="246" t="s">
        <v>486</v>
      </c>
      <c r="AF653" s="246" t="s">
        <v>486</v>
      </c>
      <c r="AG653" s="246" t="s">
        <v>486</v>
      </c>
      <c r="AH653" s="246" t="s">
        <v>486</v>
      </c>
      <c r="AI653" s="246" t="s">
        <v>486</v>
      </c>
      <c r="AJ653" s="246" t="s">
        <v>486</v>
      </c>
      <c r="AK653" s="246" t="s">
        <v>486</v>
      </c>
      <c r="AL653" s="246" t="s">
        <v>491</v>
      </c>
      <c r="AM653" s="246" t="s">
        <v>486</v>
      </c>
      <c r="AN653" s="246" t="s">
        <v>486</v>
      </c>
      <c r="AO653" s="248" t="s">
        <v>486</v>
      </c>
      <c r="AP653" s="247" t="s">
        <v>486</v>
      </c>
      <c r="AQ653" s="249" t="s">
        <v>486</v>
      </c>
      <c r="AR653" s="246" t="s">
        <v>486</v>
      </c>
    </row>
    <row r="654" spans="1:44" ht="15" x14ac:dyDescent="0.25">
      <c r="A654" s="250" t="str">
        <f>HYPERLINK("http://www.ofsted.gov.uk/inspection-reports/find-inspection-report/provider/ELS/134781 ","Ofsted School Webpage")</f>
        <v>Ofsted School Webpage</v>
      </c>
      <c r="B654" s="251">
        <v>134781</v>
      </c>
      <c r="C654" s="251">
        <v>9096054</v>
      </c>
      <c r="D654" s="251" t="s">
        <v>2618</v>
      </c>
      <c r="E654" s="251" t="s">
        <v>248</v>
      </c>
      <c r="F654" s="251" t="s">
        <v>93</v>
      </c>
      <c r="G654" s="251" t="s">
        <v>93</v>
      </c>
      <c r="H654" s="251" t="s">
        <v>93</v>
      </c>
      <c r="I654" s="251" t="s">
        <v>90</v>
      </c>
      <c r="J654" s="251" t="s">
        <v>1490</v>
      </c>
      <c r="K654" s="251" t="s">
        <v>486</v>
      </c>
      <c r="L654" s="251" t="s">
        <v>487</v>
      </c>
      <c r="M654" s="251" t="s">
        <v>495</v>
      </c>
      <c r="N654" s="251" t="s">
        <v>495</v>
      </c>
      <c r="O654" s="251" t="s">
        <v>663</v>
      </c>
      <c r="P654" s="251" t="s">
        <v>2619</v>
      </c>
      <c r="Q654" s="252">
        <v>10043377</v>
      </c>
      <c r="R654" s="253">
        <v>43235</v>
      </c>
      <c r="S654" s="253">
        <v>43237</v>
      </c>
      <c r="T654" s="253">
        <v>43292</v>
      </c>
      <c r="U654" s="251" t="s">
        <v>488</v>
      </c>
      <c r="V654" s="251">
        <v>1</v>
      </c>
      <c r="W654" s="251" t="s">
        <v>219</v>
      </c>
      <c r="X654" s="251">
        <v>1</v>
      </c>
      <c r="Y654" s="251">
        <v>1</v>
      </c>
      <c r="Z654" s="251">
        <v>1</v>
      </c>
      <c r="AA654" s="251">
        <v>1</v>
      </c>
      <c r="AB654" s="251" t="s">
        <v>486</v>
      </c>
      <c r="AC654" s="251">
        <v>1</v>
      </c>
      <c r="AD654" s="251" t="s">
        <v>490</v>
      </c>
      <c r="AE654" s="251" t="s">
        <v>486</v>
      </c>
      <c r="AF654" s="251" t="s">
        <v>486</v>
      </c>
      <c r="AG654" s="251" t="s">
        <v>486</v>
      </c>
      <c r="AH654" s="251" t="s">
        <v>486</v>
      </c>
      <c r="AI654" s="251" t="s">
        <v>486</v>
      </c>
      <c r="AJ654" s="251" t="s">
        <v>486</v>
      </c>
      <c r="AK654" s="251" t="s">
        <v>486</v>
      </c>
      <c r="AL654" s="251" t="s">
        <v>491</v>
      </c>
      <c r="AM654" s="251" t="s">
        <v>486</v>
      </c>
      <c r="AN654" s="251" t="s">
        <v>486</v>
      </c>
      <c r="AO654" s="253" t="s">
        <v>486</v>
      </c>
      <c r="AP654" s="252" t="s">
        <v>486</v>
      </c>
      <c r="AQ654" s="254" t="s">
        <v>486</v>
      </c>
      <c r="AR654" s="251" t="s">
        <v>486</v>
      </c>
    </row>
    <row r="655" spans="1:44" ht="15" x14ac:dyDescent="0.25">
      <c r="A655" s="245" t="str">
        <f>HYPERLINK("http://www.ofsted.gov.uk/inspection-reports/find-inspection-report/provider/ELS/135065 ","Ofsted School Webpage")</f>
        <v>Ofsted School Webpage</v>
      </c>
      <c r="B655" s="246">
        <v>135065</v>
      </c>
      <c r="C655" s="246">
        <v>8136003</v>
      </c>
      <c r="D655" s="246" t="s">
        <v>2620</v>
      </c>
      <c r="E655" s="246" t="s">
        <v>247</v>
      </c>
      <c r="F655" s="246" t="s">
        <v>93</v>
      </c>
      <c r="G655" s="246" t="s">
        <v>93</v>
      </c>
      <c r="H655" s="246" t="s">
        <v>93</v>
      </c>
      <c r="I655" s="246" t="s">
        <v>90</v>
      </c>
      <c r="J655" s="246" t="s">
        <v>1490</v>
      </c>
      <c r="K655" s="246" t="s">
        <v>486</v>
      </c>
      <c r="L655" s="246" t="s">
        <v>487</v>
      </c>
      <c r="M655" s="246" t="s">
        <v>523</v>
      </c>
      <c r="N655" s="246" t="s">
        <v>524</v>
      </c>
      <c r="O655" s="246" t="s">
        <v>1391</v>
      </c>
      <c r="P655" s="246" t="s">
        <v>2621</v>
      </c>
      <c r="Q655" s="247">
        <v>10046965</v>
      </c>
      <c r="R655" s="248">
        <v>43235</v>
      </c>
      <c r="S655" s="248">
        <v>43237</v>
      </c>
      <c r="T655" s="248">
        <v>43270</v>
      </c>
      <c r="U655" s="246" t="s">
        <v>488</v>
      </c>
      <c r="V655" s="246">
        <v>2</v>
      </c>
      <c r="W655" s="246" t="s">
        <v>219</v>
      </c>
      <c r="X655" s="246">
        <v>2</v>
      </c>
      <c r="Y655" s="246">
        <v>2</v>
      </c>
      <c r="Z655" s="246">
        <v>2</v>
      </c>
      <c r="AA655" s="246">
        <v>2</v>
      </c>
      <c r="AB655" s="246" t="s">
        <v>486</v>
      </c>
      <c r="AC655" s="246" t="s">
        <v>486</v>
      </c>
      <c r="AD655" s="246" t="s">
        <v>490</v>
      </c>
      <c r="AE655" s="246" t="s">
        <v>486</v>
      </c>
      <c r="AF655" s="246" t="s">
        <v>486</v>
      </c>
      <c r="AG655" s="246" t="s">
        <v>486</v>
      </c>
      <c r="AH655" s="246" t="s">
        <v>486</v>
      </c>
      <c r="AI655" s="246" t="s">
        <v>486</v>
      </c>
      <c r="AJ655" s="246" t="s">
        <v>486</v>
      </c>
      <c r="AK655" s="246" t="s">
        <v>486</v>
      </c>
      <c r="AL655" s="246" t="s">
        <v>491</v>
      </c>
      <c r="AM655" s="246" t="s">
        <v>486</v>
      </c>
      <c r="AN655" s="246" t="s">
        <v>486</v>
      </c>
      <c r="AO655" s="248" t="s">
        <v>486</v>
      </c>
      <c r="AP655" s="247" t="s">
        <v>486</v>
      </c>
      <c r="AQ655" s="249" t="s">
        <v>486</v>
      </c>
      <c r="AR655" s="246" t="s">
        <v>486</v>
      </c>
    </row>
    <row r="656" spans="1:44" ht="15" x14ac:dyDescent="0.25">
      <c r="A656" s="250" t="str">
        <f>HYPERLINK("http://www.ofsted.gov.uk/inspection-reports/find-inspection-report/provider/ELS/135380 ","Ofsted School Webpage")</f>
        <v>Ofsted School Webpage</v>
      </c>
      <c r="B656" s="251">
        <v>135380</v>
      </c>
      <c r="C656" s="251">
        <v>8736044</v>
      </c>
      <c r="D656" s="251" t="s">
        <v>2622</v>
      </c>
      <c r="E656" s="251" t="s">
        <v>248</v>
      </c>
      <c r="F656" s="251" t="s">
        <v>93</v>
      </c>
      <c r="G656" s="251" t="s">
        <v>93</v>
      </c>
      <c r="H656" s="251" t="s">
        <v>93</v>
      </c>
      <c r="I656" s="251" t="s">
        <v>90</v>
      </c>
      <c r="J656" s="251" t="s">
        <v>1490</v>
      </c>
      <c r="K656" s="251" t="s">
        <v>486</v>
      </c>
      <c r="L656" s="251" t="s">
        <v>487</v>
      </c>
      <c r="M656" s="251" t="s">
        <v>516</v>
      </c>
      <c r="N656" s="251" t="s">
        <v>516</v>
      </c>
      <c r="O656" s="251" t="s">
        <v>867</v>
      </c>
      <c r="P656" s="251" t="s">
        <v>2623</v>
      </c>
      <c r="Q656" s="252">
        <v>10046988</v>
      </c>
      <c r="R656" s="253">
        <v>43235</v>
      </c>
      <c r="S656" s="253">
        <v>43237</v>
      </c>
      <c r="T656" s="253">
        <v>43270</v>
      </c>
      <c r="U656" s="251" t="s">
        <v>488</v>
      </c>
      <c r="V656" s="251">
        <v>2</v>
      </c>
      <c r="W656" s="251" t="s">
        <v>219</v>
      </c>
      <c r="X656" s="251">
        <v>2</v>
      </c>
      <c r="Y656" s="251">
        <v>2</v>
      </c>
      <c r="Z656" s="251">
        <v>2</v>
      </c>
      <c r="AA656" s="251">
        <v>2</v>
      </c>
      <c r="AB656" s="251" t="s">
        <v>486</v>
      </c>
      <c r="AC656" s="251" t="s">
        <v>486</v>
      </c>
      <c r="AD656" s="251" t="s">
        <v>490</v>
      </c>
      <c r="AE656" s="251" t="s">
        <v>486</v>
      </c>
      <c r="AF656" s="251" t="s">
        <v>486</v>
      </c>
      <c r="AG656" s="251" t="s">
        <v>486</v>
      </c>
      <c r="AH656" s="251" t="s">
        <v>486</v>
      </c>
      <c r="AI656" s="251" t="s">
        <v>486</v>
      </c>
      <c r="AJ656" s="251" t="s">
        <v>486</v>
      </c>
      <c r="AK656" s="251" t="s">
        <v>486</v>
      </c>
      <c r="AL656" s="251" t="s">
        <v>491</v>
      </c>
      <c r="AM656" s="251" t="s">
        <v>486</v>
      </c>
      <c r="AN656" s="251" t="s">
        <v>486</v>
      </c>
      <c r="AO656" s="253" t="s">
        <v>486</v>
      </c>
      <c r="AP656" s="252" t="s">
        <v>486</v>
      </c>
      <c r="AQ656" s="254" t="s">
        <v>486</v>
      </c>
      <c r="AR656" s="251" t="s">
        <v>486</v>
      </c>
    </row>
    <row r="657" spans="1:44" ht="15" x14ac:dyDescent="0.25">
      <c r="A657" s="245" t="str">
        <f>HYPERLINK("http://www.ofsted.gov.uk/inspection-reports/find-inspection-report/provider/ELS/136242 ","Ofsted School Webpage")</f>
        <v>Ofsted School Webpage</v>
      </c>
      <c r="B657" s="246">
        <v>136242</v>
      </c>
      <c r="C657" s="246">
        <v>3526070</v>
      </c>
      <c r="D657" s="246" t="s">
        <v>2624</v>
      </c>
      <c r="E657" s="246" t="s">
        <v>247</v>
      </c>
      <c r="F657" s="246" t="s">
        <v>93</v>
      </c>
      <c r="G657" s="246" t="s">
        <v>71</v>
      </c>
      <c r="H657" s="246" t="s">
        <v>71</v>
      </c>
      <c r="I657" s="246" t="s">
        <v>71</v>
      </c>
      <c r="J657" s="246" t="s">
        <v>1490</v>
      </c>
      <c r="K657" s="246" t="s">
        <v>486</v>
      </c>
      <c r="L657" s="246" t="s">
        <v>487</v>
      </c>
      <c r="M657" s="246" t="s">
        <v>495</v>
      </c>
      <c r="N657" s="246" t="s">
        <v>495</v>
      </c>
      <c r="O657" s="246" t="s">
        <v>744</v>
      </c>
      <c r="P657" s="246" t="s">
        <v>2625</v>
      </c>
      <c r="Q657" s="247">
        <v>10043783</v>
      </c>
      <c r="R657" s="248">
        <v>43235</v>
      </c>
      <c r="S657" s="248">
        <v>43237</v>
      </c>
      <c r="T657" s="248">
        <v>43278</v>
      </c>
      <c r="U657" s="246" t="s">
        <v>488</v>
      </c>
      <c r="V657" s="246">
        <v>2</v>
      </c>
      <c r="W657" s="246" t="s">
        <v>219</v>
      </c>
      <c r="X657" s="246">
        <v>2</v>
      </c>
      <c r="Y657" s="246">
        <v>2</v>
      </c>
      <c r="Z657" s="246">
        <v>2</v>
      </c>
      <c r="AA657" s="246">
        <v>2</v>
      </c>
      <c r="AB657" s="246" t="s">
        <v>486</v>
      </c>
      <c r="AC657" s="246" t="s">
        <v>486</v>
      </c>
      <c r="AD657" s="246" t="s">
        <v>490</v>
      </c>
      <c r="AE657" s="246" t="s">
        <v>486</v>
      </c>
      <c r="AF657" s="246" t="s">
        <v>486</v>
      </c>
      <c r="AG657" s="246" t="s">
        <v>486</v>
      </c>
      <c r="AH657" s="246" t="s">
        <v>486</v>
      </c>
      <c r="AI657" s="246" t="s">
        <v>486</v>
      </c>
      <c r="AJ657" s="246" t="s">
        <v>486</v>
      </c>
      <c r="AK657" s="246" t="s">
        <v>486</v>
      </c>
      <c r="AL657" s="246" t="s">
        <v>491</v>
      </c>
      <c r="AM657" s="246" t="s">
        <v>486</v>
      </c>
      <c r="AN657" s="246" t="s">
        <v>486</v>
      </c>
      <c r="AO657" s="248" t="s">
        <v>486</v>
      </c>
      <c r="AP657" s="247" t="s">
        <v>486</v>
      </c>
      <c r="AQ657" s="249" t="s">
        <v>486</v>
      </c>
      <c r="AR657" s="246" t="s">
        <v>486</v>
      </c>
    </row>
    <row r="658" spans="1:44" ht="15" x14ac:dyDescent="0.25">
      <c r="A658" s="250" t="str">
        <f>HYPERLINK("http://www.ofsted.gov.uk/inspection-reports/find-inspection-report/provider/ELS/138118 ","Ofsted School Webpage")</f>
        <v>Ofsted School Webpage</v>
      </c>
      <c r="B658" s="251">
        <v>138118</v>
      </c>
      <c r="C658" s="251">
        <v>3906000</v>
      </c>
      <c r="D658" s="251" t="s">
        <v>2626</v>
      </c>
      <c r="E658" s="251" t="s">
        <v>247</v>
      </c>
      <c r="F658" s="251" t="s">
        <v>93</v>
      </c>
      <c r="G658" s="251" t="s">
        <v>81</v>
      </c>
      <c r="H658" s="251" t="s">
        <v>81</v>
      </c>
      <c r="I658" s="251" t="s">
        <v>81</v>
      </c>
      <c r="J658" s="251" t="s">
        <v>1490</v>
      </c>
      <c r="K658" s="251" t="s">
        <v>486</v>
      </c>
      <c r="L658" s="251" t="s">
        <v>487</v>
      </c>
      <c r="M658" s="251" t="s">
        <v>523</v>
      </c>
      <c r="N658" s="251" t="s">
        <v>539</v>
      </c>
      <c r="O658" s="251" t="s">
        <v>883</v>
      </c>
      <c r="P658" s="251" t="s">
        <v>2627</v>
      </c>
      <c r="Q658" s="252">
        <v>10046954</v>
      </c>
      <c r="R658" s="253">
        <v>43235</v>
      </c>
      <c r="S658" s="253">
        <v>43237</v>
      </c>
      <c r="T658" s="253">
        <v>43269</v>
      </c>
      <c r="U658" s="251" t="s">
        <v>488</v>
      </c>
      <c r="V658" s="251">
        <v>3</v>
      </c>
      <c r="W658" s="251" t="s">
        <v>219</v>
      </c>
      <c r="X658" s="251">
        <v>3</v>
      </c>
      <c r="Y658" s="251">
        <v>2</v>
      </c>
      <c r="Z658" s="251">
        <v>3</v>
      </c>
      <c r="AA658" s="251">
        <v>3</v>
      </c>
      <c r="AB658" s="251" t="s">
        <v>486</v>
      </c>
      <c r="AC658" s="251" t="s">
        <v>486</v>
      </c>
      <c r="AD658" s="251" t="s">
        <v>490</v>
      </c>
      <c r="AE658" s="251" t="s">
        <v>486</v>
      </c>
      <c r="AF658" s="251" t="s">
        <v>486</v>
      </c>
      <c r="AG658" s="251" t="s">
        <v>486</v>
      </c>
      <c r="AH658" s="251" t="s">
        <v>486</v>
      </c>
      <c r="AI658" s="251" t="s">
        <v>486</v>
      </c>
      <c r="AJ658" s="251" t="s">
        <v>486</v>
      </c>
      <c r="AK658" s="251" t="s">
        <v>486</v>
      </c>
      <c r="AL658" s="251" t="s">
        <v>491</v>
      </c>
      <c r="AM658" s="251" t="s">
        <v>486</v>
      </c>
      <c r="AN658" s="251" t="s">
        <v>486</v>
      </c>
      <c r="AO658" s="253" t="s">
        <v>486</v>
      </c>
      <c r="AP658" s="252" t="s">
        <v>486</v>
      </c>
      <c r="AQ658" s="254" t="s">
        <v>486</v>
      </c>
      <c r="AR658" s="251" t="s">
        <v>486</v>
      </c>
    </row>
    <row r="659" spans="1:44" ht="15" x14ac:dyDescent="0.25">
      <c r="A659" s="245" t="str">
        <f>HYPERLINK("http://www.ofsted.gov.uk/inspection-reports/find-inspection-report/provider/ELS/139220 ","Ofsted School Webpage")</f>
        <v>Ofsted School Webpage</v>
      </c>
      <c r="B659" s="246">
        <v>139220</v>
      </c>
      <c r="C659" s="246">
        <v>8936031</v>
      </c>
      <c r="D659" s="246" t="s">
        <v>2628</v>
      </c>
      <c r="E659" s="246" t="s">
        <v>248</v>
      </c>
      <c r="F659" s="246" t="s">
        <v>93</v>
      </c>
      <c r="G659" s="246" t="s">
        <v>93</v>
      </c>
      <c r="H659" s="246" t="s">
        <v>93</v>
      </c>
      <c r="I659" s="246" t="s">
        <v>90</v>
      </c>
      <c r="J659" s="246" t="s">
        <v>1490</v>
      </c>
      <c r="K659" s="246" t="s">
        <v>486</v>
      </c>
      <c r="L659" s="246" t="s">
        <v>487</v>
      </c>
      <c r="M659" s="246" t="s">
        <v>495</v>
      </c>
      <c r="N659" s="246" t="s">
        <v>495</v>
      </c>
      <c r="O659" s="246" t="s">
        <v>666</v>
      </c>
      <c r="P659" s="246" t="s">
        <v>607</v>
      </c>
      <c r="Q659" s="247">
        <v>10012919</v>
      </c>
      <c r="R659" s="248">
        <v>43235</v>
      </c>
      <c r="S659" s="248">
        <v>43237</v>
      </c>
      <c r="T659" s="248">
        <v>43271</v>
      </c>
      <c r="U659" s="246" t="s">
        <v>2930</v>
      </c>
      <c r="V659" s="246">
        <v>2</v>
      </c>
      <c r="W659" s="246" t="s">
        <v>219</v>
      </c>
      <c r="X659" s="246">
        <v>2</v>
      </c>
      <c r="Y659" s="246">
        <v>1</v>
      </c>
      <c r="Z659" s="246">
        <v>2</v>
      </c>
      <c r="AA659" s="246">
        <v>2</v>
      </c>
      <c r="AB659" s="246" t="s">
        <v>486</v>
      </c>
      <c r="AC659" s="246" t="s">
        <v>486</v>
      </c>
      <c r="AD659" s="246" t="s">
        <v>486</v>
      </c>
      <c r="AE659" s="246" t="s">
        <v>486</v>
      </c>
      <c r="AF659" s="246" t="s">
        <v>486</v>
      </c>
      <c r="AG659" s="246" t="s">
        <v>486</v>
      </c>
      <c r="AH659" s="246" t="s">
        <v>486</v>
      </c>
      <c r="AI659" s="246" t="s">
        <v>486</v>
      </c>
      <c r="AJ659" s="246" t="s">
        <v>486</v>
      </c>
      <c r="AK659" s="246" t="s">
        <v>486</v>
      </c>
      <c r="AL659" s="246" t="s">
        <v>491</v>
      </c>
      <c r="AM659" s="246" t="s">
        <v>486</v>
      </c>
      <c r="AN659" s="246" t="s">
        <v>486</v>
      </c>
      <c r="AO659" s="248" t="s">
        <v>486</v>
      </c>
      <c r="AP659" s="247" t="s">
        <v>486</v>
      </c>
      <c r="AQ659" s="249" t="s">
        <v>486</v>
      </c>
      <c r="AR659" s="246" t="s">
        <v>486</v>
      </c>
    </row>
    <row r="660" spans="1:44" ht="15" x14ac:dyDescent="0.25">
      <c r="A660" s="250" t="str">
        <f>HYPERLINK("http://www.ofsted.gov.uk/inspection-reports/find-inspection-report/provider/ELS/139601 ","Ofsted School Webpage")</f>
        <v>Ofsted School Webpage</v>
      </c>
      <c r="B660" s="251">
        <v>139601</v>
      </c>
      <c r="C660" s="251">
        <v>2116006</v>
      </c>
      <c r="D660" s="251" t="s">
        <v>2629</v>
      </c>
      <c r="E660" s="251" t="s">
        <v>247</v>
      </c>
      <c r="F660" s="251" t="s">
        <v>93</v>
      </c>
      <c r="G660" s="251" t="s">
        <v>93</v>
      </c>
      <c r="H660" s="251" t="s">
        <v>93</v>
      </c>
      <c r="I660" s="251" t="s">
        <v>90</v>
      </c>
      <c r="J660" s="251" t="s">
        <v>1490</v>
      </c>
      <c r="K660" s="251" t="s">
        <v>486</v>
      </c>
      <c r="L660" s="251" t="s">
        <v>487</v>
      </c>
      <c r="M660" s="251" t="s">
        <v>506</v>
      </c>
      <c r="N660" s="251" t="s">
        <v>506</v>
      </c>
      <c r="O660" s="251" t="s">
        <v>849</v>
      </c>
      <c r="P660" s="251" t="s">
        <v>2630</v>
      </c>
      <c r="Q660" s="252">
        <v>10035809</v>
      </c>
      <c r="R660" s="253">
        <v>43235</v>
      </c>
      <c r="S660" s="253">
        <v>43237</v>
      </c>
      <c r="T660" s="253">
        <v>43278</v>
      </c>
      <c r="U660" s="251" t="s">
        <v>488</v>
      </c>
      <c r="V660" s="251">
        <v>2</v>
      </c>
      <c r="W660" s="251" t="s">
        <v>219</v>
      </c>
      <c r="X660" s="251">
        <v>2</v>
      </c>
      <c r="Y660" s="251">
        <v>2</v>
      </c>
      <c r="Z660" s="251">
        <v>2</v>
      </c>
      <c r="AA660" s="251">
        <v>2</v>
      </c>
      <c r="AB660" s="251" t="s">
        <v>486</v>
      </c>
      <c r="AC660" s="251" t="s">
        <v>486</v>
      </c>
      <c r="AD660" s="251" t="s">
        <v>490</v>
      </c>
      <c r="AE660" s="251" t="s">
        <v>486</v>
      </c>
      <c r="AF660" s="251" t="s">
        <v>486</v>
      </c>
      <c r="AG660" s="251" t="s">
        <v>486</v>
      </c>
      <c r="AH660" s="251" t="s">
        <v>486</v>
      </c>
      <c r="AI660" s="251" t="s">
        <v>486</v>
      </c>
      <c r="AJ660" s="251" t="s">
        <v>486</v>
      </c>
      <c r="AK660" s="251" t="s">
        <v>486</v>
      </c>
      <c r="AL660" s="251" t="s">
        <v>491</v>
      </c>
      <c r="AM660" s="251" t="s">
        <v>486</v>
      </c>
      <c r="AN660" s="251" t="s">
        <v>486</v>
      </c>
      <c r="AO660" s="253" t="s">
        <v>486</v>
      </c>
      <c r="AP660" s="252" t="s">
        <v>486</v>
      </c>
      <c r="AQ660" s="254" t="s">
        <v>486</v>
      </c>
      <c r="AR660" s="251" t="s">
        <v>486</v>
      </c>
    </row>
    <row r="661" spans="1:44" ht="15" x14ac:dyDescent="0.25">
      <c r="A661" s="245" t="str">
        <f>HYPERLINK("http://www.ofsted.gov.uk/inspection-reports/find-inspection-report/provider/ELS/140603 ","Ofsted School Webpage")</f>
        <v>Ofsted School Webpage</v>
      </c>
      <c r="B661" s="246">
        <v>140603</v>
      </c>
      <c r="C661" s="246">
        <v>2076009</v>
      </c>
      <c r="D661" s="246" t="s">
        <v>2631</v>
      </c>
      <c r="E661" s="246" t="s">
        <v>247</v>
      </c>
      <c r="F661" s="246" t="s">
        <v>93</v>
      </c>
      <c r="G661" s="246" t="s">
        <v>93</v>
      </c>
      <c r="H661" s="246" t="s">
        <v>93</v>
      </c>
      <c r="I661" s="246" t="s">
        <v>90</v>
      </c>
      <c r="J661" s="246" t="s">
        <v>1490</v>
      </c>
      <c r="K661" s="246" t="s">
        <v>486</v>
      </c>
      <c r="L661" s="246" t="s">
        <v>487</v>
      </c>
      <c r="M661" s="246" t="s">
        <v>506</v>
      </c>
      <c r="N661" s="246" t="s">
        <v>506</v>
      </c>
      <c r="O661" s="246" t="s">
        <v>640</v>
      </c>
      <c r="P661" s="246" t="s">
        <v>2632</v>
      </c>
      <c r="Q661" s="247">
        <v>10041402</v>
      </c>
      <c r="R661" s="248">
        <v>43235</v>
      </c>
      <c r="S661" s="248">
        <v>43237</v>
      </c>
      <c r="T661" s="248">
        <v>43364</v>
      </c>
      <c r="U661" s="246" t="s">
        <v>488</v>
      </c>
      <c r="V661" s="246">
        <v>1</v>
      </c>
      <c r="W661" s="246" t="s">
        <v>219</v>
      </c>
      <c r="X661" s="246">
        <v>1</v>
      </c>
      <c r="Y661" s="246">
        <v>1</v>
      </c>
      <c r="Z661" s="246">
        <v>1</v>
      </c>
      <c r="AA661" s="246">
        <v>1</v>
      </c>
      <c r="AB661" s="246" t="s">
        <v>486</v>
      </c>
      <c r="AC661" s="246">
        <v>1</v>
      </c>
      <c r="AD661" s="246" t="s">
        <v>512</v>
      </c>
      <c r="AE661" s="246" t="s">
        <v>486</v>
      </c>
      <c r="AF661" s="246" t="s">
        <v>486</v>
      </c>
      <c r="AG661" s="246" t="s">
        <v>490</v>
      </c>
      <c r="AH661" s="246" t="s">
        <v>486</v>
      </c>
      <c r="AI661" s="246" t="s">
        <v>486</v>
      </c>
      <c r="AJ661" s="246" t="s">
        <v>486</v>
      </c>
      <c r="AK661" s="246" t="s">
        <v>486</v>
      </c>
      <c r="AL661" s="246" t="s">
        <v>491</v>
      </c>
      <c r="AM661" s="246" t="s">
        <v>486</v>
      </c>
      <c r="AN661" s="246" t="s">
        <v>486</v>
      </c>
      <c r="AO661" s="248" t="s">
        <v>486</v>
      </c>
      <c r="AP661" s="247" t="s">
        <v>486</v>
      </c>
      <c r="AQ661" s="249" t="s">
        <v>486</v>
      </c>
      <c r="AR661" s="246" t="s">
        <v>486</v>
      </c>
    </row>
    <row r="662" spans="1:44" ht="15" x14ac:dyDescent="0.25">
      <c r="A662" s="250" t="str">
        <f>HYPERLINK("http://www.ofsted.gov.uk/inspection-reports/find-inspection-report/provider/ELS/141031 ","Ofsted School Webpage")</f>
        <v>Ofsted School Webpage</v>
      </c>
      <c r="B662" s="251">
        <v>141031</v>
      </c>
      <c r="C662" s="251">
        <v>2106005</v>
      </c>
      <c r="D662" s="251" t="s">
        <v>2633</v>
      </c>
      <c r="E662" s="251" t="s">
        <v>248</v>
      </c>
      <c r="F662" s="251" t="s">
        <v>93</v>
      </c>
      <c r="G662" s="251" t="s">
        <v>93</v>
      </c>
      <c r="H662" s="251" t="s">
        <v>93</v>
      </c>
      <c r="I662" s="251" t="s">
        <v>90</v>
      </c>
      <c r="J662" s="251" t="s">
        <v>1490</v>
      </c>
      <c r="K662" s="251" t="s">
        <v>486</v>
      </c>
      <c r="L662" s="251" t="s">
        <v>487</v>
      </c>
      <c r="M662" s="251" t="s">
        <v>506</v>
      </c>
      <c r="N662" s="251" t="s">
        <v>506</v>
      </c>
      <c r="O662" s="251" t="s">
        <v>1311</v>
      </c>
      <c r="P662" s="251" t="s">
        <v>2634</v>
      </c>
      <c r="Q662" s="252">
        <v>10048723</v>
      </c>
      <c r="R662" s="253">
        <v>43235</v>
      </c>
      <c r="S662" s="253">
        <v>43237</v>
      </c>
      <c r="T662" s="253">
        <v>43270</v>
      </c>
      <c r="U662" s="251" t="s">
        <v>488</v>
      </c>
      <c r="V662" s="251">
        <v>3</v>
      </c>
      <c r="W662" s="251" t="s">
        <v>219</v>
      </c>
      <c r="X662" s="251">
        <v>3</v>
      </c>
      <c r="Y662" s="251">
        <v>3</v>
      </c>
      <c r="Z662" s="251">
        <v>2</v>
      </c>
      <c r="AA662" s="251">
        <v>2</v>
      </c>
      <c r="AB662" s="251" t="s">
        <v>486</v>
      </c>
      <c r="AC662" s="251" t="s">
        <v>486</v>
      </c>
      <c r="AD662" s="251" t="s">
        <v>490</v>
      </c>
      <c r="AE662" s="251" t="s">
        <v>486</v>
      </c>
      <c r="AF662" s="251" t="s">
        <v>486</v>
      </c>
      <c r="AG662" s="251" t="s">
        <v>486</v>
      </c>
      <c r="AH662" s="251" t="s">
        <v>486</v>
      </c>
      <c r="AI662" s="251" t="s">
        <v>486</v>
      </c>
      <c r="AJ662" s="251" t="s">
        <v>486</v>
      </c>
      <c r="AK662" s="251" t="s">
        <v>486</v>
      </c>
      <c r="AL662" s="251" t="s">
        <v>545</v>
      </c>
      <c r="AM662" s="251" t="s">
        <v>486</v>
      </c>
      <c r="AN662" s="251" t="s">
        <v>486</v>
      </c>
      <c r="AO662" s="253" t="s">
        <v>486</v>
      </c>
      <c r="AP662" s="252" t="s">
        <v>486</v>
      </c>
      <c r="AQ662" s="254" t="s">
        <v>486</v>
      </c>
      <c r="AR662" s="251" t="s">
        <v>486</v>
      </c>
    </row>
    <row r="663" spans="1:44" ht="15" x14ac:dyDescent="0.25">
      <c r="A663" s="245" t="str">
        <f>HYPERLINK("http://www.ofsted.gov.uk/inspection-reports/find-inspection-report/provider/ELS/141490 ","Ofsted School Webpage")</f>
        <v>Ofsted School Webpage</v>
      </c>
      <c r="B663" s="246">
        <v>141490</v>
      </c>
      <c r="C663" s="246">
        <v>9256006</v>
      </c>
      <c r="D663" s="246" t="s">
        <v>2635</v>
      </c>
      <c r="E663" s="246" t="s">
        <v>247</v>
      </c>
      <c r="F663" s="246" t="s">
        <v>93</v>
      </c>
      <c r="G663" s="246" t="s">
        <v>93</v>
      </c>
      <c r="H663" s="246" t="s">
        <v>93</v>
      </c>
      <c r="I663" s="246" t="s">
        <v>90</v>
      </c>
      <c r="J663" s="246" t="s">
        <v>1490</v>
      </c>
      <c r="K663" s="246" t="s">
        <v>486</v>
      </c>
      <c r="L663" s="246" t="s">
        <v>487</v>
      </c>
      <c r="M663" s="246" t="s">
        <v>572</v>
      </c>
      <c r="N663" s="246" t="s">
        <v>572</v>
      </c>
      <c r="O663" s="246" t="s">
        <v>929</v>
      </c>
      <c r="P663" s="246" t="s">
        <v>2636</v>
      </c>
      <c r="Q663" s="247">
        <v>10048645</v>
      </c>
      <c r="R663" s="248">
        <v>43235</v>
      </c>
      <c r="S663" s="248">
        <v>43237</v>
      </c>
      <c r="T663" s="248">
        <v>43266</v>
      </c>
      <c r="U663" s="246" t="s">
        <v>488</v>
      </c>
      <c r="V663" s="246">
        <v>2</v>
      </c>
      <c r="W663" s="246" t="s">
        <v>219</v>
      </c>
      <c r="X663" s="246">
        <v>2</v>
      </c>
      <c r="Y663" s="246">
        <v>2</v>
      </c>
      <c r="Z663" s="246">
        <v>2</v>
      </c>
      <c r="AA663" s="246">
        <v>2</v>
      </c>
      <c r="AB663" s="246" t="s">
        <v>486</v>
      </c>
      <c r="AC663" s="246" t="s">
        <v>486</v>
      </c>
      <c r="AD663" s="246" t="s">
        <v>490</v>
      </c>
      <c r="AE663" s="246" t="s">
        <v>486</v>
      </c>
      <c r="AF663" s="246" t="s">
        <v>486</v>
      </c>
      <c r="AG663" s="246" t="s">
        <v>486</v>
      </c>
      <c r="AH663" s="246" t="s">
        <v>486</v>
      </c>
      <c r="AI663" s="246" t="s">
        <v>486</v>
      </c>
      <c r="AJ663" s="246" t="s">
        <v>486</v>
      </c>
      <c r="AK663" s="246" t="s">
        <v>486</v>
      </c>
      <c r="AL663" s="246" t="s">
        <v>491</v>
      </c>
      <c r="AM663" s="246" t="s">
        <v>486</v>
      </c>
      <c r="AN663" s="246" t="s">
        <v>486</v>
      </c>
      <c r="AO663" s="248" t="s">
        <v>486</v>
      </c>
      <c r="AP663" s="247" t="s">
        <v>486</v>
      </c>
      <c r="AQ663" s="249" t="s">
        <v>486</v>
      </c>
      <c r="AR663" s="246" t="s">
        <v>486</v>
      </c>
    </row>
    <row r="664" spans="1:44" ht="15" x14ac:dyDescent="0.25">
      <c r="A664" s="250" t="str">
        <f>HYPERLINK("http://www.ofsted.gov.uk/inspection-reports/find-inspection-report/provider/ELS/142411 ","Ofsted School Webpage")</f>
        <v>Ofsted School Webpage</v>
      </c>
      <c r="B664" s="251">
        <v>142411</v>
      </c>
      <c r="C664" s="251">
        <v>8876009</v>
      </c>
      <c r="D664" s="251" t="s">
        <v>2637</v>
      </c>
      <c r="E664" s="251" t="s">
        <v>248</v>
      </c>
      <c r="F664" s="251" t="s">
        <v>93</v>
      </c>
      <c r="G664" s="251" t="s">
        <v>93</v>
      </c>
      <c r="H664" s="251" t="s">
        <v>93</v>
      </c>
      <c r="I664" s="251" t="s">
        <v>90</v>
      </c>
      <c r="J664" s="251" t="s">
        <v>1490</v>
      </c>
      <c r="K664" s="251" t="s">
        <v>486</v>
      </c>
      <c r="L664" s="251" t="s">
        <v>487</v>
      </c>
      <c r="M664" s="251" t="s">
        <v>581</v>
      </c>
      <c r="N664" s="251" t="s">
        <v>581</v>
      </c>
      <c r="O664" s="251" t="s">
        <v>794</v>
      </c>
      <c r="P664" s="251" t="s">
        <v>2638</v>
      </c>
      <c r="Q664" s="252">
        <v>10047028</v>
      </c>
      <c r="R664" s="253">
        <v>43235</v>
      </c>
      <c r="S664" s="253">
        <v>43237</v>
      </c>
      <c r="T664" s="253">
        <v>43315</v>
      </c>
      <c r="U664" s="251" t="s">
        <v>488</v>
      </c>
      <c r="V664" s="251">
        <v>4</v>
      </c>
      <c r="W664" s="251" t="s">
        <v>220</v>
      </c>
      <c r="X664" s="251">
        <v>4</v>
      </c>
      <c r="Y664" s="251">
        <v>4</v>
      </c>
      <c r="Z664" s="251">
        <v>2</v>
      </c>
      <c r="AA664" s="251">
        <v>2</v>
      </c>
      <c r="AB664" s="251" t="s">
        <v>486</v>
      </c>
      <c r="AC664" s="251" t="s">
        <v>486</v>
      </c>
      <c r="AD664" s="251" t="s">
        <v>512</v>
      </c>
      <c r="AE664" s="251" t="s">
        <v>486</v>
      </c>
      <c r="AF664" s="251" t="s">
        <v>486</v>
      </c>
      <c r="AG664" s="251" t="s">
        <v>490</v>
      </c>
      <c r="AH664" s="251" t="s">
        <v>486</v>
      </c>
      <c r="AI664" s="251" t="s">
        <v>486</v>
      </c>
      <c r="AJ664" s="251" t="s">
        <v>486</v>
      </c>
      <c r="AK664" s="251" t="s">
        <v>486</v>
      </c>
      <c r="AL664" s="251" t="s">
        <v>545</v>
      </c>
      <c r="AM664" s="251" t="s">
        <v>486</v>
      </c>
      <c r="AN664" s="251" t="s">
        <v>486</v>
      </c>
      <c r="AO664" s="253" t="s">
        <v>486</v>
      </c>
      <c r="AP664" s="252" t="s">
        <v>486</v>
      </c>
      <c r="AQ664" s="254" t="s">
        <v>486</v>
      </c>
      <c r="AR664" s="251" t="s">
        <v>486</v>
      </c>
    </row>
    <row r="665" spans="1:44" ht="15" x14ac:dyDescent="0.25">
      <c r="A665" s="245" t="str">
        <f>HYPERLINK("http://www.ofsted.gov.uk/inspection-reports/find-inspection-report/provider/ELS/143400 ","Ofsted School Webpage")</f>
        <v>Ofsted School Webpage</v>
      </c>
      <c r="B665" s="246">
        <v>143400</v>
      </c>
      <c r="C665" s="246">
        <v>9386002</v>
      </c>
      <c r="D665" s="246" t="s">
        <v>2639</v>
      </c>
      <c r="E665" s="246" t="s">
        <v>248</v>
      </c>
      <c r="F665" s="246" t="s">
        <v>93</v>
      </c>
      <c r="G665" s="246" t="s">
        <v>93</v>
      </c>
      <c r="H665" s="246" t="s">
        <v>93</v>
      </c>
      <c r="I665" s="246" t="s">
        <v>90</v>
      </c>
      <c r="J665" s="246" t="s">
        <v>1490</v>
      </c>
      <c r="K665" s="246" t="s">
        <v>486</v>
      </c>
      <c r="L665" s="246" t="s">
        <v>487</v>
      </c>
      <c r="M665" s="246" t="s">
        <v>581</v>
      </c>
      <c r="N665" s="246" t="s">
        <v>581</v>
      </c>
      <c r="O665" s="246" t="s">
        <v>829</v>
      </c>
      <c r="P665" s="246" t="s">
        <v>2640</v>
      </c>
      <c r="Q665" s="247">
        <v>10044148</v>
      </c>
      <c r="R665" s="248">
        <v>43235</v>
      </c>
      <c r="S665" s="248">
        <v>43237</v>
      </c>
      <c r="T665" s="248">
        <v>43269</v>
      </c>
      <c r="U665" s="246" t="s">
        <v>499</v>
      </c>
      <c r="V665" s="246">
        <v>2</v>
      </c>
      <c r="W665" s="246" t="s">
        <v>219</v>
      </c>
      <c r="X665" s="246">
        <v>2</v>
      </c>
      <c r="Y665" s="246">
        <v>2</v>
      </c>
      <c r="Z665" s="246">
        <v>2</v>
      </c>
      <c r="AA665" s="246">
        <v>2</v>
      </c>
      <c r="AB665" s="246" t="s">
        <v>486</v>
      </c>
      <c r="AC665" s="246" t="s">
        <v>486</v>
      </c>
      <c r="AD665" s="246" t="s">
        <v>490</v>
      </c>
      <c r="AE665" s="246" t="s">
        <v>486</v>
      </c>
      <c r="AF665" s="246" t="s">
        <v>486</v>
      </c>
      <c r="AG665" s="246" t="s">
        <v>486</v>
      </c>
      <c r="AH665" s="246" t="s">
        <v>486</v>
      </c>
      <c r="AI665" s="246" t="s">
        <v>486</v>
      </c>
      <c r="AJ665" s="246" t="s">
        <v>486</v>
      </c>
      <c r="AK665" s="246" t="s">
        <v>486</v>
      </c>
      <c r="AL665" s="246" t="s">
        <v>491</v>
      </c>
      <c r="AM665" s="246" t="s">
        <v>486</v>
      </c>
      <c r="AN665" s="246" t="s">
        <v>486</v>
      </c>
      <c r="AO665" s="248" t="s">
        <v>486</v>
      </c>
      <c r="AP665" s="247" t="s">
        <v>486</v>
      </c>
      <c r="AQ665" s="249" t="s">
        <v>486</v>
      </c>
      <c r="AR665" s="246" t="s">
        <v>486</v>
      </c>
    </row>
    <row r="666" spans="1:44" ht="15" x14ac:dyDescent="0.25">
      <c r="A666" s="250" t="str">
        <f>HYPERLINK("http://www.ofsted.gov.uk/inspection-reports/find-inspection-report/provider/ELS/143912 ","Ofsted School Webpage")</f>
        <v>Ofsted School Webpage</v>
      </c>
      <c r="B666" s="251">
        <v>143912</v>
      </c>
      <c r="C666" s="251">
        <v>3416008</v>
      </c>
      <c r="D666" s="251" t="s">
        <v>2641</v>
      </c>
      <c r="E666" s="251" t="s">
        <v>247</v>
      </c>
      <c r="F666" s="251" t="s">
        <v>93</v>
      </c>
      <c r="G666" s="251" t="s">
        <v>93</v>
      </c>
      <c r="H666" s="251" t="s">
        <v>93</v>
      </c>
      <c r="I666" s="251" t="s">
        <v>90</v>
      </c>
      <c r="J666" s="251" t="s">
        <v>1490</v>
      </c>
      <c r="K666" s="251" t="s">
        <v>486</v>
      </c>
      <c r="L666" s="251" t="s">
        <v>487</v>
      </c>
      <c r="M666" s="251" t="s">
        <v>495</v>
      </c>
      <c r="N666" s="251" t="s">
        <v>495</v>
      </c>
      <c r="O666" s="251" t="s">
        <v>736</v>
      </c>
      <c r="P666" s="251" t="s">
        <v>2642</v>
      </c>
      <c r="Q666" s="252">
        <v>10043789</v>
      </c>
      <c r="R666" s="253">
        <v>43235</v>
      </c>
      <c r="S666" s="253">
        <v>43237</v>
      </c>
      <c r="T666" s="253">
        <v>43280</v>
      </c>
      <c r="U666" s="251" t="s">
        <v>499</v>
      </c>
      <c r="V666" s="251">
        <v>2</v>
      </c>
      <c r="W666" s="251" t="s">
        <v>219</v>
      </c>
      <c r="X666" s="251">
        <v>2</v>
      </c>
      <c r="Y666" s="251">
        <v>2</v>
      </c>
      <c r="Z666" s="251">
        <v>2</v>
      </c>
      <c r="AA666" s="251">
        <v>2</v>
      </c>
      <c r="AB666" s="251" t="s">
        <v>486</v>
      </c>
      <c r="AC666" s="251" t="s">
        <v>486</v>
      </c>
      <c r="AD666" s="251" t="s">
        <v>490</v>
      </c>
      <c r="AE666" s="251" t="s">
        <v>486</v>
      </c>
      <c r="AF666" s="251" t="s">
        <v>486</v>
      </c>
      <c r="AG666" s="251" t="s">
        <v>486</v>
      </c>
      <c r="AH666" s="251" t="s">
        <v>486</v>
      </c>
      <c r="AI666" s="251" t="s">
        <v>486</v>
      </c>
      <c r="AJ666" s="251" t="s">
        <v>486</v>
      </c>
      <c r="AK666" s="251" t="s">
        <v>486</v>
      </c>
      <c r="AL666" s="251" t="s">
        <v>491</v>
      </c>
      <c r="AM666" s="251" t="s">
        <v>486</v>
      </c>
      <c r="AN666" s="251" t="s">
        <v>486</v>
      </c>
      <c r="AO666" s="253" t="s">
        <v>486</v>
      </c>
      <c r="AP666" s="252" t="s">
        <v>486</v>
      </c>
      <c r="AQ666" s="254" t="s">
        <v>486</v>
      </c>
      <c r="AR666" s="251" t="s">
        <v>486</v>
      </c>
    </row>
    <row r="667" spans="1:44" ht="15" x14ac:dyDescent="0.25">
      <c r="A667" s="245" t="str">
        <f>HYPERLINK("http://www.ofsted.gov.uk/inspection-reports/find-inspection-report/provider/ELS/144514 ","Ofsted School Webpage")</f>
        <v>Ofsted School Webpage</v>
      </c>
      <c r="B667" s="246">
        <v>144514</v>
      </c>
      <c r="C667" s="246">
        <v>8656046</v>
      </c>
      <c r="D667" s="246" t="s">
        <v>2643</v>
      </c>
      <c r="E667" s="246" t="s">
        <v>247</v>
      </c>
      <c r="F667" s="246" t="s">
        <v>93</v>
      </c>
      <c r="G667" s="246" t="s">
        <v>93</v>
      </c>
      <c r="H667" s="246" t="s">
        <v>93</v>
      </c>
      <c r="I667" s="246" t="s">
        <v>90</v>
      </c>
      <c r="J667" s="246" t="s">
        <v>1490</v>
      </c>
      <c r="K667" s="246" t="s">
        <v>486</v>
      </c>
      <c r="L667" s="246" t="s">
        <v>487</v>
      </c>
      <c r="M667" s="246" t="s">
        <v>483</v>
      </c>
      <c r="N667" s="246" t="s">
        <v>483</v>
      </c>
      <c r="O667" s="246" t="s">
        <v>791</v>
      </c>
      <c r="P667" s="246" t="s">
        <v>2644</v>
      </c>
      <c r="Q667" s="247">
        <v>10047188</v>
      </c>
      <c r="R667" s="248">
        <v>43235</v>
      </c>
      <c r="S667" s="248">
        <v>43237</v>
      </c>
      <c r="T667" s="248">
        <v>43269</v>
      </c>
      <c r="U667" s="246" t="s">
        <v>499</v>
      </c>
      <c r="V667" s="246">
        <v>3</v>
      </c>
      <c r="W667" s="246" t="s">
        <v>219</v>
      </c>
      <c r="X667" s="246">
        <v>3</v>
      </c>
      <c r="Y667" s="246">
        <v>3</v>
      </c>
      <c r="Z667" s="246">
        <v>3</v>
      </c>
      <c r="AA667" s="246">
        <v>3</v>
      </c>
      <c r="AB667" s="246" t="s">
        <v>486</v>
      </c>
      <c r="AC667" s="246" t="s">
        <v>486</v>
      </c>
      <c r="AD667" s="246" t="s">
        <v>490</v>
      </c>
      <c r="AE667" s="246" t="s">
        <v>486</v>
      </c>
      <c r="AF667" s="246" t="s">
        <v>486</v>
      </c>
      <c r="AG667" s="246" t="s">
        <v>486</v>
      </c>
      <c r="AH667" s="246" t="s">
        <v>486</v>
      </c>
      <c r="AI667" s="246" t="s">
        <v>486</v>
      </c>
      <c r="AJ667" s="246" t="s">
        <v>486</v>
      </c>
      <c r="AK667" s="246" t="s">
        <v>486</v>
      </c>
      <c r="AL667" s="246" t="s">
        <v>545</v>
      </c>
      <c r="AM667" s="246" t="s">
        <v>486</v>
      </c>
      <c r="AN667" s="246" t="s">
        <v>486</v>
      </c>
      <c r="AO667" s="248" t="s">
        <v>486</v>
      </c>
      <c r="AP667" s="247" t="s">
        <v>486</v>
      </c>
      <c r="AQ667" s="249" t="s">
        <v>486</v>
      </c>
      <c r="AR667" s="246" t="s">
        <v>486</v>
      </c>
    </row>
    <row r="668" spans="1:44" ht="15" x14ac:dyDescent="0.25">
      <c r="A668" s="250" t="str">
        <f>HYPERLINK("http://www.ofsted.gov.uk/inspection-reports/find-inspection-report/provider/ELS/144808 ","Ofsted School Webpage")</f>
        <v>Ofsted School Webpage</v>
      </c>
      <c r="B668" s="251">
        <v>144808</v>
      </c>
      <c r="C668" s="251">
        <v>8506093</v>
      </c>
      <c r="D668" s="251" t="s">
        <v>2645</v>
      </c>
      <c r="E668" s="251" t="s">
        <v>247</v>
      </c>
      <c r="F668" s="251" t="s">
        <v>93</v>
      </c>
      <c r="G668" s="251" t="s">
        <v>93</v>
      </c>
      <c r="H668" s="251" t="s">
        <v>93</v>
      </c>
      <c r="I668" s="251" t="s">
        <v>90</v>
      </c>
      <c r="J668" s="251" t="s">
        <v>1490</v>
      </c>
      <c r="K668" s="251" t="s">
        <v>486</v>
      </c>
      <c r="L668" s="251" t="s">
        <v>487</v>
      </c>
      <c r="M668" s="251" t="s">
        <v>581</v>
      </c>
      <c r="N668" s="251" t="s">
        <v>581</v>
      </c>
      <c r="O668" s="251" t="s">
        <v>582</v>
      </c>
      <c r="P668" s="251" t="s">
        <v>2646</v>
      </c>
      <c r="Q668" s="252">
        <v>10045499</v>
      </c>
      <c r="R668" s="253">
        <v>43235</v>
      </c>
      <c r="S668" s="253">
        <v>43237</v>
      </c>
      <c r="T668" s="253">
        <v>43269</v>
      </c>
      <c r="U668" s="251" t="s">
        <v>499</v>
      </c>
      <c r="V668" s="251">
        <v>2</v>
      </c>
      <c r="W668" s="251" t="s">
        <v>219</v>
      </c>
      <c r="X668" s="251">
        <v>2</v>
      </c>
      <c r="Y668" s="251">
        <v>2</v>
      </c>
      <c r="Z668" s="251">
        <v>2</v>
      </c>
      <c r="AA668" s="251">
        <v>2</v>
      </c>
      <c r="AB668" s="251" t="s">
        <v>486</v>
      </c>
      <c r="AC668" s="251">
        <v>2</v>
      </c>
      <c r="AD668" s="251" t="s">
        <v>490</v>
      </c>
      <c r="AE668" s="251" t="s">
        <v>486</v>
      </c>
      <c r="AF668" s="251" t="s">
        <v>486</v>
      </c>
      <c r="AG668" s="251" t="s">
        <v>486</v>
      </c>
      <c r="AH668" s="251" t="s">
        <v>486</v>
      </c>
      <c r="AI668" s="251" t="s">
        <v>486</v>
      </c>
      <c r="AJ668" s="251" t="s">
        <v>486</v>
      </c>
      <c r="AK668" s="251" t="s">
        <v>486</v>
      </c>
      <c r="AL668" s="251" t="s">
        <v>491</v>
      </c>
      <c r="AM668" s="251" t="s">
        <v>486</v>
      </c>
      <c r="AN668" s="251" t="s">
        <v>486</v>
      </c>
      <c r="AO668" s="253" t="s">
        <v>486</v>
      </c>
      <c r="AP668" s="252" t="s">
        <v>486</v>
      </c>
      <c r="AQ668" s="254" t="s">
        <v>486</v>
      </c>
      <c r="AR668" s="251" t="s">
        <v>486</v>
      </c>
    </row>
    <row r="669" spans="1:44" ht="15" x14ac:dyDescent="0.25">
      <c r="A669" s="245" t="str">
        <f>HYPERLINK("http://www.ofsted.gov.uk/inspection-reports/find-inspection-report/provider/ELS/118225 ","Ofsted School Webpage")</f>
        <v>Ofsted School Webpage</v>
      </c>
      <c r="B669" s="246">
        <v>118225</v>
      </c>
      <c r="C669" s="246">
        <v>9216041</v>
      </c>
      <c r="D669" s="246" t="s">
        <v>2647</v>
      </c>
      <c r="E669" s="246" t="s">
        <v>247</v>
      </c>
      <c r="F669" s="246" t="s">
        <v>93</v>
      </c>
      <c r="G669" s="246" t="s">
        <v>71</v>
      </c>
      <c r="H669" s="246" t="s">
        <v>71</v>
      </c>
      <c r="I669" s="246" t="s">
        <v>71</v>
      </c>
      <c r="J669" s="246" t="s">
        <v>1490</v>
      </c>
      <c r="K669" s="246" t="s">
        <v>486</v>
      </c>
      <c r="L669" s="246" t="s">
        <v>487</v>
      </c>
      <c r="M669" s="246" t="s">
        <v>581</v>
      </c>
      <c r="N669" s="246" t="s">
        <v>581</v>
      </c>
      <c r="O669" s="246" t="s">
        <v>2648</v>
      </c>
      <c r="P669" s="246" t="s">
        <v>2649</v>
      </c>
      <c r="Q669" s="247">
        <v>10020826</v>
      </c>
      <c r="R669" s="248">
        <v>43242</v>
      </c>
      <c r="S669" s="248">
        <v>43244</v>
      </c>
      <c r="T669" s="248">
        <v>43270</v>
      </c>
      <c r="U669" s="246" t="s">
        <v>488</v>
      </c>
      <c r="V669" s="246">
        <v>2</v>
      </c>
      <c r="W669" s="246" t="s">
        <v>219</v>
      </c>
      <c r="X669" s="246">
        <v>2</v>
      </c>
      <c r="Y669" s="246">
        <v>2</v>
      </c>
      <c r="Z669" s="246">
        <v>2</v>
      </c>
      <c r="AA669" s="246">
        <v>2</v>
      </c>
      <c r="AB669" s="246">
        <v>1</v>
      </c>
      <c r="AC669" s="246" t="s">
        <v>486</v>
      </c>
      <c r="AD669" s="246" t="s">
        <v>490</v>
      </c>
      <c r="AE669" s="246" t="s">
        <v>486</v>
      </c>
      <c r="AF669" s="246" t="s">
        <v>486</v>
      </c>
      <c r="AG669" s="246" t="s">
        <v>486</v>
      </c>
      <c r="AH669" s="246" t="s">
        <v>486</v>
      </c>
      <c r="AI669" s="246" t="s">
        <v>486</v>
      </c>
      <c r="AJ669" s="246" t="s">
        <v>486</v>
      </c>
      <c r="AK669" s="246" t="s">
        <v>486</v>
      </c>
      <c r="AL669" s="246" t="s">
        <v>491</v>
      </c>
      <c r="AM669" s="246" t="s">
        <v>486</v>
      </c>
      <c r="AN669" s="246" t="s">
        <v>486</v>
      </c>
      <c r="AO669" s="248" t="s">
        <v>486</v>
      </c>
      <c r="AP669" s="247" t="s">
        <v>486</v>
      </c>
      <c r="AQ669" s="249" t="s">
        <v>486</v>
      </c>
      <c r="AR669" s="246" t="s">
        <v>486</v>
      </c>
    </row>
    <row r="670" spans="1:44" ht="15" x14ac:dyDescent="0.25">
      <c r="A670" s="250" t="str">
        <f>HYPERLINK("http://www.ofsted.gov.uk/inspection-reports/find-inspection-report/provider/ELS/130323 ","Ofsted School Webpage")</f>
        <v>Ofsted School Webpage</v>
      </c>
      <c r="B670" s="251">
        <v>130323</v>
      </c>
      <c r="C670" s="251">
        <v>3356009</v>
      </c>
      <c r="D670" s="251" t="s">
        <v>2650</v>
      </c>
      <c r="E670" s="251" t="s">
        <v>247</v>
      </c>
      <c r="F670" s="251" t="s">
        <v>73</v>
      </c>
      <c r="G670" s="251" t="s">
        <v>71</v>
      </c>
      <c r="H670" s="251" t="s">
        <v>73</v>
      </c>
      <c r="I670" s="251" t="s">
        <v>71</v>
      </c>
      <c r="J670" s="251" t="s">
        <v>1490</v>
      </c>
      <c r="K670" s="251" t="s">
        <v>486</v>
      </c>
      <c r="L670" s="251" t="s">
        <v>487</v>
      </c>
      <c r="M670" s="251" t="s">
        <v>502</v>
      </c>
      <c r="N670" s="251" t="s">
        <v>502</v>
      </c>
      <c r="O670" s="251" t="s">
        <v>2187</v>
      </c>
      <c r="P670" s="251" t="s">
        <v>2651</v>
      </c>
      <c r="Q670" s="252">
        <v>10047128</v>
      </c>
      <c r="R670" s="253">
        <v>43242</v>
      </c>
      <c r="S670" s="253">
        <v>43244</v>
      </c>
      <c r="T670" s="253">
        <v>43266</v>
      </c>
      <c r="U670" s="251" t="s">
        <v>488</v>
      </c>
      <c r="V670" s="251">
        <v>3</v>
      </c>
      <c r="W670" s="251" t="s">
        <v>219</v>
      </c>
      <c r="X670" s="251">
        <v>3</v>
      </c>
      <c r="Y670" s="251">
        <v>2</v>
      </c>
      <c r="Z670" s="251">
        <v>3</v>
      </c>
      <c r="AA670" s="251">
        <v>3</v>
      </c>
      <c r="AB670" s="251">
        <v>3</v>
      </c>
      <c r="AC670" s="251" t="s">
        <v>486</v>
      </c>
      <c r="AD670" s="251" t="s">
        <v>490</v>
      </c>
      <c r="AE670" s="251" t="s">
        <v>486</v>
      </c>
      <c r="AF670" s="251" t="s">
        <v>486</v>
      </c>
      <c r="AG670" s="251" t="s">
        <v>486</v>
      </c>
      <c r="AH670" s="251" t="s">
        <v>486</v>
      </c>
      <c r="AI670" s="251" t="s">
        <v>486</v>
      </c>
      <c r="AJ670" s="251" t="s">
        <v>486</v>
      </c>
      <c r="AK670" s="251" t="s">
        <v>486</v>
      </c>
      <c r="AL670" s="251" t="s">
        <v>545</v>
      </c>
      <c r="AM670" s="251" t="s">
        <v>486</v>
      </c>
      <c r="AN670" s="251" t="s">
        <v>486</v>
      </c>
      <c r="AO670" s="253" t="s">
        <v>486</v>
      </c>
      <c r="AP670" s="252" t="s">
        <v>486</v>
      </c>
      <c r="AQ670" s="254" t="s">
        <v>486</v>
      </c>
      <c r="AR670" s="251" t="s">
        <v>486</v>
      </c>
    </row>
    <row r="671" spans="1:44" ht="15" x14ac:dyDescent="0.25">
      <c r="A671" s="245" t="str">
        <f>HYPERLINK("http://www.ofsted.gov.uk/inspection-reports/find-inspection-report/provider/ELS/135453 ","Ofsted School Webpage")</f>
        <v>Ofsted School Webpage</v>
      </c>
      <c r="B671" s="246">
        <v>135453</v>
      </c>
      <c r="C671" s="246">
        <v>3346010</v>
      </c>
      <c r="D671" s="246" t="s">
        <v>2652</v>
      </c>
      <c r="E671" s="246" t="s">
        <v>248</v>
      </c>
      <c r="F671" s="246" t="s">
        <v>93</v>
      </c>
      <c r="G671" s="246" t="s">
        <v>93</v>
      </c>
      <c r="H671" s="246" t="s">
        <v>93</v>
      </c>
      <c r="I671" s="246" t="s">
        <v>90</v>
      </c>
      <c r="J671" s="246" t="s">
        <v>1490</v>
      </c>
      <c r="K671" s="246" t="s">
        <v>486</v>
      </c>
      <c r="L671" s="246" t="s">
        <v>487</v>
      </c>
      <c r="M671" s="246" t="s">
        <v>502</v>
      </c>
      <c r="N671" s="246" t="s">
        <v>502</v>
      </c>
      <c r="O671" s="246" t="s">
        <v>2509</v>
      </c>
      <c r="P671" s="246" t="s">
        <v>2653</v>
      </c>
      <c r="Q671" s="247">
        <v>10026106</v>
      </c>
      <c r="R671" s="248">
        <v>43242</v>
      </c>
      <c r="S671" s="248">
        <v>43244</v>
      </c>
      <c r="T671" s="248">
        <v>43304</v>
      </c>
      <c r="U671" s="246" t="s">
        <v>488</v>
      </c>
      <c r="V671" s="246">
        <v>4</v>
      </c>
      <c r="W671" s="246" t="s">
        <v>220</v>
      </c>
      <c r="X671" s="246">
        <v>4</v>
      </c>
      <c r="Y671" s="246">
        <v>4</v>
      </c>
      <c r="Z671" s="246">
        <v>3</v>
      </c>
      <c r="AA671" s="246">
        <v>3</v>
      </c>
      <c r="AB671" s="246" t="s">
        <v>486</v>
      </c>
      <c r="AC671" s="246">
        <v>4</v>
      </c>
      <c r="AD671" s="246" t="s">
        <v>490</v>
      </c>
      <c r="AE671" s="246" t="s">
        <v>486</v>
      </c>
      <c r="AF671" s="246" t="s">
        <v>486</v>
      </c>
      <c r="AG671" s="246" t="s">
        <v>486</v>
      </c>
      <c r="AH671" s="246" t="s">
        <v>486</v>
      </c>
      <c r="AI671" s="246" t="s">
        <v>486</v>
      </c>
      <c r="AJ671" s="246" t="s">
        <v>486</v>
      </c>
      <c r="AK671" s="246" t="s">
        <v>486</v>
      </c>
      <c r="AL671" s="246" t="s">
        <v>545</v>
      </c>
      <c r="AM671" s="246" t="s">
        <v>486</v>
      </c>
      <c r="AN671" s="246" t="s">
        <v>486</v>
      </c>
      <c r="AO671" s="248" t="s">
        <v>486</v>
      </c>
      <c r="AP671" s="247" t="s">
        <v>486</v>
      </c>
      <c r="AQ671" s="249" t="s">
        <v>486</v>
      </c>
      <c r="AR671" s="246" t="s">
        <v>486</v>
      </c>
    </row>
    <row r="672" spans="1:44" ht="15" x14ac:dyDescent="0.25">
      <c r="A672" s="250" t="str">
        <f>HYPERLINK("http://www.ofsted.gov.uk/inspection-reports/find-inspection-report/provider/ELS/135735 ","Ofsted School Webpage")</f>
        <v>Ofsted School Webpage</v>
      </c>
      <c r="B672" s="251">
        <v>135735</v>
      </c>
      <c r="C672" s="251">
        <v>9336000</v>
      </c>
      <c r="D672" s="251" t="s">
        <v>2654</v>
      </c>
      <c r="E672" s="251" t="s">
        <v>248</v>
      </c>
      <c r="F672" s="251" t="s">
        <v>93</v>
      </c>
      <c r="G672" s="251" t="s">
        <v>93</v>
      </c>
      <c r="H672" s="251" t="s">
        <v>93</v>
      </c>
      <c r="I672" s="251" t="s">
        <v>90</v>
      </c>
      <c r="J672" s="251" t="s">
        <v>1490</v>
      </c>
      <c r="K672" s="251" t="s">
        <v>486</v>
      </c>
      <c r="L672" s="251" t="s">
        <v>487</v>
      </c>
      <c r="M672" s="251" t="s">
        <v>483</v>
      </c>
      <c r="N672" s="251" t="s">
        <v>483</v>
      </c>
      <c r="O672" s="251" t="s">
        <v>531</v>
      </c>
      <c r="P672" s="251" t="s">
        <v>2655</v>
      </c>
      <c r="Q672" s="252">
        <v>10041378</v>
      </c>
      <c r="R672" s="253">
        <v>43242</v>
      </c>
      <c r="S672" s="253">
        <v>43244</v>
      </c>
      <c r="T672" s="253">
        <v>43277</v>
      </c>
      <c r="U672" s="251" t="s">
        <v>488</v>
      </c>
      <c r="V672" s="251">
        <v>3</v>
      </c>
      <c r="W672" s="251" t="s">
        <v>219</v>
      </c>
      <c r="X672" s="251">
        <v>3</v>
      </c>
      <c r="Y672" s="251">
        <v>3</v>
      </c>
      <c r="Z672" s="251">
        <v>3</v>
      </c>
      <c r="AA672" s="251">
        <v>3</v>
      </c>
      <c r="AB672" s="251" t="s">
        <v>486</v>
      </c>
      <c r="AC672" s="251" t="s">
        <v>486</v>
      </c>
      <c r="AD672" s="251" t="s">
        <v>490</v>
      </c>
      <c r="AE672" s="251" t="s">
        <v>486</v>
      </c>
      <c r="AF672" s="251" t="s">
        <v>486</v>
      </c>
      <c r="AG672" s="251" t="s">
        <v>486</v>
      </c>
      <c r="AH672" s="251" t="s">
        <v>486</v>
      </c>
      <c r="AI672" s="251" t="s">
        <v>486</v>
      </c>
      <c r="AJ672" s="251" t="s">
        <v>486</v>
      </c>
      <c r="AK672" s="251" t="s">
        <v>486</v>
      </c>
      <c r="AL672" s="251" t="s">
        <v>491</v>
      </c>
      <c r="AM672" s="251" t="s">
        <v>486</v>
      </c>
      <c r="AN672" s="251" t="s">
        <v>486</v>
      </c>
      <c r="AO672" s="253" t="s">
        <v>486</v>
      </c>
      <c r="AP672" s="252" t="s">
        <v>486</v>
      </c>
      <c r="AQ672" s="254" t="s">
        <v>486</v>
      </c>
      <c r="AR672" s="251" t="s">
        <v>486</v>
      </c>
    </row>
    <row r="673" spans="1:44" ht="15" x14ac:dyDescent="0.25">
      <c r="A673" s="245" t="str">
        <f>HYPERLINK("http://www.ofsted.gov.uk/inspection-reports/find-inspection-report/provider/ELS/137802 ","Ofsted School Webpage")</f>
        <v>Ofsted School Webpage</v>
      </c>
      <c r="B673" s="246">
        <v>137802</v>
      </c>
      <c r="C673" s="246">
        <v>3076004</v>
      </c>
      <c r="D673" s="246" t="s">
        <v>2656</v>
      </c>
      <c r="E673" s="246" t="s">
        <v>247</v>
      </c>
      <c r="F673" s="246" t="s">
        <v>93</v>
      </c>
      <c r="G673" s="246" t="s">
        <v>93</v>
      </c>
      <c r="H673" s="246" t="s">
        <v>93</v>
      </c>
      <c r="I673" s="246" t="s">
        <v>90</v>
      </c>
      <c r="J673" s="246" t="s">
        <v>1490</v>
      </c>
      <c r="K673" s="246" t="s">
        <v>486</v>
      </c>
      <c r="L673" s="246" t="s">
        <v>487</v>
      </c>
      <c r="M673" s="246" t="s">
        <v>506</v>
      </c>
      <c r="N673" s="246" t="s">
        <v>506</v>
      </c>
      <c r="O673" s="246" t="s">
        <v>507</v>
      </c>
      <c r="P673" s="246" t="s">
        <v>2657</v>
      </c>
      <c r="Q673" s="247">
        <v>10020773</v>
      </c>
      <c r="R673" s="248">
        <v>43242</v>
      </c>
      <c r="S673" s="248">
        <v>43244</v>
      </c>
      <c r="T673" s="248">
        <v>43270</v>
      </c>
      <c r="U673" s="246" t="s">
        <v>488</v>
      </c>
      <c r="V673" s="246">
        <v>2</v>
      </c>
      <c r="W673" s="246" t="s">
        <v>219</v>
      </c>
      <c r="X673" s="246">
        <v>2</v>
      </c>
      <c r="Y673" s="246">
        <v>2</v>
      </c>
      <c r="Z673" s="246">
        <v>2</v>
      </c>
      <c r="AA673" s="246">
        <v>2</v>
      </c>
      <c r="AB673" s="246">
        <v>2</v>
      </c>
      <c r="AC673" s="246" t="s">
        <v>486</v>
      </c>
      <c r="AD673" s="246" t="s">
        <v>490</v>
      </c>
      <c r="AE673" s="246" t="s">
        <v>486</v>
      </c>
      <c r="AF673" s="246" t="s">
        <v>486</v>
      </c>
      <c r="AG673" s="246" t="s">
        <v>486</v>
      </c>
      <c r="AH673" s="246" t="s">
        <v>486</v>
      </c>
      <c r="AI673" s="246" t="s">
        <v>486</v>
      </c>
      <c r="AJ673" s="246" t="s">
        <v>486</v>
      </c>
      <c r="AK673" s="246" t="s">
        <v>486</v>
      </c>
      <c r="AL673" s="246" t="s">
        <v>491</v>
      </c>
      <c r="AM673" s="246" t="s">
        <v>486</v>
      </c>
      <c r="AN673" s="246" t="s">
        <v>486</v>
      </c>
      <c r="AO673" s="248" t="s">
        <v>486</v>
      </c>
      <c r="AP673" s="247" t="s">
        <v>486</v>
      </c>
      <c r="AQ673" s="249" t="s">
        <v>486</v>
      </c>
      <c r="AR673" s="246" t="s">
        <v>486</v>
      </c>
    </row>
    <row r="674" spans="1:44" ht="15" x14ac:dyDescent="0.25">
      <c r="A674" s="250" t="str">
        <f>HYPERLINK("http://www.ofsted.gov.uk/inspection-reports/find-inspection-report/provider/ELS/141008 ","Ofsted School Webpage")</f>
        <v>Ofsted School Webpage</v>
      </c>
      <c r="B674" s="251">
        <v>141008</v>
      </c>
      <c r="C674" s="251">
        <v>9376012</v>
      </c>
      <c r="D674" s="251" t="s">
        <v>2658</v>
      </c>
      <c r="E674" s="251" t="s">
        <v>248</v>
      </c>
      <c r="F674" s="251" t="s">
        <v>93</v>
      </c>
      <c r="G674" s="251" t="s">
        <v>93</v>
      </c>
      <c r="H674" s="251" t="s">
        <v>93</v>
      </c>
      <c r="I674" s="251" t="s">
        <v>90</v>
      </c>
      <c r="J674" s="251" t="s">
        <v>1490</v>
      </c>
      <c r="K674" s="251" t="s">
        <v>486</v>
      </c>
      <c r="L674" s="251" t="s">
        <v>487</v>
      </c>
      <c r="M674" s="251" t="s">
        <v>502</v>
      </c>
      <c r="N674" s="251" t="s">
        <v>502</v>
      </c>
      <c r="O674" s="251" t="s">
        <v>503</v>
      </c>
      <c r="P674" s="251" t="s">
        <v>2659</v>
      </c>
      <c r="Q674" s="252">
        <v>10047136</v>
      </c>
      <c r="R674" s="253">
        <v>43242</v>
      </c>
      <c r="S674" s="253">
        <v>43244</v>
      </c>
      <c r="T674" s="253">
        <v>43285</v>
      </c>
      <c r="U674" s="251" t="s">
        <v>488</v>
      </c>
      <c r="V674" s="251">
        <v>2</v>
      </c>
      <c r="W674" s="251" t="s">
        <v>219</v>
      </c>
      <c r="X674" s="251">
        <v>2</v>
      </c>
      <c r="Y674" s="251">
        <v>1</v>
      </c>
      <c r="Z674" s="251">
        <v>2</v>
      </c>
      <c r="AA674" s="251">
        <v>2</v>
      </c>
      <c r="AB674" s="251" t="s">
        <v>486</v>
      </c>
      <c r="AC674" s="251" t="s">
        <v>486</v>
      </c>
      <c r="AD674" s="251" t="s">
        <v>490</v>
      </c>
      <c r="AE674" s="251" t="s">
        <v>486</v>
      </c>
      <c r="AF674" s="251" t="s">
        <v>486</v>
      </c>
      <c r="AG674" s="251" t="s">
        <v>486</v>
      </c>
      <c r="AH674" s="251" t="s">
        <v>486</v>
      </c>
      <c r="AI674" s="251" t="s">
        <v>486</v>
      </c>
      <c r="AJ674" s="251" t="s">
        <v>486</v>
      </c>
      <c r="AK674" s="251" t="s">
        <v>486</v>
      </c>
      <c r="AL674" s="251" t="s">
        <v>491</v>
      </c>
      <c r="AM674" s="251" t="s">
        <v>486</v>
      </c>
      <c r="AN674" s="251" t="s">
        <v>486</v>
      </c>
      <c r="AO674" s="253" t="s">
        <v>486</v>
      </c>
      <c r="AP674" s="252" t="s">
        <v>486</v>
      </c>
      <c r="AQ674" s="254" t="s">
        <v>486</v>
      </c>
      <c r="AR674" s="251" t="s">
        <v>486</v>
      </c>
    </row>
    <row r="675" spans="1:44" ht="15" x14ac:dyDescent="0.25">
      <c r="A675" s="245" t="str">
        <f>HYPERLINK("http://www.ofsted.gov.uk/inspection-reports/find-inspection-report/provider/ELS/141023 ","Ofsted School Webpage")</f>
        <v>Ofsted School Webpage</v>
      </c>
      <c r="B675" s="246">
        <v>141023</v>
      </c>
      <c r="C675" s="246">
        <v>3156007</v>
      </c>
      <c r="D675" s="246" t="s">
        <v>2660</v>
      </c>
      <c r="E675" s="246" t="s">
        <v>247</v>
      </c>
      <c r="F675" s="246" t="s">
        <v>93</v>
      </c>
      <c r="G675" s="246" t="s">
        <v>93</v>
      </c>
      <c r="H675" s="246" t="s">
        <v>93</v>
      </c>
      <c r="I675" s="246" t="s">
        <v>90</v>
      </c>
      <c r="J675" s="246" t="s">
        <v>1490</v>
      </c>
      <c r="K675" s="246" t="s">
        <v>486</v>
      </c>
      <c r="L675" s="246" t="s">
        <v>487</v>
      </c>
      <c r="M675" s="246" t="s">
        <v>506</v>
      </c>
      <c r="N675" s="246" t="s">
        <v>506</v>
      </c>
      <c r="O675" s="246" t="s">
        <v>1360</v>
      </c>
      <c r="P675" s="246" t="s">
        <v>2432</v>
      </c>
      <c r="Q675" s="247">
        <v>10048721</v>
      </c>
      <c r="R675" s="248">
        <v>43242</v>
      </c>
      <c r="S675" s="248">
        <v>43244</v>
      </c>
      <c r="T675" s="248">
        <v>43272</v>
      </c>
      <c r="U675" s="246" t="s">
        <v>488</v>
      </c>
      <c r="V675" s="246">
        <v>2</v>
      </c>
      <c r="W675" s="246" t="s">
        <v>219</v>
      </c>
      <c r="X675" s="246">
        <v>2</v>
      </c>
      <c r="Y675" s="246">
        <v>2</v>
      </c>
      <c r="Z675" s="246">
        <v>2</v>
      </c>
      <c r="AA675" s="246">
        <v>2</v>
      </c>
      <c r="AB675" s="246" t="s">
        <v>486</v>
      </c>
      <c r="AC675" s="246" t="s">
        <v>486</v>
      </c>
      <c r="AD675" s="246" t="s">
        <v>490</v>
      </c>
      <c r="AE675" s="246" t="s">
        <v>486</v>
      </c>
      <c r="AF675" s="246" t="s">
        <v>486</v>
      </c>
      <c r="AG675" s="246" t="s">
        <v>486</v>
      </c>
      <c r="AH675" s="246" t="s">
        <v>486</v>
      </c>
      <c r="AI675" s="246" t="s">
        <v>486</v>
      </c>
      <c r="AJ675" s="246" t="s">
        <v>486</v>
      </c>
      <c r="AK675" s="246" t="s">
        <v>486</v>
      </c>
      <c r="AL675" s="246" t="s">
        <v>491</v>
      </c>
      <c r="AM675" s="246" t="s">
        <v>486</v>
      </c>
      <c r="AN675" s="246" t="s">
        <v>486</v>
      </c>
      <c r="AO675" s="248" t="s">
        <v>486</v>
      </c>
      <c r="AP675" s="247" t="s">
        <v>486</v>
      </c>
      <c r="AQ675" s="249" t="s">
        <v>486</v>
      </c>
      <c r="AR675" s="246" t="s">
        <v>486</v>
      </c>
    </row>
    <row r="676" spans="1:44" ht="15" x14ac:dyDescent="0.25">
      <c r="A676" s="250" t="str">
        <f>HYPERLINK("http://www.ofsted.gov.uk/inspection-reports/find-inspection-report/provider/ELS/142931 ","Ofsted School Webpage")</f>
        <v>Ofsted School Webpage</v>
      </c>
      <c r="B676" s="251">
        <v>142931</v>
      </c>
      <c r="C676" s="251">
        <v>8896015</v>
      </c>
      <c r="D676" s="251" t="s">
        <v>1315</v>
      </c>
      <c r="E676" s="251" t="s">
        <v>247</v>
      </c>
      <c r="F676" s="251" t="s">
        <v>93</v>
      </c>
      <c r="G676" s="251" t="s">
        <v>83</v>
      </c>
      <c r="H676" s="251" t="s">
        <v>83</v>
      </c>
      <c r="I676" s="251" t="s">
        <v>84</v>
      </c>
      <c r="J676" s="251" t="s">
        <v>1490</v>
      </c>
      <c r="K676" s="251" t="s">
        <v>486</v>
      </c>
      <c r="L676" s="251" t="s">
        <v>487</v>
      </c>
      <c r="M676" s="251" t="s">
        <v>495</v>
      </c>
      <c r="N676" s="251" t="s">
        <v>495</v>
      </c>
      <c r="O676" s="251" t="s">
        <v>609</v>
      </c>
      <c r="P676" s="251" t="s">
        <v>1316</v>
      </c>
      <c r="Q676" s="252">
        <v>10048598</v>
      </c>
      <c r="R676" s="253">
        <v>43242</v>
      </c>
      <c r="S676" s="253">
        <v>43244</v>
      </c>
      <c r="T676" s="253">
        <v>43287</v>
      </c>
      <c r="U676" s="251" t="s">
        <v>499</v>
      </c>
      <c r="V676" s="251">
        <v>4</v>
      </c>
      <c r="W676" s="251" t="s">
        <v>219</v>
      </c>
      <c r="X676" s="251">
        <v>4</v>
      </c>
      <c r="Y676" s="251">
        <v>3</v>
      </c>
      <c r="Z676" s="251">
        <v>4</v>
      </c>
      <c r="AA676" s="251">
        <v>4</v>
      </c>
      <c r="AB676" s="251" t="s">
        <v>486</v>
      </c>
      <c r="AC676" s="251" t="s">
        <v>486</v>
      </c>
      <c r="AD676" s="251" t="s">
        <v>490</v>
      </c>
      <c r="AE676" s="251" t="s">
        <v>486</v>
      </c>
      <c r="AF676" s="251" t="s">
        <v>486</v>
      </c>
      <c r="AG676" s="251" t="s">
        <v>486</v>
      </c>
      <c r="AH676" s="251" t="s">
        <v>486</v>
      </c>
      <c r="AI676" s="251" t="s">
        <v>486</v>
      </c>
      <c r="AJ676" s="251" t="s">
        <v>486</v>
      </c>
      <c r="AK676" s="251" t="s">
        <v>486</v>
      </c>
      <c r="AL676" s="251" t="s">
        <v>545</v>
      </c>
      <c r="AM676" s="251">
        <v>10084301</v>
      </c>
      <c r="AN676" s="251" t="s">
        <v>1109</v>
      </c>
      <c r="AO676" s="253">
        <v>43481</v>
      </c>
      <c r="AP676" s="252" t="s">
        <v>1523</v>
      </c>
      <c r="AQ676" s="254">
        <v>43502</v>
      </c>
      <c r="AR676" s="251" t="s">
        <v>1110</v>
      </c>
    </row>
    <row r="677" spans="1:44" ht="15" x14ac:dyDescent="0.25">
      <c r="A677" s="245" t="str">
        <f>HYPERLINK("http://www.ofsted.gov.uk/inspection-reports/find-inspection-report/provider/ELS/143039 ","Ofsted School Webpage")</f>
        <v>Ofsted School Webpage</v>
      </c>
      <c r="B677" s="246">
        <v>143039</v>
      </c>
      <c r="C677" s="246">
        <v>3306026</v>
      </c>
      <c r="D677" s="246" t="s">
        <v>1114</v>
      </c>
      <c r="E677" s="246" t="s">
        <v>247</v>
      </c>
      <c r="F677" s="246" t="s">
        <v>93</v>
      </c>
      <c r="G677" s="246" t="s">
        <v>93</v>
      </c>
      <c r="H677" s="246" t="s">
        <v>93</v>
      </c>
      <c r="I677" s="246" t="s">
        <v>90</v>
      </c>
      <c r="J677" s="246" t="s">
        <v>1490</v>
      </c>
      <c r="K677" s="246" t="s">
        <v>486</v>
      </c>
      <c r="L677" s="246" t="s">
        <v>487</v>
      </c>
      <c r="M677" s="246" t="s">
        <v>502</v>
      </c>
      <c r="N677" s="246" t="s">
        <v>502</v>
      </c>
      <c r="O677" s="246" t="s">
        <v>909</v>
      </c>
      <c r="P677" s="246" t="s">
        <v>1115</v>
      </c>
      <c r="Q677" s="247">
        <v>10039278</v>
      </c>
      <c r="R677" s="248">
        <v>43242</v>
      </c>
      <c r="S677" s="248">
        <v>43244</v>
      </c>
      <c r="T677" s="248">
        <v>43283</v>
      </c>
      <c r="U677" s="246" t="s">
        <v>499</v>
      </c>
      <c r="V677" s="246">
        <v>2</v>
      </c>
      <c r="W677" s="246" t="s">
        <v>219</v>
      </c>
      <c r="X677" s="246">
        <v>2</v>
      </c>
      <c r="Y677" s="246">
        <v>2</v>
      </c>
      <c r="Z677" s="246">
        <v>2</v>
      </c>
      <c r="AA677" s="246">
        <v>2</v>
      </c>
      <c r="AB677" s="246" t="s">
        <v>486</v>
      </c>
      <c r="AC677" s="246" t="s">
        <v>486</v>
      </c>
      <c r="AD677" s="246" t="s">
        <v>490</v>
      </c>
      <c r="AE677" s="246" t="s">
        <v>486</v>
      </c>
      <c r="AF677" s="246" t="s">
        <v>486</v>
      </c>
      <c r="AG677" s="246" t="s">
        <v>486</v>
      </c>
      <c r="AH677" s="246" t="s">
        <v>486</v>
      </c>
      <c r="AI677" s="246" t="s">
        <v>486</v>
      </c>
      <c r="AJ677" s="246" t="s">
        <v>486</v>
      </c>
      <c r="AK677" s="246" t="s">
        <v>486</v>
      </c>
      <c r="AL677" s="246" t="s">
        <v>491</v>
      </c>
      <c r="AM677" s="246" t="s">
        <v>486</v>
      </c>
      <c r="AN677" s="246" t="s">
        <v>486</v>
      </c>
      <c r="AO677" s="248" t="s">
        <v>486</v>
      </c>
      <c r="AP677" s="247" t="s">
        <v>486</v>
      </c>
      <c r="AQ677" s="249" t="s">
        <v>486</v>
      </c>
      <c r="AR677" s="246" t="s">
        <v>486</v>
      </c>
    </row>
    <row r="678" spans="1:44" ht="15" x14ac:dyDescent="0.25">
      <c r="A678" s="250" t="str">
        <f>HYPERLINK("http://www.ofsted.gov.uk/inspection-reports/find-inspection-report/provider/ELS/143102 ","Ofsted School Webpage")</f>
        <v>Ofsted School Webpage</v>
      </c>
      <c r="B678" s="251">
        <v>143102</v>
      </c>
      <c r="C678" s="251">
        <v>3846005</v>
      </c>
      <c r="D678" s="251" t="s">
        <v>2661</v>
      </c>
      <c r="E678" s="251" t="s">
        <v>247</v>
      </c>
      <c r="F678" s="251" t="s">
        <v>71</v>
      </c>
      <c r="G678" s="251" t="s">
        <v>71</v>
      </c>
      <c r="H678" s="251" t="s">
        <v>71</v>
      </c>
      <c r="I678" s="251" t="s">
        <v>71</v>
      </c>
      <c r="J678" s="251" t="s">
        <v>1490</v>
      </c>
      <c r="K678" s="251" t="s">
        <v>486</v>
      </c>
      <c r="L678" s="251" t="s">
        <v>487</v>
      </c>
      <c r="M678" s="251" t="s">
        <v>523</v>
      </c>
      <c r="N678" s="251" t="s">
        <v>524</v>
      </c>
      <c r="O678" s="251" t="s">
        <v>525</v>
      </c>
      <c r="P678" s="251" t="s">
        <v>2662</v>
      </c>
      <c r="Q678" s="252">
        <v>10046957</v>
      </c>
      <c r="R678" s="253">
        <v>43242</v>
      </c>
      <c r="S678" s="253">
        <v>43244</v>
      </c>
      <c r="T678" s="253">
        <v>43285</v>
      </c>
      <c r="U678" s="251" t="s">
        <v>499</v>
      </c>
      <c r="V678" s="251">
        <v>3</v>
      </c>
      <c r="W678" s="251" t="s">
        <v>219</v>
      </c>
      <c r="X678" s="251">
        <v>2</v>
      </c>
      <c r="Y678" s="251">
        <v>2</v>
      </c>
      <c r="Z678" s="251">
        <v>3</v>
      </c>
      <c r="AA678" s="251">
        <v>3</v>
      </c>
      <c r="AB678" s="251" t="s">
        <v>486</v>
      </c>
      <c r="AC678" s="251" t="s">
        <v>486</v>
      </c>
      <c r="AD678" s="251" t="s">
        <v>490</v>
      </c>
      <c r="AE678" s="251" t="s">
        <v>486</v>
      </c>
      <c r="AF678" s="251" t="s">
        <v>486</v>
      </c>
      <c r="AG678" s="251" t="s">
        <v>486</v>
      </c>
      <c r="AH678" s="251" t="s">
        <v>486</v>
      </c>
      <c r="AI678" s="251" t="s">
        <v>486</v>
      </c>
      <c r="AJ678" s="251" t="s">
        <v>486</v>
      </c>
      <c r="AK678" s="251" t="s">
        <v>486</v>
      </c>
      <c r="AL678" s="251" t="s">
        <v>491</v>
      </c>
      <c r="AM678" s="251" t="s">
        <v>486</v>
      </c>
      <c r="AN678" s="251" t="s">
        <v>486</v>
      </c>
      <c r="AO678" s="253" t="s">
        <v>486</v>
      </c>
      <c r="AP678" s="252" t="s">
        <v>486</v>
      </c>
      <c r="AQ678" s="254" t="s">
        <v>486</v>
      </c>
      <c r="AR678" s="251" t="s">
        <v>486</v>
      </c>
    </row>
    <row r="679" spans="1:44" ht="15" x14ac:dyDescent="0.25">
      <c r="A679" s="245" t="str">
        <f>HYPERLINK("http://www.ofsted.gov.uk/inspection-reports/find-inspection-report/provider/ELS/143935 ","Ofsted School Webpage")</f>
        <v>Ofsted School Webpage</v>
      </c>
      <c r="B679" s="246">
        <v>143935</v>
      </c>
      <c r="C679" s="246">
        <v>9386003</v>
      </c>
      <c r="D679" s="246" t="s">
        <v>2663</v>
      </c>
      <c r="E679" s="246" t="s">
        <v>247</v>
      </c>
      <c r="F679" s="246" t="s">
        <v>93</v>
      </c>
      <c r="G679" s="246" t="s">
        <v>93</v>
      </c>
      <c r="H679" s="246" t="s">
        <v>93</v>
      </c>
      <c r="I679" s="246" t="s">
        <v>90</v>
      </c>
      <c r="J679" s="246" t="s">
        <v>1490</v>
      </c>
      <c r="K679" s="246" t="s">
        <v>486</v>
      </c>
      <c r="L679" s="246" t="s">
        <v>487</v>
      </c>
      <c r="M679" s="246" t="s">
        <v>581</v>
      </c>
      <c r="N679" s="246" t="s">
        <v>581</v>
      </c>
      <c r="O679" s="246" t="s">
        <v>829</v>
      </c>
      <c r="P679" s="246" t="s">
        <v>2664</v>
      </c>
      <c r="Q679" s="247">
        <v>10044150</v>
      </c>
      <c r="R679" s="248">
        <v>43242</v>
      </c>
      <c r="S679" s="248">
        <v>43244</v>
      </c>
      <c r="T679" s="248">
        <v>43277</v>
      </c>
      <c r="U679" s="246" t="s">
        <v>499</v>
      </c>
      <c r="V679" s="246">
        <v>2</v>
      </c>
      <c r="W679" s="246" t="s">
        <v>219</v>
      </c>
      <c r="X679" s="246">
        <v>2</v>
      </c>
      <c r="Y679" s="246">
        <v>1</v>
      </c>
      <c r="Z679" s="246">
        <v>2</v>
      </c>
      <c r="AA679" s="246">
        <v>2</v>
      </c>
      <c r="AB679" s="246">
        <v>2</v>
      </c>
      <c r="AC679" s="246" t="s">
        <v>486</v>
      </c>
      <c r="AD679" s="246" t="s">
        <v>490</v>
      </c>
      <c r="AE679" s="246" t="s">
        <v>486</v>
      </c>
      <c r="AF679" s="246" t="s">
        <v>486</v>
      </c>
      <c r="AG679" s="246" t="s">
        <v>486</v>
      </c>
      <c r="AH679" s="246" t="s">
        <v>486</v>
      </c>
      <c r="AI679" s="246" t="s">
        <v>486</v>
      </c>
      <c r="AJ679" s="246" t="s">
        <v>486</v>
      </c>
      <c r="AK679" s="246" t="s">
        <v>486</v>
      </c>
      <c r="AL679" s="246" t="s">
        <v>491</v>
      </c>
      <c r="AM679" s="246" t="s">
        <v>486</v>
      </c>
      <c r="AN679" s="246" t="s">
        <v>486</v>
      </c>
      <c r="AO679" s="248" t="s">
        <v>486</v>
      </c>
      <c r="AP679" s="247" t="s">
        <v>486</v>
      </c>
      <c r="AQ679" s="249" t="s">
        <v>486</v>
      </c>
      <c r="AR679" s="246" t="s">
        <v>486</v>
      </c>
    </row>
    <row r="680" spans="1:44" ht="15" x14ac:dyDescent="0.25">
      <c r="A680" s="250" t="str">
        <f>HYPERLINK("http://www.ofsted.gov.uk/inspection-reports/find-inspection-report/provider/ELS/144725 ","Ofsted School Webpage")</f>
        <v>Ofsted School Webpage</v>
      </c>
      <c r="B680" s="251">
        <v>144725</v>
      </c>
      <c r="C680" s="251">
        <v>3426002</v>
      </c>
      <c r="D680" s="251" t="s">
        <v>2665</v>
      </c>
      <c r="E680" s="251" t="s">
        <v>248</v>
      </c>
      <c r="F680" s="251" t="s">
        <v>93</v>
      </c>
      <c r="G680" s="251" t="s">
        <v>93</v>
      </c>
      <c r="H680" s="251" t="s">
        <v>93</v>
      </c>
      <c r="I680" s="251" t="s">
        <v>90</v>
      </c>
      <c r="J680" s="251" t="s">
        <v>1490</v>
      </c>
      <c r="K680" s="251" t="s">
        <v>486</v>
      </c>
      <c r="L680" s="251" t="s">
        <v>487</v>
      </c>
      <c r="M680" s="251" t="s">
        <v>495</v>
      </c>
      <c r="N680" s="251" t="s">
        <v>495</v>
      </c>
      <c r="O680" s="251" t="s">
        <v>1970</v>
      </c>
      <c r="P680" s="251" t="s">
        <v>2666</v>
      </c>
      <c r="Q680" s="252">
        <v>10048612</v>
      </c>
      <c r="R680" s="253">
        <v>43242</v>
      </c>
      <c r="S680" s="253">
        <v>43244</v>
      </c>
      <c r="T680" s="253">
        <v>43279</v>
      </c>
      <c r="U680" s="251" t="s">
        <v>499</v>
      </c>
      <c r="V680" s="251">
        <v>3</v>
      </c>
      <c r="W680" s="251" t="s">
        <v>219</v>
      </c>
      <c r="X680" s="251">
        <v>3</v>
      </c>
      <c r="Y680" s="251">
        <v>2</v>
      </c>
      <c r="Z680" s="251">
        <v>3</v>
      </c>
      <c r="AA680" s="251">
        <v>3</v>
      </c>
      <c r="AB680" s="251" t="s">
        <v>486</v>
      </c>
      <c r="AC680" s="251" t="s">
        <v>486</v>
      </c>
      <c r="AD680" s="251" t="s">
        <v>490</v>
      </c>
      <c r="AE680" s="251" t="s">
        <v>486</v>
      </c>
      <c r="AF680" s="251" t="s">
        <v>486</v>
      </c>
      <c r="AG680" s="251" t="s">
        <v>486</v>
      </c>
      <c r="AH680" s="251" t="s">
        <v>486</v>
      </c>
      <c r="AI680" s="251" t="s">
        <v>486</v>
      </c>
      <c r="AJ680" s="251" t="s">
        <v>486</v>
      </c>
      <c r="AK680" s="251" t="s">
        <v>486</v>
      </c>
      <c r="AL680" s="251" t="s">
        <v>491</v>
      </c>
      <c r="AM680" s="251" t="s">
        <v>486</v>
      </c>
      <c r="AN680" s="251" t="s">
        <v>486</v>
      </c>
      <c r="AO680" s="253" t="s">
        <v>486</v>
      </c>
      <c r="AP680" s="252" t="s">
        <v>486</v>
      </c>
      <c r="AQ680" s="254" t="s">
        <v>486</v>
      </c>
      <c r="AR680" s="251" t="s">
        <v>486</v>
      </c>
    </row>
    <row r="681" spans="1:44" ht="15" x14ac:dyDescent="0.25">
      <c r="A681" s="245" t="str">
        <f>HYPERLINK("http://www.ofsted.gov.uk/inspection-reports/find-inspection-report/provider/ELS/144796 ","Ofsted School Webpage")</f>
        <v>Ofsted School Webpage</v>
      </c>
      <c r="B681" s="246">
        <v>144796</v>
      </c>
      <c r="C681" s="246">
        <v>3046006</v>
      </c>
      <c r="D681" s="246" t="s">
        <v>2667</v>
      </c>
      <c r="E681" s="246" t="s">
        <v>248</v>
      </c>
      <c r="F681" s="246" t="s">
        <v>93</v>
      </c>
      <c r="G681" s="246" t="s">
        <v>93</v>
      </c>
      <c r="H681" s="246" t="s">
        <v>93</v>
      </c>
      <c r="I681" s="246" t="s">
        <v>90</v>
      </c>
      <c r="J681" s="246" t="s">
        <v>1490</v>
      </c>
      <c r="K681" s="246" t="s">
        <v>486</v>
      </c>
      <c r="L681" s="246" t="s">
        <v>487</v>
      </c>
      <c r="M681" s="246" t="s">
        <v>506</v>
      </c>
      <c r="N681" s="246" t="s">
        <v>506</v>
      </c>
      <c r="O681" s="246" t="s">
        <v>543</v>
      </c>
      <c r="P681" s="246" t="s">
        <v>2668</v>
      </c>
      <c r="Q681" s="247">
        <v>10044421</v>
      </c>
      <c r="R681" s="248">
        <v>43242</v>
      </c>
      <c r="S681" s="248">
        <v>43244</v>
      </c>
      <c r="T681" s="248">
        <v>43277</v>
      </c>
      <c r="U681" s="246" t="s">
        <v>499</v>
      </c>
      <c r="V681" s="246">
        <v>3</v>
      </c>
      <c r="W681" s="246" t="s">
        <v>219</v>
      </c>
      <c r="X681" s="246">
        <v>3</v>
      </c>
      <c r="Y681" s="246">
        <v>2</v>
      </c>
      <c r="Z681" s="246">
        <v>3</v>
      </c>
      <c r="AA681" s="246">
        <v>3</v>
      </c>
      <c r="AB681" s="246" t="s">
        <v>486</v>
      </c>
      <c r="AC681" s="246" t="s">
        <v>486</v>
      </c>
      <c r="AD681" s="246" t="s">
        <v>490</v>
      </c>
      <c r="AE681" s="246" t="s">
        <v>486</v>
      </c>
      <c r="AF681" s="246" t="s">
        <v>486</v>
      </c>
      <c r="AG681" s="246" t="s">
        <v>486</v>
      </c>
      <c r="AH681" s="246" t="s">
        <v>486</v>
      </c>
      <c r="AI681" s="246" t="s">
        <v>486</v>
      </c>
      <c r="AJ681" s="246" t="s">
        <v>486</v>
      </c>
      <c r="AK681" s="246" t="s">
        <v>486</v>
      </c>
      <c r="AL681" s="246" t="s">
        <v>491</v>
      </c>
      <c r="AM681" s="246" t="s">
        <v>486</v>
      </c>
      <c r="AN681" s="246" t="s">
        <v>486</v>
      </c>
      <c r="AO681" s="248" t="s">
        <v>486</v>
      </c>
      <c r="AP681" s="247" t="s">
        <v>486</v>
      </c>
      <c r="AQ681" s="249" t="s">
        <v>486</v>
      </c>
      <c r="AR681" s="246" t="s">
        <v>486</v>
      </c>
    </row>
    <row r="682" spans="1:44" ht="15" x14ac:dyDescent="0.25">
      <c r="A682" s="250" t="str">
        <f>HYPERLINK("http://www.ofsted.gov.uk/inspection-reports/find-inspection-report/provider/ELS/144818 ","Ofsted School Webpage")</f>
        <v>Ofsted School Webpage</v>
      </c>
      <c r="B682" s="251">
        <v>144818</v>
      </c>
      <c r="C682" s="251">
        <v>8816069</v>
      </c>
      <c r="D682" s="251" t="s">
        <v>2669</v>
      </c>
      <c r="E682" s="251" t="s">
        <v>247</v>
      </c>
      <c r="F682" s="251" t="s">
        <v>93</v>
      </c>
      <c r="G682" s="251" t="s">
        <v>93</v>
      </c>
      <c r="H682" s="251" t="s">
        <v>93</v>
      </c>
      <c r="I682" s="251" t="s">
        <v>90</v>
      </c>
      <c r="J682" s="251" t="s">
        <v>1490</v>
      </c>
      <c r="K682" s="251" t="s">
        <v>486</v>
      </c>
      <c r="L682" s="251" t="s">
        <v>487</v>
      </c>
      <c r="M682" s="251" t="s">
        <v>516</v>
      </c>
      <c r="N682" s="251" t="s">
        <v>516</v>
      </c>
      <c r="O682" s="251" t="s">
        <v>764</v>
      </c>
      <c r="P682" s="251" t="s">
        <v>2670</v>
      </c>
      <c r="Q682" s="252">
        <v>10046994</v>
      </c>
      <c r="R682" s="253">
        <v>43242</v>
      </c>
      <c r="S682" s="253">
        <v>43244</v>
      </c>
      <c r="T682" s="253">
        <v>43270</v>
      </c>
      <c r="U682" s="251" t="s">
        <v>499</v>
      </c>
      <c r="V682" s="251">
        <v>3</v>
      </c>
      <c r="W682" s="251" t="s">
        <v>219</v>
      </c>
      <c r="X682" s="251">
        <v>3</v>
      </c>
      <c r="Y682" s="251">
        <v>3</v>
      </c>
      <c r="Z682" s="251">
        <v>3</v>
      </c>
      <c r="AA682" s="251">
        <v>3</v>
      </c>
      <c r="AB682" s="251" t="s">
        <v>486</v>
      </c>
      <c r="AC682" s="251" t="s">
        <v>486</v>
      </c>
      <c r="AD682" s="251" t="s">
        <v>490</v>
      </c>
      <c r="AE682" s="251" t="s">
        <v>486</v>
      </c>
      <c r="AF682" s="251" t="s">
        <v>486</v>
      </c>
      <c r="AG682" s="251" t="s">
        <v>486</v>
      </c>
      <c r="AH682" s="251" t="s">
        <v>486</v>
      </c>
      <c r="AI682" s="251" t="s">
        <v>486</v>
      </c>
      <c r="AJ682" s="251" t="s">
        <v>486</v>
      </c>
      <c r="AK682" s="251" t="s">
        <v>486</v>
      </c>
      <c r="AL682" s="251" t="s">
        <v>545</v>
      </c>
      <c r="AM682" s="251" t="s">
        <v>486</v>
      </c>
      <c r="AN682" s="251" t="s">
        <v>486</v>
      </c>
      <c r="AO682" s="253" t="s">
        <v>486</v>
      </c>
      <c r="AP682" s="252" t="s">
        <v>486</v>
      </c>
      <c r="AQ682" s="254" t="s">
        <v>486</v>
      </c>
      <c r="AR682" s="251" t="s">
        <v>486</v>
      </c>
    </row>
    <row r="683" spans="1:44" ht="15" x14ac:dyDescent="0.25">
      <c r="A683" s="245" t="str">
        <f>HYPERLINK("http://www.ofsted.gov.uk/inspection-reports/find-inspection-report/provider/ELS/136167 ","Ofsted School Webpage")</f>
        <v>Ofsted School Webpage</v>
      </c>
      <c r="B683" s="246">
        <v>136167</v>
      </c>
      <c r="C683" s="246">
        <v>8306037</v>
      </c>
      <c r="D683" s="246" t="s">
        <v>2671</v>
      </c>
      <c r="E683" s="246" t="s">
        <v>248</v>
      </c>
      <c r="F683" s="246" t="s">
        <v>93</v>
      </c>
      <c r="G683" s="246" t="s">
        <v>93</v>
      </c>
      <c r="H683" s="246" t="s">
        <v>93</v>
      </c>
      <c r="I683" s="246" t="s">
        <v>90</v>
      </c>
      <c r="J683" s="246" t="s">
        <v>1490</v>
      </c>
      <c r="K683" s="246" t="s">
        <v>486</v>
      </c>
      <c r="L683" s="246" t="s">
        <v>487</v>
      </c>
      <c r="M683" s="246" t="s">
        <v>572</v>
      </c>
      <c r="N683" s="246" t="s">
        <v>572</v>
      </c>
      <c r="O683" s="246" t="s">
        <v>573</v>
      </c>
      <c r="P683" s="246" t="s">
        <v>2672</v>
      </c>
      <c r="Q683" s="247">
        <v>10039188</v>
      </c>
      <c r="R683" s="248">
        <v>43256</v>
      </c>
      <c r="S683" s="248">
        <v>43257</v>
      </c>
      <c r="T683" s="248">
        <v>43278</v>
      </c>
      <c r="U683" s="246" t="s">
        <v>488</v>
      </c>
      <c r="V683" s="246">
        <v>2</v>
      </c>
      <c r="W683" s="246" t="s">
        <v>219</v>
      </c>
      <c r="X683" s="246">
        <v>2</v>
      </c>
      <c r="Y683" s="246">
        <v>2</v>
      </c>
      <c r="Z683" s="246">
        <v>2</v>
      </c>
      <c r="AA683" s="246">
        <v>2</v>
      </c>
      <c r="AB683" s="246" t="s">
        <v>486</v>
      </c>
      <c r="AC683" s="246" t="s">
        <v>486</v>
      </c>
      <c r="AD683" s="246" t="s">
        <v>490</v>
      </c>
      <c r="AE683" s="246" t="s">
        <v>486</v>
      </c>
      <c r="AF683" s="246" t="s">
        <v>486</v>
      </c>
      <c r="AG683" s="246" t="s">
        <v>486</v>
      </c>
      <c r="AH683" s="246" t="s">
        <v>486</v>
      </c>
      <c r="AI683" s="246" t="s">
        <v>486</v>
      </c>
      <c r="AJ683" s="246" t="s">
        <v>486</v>
      </c>
      <c r="AK683" s="246" t="s">
        <v>486</v>
      </c>
      <c r="AL683" s="246" t="s">
        <v>491</v>
      </c>
      <c r="AM683" s="246" t="s">
        <v>486</v>
      </c>
      <c r="AN683" s="246" t="s">
        <v>486</v>
      </c>
      <c r="AO683" s="248" t="s">
        <v>486</v>
      </c>
      <c r="AP683" s="247" t="s">
        <v>486</v>
      </c>
      <c r="AQ683" s="249" t="s">
        <v>486</v>
      </c>
      <c r="AR683" s="246" t="s">
        <v>486</v>
      </c>
    </row>
    <row r="684" spans="1:44" ht="15" x14ac:dyDescent="0.25">
      <c r="A684" s="250" t="str">
        <f>HYPERLINK("http://www.ofsted.gov.uk/inspection-reports/find-inspection-report/provider/ELS/101175 ","Ofsted School Webpage")</f>
        <v>Ofsted School Webpage</v>
      </c>
      <c r="B684" s="251">
        <v>101175</v>
      </c>
      <c r="C684" s="251">
        <v>2126408</v>
      </c>
      <c r="D684" s="251" t="s">
        <v>2673</v>
      </c>
      <c r="E684" s="251" t="s">
        <v>248</v>
      </c>
      <c r="F684" s="251" t="s">
        <v>93</v>
      </c>
      <c r="G684" s="251" t="s">
        <v>93</v>
      </c>
      <c r="H684" s="251" t="s">
        <v>93</v>
      </c>
      <c r="I684" s="251" t="s">
        <v>90</v>
      </c>
      <c r="J684" s="251" t="s">
        <v>1490</v>
      </c>
      <c r="K684" s="251" t="s">
        <v>486</v>
      </c>
      <c r="L684" s="251" t="s">
        <v>487</v>
      </c>
      <c r="M684" s="251" t="s">
        <v>506</v>
      </c>
      <c r="N684" s="251" t="s">
        <v>506</v>
      </c>
      <c r="O684" s="251" t="s">
        <v>837</v>
      </c>
      <c r="P684" s="251" t="s">
        <v>2674</v>
      </c>
      <c r="Q684" s="252">
        <v>10048713</v>
      </c>
      <c r="R684" s="253">
        <v>43256</v>
      </c>
      <c r="S684" s="253">
        <v>43258</v>
      </c>
      <c r="T684" s="253">
        <v>43283</v>
      </c>
      <c r="U684" s="251" t="s">
        <v>488</v>
      </c>
      <c r="V684" s="251">
        <v>2</v>
      </c>
      <c r="W684" s="251" t="s">
        <v>219</v>
      </c>
      <c r="X684" s="251">
        <v>2</v>
      </c>
      <c r="Y684" s="251">
        <v>2</v>
      </c>
      <c r="Z684" s="251">
        <v>2</v>
      </c>
      <c r="AA684" s="251">
        <v>2</v>
      </c>
      <c r="AB684" s="251" t="s">
        <v>486</v>
      </c>
      <c r="AC684" s="251">
        <v>2</v>
      </c>
      <c r="AD684" s="251" t="s">
        <v>490</v>
      </c>
      <c r="AE684" s="251" t="s">
        <v>486</v>
      </c>
      <c r="AF684" s="251" t="s">
        <v>486</v>
      </c>
      <c r="AG684" s="251" t="s">
        <v>486</v>
      </c>
      <c r="AH684" s="251" t="s">
        <v>486</v>
      </c>
      <c r="AI684" s="251" t="s">
        <v>486</v>
      </c>
      <c r="AJ684" s="251" t="s">
        <v>486</v>
      </c>
      <c r="AK684" s="251" t="s">
        <v>486</v>
      </c>
      <c r="AL684" s="251" t="s">
        <v>491</v>
      </c>
      <c r="AM684" s="251" t="s">
        <v>486</v>
      </c>
      <c r="AN684" s="251" t="s">
        <v>486</v>
      </c>
      <c r="AO684" s="253" t="s">
        <v>486</v>
      </c>
      <c r="AP684" s="252" t="s">
        <v>486</v>
      </c>
      <c r="AQ684" s="254" t="s">
        <v>486</v>
      </c>
      <c r="AR684" s="251" t="s">
        <v>486</v>
      </c>
    </row>
    <row r="685" spans="1:44" ht="15" x14ac:dyDescent="0.25">
      <c r="A685" s="245" t="str">
        <f>HYPERLINK("http://www.ofsted.gov.uk/inspection-reports/find-inspection-report/provider/ELS/102357 ","Ofsted School Webpage")</f>
        <v>Ofsted School Webpage</v>
      </c>
      <c r="B685" s="246">
        <v>102357</v>
      </c>
      <c r="C685" s="246">
        <v>3116054</v>
      </c>
      <c r="D685" s="246" t="s">
        <v>2675</v>
      </c>
      <c r="E685" s="246" t="s">
        <v>247</v>
      </c>
      <c r="F685" s="246" t="s">
        <v>93</v>
      </c>
      <c r="G685" s="246" t="s">
        <v>79</v>
      </c>
      <c r="H685" s="246" t="s">
        <v>79</v>
      </c>
      <c r="I685" s="246" t="s">
        <v>71</v>
      </c>
      <c r="J685" s="246" t="s">
        <v>1490</v>
      </c>
      <c r="K685" s="246" t="s">
        <v>486</v>
      </c>
      <c r="L685" s="246" t="s">
        <v>487</v>
      </c>
      <c r="M685" s="246" t="s">
        <v>506</v>
      </c>
      <c r="N685" s="246" t="s">
        <v>506</v>
      </c>
      <c r="O685" s="246" t="s">
        <v>717</v>
      </c>
      <c r="P685" s="246" t="s">
        <v>2676</v>
      </c>
      <c r="Q685" s="247">
        <v>10048715</v>
      </c>
      <c r="R685" s="248">
        <v>43256</v>
      </c>
      <c r="S685" s="248">
        <v>43258</v>
      </c>
      <c r="T685" s="248">
        <v>43308</v>
      </c>
      <c r="U685" s="246" t="s">
        <v>488</v>
      </c>
      <c r="V685" s="246">
        <v>2</v>
      </c>
      <c r="W685" s="246" t="s">
        <v>219</v>
      </c>
      <c r="X685" s="246">
        <v>2</v>
      </c>
      <c r="Y685" s="246">
        <v>1</v>
      </c>
      <c r="Z685" s="246">
        <v>2</v>
      </c>
      <c r="AA685" s="246">
        <v>2</v>
      </c>
      <c r="AB685" s="246">
        <v>2</v>
      </c>
      <c r="AC685" s="246" t="s">
        <v>486</v>
      </c>
      <c r="AD685" s="246" t="s">
        <v>490</v>
      </c>
      <c r="AE685" s="246" t="s">
        <v>486</v>
      </c>
      <c r="AF685" s="246" t="s">
        <v>486</v>
      </c>
      <c r="AG685" s="246" t="s">
        <v>486</v>
      </c>
      <c r="AH685" s="246" t="s">
        <v>486</v>
      </c>
      <c r="AI685" s="246" t="s">
        <v>486</v>
      </c>
      <c r="AJ685" s="246" t="s">
        <v>486</v>
      </c>
      <c r="AK685" s="246" t="s">
        <v>486</v>
      </c>
      <c r="AL685" s="246" t="s">
        <v>491</v>
      </c>
      <c r="AM685" s="246" t="s">
        <v>486</v>
      </c>
      <c r="AN685" s="246" t="s">
        <v>486</v>
      </c>
      <c r="AO685" s="248" t="s">
        <v>486</v>
      </c>
      <c r="AP685" s="247" t="s">
        <v>486</v>
      </c>
      <c r="AQ685" s="249" t="s">
        <v>486</v>
      </c>
      <c r="AR685" s="246" t="s">
        <v>486</v>
      </c>
    </row>
    <row r="686" spans="1:44" ht="15" x14ac:dyDescent="0.25">
      <c r="A686" s="250" t="str">
        <f>HYPERLINK("http://www.ofsted.gov.uk/inspection-reports/find-inspection-report/provider/ELS/116584 ","Ofsted School Webpage")</f>
        <v>Ofsted School Webpage</v>
      </c>
      <c r="B686" s="251">
        <v>116584</v>
      </c>
      <c r="C686" s="251">
        <v>8506032</v>
      </c>
      <c r="D686" s="251" t="s">
        <v>2677</v>
      </c>
      <c r="E686" s="251" t="s">
        <v>248</v>
      </c>
      <c r="F686" s="251" t="s">
        <v>93</v>
      </c>
      <c r="G686" s="251" t="s">
        <v>79</v>
      </c>
      <c r="H686" s="251" t="s">
        <v>79</v>
      </c>
      <c r="I686" s="251" t="s">
        <v>71</v>
      </c>
      <c r="J686" s="251" t="s">
        <v>1490</v>
      </c>
      <c r="K686" s="251" t="s">
        <v>486</v>
      </c>
      <c r="L686" s="251" t="s">
        <v>487</v>
      </c>
      <c r="M686" s="251" t="s">
        <v>581</v>
      </c>
      <c r="N686" s="251" t="s">
        <v>581</v>
      </c>
      <c r="O686" s="251" t="s">
        <v>582</v>
      </c>
      <c r="P686" s="251" t="s">
        <v>2678</v>
      </c>
      <c r="Q686" s="252">
        <v>10044143</v>
      </c>
      <c r="R686" s="253">
        <v>43256</v>
      </c>
      <c r="S686" s="253">
        <v>43258</v>
      </c>
      <c r="T686" s="253">
        <v>43283</v>
      </c>
      <c r="U686" s="251" t="s">
        <v>488</v>
      </c>
      <c r="V686" s="251">
        <v>2</v>
      </c>
      <c r="W686" s="251" t="s">
        <v>219</v>
      </c>
      <c r="X686" s="251">
        <v>2</v>
      </c>
      <c r="Y686" s="251">
        <v>1</v>
      </c>
      <c r="Z686" s="251">
        <v>2</v>
      </c>
      <c r="AA686" s="251">
        <v>2</v>
      </c>
      <c r="AB686" s="251" t="s">
        <v>486</v>
      </c>
      <c r="AC686" s="251" t="s">
        <v>486</v>
      </c>
      <c r="AD686" s="251" t="s">
        <v>490</v>
      </c>
      <c r="AE686" s="251" t="s">
        <v>486</v>
      </c>
      <c r="AF686" s="251" t="s">
        <v>486</v>
      </c>
      <c r="AG686" s="251" t="s">
        <v>486</v>
      </c>
      <c r="AH686" s="251" t="s">
        <v>486</v>
      </c>
      <c r="AI686" s="251" t="s">
        <v>486</v>
      </c>
      <c r="AJ686" s="251" t="s">
        <v>486</v>
      </c>
      <c r="AK686" s="251" t="s">
        <v>486</v>
      </c>
      <c r="AL686" s="251" t="s">
        <v>491</v>
      </c>
      <c r="AM686" s="251" t="s">
        <v>486</v>
      </c>
      <c r="AN686" s="251" t="s">
        <v>486</v>
      </c>
      <c r="AO686" s="253" t="s">
        <v>486</v>
      </c>
      <c r="AP686" s="252" t="s">
        <v>486</v>
      </c>
      <c r="AQ686" s="254" t="s">
        <v>486</v>
      </c>
      <c r="AR686" s="251" t="s">
        <v>486</v>
      </c>
    </row>
    <row r="687" spans="1:44" ht="15" x14ac:dyDescent="0.25">
      <c r="A687" s="245" t="str">
        <f>HYPERLINK("http://www.ofsted.gov.uk/inspection-reports/find-inspection-report/provider/ELS/116588 ","Ofsted School Webpage")</f>
        <v>Ofsted School Webpage</v>
      </c>
      <c r="B687" s="246">
        <v>116588</v>
      </c>
      <c r="C687" s="246">
        <v>8506058</v>
      </c>
      <c r="D687" s="246" t="s">
        <v>2679</v>
      </c>
      <c r="E687" s="246" t="s">
        <v>248</v>
      </c>
      <c r="F687" s="246" t="s">
        <v>93</v>
      </c>
      <c r="G687" s="246" t="s">
        <v>93</v>
      </c>
      <c r="H687" s="246" t="s">
        <v>93</v>
      </c>
      <c r="I687" s="246" t="s">
        <v>90</v>
      </c>
      <c r="J687" s="246" t="s">
        <v>1490</v>
      </c>
      <c r="K687" s="246" t="s">
        <v>486</v>
      </c>
      <c r="L687" s="246" t="s">
        <v>487</v>
      </c>
      <c r="M687" s="246" t="s">
        <v>581</v>
      </c>
      <c r="N687" s="246" t="s">
        <v>581</v>
      </c>
      <c r="O687" s="246" t="s">
        <v>582</v>
      </c>
      <c r="P687" s="246" t="s">
        <v>2680</v>
      </c>
      <c r="Q687" s="247">
        <v>10047029</v>
      </c>
      <c r="R687" s="248">
        <v>43256</v>
      </c>
      <c r="S687" s="248">
        <v>43258</v>
      </c>
      <c r="T687" s="248">
        <v>43285</v>
      </c>
      <c r="U687" s="246" t="s">
        <v>624</v>
      </c>
      <c r="V687" s="246">
        <v>3</v>
      </c>
      <c r="W687" s="246" t="s">
        <v>219</v>
      </c>
      <c r="X687" s="246">
        <v>3</v>
      </c>
      <c r="Y687" s="246">
        <v>3</v>
      </c>
      <c r="Z687" s="246">
        <v>2</v>
      </c>
      <c r="AA687" s="246">
        <v>3</v>
      </c>
      <c r="AB687" s="246" t="s">
        <v>486</v>
      </c>
      <c r="AC687" s="246">
        <v>2</v>
      </c>
      <c r="AD687" s="246" t="s">
        <v>490</v>
      </c>
      <c r="AE687" s="246" t="s">
        <v>486</v>
      </c>
      <c r="AF687" s="246" t="s">
        <v>486</v>
      </c>
      <c r="AG687" s="246" t="s">
        <v>486</v>
      </c>
      <c r="AH687" s="246" t="s">
        <v>486</v>
      </c>
      <c r="AI687" s="246" t="s">
        <v>486</v>
      </c>
      <c r="AJ687" s="246" t="s">
        <v>486</v>
      </c>
      <c r="AK687" s="246" t="s">
        <v>486</v>
      </c>
      <c r="AL687" s="246" t="s">
        <v>545</v>
      </c>
      <c r="AM687" s="246" t="s">
        <v>486</v>
      </c>
      <c r="AN687" s="246" t="s">
        <v>486</v>
      </c>
      <c r="AO687" s="248" t="s">
        <v>486</v>
      </c>
      <c r="AP687" s="247" t="s">
        <v>486</v>
      </c>
      <c r="AQ687" s="249" t="s">
        <v>486</v>
      </c>
      <c r="AR687" s="246" t="s">
        <v>486</v>
      </c>
    </row>
    <row r="688" spans="1:44" ht="15" x14ac:dyDescent="0.25">
      <c r="A688" s="250" t="str">
        <f>HYPERLINK("http://www.ofsted.gov.uk/inspection-reports/find-inspection-report/provider/ELS/118972 ","Ofsted School Webpage")</f>
        <v>Ofsted School Webpage</v>
      </c>
      <c r="B688" s="251">
        <v>118972</v>
      </c>
      <c r="C688" s="251">
        <v>8866030</v>
      </c>
      <c r="D688" s="251" t="s">
        <v>2681</v>
      </c>
      <c r="E688" s="251" t="s">
        <v>247</v>
      </c>
      <c r="F688" s="251" t="s">
        <v>93</v>
      </c>
      <c r="G688" s="251" t="s">
        <v>93</v>
      </c>
      <c r="H688" s="251" t="s">
        <v>93</v>
      </c>
      <c r="I688" s="251" t="s">
        <v>90</v>
      </c>
      <c r="J688" s="251" t="s">
        <v>1490</v>
      </c>
      <c r="K688" s="251" t="s">
        <v>486</v>
      </c>
      <c r="L688" s="251" t="s">
        <v>487</v>
      </c>
      <c r="M688" s="251" t="s">
        <v>581</v>
      </c>
      <c r="N688" s="251" t="s">
        <v>581</v>
      </c>
      <c r="O688" s="251" t="s">
        <v>694</v>
      </c>
      <c r="P688" s="251" t="s">
        <v>2682</v>
      </c>
      <c r="Q688" s="252">
        <v>10047024</v>
      </c>
      <c r="R688" s="253">
        <v>43256</v>
      </c>
      <c r="S688" s="253">
        <v>43258</v>
      </c>
      <c r="T688" s="253">
        <v>43278</v>
      </c>
      <c r="U688" s="251" t="s">
        <v>488</v>
      </c>
      <c r="V688" s="251">
        <v>2</v>
      </c>
      <c r="W688" s="251" t="s">
        <v>219</v>
      </c>
      <c r="X688" s="251">
        <v>2</v>
      </c>
      <c r="Y688" s="251">
        <v>2</v>
      </c>
      <c r="Z688" s="251">
        <v>2</v>
      </c>
      <c r="AA688" s="251">
        <v>2</v>
      </c>
      <c r="AB688" s="251">
        <v>2</v>
      </c>
      <c r="AC688" s="251" t="s">
        <v>486</v>
      </c>
      <c r="AD688" s="251" t="s">
        <v>490</v>
      </c>
      <c r="AE688" s="251" t="s">
        <v>486</v>
      </c>
      <c r="AF688" s="251" t="s">
        <v>486</v>
      </c>
      <c r="AG688" s="251" t="s">
        <v>486</v>
      </c>
      <c r="AH688" s="251" t="s">
        <v>486</v>
      </c>
      <c r="AI688" s="251" t="s">
        <v>486</v>
      </c>
      <c r="AJ688" s="251" t="s">
        <v>486</v>
      </c>
      <c r="AK688" s="251" t="s">
        <v>486</v>
      </c>
      <c r="AL688" s="251" t="s">
        <v>491</v>
      </c>
      <c r="AM688" s="251" t="s">
        <v>486</v>
      </c>
      <c r="AN688" s="251" t="s">
        <v>486</v>
      </c>
      <c r="AO688" s="253" t="s">
        <v>486</v>
      </c>
      <c r="AP688" s="252" t="s">
        <v>486</v>
      </c>
      <c r="AQ688" s="254" t="s">
        <v>486</v>
      </c>
      <c r="AR688" s="251" t="s">
        <v>486</v>
      </c>
    </row>
    <row r="689" spans="1:44" ht="15" x14ac:dyDescent="0.25">
      <c r="A689" s="245" t="str">
        <f>HYPERLINK("http://www.ofsted.gov.uk/inspection-reports/find-inspection-report/provider/ELS/119013 ","Ofsted School Webpage")</f>
        <v>Ofsted School Webpage</v>
      </c>
      <c r="B689" s="246">
        <v>119013</v>
      </c>
      <c r="C689" s="246">
        <v>8866063</v>
      </c>
      <c r="D689" s="246" t="s">
        <v>2683</v>
      </c>
      <c r="E689" s="246" t="s">
        <v>248</v>
      </c>
      <c r="F689" s="246" t="s">
        <v>93</v>
      </c>
      <c r="G689" s="246" t="s">
        <v>93</v>
      </c>
      <c r="H689" s="246" t="s">
        <v>93</v>
      </c>
      <c r="I689" s="246" t="s">
        <v>90</v>
      </c>
      <c r="J689" s="246" t="s">
        <v>1490</v>
      </c>
      <c r="K689" s="246" t="s">
        <v>486</v>
      </c>
      <c r="L689" s="246" t="s">
        <v>487</v>
      </c>
      <c r="M689" s="246" t="s">
        <v>581</v>
      </c>
      <c r="N689" s="246" t="s">
        <v>581</v>
      </c>
      <c r="O689" s="246" t="s">
        <v>694</v>
      </c>
      <c r="P689" s="246" t="s">
        <v>2684</v>
      </c>
      <c r="Q689" s="247">
        <v>10006325</v>
      </c>
      <c r="R689" s="248">
        <v>43256</v>
      </c>
      <c r="S689" s="248">
        <v>43258</v>
      </c>
      <c r="T689" s="248">
        <v>43279</v>
      </c>
      <c r="U689" s="246" t="s">
        <v>488</v>
      </c>
      <c r="V689" s="246">
        <v>3</v>
      </c>
      <c r="W689" s="246" t="s">
        <v>219</v>
      </c>
      <c r="X689" s="246">
        <v>3</v>
      </c>
      <c r="Y689" s="246">
        <v>2</v>
      </c>
      <c r="Z689" s="246">
        <v>3</v>
      </c>
      <c r="AA689" s="246">
        <v>3</v>
      </c>
      <c r="AB689" s="246" t="s">
        <v>486</v>
      </c>
      <c r="AC689" s="246" t="s">
        <v>486</v>
      </c>
      <c r="AD689" s="246" t="s">
        <v>490</v>
      </c>
      <c r="AE689" s="246" t="s">
        <v>486</v>
      </c>
      <c r="AF689" s="246" t="s">
        <v>486</v>
      </c>
      <c r="AG689" s="246" t="s">
        <v>486</v>
      </c>
      <c r="AH689" s="246" t="s">
        <v>486</v>
      </c>
      <c r="AI689" s="246" t="s">
        <v>486</v>
      </c>
      <c r="AJ689" s="246" t="s">
        <v>486</v>
      </c>
      <c r="AK689" s="246" t="s">
        <v>486</v>
      </c>
      <c r="AL689" s="246" t="s">
        <v>491</v>
      </c>
      <c r="AM689" s="246" t="s">
        <v>486</v>
      </c>
      <c r="AN689" s="246" t="s">
        <v>486</v>
      </c>
      <c r="AO689" s="248" t="s">
        <v>486</v>
      </c>
      <c r="AP689" s="247" t="s">
        <v>486</v>
      </c>
      <c r="AQ689" s="249" t="s">
        <v>486</v>
      </c>
      <c r="AR689" s="246" t="s">
        <v>486</v>
      </c>
    </row>
    <row r="690" spans="1:44" ht="15" x14ac:dyDescent="0.25">
      <c r="A690" s="250" t="str">
        <f>HYPERLINK("http://www.ofsted.gov.uk/inspection-reports/find-inspection-report/provider/ELS/131033 ","Ofsted School Webpage")</f>
        <v>Ofsted School Webpage</v>
      </c>
      <c r="B690" s="251">
        <v>131033</v>
      </c>
      <c r="C690" s="251">
        <v>8936097</v>
      </c>
      <c r="D690" s="251" t="s">
        <v>965</v>
      </c>
      <c r="E690" s="251" t="s">
        <v>248</v>
      </c>
      <c r="F690" s="251" t="s">
        <v>93</v>
      </c>
      <c r="G690" s="251" t="s">
        <v>93</v>
      </c>
      <c r="H690" s="251" t="s">
        <v>93</v>
      </c>
      <c r="I690" s="251" t="s">
        <v>90</v>
      </c>
      <c r="J690" s="251" t="s">
        <v>1490</v>
      </c>
      <c r="K690" s="251" t="s">
        <v>486</v>
      </c>
      <c r="L690" s="251" t="s">
        <v>487</v>
      </c>
      <c r="M690" s="251" t="s">
        <v>502</v>
      </c>
      <c r="N690" s="251" t="s">
        <v>502</v>
      </c>
      <c r="O690" s="251" t="s">
        <v>666</v>
      </c>
      <c r="P690" s="251" t="s">
        <v>607</v>
      </c>
      <c r="Q690" s="252">
        <v>10047129</v>
      </c>
      <c r="R690" s="253">
        <v>43256</v>
      </c>
      <c r="S690" s="253">
        <v>43258</v>
      </c>
      <c r="T690" s="253">
        <v>43304</v>
      </c>
      <c r="U690" s="251" t="s">
        <v>488</v>
      </c>
      <c r="V690" s="251">
        <v>3</v>
      </c>
      <c r="W690" s="251" t="s">
        <v>219</v>
      </c>
      <c r="X690" s="251">
        <v>3</v>
      </c>
      <c r="Y690" s="251">
        <v>2</v>
      </c>
      <c r="Z690" s="251">
        <v>2</v>
      </c>
      <c r="AA690" s="251">
        <v>3</v>
      </c>
      <c r="AB690" s="251" t="s">
        <v>486</v>
      </c>
      <c r="AC690" s="251" t="s">
        <v>486</v>
      </c>
      <c r="AD690" s="251" t="s">
        <v>490</v>
      </c>
      <c r="AE690" s="251" t="s">
        <v>486</v>
      </c>
      <c r="AF690" s="251" t="s">
        <v>486</v>
      </c>
      <c r="AG690" s="251" t="s">
        <v>486</v>
      </c>
      <c r="AH690" s="251" t="s">
        <v>486</v>
      </c>
      <c r="AI690" s="251" t="s">
        <v>486</v>
      </c>
      <c r="AJ690" s="251" t="s">
        <v>486</v>
      </c>
      <c r="AK690" s="251" t="s">
        <v>486</v>
      </c>
      <c r="AL690" s="251" t="s">
        <v>545</v>
      </c>
      <c r="AM690" s="251" t="s">
        <v>486</v>
      </c>
      <c r="AN690" s="251" t="s">
        <v>486</v>
      </c>
      <c r="AO690" s="253" t="s">
        <v>486</v>
      </c>
      <c r="AP690" s="252" t="s">
        <v>486</v>
      </c>
      <c r="AQ690" s="254" t="s">
        <v>486</v>
      </c>
      <c r="AR690" s="251" t="s">
        <v>486</v>
      </c>
    </row>
    <row r="691" spans="1:44" ht="15" x14ac:dyDescent="0.25">
      <c r="A691" s="245" t="str">
        <f>HYPERLINK("http://www.ofsted.gov.uk/inspection-reports/find-inspection-report/provider/ELS/131403 ","Ofsted School Webpage")</f>
        <v>Ofsted School Webpage</v>
      </c>
      <c r="B691" s="246">
        <v>131403</v>
      </c>
      <c r="C691" s="246">
        <v>3026110</v>
      </c>
      <c r="D691" s="246" t="s">
        <v>2685</v>
      </c>
      <c r="E691" s="246" t="s">
        <v>247</v>
      </c>
      <c r="F691" s="246" t="s">
        <v>93</v>
      </c>
      <c r="G691" s="246" t="s">
        <v>81</v>
      </c>
      <c r="H691" s="246" t="s">
        <v>81</v>
      </c>
      <c r="I691" s="246" t="s">
        <v>81</v>
      </c>
      <c r="J691" s="246" t="s">
        <v>1490</v>
      </c>
      <c r="K691" s="246" t="s">
        <v>486</v>
      </c>
      <c r="L691" s="246" t="s">
        <v>487</v>
      </c>
      <c r="M691" s="246" t="s">
        <v>506</v>
      </c>
      <c r="N691" s="246" t="s">
        <v>506</v>
      </c>
      <c r="O691" s="246" t="s">
        <v>614</v>
      </c>
      <c r="P691" s="246" t="s">
        <v>2686</v>
      </c>
      <c r="Q691" s="247">
        <v>10038162</v>
      </c>
      <c r="R691" s="248">
        <v>43256</v>
      </c>
      <c r="S691" s="248">
        <v>43258</v>
      </c>
      <c r="T691" s="248">
        <v>43384</v>
      </c>
      <c r="U691" s="246" t="s">
        <v>488</v>
      </c>
      <c r="V691" s="246">
        <v>3</v>
      </c>
      <c r="W691" s="246" t="s">
        <v>219</v>
      </c>
      <c r="X691" s="246">
        <v>3</v>
      </c>
      <c r="Y691" s="246">
        <v>3</v>
      </c>
      <c r="Z691" s="246">
        <v>2</v>
      </c>
      <c r="AA691" s="246">
        <v>2</v>
      </c>
      <c r="AB691" s="246" t="s">
        <v>486</v>
      </c>
      <c r="AC691" s="246" t="s">
        <v>486</v>
      </c>
      <c r="AD691" s="246" t="s">
        <v>512</v>
      </c>
      <c r="AE691" s="246" t="s">
        <v>486</v>
      </c>
      <c r="AF691" s="246" t="s">
        <v>486</v>
      </c>
      <c r="AG691" s="246" t="s">
        <v>486</v>
      </c>
      <c r="AH691" s="246" t="s">
        <v>490</v>
      </c>
      <c r="AI691" s="246" t="s">
        <v>486</v>
      </c>
      <c r="AJ691" s="246" t="s">
        <v>486</v>
      </c>
      <c r="AK691" s="246" t="s">
        <v>486</v>
      </c>
      <c r="AL691" s="246" t="s">
        <v>545</v>
      </c>
      <c r="AM691" s="246" t="s">
        <v>486</v>
      </c>
      <c r="AN691" s="246" t="s">
        <v>486</v>
      </c>
      <c r="AO691" s="248" t="s">
        <v>486</v>
      </c>
      <c r="AP691" s="247" t="s">
        <v>486</v>
      </c>
      <c r="AQ691" s="249" t="s">
        <v>486</v>
      </c>
      <c r="AR691" s="246" t="s">
        <v>486</v>
      </c>
    </row>
    <row r="692" spans="1:44" ht="15" x14ac:dyDescent="0.25">
      <c r="A692" s="250" t="str">
        <f>HYPERLINK("http://www.ofsted.gov.uk/inspection-reports/find-inspection-report/provider/ELS/131422 ","Ofsted School Webpage")</f>
        <v>Ofsted School Webpage</v>
      </c>
      <c r="B692" s="251">
        <v>131422</v>
      </c>
      <c r="C692" s="251">
        <v>8866076</v>
      </c>
      <c r="D692" s="251" t="s">
        <v>2687</v>
      </c>
      <c r="E692" s="251" t="s">
        <v>248</v>
      </c>
      <c r="F692" s="251" t="s">
        <v>93</v>
      </c>
      <c r="G692" s="251" t="s">
        <v>93</v>
      </c>
      <c r="H692" s="251" t="s">
        <v>93</v>
      </c>
      <c r="I692" s="251" t="s">
        <v>90</v>
      </c>
      <c r="J692" s="251" t="s">
        <v>1490</v>
      </c>
      <c r="K692" s="251" t="s">
        <v>486</v>
      </c>
      <c r="L692" s="251" t="s">
        <v>487</v>
      </c>
      <c r="M692" s="251" t="s">
        <v>581</v>
      </c>
      <c r="N692" s="251" t="s">
        <v>581</v>
      </c>
      <c r="O692" s="251" t="s">
        <v>694</v>
      </c>
      <c r="P692" s="251" t="s">
        <v>2688</v>
      </c>
      <c r="Q692" s="252">
        <v>10047019</v>
      </c>
      <c r="R692" s="253">
        <v>43256</v>
      </c>
      <c r="S692" s="253">
        <v>43258</v>
      </c>
      <c r="T692" s="253">
        <v>43278</v>
      </c>
      <c r="U692" s="251" t="s">
        <v>488</v>
      </c>
      <c r="V692" s="251">
        <v>2</v>
      </c>
      <c r="W692" s="251" t="s">
        <v>219</v>
      </c>
      <c r="X692" s="251">
        <v>2</v>
      </c>
      <c r="Y692" s="251">
        <v>2</v>
      </c>
      <c r="Z692" s="251">
        <v>2</v>
      </c>
      <c r="AA692" s="251">
        <v>2</v>
      </c>
      <c r="AB692" s="251" t="s">
        <v>486</v>
      </c>
      <c r="AC692" s="251" t="s">
        <v>486</v>
      </c>
      <c r="AD692" s="251" t="s">
        <v>490</v>
      </c>
      <c r="AE692" s="251" t="s">
        <v>486</v>
      </c>
      <c r="AF692" s="251" t="s">
        <v>486</v>
      </c>
      <c r="AG692" s="251" t="s">
        <v>486</v>
      </c>
      <c r="AH692" s="251" t="s">
        <v>486</v>
      </c>
      <c r="AI692" s="251" t="s">
        <v>486</v>
      </c>
      <c r="AJ692" s="251" t="s">
        <v>486</v>
      </c>
      <c r="AK692" s="251" t="s">
        <v>486</v>
      </c>
      <c r="AL692" s="251" t="s">
        <v>491</v>
      </c>
      <c r="AM692" s="251" t="s">
        <v>486</v>
      </c>
      <c r="AN692" s="251" t="s">
        <v>486</v>
      </c>
      <c r="AO692" s="253" t="s">
        <v>486</v>
      </c>
      <c r="AP692" s="252" t="s">
        <v>486</v>
      </c>
      <c r="AQ692" s="254" t="s">
        <v>486</v>
      </c>
      <c r="AR692" s="251" t="s">
        <v>486</v>
      </c>
    </row>
    <row r="693" spans="1:44" ht="15" x14ac:dyDescent="0.25">
      <c r="A693" s="245" t="str">
        <f>HYPERLINK("http://www.ofsted.gov.uk/inspection-reports/find-inspection-report/provider/ELS/133348 ","Ofsted School Webpage")</f>
        <v>Ofsted School Webpage</v>
      </c>
      <c r="B693" s="246">
        <v>133348</v>
      </c>
      <c r="C693" s="246">
        <v>8466023</v>
      </c>
      <c r="D693" s="246" t="s">
        <v>2689</v>
      </c>
      <c r="E693" s="246" t="s">
        <v>247</v>
      </c>
      <c r="F693" s="246" t="s">
        <v>93</v>
      </c>
      <c r="G693" s="246" t="s">
        <v>93</v>
      </c>
      <c r="H693" s="246" t="s">
        <v>93</v>
      </c>
      <c r="I693" s="246" t="s">
        <v>90</v>
      </c>
      <c r="J693" s="246" t="s">
        <v>1490</v>
      </c>
      <c r="K693" s="246" t="s">
        <v>486</v>
      </c>
      <c r="L693" s="246" t="s">
        <v>487</v>
      </c>
      <c r="M693" s="246" t="s">
        <v>581</v>
      </c>
      <c r="N693" s="246" t="s">
        <v>581</v>
      </c>
      <c r="O693" s="246" t="s">
        <v>924</v>
      </c>
      <c r="P693" s="246" t="s">
        <v>2690</v>
      </c>
      <c r="Q693" s="247">
        <v>10020938</v>
      </c>
      <c r="R693" s="248">
        <v>43256</v>
      </c>
      <c r="S693" s="248">
        <v>43258</v>
      </c>
      <c r="T693" s="248">
        <v>43277</v>
      </c>
      <c r="U693" s="246" t="s">
        <v>488</v>
      </c>
      <c r="V693" s="246">
        <v>2</v>
      </c>
      <c r="W693" s="246" t="s">
        <v>219</v>
      </c>
      <c r="X693" s="246">
        <v>2</v>
      </c>
      <c r="Y693" s="246">
        <v>2</v>
      </c>
      <c r="Z693" s="246">
        <v>2</v>
      </c>
      <c r="AA693" s="246">
        <v>2</v>
      </c>
      <c r="AB693" s="246">
        <v>2</v>
      </c>
      <c r="AC693" s="246" t="s">
        <v>486</v>
      </c>
      <c r="AD693" s="246" t="s">
        <v>490</v>
      </c>
      <c r="AE693" s="246" t="s">
        <v>486</v>
      </c>
      <c r="AF693" s="246" t="s">
        <v>486</v>
      </c>
      <c r="AG693" s="246" t="s">
        <v>486</v>
      </c>
      <c r="AH693" s="246" t="s">
        <v>486</v>
      </c>
      <c r="AI693" s="246" t="s">
        <v>486</v>
      </c>
      <c r="AJ693" s="246" t="s">
        <v>486</v>
      </c>
      <c r="AK693" s="246" t="s">
        <v>486</v>
      </c>
      <c r="AL693" s="246" t="s">
        <v>491</v>
      </c>
      <c r="AM693" s="246" t="s">
        <v>486</v>
      </c>
      <c r="AN693" s="246" t="s">
        <v>486</v>
      </c>
      <c r="AO693" s="248" t="s">
        <v>486</v>
      </c>
      <c r="AP693" s="247" t="s">
        <v>486</v>
      </c>
      <c r="AQ693" s="249" t="s">
        <v>486</v>
      </c>
      <c r="AR693" s="246" t="s">
        <v>486</v>
      </c>
    </row>
    <row r="694" spans="1:44" ht="15" x14ac:dyDescent="0.25">
      <c r="A694" s="250" t="str">
        <f>HYPERLINK("http://www.ofsted.gov.uk/inspection-reports/find-inspection-report/provider/ELS/133478 ","Ofsted School Webpage")</f>
        <v>Ofsted School Webpage</v>
      </c>
      <c r="B694" s="251">
        <v>133478</v>
      </c>
      <c r="C694" s="251">
        <v>8936025</v>
      </c>
      <c r="D694" s="251" t="s">
        <v>1292</v>
      </c>
      <c r="E694" s="251" t="s">
        <v>248</v>
      </c>
      <c r="F694" s="251" t="s">
        <v>93</v>
      </c>
      <c r="G694" s="251" t="s">
        <v>93</v>
      </c>
      <c r="H694" s="251" t="s">
        <v>93</v>
      </c>
      <c r="I694" s="251" t="s">
        <v>90</v>
      </c>
      <c r="J694" s="251" t="s">
        <v>1490</v>
      </c>
      <c r="K694" s="251" t="s">
        <v>486</v>
      </c>
      <c r="L694" s="251" t="s">
        <v>487</v>
      </c>
      <c r="M694" s="251" t="s">
        <v>502</v>
      </c>
      <c r="N694" s="251" t="s">
        <v>502</v>
      </c>
      <c r="O694" s="251" t="s">
        <v>666</v>
      </c>
      <c r="P694" s="251" t="s">
        <v>1293</v>
      </c>
      <c r="Q694" s="252">
        <v>10047131</v>
      </c>
      <c r="R694" s="253">
        <v>43256</v>
      </c>
      <c r="S694" s="253">
        <v>43258</v>
      </c>
      <c r="T694" s="253">
        <v>43304</v>
      </c>
      <c r="U694" s="251" t="s">
        <v>488</v>
      </c>
      <c r="V694" s="251">
        <v>2</v>
      </c>
      <c r="W694" s="251" t="s">
        <v>219</v>
      </c>
      <c r="X694" s="251">
        <v>2</v>
      </c>
      <c r="Y694" s="251">
        <v>2</v>
      </c>
      <c r="Z694" s="251">
        <v>2</v>
      </c>
      <c r="AA694" s="251">
        <v>2</v>
      </c>
      <c r="AB694" s="251" t="s">
        <v>486</v>
      </c>
      <c r="AC694" s="251">
        <v>2</v>
      </c>
      <c r="AD694" s="251" t="s">
        <v>490</v>
      </c>
      <c r="AE694" s="251" t="s">
        <v>486</v>
      </c>
      <c r="AF694" s="251" t="s">
        <v>486</v>
      </c>
      <c r="AG694" s="251" t="s">
        <v>486</v>
      </c>
      <c r="AH694" s="251" t="s">
        <v>486</v>
      </c>
      <c r="AI694" s="251" t="s">
        <v>486</v>
      </c>
      <c r="AJ694" s="251" t="s">
        <v>486</v>
      </c>
      <c r="AK694" s="251" t="s">
        <v>486</v>
      </c>
      <c r="AL694" s="251" t="s">
        <v>491</v>
      </c>
      <c r="AM694" s="251" t="s">
        <v>486</v>
      </c>
      <c r="AN694" s="251" t="s">
        <v>486</v>
      </c>
      <c r="AO694" s="253" t="s">
        <v>486</v>
      </c>
      <c r="AP694" s="252" t="s">
        <v>486</v>
      </c>
      <c r="AQ694" s="254" t="s">
        <v>486</v>
      </c>
      <c r="AR694" s="251" t="s">
        <v>486</v>
      </c>
    </row>
    <row r="695" spans="1:44" ht="15" x14ac:dyDescent="0.25">
      <c r="A695" s="245" t="str">
        <f>HYPERLINK("http://www.ofsted.gov.uk/inspection-reports/find-inspection-report/provider/ELS/134142 ","Ofsted School Webpage")</f>
        <v>Ofsted School Webpage</v>
      </c>
      <c r="B695" s="246">
        <v>134142</v>
      </c>
      <c r="C695" s="246">
        <v>2106393</v>
      </c>
      <c r="D695" s="246" t="s">
        <v>1310</v>
      </c>
      <c r="E695" s="246" t="s">
        <v>247</v>
      </c>
      <c r="F695" s="246" t="s">
        <v>93</v>
      </c>
      <c r="G695" s="246" t="s">
        <v>93</v>
      </c>
      <c r="H695" s="246" t="s">
        <v>93</v>
      </c>
      <c r="I695" s="246" t="s">
        <v>90</v>
      </c>
      <c r="J695" s="246" t="s">
        <v>1490</v>
      </c>
      <c r="K695" s="246" t="s">
        <v>486</v>
      </c>
      <c r="L695" s="246" t="s">
        <v>487</v>
      </c>
      <c r="M695" s="246" t="s">
        <v>506</v>
      </c>
      <c r="N695" s="246" t="s">
        <v>506</v>
      </c>
      <c r="O695" s="246" t="s">
        <v>1311</v>
      </c>
      <c r="P695" s="246" t="s">
        <v>1312</v>
      </c>
      <c r="Q695" s="247">
        <v>10012785</v>
      </c>
      <c r="R695" s="248">
        <v>43256</v>
      </c>
      <c r="S695" s="248">
        <v>43258</v>
      </c>
      <c r="T695" s="248">
        <v>43293</v>
      </c>
      <c r="U695" s="246" t="s">
        <v>488</v>
      </c>
      <c r="V695" s="246">
        <v>2</v>
      </c>
      <c r="W695" s="246" t="s">
        <v>219</v>
      </c>
      <c r="X695" s="246">
        <v>2</v>
      </c>
      <c r="Y695" s="246">
        <v>1</v>
      </c>
      <c r="Z695" s="246">
        <v>2</v>
      </c>
      <c r="AA695" s="246">
        <v>2</v>
      </c>
      <c r="AB695" s="246">
        <v>2</v>
      </c>
      <c r="AC695" s="246" t="s">
        <v>486</v>
      </c>
      <c r="AD695" s="246" t="s">
        <v>512</v>
      </c>
      <c r="AE695" s="246" t="s">
        <v>486</v>
      </c>
      <c r="AF695" s="246" t="s">
        <v>486</v>
      </c>
      <c r="AG695" s="246" t="s">
        <v>490</v>
      </c>
      <c r="AH695" s="246" t="s">
        <v>486</v>
      </c>
      <c r="AI695" s="246" t="s">
        <v>486</v>
      </c>
      <c r="AJ695" s="246" t="s">
        <v>486</v>
      </c>
      <c r="AK695" s="246" t="s">
        <v>486</v>
      </c>
      <c r="AL695" s="246" t="s">
        <v>491</v>
      </c>
      <c r="AM695" s="246" t="s">
        <v>486</v>
      </c>
      <c r="AN695" s="246" t="s">
        <v>486</v>
      </c>
      <c r="AO695" s="248" t="s">
        <v>486</v>
      </c>
      <c r="AP695" s="247" t="s">
        <v>486</v>
      </c>
      <c r="AQ695" s="249" t="s">
        <v>486</v>
      </c>
      <c r="AR695" s="246" t="s">
        <v>486</v>
      </c>
    </row>
    <row r="696" spans="1:44" ht="15" x14ac:dyDescent="0.25">
      <c r="A696" s="250" t="str">
        <f>HYPERLINK("http://www.ofsted.gov.uk/inspection-reports/find-inspection-report/provider/ELS/134402 ","Ofsted School Webpage")</f>
        <v>Ofsted School Webpage</v>
      </c>
      <c r="B696" s="251">
        <v>134402</v>
      </c>
      <c r="C696" s="251">
        <v>2036300</v>
      </c>
      <c r="D696" s="251" t="s">
        <v>2691</v>
      </c>
      <c r="E696" s="251" t="s">
        <v>247</v>
      </c>
      <c r="F696" s="251" t="s">
        <v>93</v>
      </c>
      <c r="G696" s="251" t="s">
        <v>93</v>
      </c>
      <c r="H696" s="251" t="s">
        <v>93</v>
      </c>
      <c r="I696" s="251" t="s">
        <v>90</v>
      </c>
      <c r="J696" s="251" t="s">
        <v>1490</v>
      </c>
      <c r="K696" s="251" t="s">
        <v>486</v>
      </c>
      <c r="L696" s="251" t="s">
        <v>487</v>
      </c>
      <c r="M696" s="251" t="s">
        <v>506</v>
      </c>
      <c r="N696" s="251" t="s">
        <v>506</v>
      </c>
      <c r="O696" s="251" t="s">
        <v>823</v>
      </c>
      <c r="P696" s="251" t="s">
        <v>2692</v>
      </c>
      <c r="Q696" s="252">
        <v>10035802</v>
      </c>
      <c r="R696" s="253">
        <v>43256</v>
      </c>
      <c r="S696" s="253">
        <v>43258</v>
      </c>
      <c r="T696" s="253">
        <v>43285</v>
      </c>
      <c r="U696" s="251" t="s">
        <v>488</v>
      </c>
      <c r="V696" s="251">
        <v>2</v>
      </c>
      <c r="W696" s="251" t="s">
        <v>219</v>
      </c>
      <c r="X696" s="251">
        <v>2</v>
      </c>
      <c r="Y696" s="251">
        <v>2</v>
      </c>
      <c r="Z696" s="251">
        <v>2</v>
      </c>
      <c r="AA696" s="251">
        <v>2</v>
      </c>
      <c r="AB696" s="251" t="s">
        <v>486</v>
      </c>
      <c r="AC696" s="251">
        <v>0</v>
      </c>
      <c r="AD696" s="251" t="s">
        <v>490</v>
      </c>
      <c r="AE696" s="251" t="s">
        <v>486</v>
      </c>
      <c r="AF696" s="251" t="s">
        <v>486</v>
      </c>
      <c r="AG696" s="251" t="s">
        <v>486</v>
      </c>
      <c r="AH696" s="251" t="s">
        <v>486</v>
      </c>
      <c r="AI696" s="251" t="s">
        <v>486</v>
      </c>
      <c r="AJ696" s="251" t="s">
        <v>486</v>
      </c>
      <c r="AK696" s="251" t="s">
        <v>486</v>
      </c>
      <c r="AL696" s="251" t="s">
        <v>491</v>
      </c>
      <c r="AM696" s="251" t="s">
        <v>486</v>
      </c>
      <c r="AN696" s="251" t="s">
        <v>486</v>
      </c>
      <c r="AO696" s="253" t="s">
        <v>486</v>
      </c>
      <c r="AP696" s="252" t="s">
        <v>486</v>
      </c>
      <c r="AQ696" s="254" t="s">
        <v>486</v>
      </c>
      <c r="AR696" s="251" t="s">
        <v>486</v>
      </c>
    </row>
    <row r="697" spans="1:44" ht="15" x14ac:dyDescent="0.25">
      <c r="A697" s="245" t="str">
        <f>HYPERLINK("http://www.ofsted.gov.uk/inspection-reports/find-inspection-report/provider/ELS/134595 ","Ofsted School Webpage")</f>
        <v>Ofsted School Webpage</v>
      </c>
      <c r="B697" s="246">
        <v>134595</v>
      </c>
      <c r="C697" s="246">
        <v>8566018</v>
      </c>
      <c r="D697" s="246" t="s">
        <v>2693</v>
      </c>
      <c r="E697" s="246" t="s">
        <v>247</v>
      </c>
      <c r="F697" s="246" t="s">
        <v>93</v>
      </c>
      <c r="G697" s="246" t="s">
        <v>71</v>
      </c>
      <c r="H697" s="246" t="s">
        <v>71</v>
      </c>
      <c r="I697" s="246" t="s">
        <v>71</v>
      </c>
      <c r="J697" s="246" t="s">
        <v>1490</v>
      </c>
      <c r="K697" s="246" t="s">
        <v>486</v>
      </c>
      <c r="L697" s="246" t="s">
        <v>487</v>
      </c>
      <c r="M697" s="246" t="s">
        <v>572</v>
      </c>
      <c r="N697" s="246" t="s">
        <v>572</v>
      </c>
      <c r="O697" s="246" t="s">
        <v>589</v>
      </c>
      <c r="P697" s="246" t="s">
        <v>2694</v>
      </c>
      <c r="Q697" s="247">
        <v>10039185</v>
      </c>
      <c r="R697" s="248">
        <v>43256</v>
      </c>
      <c r="S697" s="248">
        <v>43258</v>
      </c>
      <c r="T697" s="248">
        <v>43278</v>
      </c>
      <c r="U697" s="246" t="s">
        <v>488</v>
      </c>
      <c r="V697" s="246">
        <v>2</v>
      </c>
      <c r="W697" s="246" t="s">
        <v>219</v>
      </c>
      <c r="X697" s="246">
        <v>2</v>
      </c>
      <c r="Y697" s="246">
        <v>2</v>
      </c>
      <c r="Z697" s="246">
        <v>2</v>
      </c>
      <c r="AA697" s="246">
        <v>2</v>
      </c>
      <c r="AB697" s="246">
        <v>2</v>
      </c>
      <c r="AC697" s="246" t="s">
        <v>486</v>
      </c>
      <c r="AD697" s="246" t="s">
        <v>490</v>
      </c>
      <c r="AE697" s="246" t="s">
        <v>486</v>
      </c>
      <c r="AF697" s="246" t="s">
        <v>486</v>
      </c>
      <c r="AG697" s="246" t="s">
        <v>486</v>
      </c>
      <c r="AH697" s="246" t="s">
        <v>486</v>
      </c>
      <c r="AI697" s="246" t="s">
        <v>486</v>
      </c>
      <c r="AJ697" s="246" t="s">
        <v>486</v>
      </c>
      <c r="AK697" s="246" t="s">
        <v>486</v>
      </c>
      <c r="AL697" s="246" t="s">
        <v>491</v>
      </c>
      <c r="AM697" s="246" t="s">
        <v>486</v>
      </c>
      <c r="AN697" s="246" t="s">
        <v>486</v>
      </c>
      <c r="AO697" s="248" t="s">
        <v>486</v>
      </c>
      <c r="AP697" s="247" t="s">
        <v>486</v>
      </c>
      <c r="AQ697" s="249" t="s">
        <v>486</v>
      </c>
      <c r="AR697" s="246" t="s">
        <v>486</v>
      </c>
    </row>
    <row r="698" spans="1:44" ht="15" x14ac:dyDescent="0.25">
      <c r="A698" s="250" t="str">
        <f>HYPERLINK("http://www.ofsted.gov.uk/inspection-reports/find-inspection-report/provider/ELS/135819 ","Ofsted School Webpage")</f>
        <v>Ofsted School Webpage</v>
      </c>
      <c r="B698" s="251">
        <v>135819</v>
      </c>
      <c r="C698" s="251">
        <v>8696016</v>
      </c>
      <c r="D698" s="251" t="s">
        <v>2695</v>
      </c>
      <c r="E698" s="251" t="s">
        <v>247</v>
      </c>
      <c r="F698" s="251" t="s">
        <v>93</v>
      </c>
      <c r="G698" s="251" t="s">
        <v>93</v>
      </c>
      <c r="H698" s="251" t="s">
        <v>93</v>
      </c>
      <c r="I698" s="251" t="s">
        <v>90</v>
      </c>
      <c r="J698" s="251" t="s">
        <v>1490</v>
      </c>
      <c r="K698" s="251" t="s">
        <v>486</v>
      </c>
      <c r="L698" s="251" t="s">
        <v>487</v>
      </c>
      <c r="M698" s="251" t="s">
        <v>581</v>
      </c>
      <c r="N698" s="251" t="s">
        <v>581</v>
      </c>
      <c r="O698" s="251" t="s">
        <v>1519</v>
      </c>
      <c r="P698" s="251" t="s">
        <v>2696</v>
      </c>
      <c r="Q698" s="252">
        <v>10047031</v>
      </c>
      <c r="R698" s="253">
        <v>43256</v>
      </c>
      <c r="S698" s="253">
        <v>43258</v>
      </c>
      <c r="T698" s="253">
        <v>43292</v>
      </c>
      <c r="U698" s="251" t="s">
        <v>624</v>
      </c>
      <c r="V698" s="251">
        <v>4</v>
      </c>
      <c r="W698" s="251" t="s">
        <v>220</v>
      </c>
      <c r="X698" s="251">
        <v>4</v>
      </c>
      <c r="Y698" s="251">
        <v>4</v>
      </c>
      <c r="Z698" s="251">
        <v>3</v>
      </c>
      <c r="AA698" s="251">
        <v>3</v>
      </c>
      <c r="AB698" s="251" t="s">
        <v>486</v>
      </c>
      <c r="AC698" s="251">
        <v>4</v>
      </c>
      <c r="AD698" s="251" t="s">
        <v>490</v>
      </c>
      <c r="AE698" s="251" t="s">
        <v>486</v>
      </c>
      <c r="AF698" s="251" t="s">
        <v>486</v>
      </c>
      <c r="AG698" s="251" t="s">
        <v>486</v>
      </c>
      <c r="AH698" s="251" t="s">
        <v>486</v>
      </c>
      <c r="AI698" s="251" t="s">
        <v>486</v>
      </c>
      <c r="AJ698" s="251" t="s">
        <v>486</v>
      </c>
      <c r="AK698" s="251" t="s">
        <v>486</v>
      </c>
      <c r="AL698" s="251" t="s">
        <v>545</v>
      </c>
      <c r="AM698" s="251" t="s">
        <v>486</v>
      </c>
      <c r="AN698" s="251" t="s">
        <v>486</v>
      </c>
      <c r="AO698" s="253" t="s">
        <v>486</v>
      </c>
      <c r="AP698" s="252" t="s">
        <v>486</v>
      </c>
      <c r="AQ698" s="254" t="s">
        <v>486</v>
      </c>
      <c r="AR698" s="251" t="s">
        <v>486</v>
      </c>
    </row>
    <row r="699" spans="1:44" ht="15" x14ac:dyDescent="0.25">
      <c r="A699" s="245" t="str">
        <f>HYPERLINK("http://www.ofsted.gov.uk/inspection-reports/find-inspection-report/provider/ELS/136025 ","Ofsted School Webpage")</f>
        <v>Ofsted School Webpage</v>
      </c>
      <c r="B699" s="246">
        <v>136025</v>
      </c>
      <c r="C699" s="246">
        <v>8856038</v>
      </c>
      <c r="D699" s="246" t="s">
        <v>2697</v>
      </c>
      <c r="E699" s="246" t="s">
        <v>248</v>
      </c>
      <c r="F699" s="246" t="s">
        <v>93</v>
      </c>
      <c r="G699" s="246" t="s">
        <v>93</v>
      </c>
      <c r="H699" s="246" t="s">
        <v>93</v>
      </c>
      <c r="I699" s="246" t="s">
        <v>90</v>
      </c>
      <c r="J699" s="246" t="s">
        <v>1490</v>
      </c>
      <c r="K699" s="246" t="s">
        <v>486</v>
      </c>
      <c r="L699" s="246" t="s">
        <v>487</v>
      </c>
      <c r="M699" s="246" t="s">
        <v>502</v>
      </c>
      <c r="N699" s="246" t="s">
        <v>502</v>
      </c>
      <c r="O699" s="246" t="s">
        <v>550</v>
      </c>
      <c r="P699" s="246" t="s">
        <v>2698</v>
      </c>
      <c r="Q699" s="247">
        <v>10038837</v>
      </c>
      <c r="R699" s="248">
        <v>43256</v>
      </c>
      <c r="S699" s="248">
        <v>43258</v>
      </c>
      <c r="T699" s="248">
        <v>43283</v>
      </c>
      <c r="U699" s="246" t="s">
        <v>488</v>
      </c>
      <c r="V699" s="246">
        <v>2</v>
      </c>
      <c r="W699" s="246" t="s">
        <v>219</v>
      </c>
      <c r="X699" s="246">
        <v>2</v>
      </c>
      <c r="Y699" s="246">
        <v>1</v>
      </c>
      <c r="Z699" s="246">
        <v>2</v>
      </c>
      <c r="AA699" s="246">
        <v>2</v>
      </c>
      <c r="AB699" s="246" t="s">
        <v>486</v>
      </c>
      <c r="AC699" s="246" t="s">
        <v>486</v>
      </c>
      <c r="AD699" s="246" t="s">
        <v>490</v>
      </c>
      <c r="AE699" s="246" t="s">
        <v>486</v>
      </c>
      <c r="AF699" s="246" t="s">
        <v>486</v>
      </c>
      <c r="AG699" s="246" t="s">
        <v>486</v>
      </c>
      <c r="AH699" s="246" t="s">
        <v>486</v>
      </c>
      <c r="AI699" s="246" t="s">
        <v>486</v>
      </c>
      <c r="AJ699" s="246" t="s">
        <v>486</v>
      </c>
      <c r="AK699" s="246" t="s">
        <v>486</v>
      </c>
      <c r="AL699" s="246" t="s">
        <v>491</v>
      </c>
      <c r="AM699" s="246" t="s">
        <v>486</v>
      </c>
      <c r="AN699" s="246" t="s">
        <v>486</v>
      </c>
      <c r="AO699" s="248" t="s">
        <v>486</v>
      </c>
      <c r="AP699" s="247" t="s">
        <v>486</v>
      </c>
      <c r="AQ699" s="249" t="s">
        <v>486</v>
      </c>
      <c r="AR699" s="246" t="s">
        <v>486</v>
      </c>
    </row>
    <row r="700" spans="1:44" ht="15" x14ac:dyDescent="0.25">
      <c r="A700" s="250" t="str">
        <f>HYPERLINK("http://www.ofsted.gov.uk/inspection-reports/find-inspection-report/provider/ELS/136228 ","Ofsted School Webpage")</f>
        <v>Ofsted School Webpage</v>
      </c>
      <c r="B700" s="251">
        <v>136228</v>
      </c>
      <c r="C700" s="251">
        <v>3056081</v>
      </c>
      <c r="D700" s="251" t="s">
        <v>2699</v>
      </c>
      <c r="E700" s="251" t="s">
        <v>248</v>
      </c>
      <c r="F700" s="251" t="s">
        <v>93</v>
      </c>
      <c r="G700" s="251" t="s">
        <v>93</v>
      </c>
      <c r="H700" s="251" t="s">
        <v>93</v>
      </c>
      <c r="I700" s="251" t="s">
        <v>90</v>
      </c>
      <c r="J700" s="251" t="s">
        <v>1490</v>
      </c>
      <c r="K700" s="251" t="s">
        <v>486</v>
      </c>
      <c r="L700" s="251" t="s">
        <v>487</v>
      </c>
      <c r="M700" s="251" t="s">
        <v>506</v>
      </c>
      <c r="N700" s="251" t="s">
        <v>506</v>
      </c>
      <c r="O700" s="251" t="s">
        <v>679</v>
      </c>
      <c r="P700" s="251" t="s">
        <v>2700</v>
      </c>
      <c r="Q700" s="252">
        <v>10038173</v>
      </c>
      <c r="R700" s="253">
        <v>43256</v>
      </c>
      <c r="S700" s="253">
        <v>43258</v>
      </c>
      <c r="T700" s="253">
        <v>43280</v>
      </c>
      <c r="U700" s="251" t="s">
        <v>488</v>
      </c>
      <c r="V700" s="251">
        <v>2</v>
      </c>
      <c r="W700" s="251" t="s">
        <v>219</v>
      </c>
      <c r="X700" s="251">
        <v>2</v>
      </c>
      <c r="Y700" s="251">
        <v>2</v>
      </c>
      <c r="Z700" s="251">
        <v>2</v>
      </c>
      <c r="AA700" s="251">
        <v>2</v>
      </c>
      <c r="AB700" s="251" t="s">
        <v>486</v>
      </c>
      <c r="AC700" s="251" t="s">
        <v>486</v>
      </c>
      <c r="AD700" s="251" t="s">
        <v>512</v>
      </c>
      <c r="AE700" s="251" t="s">
        <v>486</v>
      </c>
      <c r="AF700" s="251" t="s">
        <v>486</v>
      </c>
      <c r="AG700" s="251" t="s">
        <v>490</v>
      </c>
      <c r="AH700" s="251" t="s">
        <v>486</v>
      </c>
      <c r="AI700" s="251" t="s">
        <v>486</v>
      </c>
      <c r="AJ700" s="251" t="s">
        <v>486</v>
      </c>
      <c r="AK700" s="251" t="s">
        <v>486</v>
      </c>
      <c r="AL700" s="251" t="s">
        <v>491</v>
      </c>
      <c r="AM700" s="251" t="s">
        <v>486</v>
      </c>
      <c r="AN700" s="251" t="s">
        <v>486</v>
      </c>
      <c r="AO700" s="253" t="s">
        <v>486</v>
      </c>
      <c r="AP700" s="252" t="s">
        <v>486</v>
      </c>
      <c r="AQ700" s="254" t="s">
        <v>486</v>
      </c>
      <c r="AR700" s="251" t="s">
        <v>486</v>
      </c>
    </row>
    <row r="701" spans="1:44" ht="15" x14ac:dyDescent="0.25">
      <c r="A701" s="245" t="str">
        <f>HYPERLINK("http://www.ofsted.gov.uk/inspection-reports/find-inspection-report/provider/ELS/136678 ","Ofsted School Webpage")</f>
        <v>Ofsted School Webpage</v>
      </c>
      <c r="B701" s="246">
        <v>136678</v>
      </c>
      <c r="C701" s="246">
        <v>3156589</v>
      </c>
      <c r="D701" s="246" t="s">
        <v>2701</v>
      </c>
      <c r="E701" s="246" t="s">
        <v>247</v>
      </c>
      <c r="F701" s="246" t="s">
        <v>93</v>
      </c>
      <c r="G701" s="246" t="s">
        <v>93</v>
      </c>
      <c r="H701" s="246" t="s">
        <v>93</v>
      </c>
      <c r="I701" s="246" t="s">
        <v>90</v>
      </c>
      <c r="J701" s="246" t="s">
        <v>1490</v>
      </c>
      <c r="K701" s="246" t="s">
        <v>486</v>
      </c>
      <c r="L701" s="246" t="s">
        <v>487</v>
      </c>
      <c r="M701" s="246" t="s">
        <v>506</v>
      </c>
      <c r="N701" s="246" t="s">
        <v>506</v>
      </c>
      <c r="O701" s="246" t="s">
        <v>1360</v>
      </c>
      <c r="P701" s="246" t="s">
        <v>2702</v>
      </c>
      <c r="Q701" s="247">
        <v>10048720</v>
      </c>
      <c r="R701" s="248">
        <v>43256</v>
      </c>
      <c r="S701" s="248">
        <v>43258</v>
      </c>
      <c r="T701" s="248">
        <v>43283</v>
      </c>
      <c r="U701" s="246" t="s">
        <v>488</v>
      </c>
      <c r="V701" s="246">
        <v>2</v>
      </c>
      <c r="W701" s="246" t="s">
        <v>219</v>
      </c>
      <c r="X701" s="246">
        <v>2</v>
      </c>
      <c r="Y701" s="246">
        <v>2</v>
      </c>
      <c r="Z701" s="246">
        <v>2</v>
      </c>
      <c r="AA701" s="246">
        <v>2</v>
      </c>
      <c r="AB701" s="246" t="s">
        <v>486</v>
      </c>
      <c r="AC701" s="246" t="s">
        <v>486</v>
      </c>
      <c r="AD701" s="246" t="s">
        <v>490</v>
      </c>
      <c r="AE701" s="246" t="s">
        <v>486</v>
      </c>
      <c r="AF701" s="246" t="s">
        <v>486</v>
      </c>
      <c r="AG701" s="246" t="s">
        <v>486</v>
      </c>
      <c r="AH701" s="246" t="s">
        <v>486</v>
      </c>
      <c r="AI701" s="246" t="s">
        <v>486</v>
      </c>
      <c r="AJ701" s="246" t="s">
        <v>486</v>
      </c>
      <c r="AK701" s="246" t="s">
        <v>486</v>
      </c>
      <c r="AL701" s="246" t="s">
        <v>491</v>
      </c>
      <c r="AM701" s="246" t="s">
        <v>486</v>
      </c>
      <c r="AN701" s="246" t="s">
        <v>486</v>
      </c>
      <c r="AO701" s="248" t="s">
        <v>486</v>
      </c>
      <c r="AP701" s="247" t="s">
        <v>486</v>
      </c>
      <c r="AQ701" s="249" t="s">
        <v>486</v>
      </c>
      <c r="AR701" s="246" t="s">
        <v>486</v>
      </c>
    </row>
    <row r="702" spans="1:44" ht="15" x14ac:dyDescent="0.25">
      <c r="A702" s="250" t="str">
        <f>HYPERLINK("http://www.ofsted.gov.uk/inspection-reports/find-inspection-report/provider/ELS/137784 ","Ofsted School Webpage")</f>
        <v>Ofsted School Webpage</v>
      </c>
      <c r="B702" s="251">
        <v>137784</v>
      </c>
      <c r="C702" s="251">
        <v>3026015</v>
      </c>
      <c r="D702" s="251" t="s">
        <v>2703</v>
      </c>
      <c r="E702" s="251" t="s">
        <v>247</v>
      </c>
      <c r="F702" s="251" t="s">
        <v>93</v>
      </c>
      <c r="G702" s="251" t="s">
        <v>83</v>
      </c>
      <c r="H702" s="251" t="s">
        <v>83</v>
      </c>
      <c r="I702" s="251" t="s">
        <v>84</v>
      </c>
      <c r="J702" s="251" t="s">
        <v>1490</v>
      </c>
      <c r="K702" s="251" t="s">
        <v>486</v>
      </c>
      <c r="L702" s="251" t="s">
        <v>487</v>
      </c>
      <c r="M702" s="251" t="s">
        <v>506</v>
      </c>
      <c r="N702" s="251" t="s">
        <v>506</v>
      </c>
      <c r="O702" s="251" t="s">
        <v>614</v>
      </c>
      <c r="P702" s="251" t="s">
        <v>2704</v>
      </c>
      <c r="Q702" s="252">
        <v>10020781</v>
      </c>
      <c r="R702" s="253">
        <v>43256</v>
      </c>
      <c r="S702" s="253">
        <v>43258</v>
      </c>
      <c r="T702" s="253">
        <v>43306</v>
      </c>
      <c r="U702" s="251" t="s">
        <v>488</v>
      </c>
      <c r="V702" s="251">
        <v>2</v>
      </c>
      <c r="W702" s="251" t="s">
        <v>219</v>
      </c>
      <c r="X702" s="251">
        <v>2</v>
      </c>
      <c r="Y702" s="251">
        <v>2</v>
      </c>
      <c r="Z702" s="251">
        <v>2</v>
      </c>
      <c r="AA702" s="251">
        <v>2</v>
      </c>
      <c r="AB702" s="251" t="s">
        <v>486</v>
      </c>
      <c r="AC702" s="251" t="s">
        <v>486</v>
      </c>
      <c r="AD702" s="251" t="s">
        <v>490</v>
      </c>
      <c r="AE702" s="251" t="s">
        <v>486</v>
      </c>
      <c r="AF702" s="251" t="s">
        <v>486</v>
      </c>
      <c r="AG702" s="251" t="s">
        <v>486</v>
      </c>
      <c r="AH702" s="251" t="s">
        <v>486</v>
      </c>
      <c r="AI702" s="251" t="s">
        <v>486</v>
      </c>
      <c r="AJ702" s="251" t="s">
        <v>486</v>
      </c>
      <c r="AK702" s="251" t="s">
        <v>486</v>
      </c>
      <c r="AL702" s="251" t="s">
        <v>491</v>
      </c>
      <c r="AM702" s="251" t="s">
        <v>486</v>
      </c>
      <c r="AN702" s="251" t="s">
        <v>486</v>
      </c>
      <c r="AO702" s="253" t="s">
        <v>486</v>
      </c>
      <c r="AP702" s="252" t="s">
        <v>486</v>
      </c>
      <c r="AQ702" s="254" t="s">
        <v>486</v>
      </c>
      <c r="AR702" s="251" t="s">
        <v>486</v>
      </c>
    </row>
    <row r="703" spans="1:44" ht="15" x14ac:dyDescent="0.25">
      <c r="A703" s="245" t="str">
        <f>HYPERLINK("http://www.ofsted.gov.uk/inspection-reports/find-inspection-report/provider/ELS/139919 ","Ofsted School Webpage")</f>
        <v>Ofsted School Webpage</v>
      </c>
      <c r="B703" s="246">
        <v>139919</v>
      </c>
      <c r="C703" s="246">
        <v>9376006</v>
      </c>
      <c r="D703" s="246" t="s">
        <v>2705</v>
      </c>
      <c r="E703" s="246" t="s">
        <v>248</v>
      </c>
      <c r="F703" s="246" t="s">
        <v>93</v>
      </c>
      <c r="G703" s="246" t="s">
        <v>93</v>
      </c>
      <c r="H703" s="246" t="s">
        <v>93</v>
      </c>
      <c r="I703" s="246" t="s">
        <v>90</v>
      </c>
      <c r="J703" s="246" t="s">
        <v>1490</v>
      </c>
      <c r="K703" s="246" t="s">
        <v>486</v>
      </c>
      <c r="L703" s="246" t="s">
        <v>487</v>
      </c>
      <c r="M703" s="246" t="s">
        <v>502</v>
      </c>
      <c r="N703" s="246" t="s">
        <v>502</v>
      </c>
      <c r="O703" s="246" t="s">
        <v>503</v>
      </c>
      <c r="P703" s="246" t="s">
        <v>2706</v>
      </c>
      <c r="Q703" s="247">
        <v>10033578</v>
      </c>
      <c r="R703" s="248">
        <v>43256</v>
      </c>
      <c r="S703" s="248">
        <v>43258</v>
      </c>
      <c r="T703" s="248">
        <v>43279</v>
      </c>
      <c r="U703" s="246" t="s">
        <v>488</v>
      </c>
      <c r="V703" s="246">
        <v>3</v>
      </c>
      <c r="W703" s="246" t="s">
        <v>219</v>
      </c>
      <c r="X703" s="246">
        <v>2</v>
      </c>
      <c r="Y703" s="246">
        <v>2</v>
      </c>
      <c r="Z703" s="246">
        <v>3</v>
      </c>
      <c r="AA703" s="246">
        <v>3</v>
      </c>
      <c r="AB703" s="246" t="s">
        <v>486</v>
      </c>
      <c r="AC703" s="246" t="s">
        <v>486</v>
      </c>
      <c r="AD703" s="246" t="s">
        <v>490</v>
      </c>
      <c r="AE703" s="246" t="s">
        <v>486</v>
      </c>
      <c r="AF703" s="246" t="s">
        <v>486</v>
      </c>
      <c r="AG703" s="246" t="s">
        <v>486</v>
      </c>
      <c r="AH703" s="246" t="s">
        <v>486</v>
      </c>
      <c r="AI703" s="246" t="s">
        <v>486</v>
      </c>
      <c r="AJ703" s="246" t="s">
        <v>486</v>
      </c>
      <c r="AK703" s="246" t="s">
        <v>486</v>
      </c>
      <c r="AL703" s="246" t="s">
        <v>491</v>
      </c>
      <c r="AM703" s="246" t="s">
        <v>486</v>
      </c>
      <c r="AN703" s="246" t="s">
        <v>486</v>
      </c>
      <c r="AO703" s="248" t="s">
        <v>486</v>
      </c>
      <c r="AP703" s="247" t="s">
        <v>486</v>
      </c>
      <c r="AQ703" s="249" t="s">
        <v>486</v>
      </c>
      <c r="AR703" s="246" t="s">
        <v>486</v>
      </c>
    </row>
    <row r="704" spans="1:44" ht="15" x14ac:dyDescent="0.25">
      <c r="A704" s="250" t="str">
        <f>HYPERLINK("http://www.ofsted.gov.uk/inspection-reports/find-inspection-report/provider/ELS/140036 ","Ofsted School Webpage")</f>
        <v>Ofsted School Webpage</v>
      </c>
      <c r="B704" s="251">
        <v>140036</v>
      </c>
      <c r="C704" s="251">
        <v>3556000</v>
      </c>
      <c r="D704" s="251" t="s">
        <v>2707</v>
      </c>
      <c r="E704" s="251" t="s">
        <v>247</v>
      </c>
      <c r="F704" s="251" t="s">
        <v>82</v>
      </c>
      <c r="G704" s="251" t="s">
        <v>81</v>
      </c>
      <c r="H704" s="251" t="s">
        <v>82</v>
      </c>
      <c r="I704" s="251" t="s">
        <v>81</v>
      </c>
      <c r="J704" s="251" t="s">
        <v>1490</v>
      </c>
      <c r="K704" s="251" t="s">
        <v>486</v>
      </c>
      <c r="L704" s="251" t="s">
        <v>487</v>
      </c>
      <c r="M704" s="251" t="s">
        <v>495</v>
      </c>
      <c r="N704" s="251" t="s">
        <v>495</v>
      </c>
      <c r="O704" s="251" t="s">
        <v>601</v>
      </c>
      <c r="P704" s="251" t="s">
        <v>2708</v>
      </c>
      <c r="Q704" s="252">
        <v>10038935</v>
      </c>
      <c r="R704" s="253">
        <v>43256</v>
      </c>
      <c r="S704" s="253">
        <v>43258</v>
      </c>
      <c r="T704" s="253">
        <v>43293</v>
      </c>
      <c r="U704" s="251" t="s">
        <v>488</v>
      </c>
      <c r="V704" s="251">
        <v>3</v>
      </c>
      <c r="W704" s="251" t="s">
        <v>219</v>
      </c>
      <c r="X704" s="251">
        <v>3</v>
      </c>
      <c r="Y704" s="251">
        <v>2</v>
      </c>
      <c r="Z704" s="251">
        <v>3</v>
      </c>
      <c r="AA704" s="251">
        <v>3</v>
      </c>
      <c r="AB704" s="251" t="s">
        <v>486</v>
      </c>
      <c r="AC704" s="251" t="s">
        <v>486</v>
      </c>
      <c r="AD704" s="251" t="s">
        <v>512</v>
      </c>
      <c r="AE704" s="251" t="s">
        <v>486</v>
      </c>
      <c r="AF704" s="251" t="s">
        <v>486</v>
      </c>
      <c r="AG704" s="251" t="s">
        <v>486</v>
      </c>
      <c r="AH704" s="251" t="s">
        <v>490</v>
      </c>
      <c r="AI704" s="251" t="s">
        <v>486</v>
      </c>
      <c r="AJ704" s="251" t="s">
        <v>486</v>
      </c>
      <c r="AK704" s="251" t="s">
        <v>486</v>
      </c>
      <c r="AL704" s="251" t="s">
        <v>491</v>
      </c>
      <c r="AM704" s="251" t="s">
        <v>486</v>
      </c>
      <c r="AN704" s="251" t="s">
        <v>486</v>
      </c>
      <c r="AO704" s="253" t="s">
        <v>486</v>
      </c>
      <c r="AP704" s="252" t="s">
        <v>486</v>
      </c>
      <c r="AQ704" s="254" t="s">
        <v>486</v>
      </c>
      <c r="AR704" s="251" t="s">
        <v>486</v>
      </c>
    </row>
    <row r="705" spans="1:44" ht="15" x14ac:dyDescent="0.25">
      <c r="A705" s="245" t="str">
        <f>HYPERLINK("http://www.ofsted.gov.uk/inspection-reports/find-inspection-report/provider/ELS/141029 ","Ofsted School Webpage")</f>
        <v>Ofsted School Webpage</v>
      </c>
      <c r="B705" s="246">
        <v>141029</v>
      </c>
      <c r="C705" s="246">
        <v>2046009</v>
      </c>
      <c r="D705" s="246" t="s">
        <v>2709</v>
      </c>
      <c r="E705" s="246" t="s">
        <v>248</v>
      </c>
      <c r="F705" s="246" t="s">
        <v>93</v>
      </c>
      <c r="G705" s="246" t="s">
        <v>93</v>
      </c>
      <c r="H705" s="246" t="s">
        <v>93</v>
      </c>
      <c r="I705" s="246" t="s">
        <v>90</v>
      </c>
      <c r="J705" s="246" t="s">
        <v>1490</v>
      </c>
      <c r="K705" s="246" t="s">
        <v>486</v>
      </c>
      <c r="L705" s="246" t="s">
        <v>487</v>
      </c>
      <c r="M705" s="246" t="s">
        <v>506</v>
      </c>
      <c r="N705" s="246" t="s">
        <v>506</v>
      </c>
      <c r="O705" s="246" t="s">
        <v>617</v>
      </c>
      <c r="P705" s="246" t="s">
        <v>2710</v>
      </c>
      <c r="Q705" s="247">
        <v>10048722</v>
      </c>
      <c r="R705" s="248">
        <v>43256</v>
      </c>
      <c r="S705" s="248">
        <v>43258</v>
      </c>
      <c r="T705" s="248">
        <v>43285</v>
      </c>
      <c r="U705" s="246" t="s">
        <v>488</v>
      </c>
      <c r="V705" s="246">
        <v>2</v>
      </c>
      <c r="W705" s="246" t="s">
        <v>219</v>
      </c>
      <c r="X705" s="246">
        <v>2</v>
      </c>
      <c r="Y705" s="246">
        <v>2</v>
      </c>
      <c r="Z705" s="246">
        <v>2</v>
      </c>
      <c r="AA705" s="246">
        <v>2</v>
      </c>
      <c r="AB705" s="246" t="s">
        <v>486</v>
      </c>
      <c r="AC705" s="246" t="s">
        <v>486</v>
      </c>
      <c r="AD705" s="246" t="s">
        <v>490</v>
      </c>
      <c r="AE705" s="246" t="s">
        <v>486</v>
      </c>
      <c r="AF705" s="246" t="s">
        <v>486</v>
      </c>
      <c r="AG705" s="246" t="s">
        <v>486</v>
      </c>
      <c r="AH705" s="246" t="s">
        <v>486</v>
      </c>
      <c r="AI705" s="246" t="s">
        <v>486</v>
      </c>
      <c r="AJ705" s="246" t="s">
        <v>486</v>
      </c>
      <c r="AK705" s="246" t="s">
        <v>486</v>
      </c>
      <c r="AL705" s="246" t="s">
        <v>491</v>
      </c>
      <c r="AM705" s="246" t="s">
        <v>486</v>
      </c>
      <c r="AN705" s="246" t="s">
        <v>486</v>
      </c>
      <c r="AO705" s="248" t="s">
        <v>486</v>
      </c>
      <c r="AP705" s="247" t="s">
        <v>486</v>
      </c>
      <c r="AQ705" s="249" t="s">
        <v>486</v>
      </c>
      <c r="AR705" s="246" t="s">
        <v>486</v>
      </c>
    </row>
    <row r="706" spans="1:44" ht="15" x14ac:dyDescent="0.25">
      <c r="A706" s="250" t="str">
        <f>HYPERLINK("http://www.ofsted.gov.uk/inspection-reports/find-inspection-report/provider/ELS/142224 ","Ofsted School Webpage")</f>
        <v>Ofsted School Webpage</v>
      </c>
      <c r="B706" s="251">
        <v>142224</v>
      </c>
      <c r="C706" s="251">
        <v>3526011</v>
      </c>
      <c r="D706" s="251" t="s">
        <v>2711</v>
      </c>
      <c r="E706" s="251" t="s">
        <v>247</v>
      </c>
      <c r="F706" s="251" t="s">
        <v>93</v>
      </c>
      <c r="G706" s="251" t="s">
        <v>93</v>
      </c>
      <c r="H706" s="251" t="s">
        <v>93</v>
      </c>
      <c r="I706" s="251" t="s">
        <v>90</v>
      </c>
      <c r="J706" s="251" t="s">
        <v>1490</v>
      </c>
      <c r="K706" s="251" t="s">
        <v>486</v>
      </c>
      <c r="L706" s="251" t="s">
        <v>487</v>
      </c>
      <c r="M706" s="251" t="s">
        <v>495</v>
      </c>
      <c r="N706" s="251" t="s">
        <v>495</v>
      </c>
      <c r="O706" s="251" t="s">
        <v>744</v>
      </c>
      <c r="P706" s="251" t="s">
        <v>2712</v>
      </c>
      <c r="Q706" s="252">
        <v>10048619</v>
      </c>
      <c r="R706" s="253">
        <v>43256</v>
      </c>
      <c r="S706" s="253">
        <v>43258</v>
      </c>
      <c r="T706" s="253">
        <v>43287</v>
      </c>
      <c r="U706" s="251" t="s">
        <v>488</v>
      </c>
      <c r="V706" s="251">
        <v>3</v>
      </c>
      <c r="W706" s="251" t="s">
        <v>219</v>
      </c>
      <c r="X706" s="251">
        <v>2</v>
      </c>
      <c r="Y706" s="251">
        <v>2</v>
      </c>
      <c r="Z706" s="251">
        <v>3</v>
      </c>
      <c r="AA706" s="251">
        <v>3</v>
      </c>
      <c r="AB706" s="251" t="s">
        <v>486</v>
      </c>
      <c r="AC706" s="251" t="s">
        <v>486</v>
      </c>
      <c r="AD706" s="251" t="s">
        <v>490</v>
      </c>
      <c r="AE706" s="251" t="s">
        <v>486</v>
      </c>
      <c r="AF706" s="251" t="s">
        <v>486</v>
      </c>
      <c r="AG706" s="251" t="s">
        <v>486</v>
      </c>
      <c r="AH706" s="251" t="s">
        <v>486</v>
      </c>
      <c r="AI706" s="251" t="s">
        <v>486</v>
      </c>
      <c r="AJ706" s="251" t="s">
        <v>486</v>
      </c>
      <c r="AK706" s="251" t="s">
        <v>486</v>
      </c>
      <c r="AL706" s="251" t="s">
        <v>491</v>
      </c>
      <c r="AM706" s="251" t="s">
        <v>486</v>
      </c>
      <c r="AN706" s="251" t="s">
        <v>486</v>
      </c>
      <c r="AO706" s="253" t="s">
        <v>486</v>
      </c>
      <c r="AP706" s="252" t="s">
        <v>486</v>
      </c>
      <c r="AQ706" s="254" t="s">
        <v>486</v>
      </c>
      <c r="AR706" s="251" t="s">
        <v>486</v>
      </c>
    </row>
    <row r="707" spans="1:44" ht="15" x14ac:dyDescent="0.25">
      <c r="A707" s="245" t="str">
        <f>HYPERLINK("http://www.ofsted.gov.uk/inspection-reports/find-inspection-report/provider/ELS/144727 ","Ofsted School Webpage")</f>
        <v>Ofsted School Webpage</v>
      </c>
      <c r="B707" s="246">
        <v>144727</v>
      </c>
      <c r="C707" s="246">
        <v>3026012</v>
      </c>
      <c r="D707" s="246" t="s">
        <v>1308</v>
      </c>
      <c r="E707" s="246" t="s">
        <v>247</v>
      </c>
      <c r="F707" s="246" t="s">
        <v>82</v>
      </c>
      <c r="G707" s="246" t="s">
        <v>82</v>
      </c>
      <c r="H707" s="246" t="s">
        <v>82</v>
      </c>
      <c r="I707" s="246" t="s">
        <v>81</v>
      </c>
      <c r="J707" s="246" t="s">
        <v>1490</v>
      </c>
      <c r="K707" s="246" t="s">
        <v>486</v>
      </c>
      <c r="L707" s="246" t="s">
        <v>487</v>
      </c>
      <c r="M707" s="246" t="s">
        <v>506</v>
      </c>
      <c r="N707" s="246" t="s">
        <v>506</v>
      </c>
      <c r="O707" s="246" t="s">
        <v>614</v>
      </c>
      <c r="P707" s="246" t="s">
        <v>1309</v>
      </c>
      <c r="Q707" s="247">
        <v>10041411</v>
      </c>
      <c r="R707" s="248">
        <v>43256</v>
      </c>
      <c r="S707" s="248">
        <v>43258</v>
      </c>
      <c r="T707" s="248">
        <v>43363</v>
      </c>
      <c r="U707" s="246" t="s">
        <v>499</v>
      </c>
      <c r="V707" s="246">
        <v>4</v>
      </c>
      <c r="W707" s="246" t="s">
        <v>220</v>
      </c>
      <c r="X707" s="246">
        <v>4</v>
      </c>
      <c r="Y707" s="246">
        <v>4</v>
      </c>
      <c r="Z707" s="246">
        <v>4</v>
      </c>
      <c r="AA707" s="246">
        <v>4</v>
      </c>
      <c r="AB707" s="246" t="s">
        <v>486</v>
      </c>
      <c r="AC707" s="246" t="s">
        <v>486</v>
      </c>
      <c r="AD707" s="246" t="s">
        <v>490</v>
      </c>
      <c r="AE707" s="246" t="s">
        <v>486</v>
      </c>
      <c r="AF707" s="246" t="s">
        <v>486</v>
      </c>
      <c r="AG707" s="246" t="s">
        <v>486</v>
      </c>
      <c r="AH707" s="246" t="s">
        <v>486</v>
      </c>
      <c r="AI707" s="246" t="s">
        <v>486</v>
      </c>
      <c r="AJ707" s="246" t="s">
        <v>486</v>
      </c>
      <c r="AK707" s="246" t="s">
        <v>486</v>
      </c>
      <c r="AL707" s="246" t="s">
        <v>545</v>
      </c>
      <c r="AM707" s="246" t="s">
        <v>486</v>
      </c>
      <c r="AN707" s="246" t="s">
        <v>486</v>
      </c>
      <c r="AO707" s="248" t="s">
        <v>486</v>
      </c>
      <c r="AP707" s="247" t="s">
        <v>486</v>
      </c>
      <c r="AQ707" s="249" t="s">
        <v>486</v>
      </c>
      <c r="AR707" s="246" t="s">
        <v>486</v>
      </c>
    </row>
    <row r="708" spans="1:44" ht="15" x14ac:dyDescent="0.25">
      <c r="A708" s="250" t="str">
        <f>HYPERLINK("http://www.ofsted.gov.uk/inspection-reports/find-inspection-report/provider/ELS/144738 ","Ofsted School Webpage")</f>
        <v>Ofsted School Webpage</v>
      </c>
      <c r="B708" s="251">
        <v>144738</v>
      </c>
      <c r="C708" s="251">
        <v>3046005</v>
      </c>
      <c r="D708" s="251" t="s">
        <v>2713</v>
      </c>
      <c r="E708" s="251" t="s">
        <v>247</v>
      </c>
      <c r="F708" s="251" t="s">
        <v>93</v>
      </c>
      <c r="G708" s="251" t="s">
        <v>82</v>
      </c>
      <c r="H708" s="251" t="s">
        <v>82</v>
      </c>
      <c r="I708" s="251" t="s">
        <v>81</v>
      </c>
      <c r="J708" s="251" t="s">
        <v>1490</v>
      </c>
      <c r="K708" s="251" t="s">
        <v>486</v>
      </c>
      <c r="L708" s="251" t="s">
        <v>487</v>
      </c>
      <c r="M708" s="251" t="s">
        <v>506</v>
      </c>
      <c r="N708" s="251" t="s">
        <v>506</v>
      </c>
      <c r="O708" s="251" t="s">
        <v>543</v>
      </c>
      <c r="P708" s="251" t="s">
        <v>2714</v>
      </c>
      <c r="Q708" s="252">
        <v>10044419</v>
      </c>
      <c r="R708" s="253">
        <v>43256</v>
      </c>
      <c r="S708" s="253">
        <v>43258</v>
      </c>
      <c r="T708" s="253">
        <v>43278</v>
      </c>
      <c r="U708" s="251" t="s">
        <v>499</v>
      </c>
      <c r="V708" s="251">
        <v>1</v>
      </c>
      <c r="W708" s="251" t="s">
        <v>219</v>
      </c>
      <c r="X708" s="251">
        <v>1</v>
      </c>
      <c r="Y708" s="251">
        <v>1</v>
      </c>
      <c r="Z708" s="251">
        <v>1</v>
      </c>
      <c r="AA708" s="251">
        <v>1</v>
      </c>
      <c r="AB708" s="251">
        <v>1</v>
      </c>
      <c r="AC708" s="251" t="s">
        <v>486</v>
      </c>
      <c r="AD708" s="251" t="s">
        <v>490</v>
      </c>
      <c r="AE708" s="251" t="s">
        <v>486</v>
      </c>
      <c r="AF708" s="251" t="s">
        <v>486</v>
      </c>
      <c r="AG708" s="251" t="s">
        <v>486</v>
      </c>
      <c r="AH708" s="251" t="s">
        <v>486</v>
      </c>
      <c r="AI708" s="251" t="s">
        <v>486</v>
      </c>
      <c r="AJ708" s="251" t="s">
        <v>486</v>
      </c>
      <c r="AK708" s="251" t="s">
        <v>486</v>
      </c>
      <c r="AL708" s="251" t="s">
        <v>491</v>
      </c>
      <c r="AM708" s="251" t="s">
        <v>486</v>
      </c>
      <c r="AN708" s="251" t="s">
        <v>486</v>
      </c>
      <c r="AO708" s="253" t="s">
        <v>486</v>
      </c>
      <c r="AP708" s="252" t="s">
        <v>486</v>
      </c>
      <c r="AQ708" s="254" t="s">
        <v>486</v>
      </c>
      <c r="AR708" s="251" t="s">
        <v>486</v>
      </c>
    </row>
    <row r="709" spans="1:44" ht="15" x14ac:dyDescent="0.25">
      <c r="A709" s="245" t="str">
        <f>HYPERLINK("http://www.ofsted.gov.uk/inspection-reports/find-inspection-report/provider/ELS/145128 ","Ofsted School Webpage")</f>
        <v>Ofsted School Webpage</v>
      </c>
      <c r="B709" s="246">
        <v>145128</v>
      </c>
      <c r="C709" s="246">
        <v>8846017</v>
      </c>
      <c r="D709" s="246" t="s">
        <v>2715</v>
      </c>
      <c r="E709" s="246" t="s">
        <v>248</v>
      </c>
      <c r="F709" s="246" t="s">
        <v>93</v>
      </c>
      <c r="G709" s="246" t="s">
        <v>93</v>
      </c>
      <c r="H709" s="246" t="s">
        <v>93</v>
      </c>
      <c r="I709" s="246" t="s">
        <v>90</v>
      </c>
      <c r="J709" s="246" t="s">
        <v>1490</v>
      </c>
      <c r="K709" s="246" t="s">
        <v>486</v>
      </c>
      <c r="L709" s="246" t="s">
        <v>487</v>
      </c>
      <c r="M709" s="246" t="s">
        <v>502</v>
      </c>
      <c r="N709" s="246" t="s">
        <v>502</v>
      </c>
      <c r="O709" s="246" t="s">
        <v>1251</v>
      </c>
      <c r="P709" s="246" t="s">
        <v>2716</v>
      </c>
      <c r="Q709" s="247">
        <v>10045274</v>
      </c>
      <c r="R709" s="248">
        <v>43256</v>
      </c>
      <c r="S709" s="248">
        <v>43258</v>
      </c>
      <c r="T709" s="248">
        <v>43283</v>
      </c>
      <c r="U709" s="246" t="s">
        <v>499</v>
      </c>
      <c r="V709" s="246">
        <v>2</v>
      </c>
      <c r="W709" s="246" t="s">
        <v>219</v>
      </c>
      <c r="X709" s="246">
        <v>2</v>
      </c>
      <c r="Y709" s="246">
        <v>2</v>
      </c>
      <c r="Z709" s="246">
        <v>2</v>
      </c>
      <c r="AA709" s="246">
        <v>2</v>
      </c>
      <c r="AB709" s="246" t="s">
        <v>486</v>
      </c>
      <c r="AC709" s="246" t="s">
        <v>486</v>
      </c>
      <c r="AD709" s="246" t="s">
        <v>490</v>
      </c>
      <c r="AE709" s="246" t="s">
        <v>486</v>
      </c>
      <c r="AF709" s="246" t="s">
        <v>486</v>
      </c>
      <c r="AG709" s="246" t="s">
        <v>486</v>
      </c>
      <c r="AH709" s="246" t="s">
        <v>486</v>
      </c>
      <c r="AI709" s="246" t="s">
        <v>486</v>
      </c>
      <c r="AJ709" s="246" t="s">
        <v>486</v>
      </c>
      <c r="AK709" s="246" t="s">
        <v>486</v>
      </c>
      <c r="AL709" s="246" t="s">
        <v>491</v>
      </c>
      <c r="AM709" s="246" t="s">
        <v>486</v>
      </c>
      <c r="AN709" s="246" t="s">
        <v>486</v>
      </c>
      <c r="AO709" s="248" t="s">
        <v>486</v>
      </c>
      <c r="AP709" s="247" t="s">
        <v>486</v>
      </c>
      <c r="AQ709" s="249" t="s">
        <v>486</v>
      </c>
      <c r="AR709" s="246" t="s">
        <v>486</v>
      </c>
    </row>
    <row r="710" spans="1:44" ht="15" x14ac:dyDescent="0.25">
      <c r="A710" s="250" t="str">
        <f>HYPERLINK("http://www.ofsted.gov.uk/inspection-reports/find-inspection-report/provider/ELS/143936 ","Ofsted School Webpage")</f>
        <v>Ofsted School Webpage</v>
      </c>
      <c r="B710" s="251">
        <v>143936</v>
      </c>
      <c r="C710" s="251">
        <v>8886069</v>
      </c>
      <c r="D710" s="251" t="s">
        <v>1286</v>
      </c>
      <c r="E710" s="251" t="s">
        <v>248</v>
      </c>
      <c r="F710" s="251" t="s">
        <v>93</v>
      </c>
      <c r="G710" s="251" t="s">
        <v>93</v>
      </c>
      <c r="H710" s="251" t="s">
        <v>93</v>
      </c>
      <c r="I710" s="251" t="s">
        <v>90</v>
      </c>
      <c r="J710" s="251" t="s">
        <v>1490</v>
      </c>
      <c r="K710" s="251" t="s">
        <v>486</v>
      </c>
      <c r="L710" s="251" t="s">
        <v>487</v>
      </c>
      <c r="M710" s="251" t="s">
        <v>495</v>
      </c>
      <c r="N710" s="251" t="s">
        <v>495</v>
      </c>
      <c r="O710" s="251" t="s">
        <v>534</v>
      </c>
      <c r="P710" s="251" t="s">
        <v>1287</v>
      </c>
      <c r="Q710" s="252">
        <v>10048610</v>
      </c>
      <c r="R710" s="253">
        <v>43263</v>
      </c>
      <c r="S710" s="253">
        <v>43264</v>
      </c>
      <c r="T710" s="253">
        <v>43286</v>
      </c>
      <c r="U710" s="251" t="s">
        <v>499</v>
      </c>
      <c r="V710" s="251">
        <v>3</v>
      </c>
      <c r="W710" s="251" t="s">
        <v>219</v>
      </c>
      <c r="X710" s="251">
        <v>3</v>
      </c>
      <c r="Y710" s="251">
        <v>3</v>
      </c>
      <c r="Z710" s="251">
        <v>3</v>
      </c>
      <c r="AA710" s="251">
        <v>3</v>
      </c>
      <c r="AB710" s="251" t="s">
        <v>486</v>
      </c>
      <c r="AC710" s="251" t="s">
        <v>486</v>
      </c>
      <c r="AD710" s="251" t="s">
        <v>490</v>
      </c>
      <c r="AE710" s="251" t="s">
        <v>486</v>
      </c>
      <c r="AF710" s="251" t="s">
        <v>486</v>
      </c>
      <c r="AG710" s="251" t="s">
        <v>486</v>
      </c>
      <c r="AH710" s="251" t="s">
        <v>486</v>
      </c>
      <c r="AI710" s="251" t="s">
        <v>486</v>
      </c>
      <c r="AJ710" s="251" t="s">
        <v>486</v>
      </c>
      <c r="AK710" s="251" t="s">
        <v>486</v>
      </c>
      <c r="AL710" s="251" t="s">
        <v>491</v>
      </c>
      <c r="AM710" s="251" t="s">
        <v>486</v>
      </c>
      <c r="AN710" s="251" t="s">
        <v>486</v>
      </c>
      <c r="AO710" s="253" t="s">
        <v>486</v>
      </c>
      <c r="AP710" s="252" t="s">
        <v>486</v>
      </c>
      <c r="AQ710" s="254" t="s">
        <v>486</v>
      </c>
      <c r="AR710" s="251" t="s">
        <v>486</v>
      </c>
    </row>
    <row r="711" spans="1:44" ht="15" x14ac:dyDescent="0.25">
      <c r="A711" s="245" t="str">
        <f>HYPERLINK("http://www.ofsted.gov.uk/inspection-reports/find-inspection-report/provider/ELS/100291 ","Ofsted School Webpage")</f>
        <v>Ofsted School Webpage</v>
      </c>
      <c r="B711" s="246">
        <v>100291</v>
      </c>
      <c r="C711" s="246">
        <v>2046242</v>
      </c>
      <c r="D711" s="246" t="s">
        <v>2717</v>
      </c>
      <c r="E711" s="246" t="s">
        <v>247</v>
      </c>
      <c r="F711" s="246" t="s">
        <v>93</v>
      </c>
      <c r="G711" s="246" t="s">
        <v>82</v>
      </c>
      <c r="H711" s="246" t="s">
        <v>82</v>
      </c>
      <c r="I711" s="246" t="s">
        <v>81</v>
      </c>
      <c r="J711" s="246" t="s">
        <v>1490</v>
      </c>
      <c r="K711" s="246" t="s">
        <v>486</v>
      </c>
      <c r="L711" s="246" t="s">
        <v>487</v>
      </c>
      <c r="M711" s="246" t="s">
        <v>506</v>
      </c>
      <c r="N711" s="246" t="s">
        <v>506</v>
      </c>
      <c r="O711" s="246" t="s">
        <v>617</v>
      </c>
      <c r="P711" s="246" t="s">
        <v>705</v>
      </c>
      <c r="Q711" s="247">
        <v>10026268</v>
      </c>
      <c r="R711" s="248">
        <v>43263</v>
      </c>
      <c r="S711" s="248">
        <v>43265</v>
      </c>
      <c r="T711" s="248">
        <v>43385</v>
      </c>
      <c r="U711" s="246" t="s">
        <v>488</v>
      </c>
      <c r="V711" s="246">
        <v>4</v>
      </c>
      <c r="W711" s="246" t="s">
        <v>220</v>
      </c>
      <c r="X711" s="246">
        <v>4</v>
      </c>
      <c r="Y711" s="246">
        <v>4</v>
      </c>
      <c r="Z711" s="246">
        <v>4</v>
      </c>
      <c r="AA711" s="246">
        <v>4</v>
      </c>
      <c r="AB711" s="246">
        <v>4</v>
      </c>
      <c r="AC711" s="246" t="s">
        <v>486</v>
      </c>
      <c r="AD711" s="246" t="s">
        <v>512</v>
      </c>
      <c r="AE711" s="246" t="s">
        <v>486</v>
      </c>
      <c r="AF711" s="246" t="s">
        <v>490</v>
      </c>
      <c r="AG711" s="246" t="s">
        <v>486</v>
      </c>
      <c r="AH711" s="246" t="s">
        <v>486</v>
      </c>
      <c r="AI711" s="246" t="s">
        <v>486</v>
      </c>
      <c r="AJ711" s="246" t="s">
        <v>486</v>
      </c>
      <c r="AK711" s="246" t="s">
        <v>486</v>
      </c>
      <c r="AL711" s="246" t="s">
        <v>545</v>
      </c>
      <c r="AM711" s="246" t="s">
        <v>486</v>
      </c>
      <c r="AN711" s="246" t="s">
        <v>486</v>
      </c>
      <c r="AO711" s="248" t="s">
        <v>486</v>
      </c>
      <c r="AP711" s="247" t="s">
        <v>486</v>
      </c>
      <c r="AQ711" s="249" t="s">
        <v>486</v>
      </c>
      <c r="AR711" s="246" t="s">
        <v>486</v>
      </c>
    </row>
    <row r="712" spans="1:44" ht="15" x14ac:dyDescent="0.25">
      <c r="A712" s="250" t="str">
        <f>HYPERLINK("http://www.ofsted.gov.uk/inspection-reports/find-inspection-report/provider/ELS/105993 ","Ofsted School Webpage")</f>
        <v>Ofsted School Webpage</v>
      </c>
      <c r="B712" s="251">
        <v>105993</v>
      </c>
      <c r="C712" s="251">
        <v>3556007</v>
      </c>
      <c r="D712" s="251" t="s">
        <v>1260</v>
      </c>
      <c r="E712" s="251" t="s">
        <v>247</v>
      </c>
      <c r="F712" s="251" t="s">
        <v>93</v>
      </c>
      <c r="G712" s="251" t="s">
        <v>81</v>
      </c>
      <c r="H712" s="251" t="s">
        <v>81</v>
      </c>
      <c r="I712" s="251" t="s">
        <v>81</v>
      </c>
      <c r="J712" s="251" t="s">
        <v>1490</v>
      </c>
      <c r="K712" s="251" t="s">
        <v>486</v>
      </c>
      <c r="L712" s="251" t="s">
        <v>487</v>
      </c>
      <c r="M712" s="251" t="s">
        <v>495</v>
      </c>
      <c r="N712" s="251" t="s">
        <v>495</v>
      </c>
      <c r="O712" s="251" t="s">
        <v>601</v>
      </c>
      <c r="P712" s="251" t="s">
        <v>1261</v>
      </c>
      <c r="Q712" s="252">
        <v>10048616</v>
      </c>
      <c r="R712" s="253">
        <v>43263</v>
      </c>
      <c r="S712" s="253">
        <v>43265</v>
      </c>
      <c r="T712" s="253">
        <v>43299</v>
      </c>
      <c r="U712" s="251" t="s">
        <v>488</v>
      </c>
      <c r="V712" s="251">
        <v>3</v>
      </c>
      <c r="W712" s="251" t="s">
        <v>219</v>
      </c>
      <c r="X712" s="251">
        <v>3</v>
      </c>
      <c r="Y712" s="251">
        <v>2</v>
      </c>
      <c r="Z712" s="251">
        <v>3</v>
      </c>
      <c r="AA712" s="251">
        <v>3</v>
      </c>
      <c r="AB712" s="251">
        <v>3</v>
      </c>
      <c r="AC712" s="251" t="s">
        <v>486</v>
      </c>
      <c r="AD712" s="251" t="s">
        <v>490</v>
      </c>
      <c r="AE712" s="251" t="s">
        <v>486</v>
      </c>
      <c r="AF712" s="251" t="s">
        <v>486</v>
      </c>
      <c r="AG712" s="251" t="s">
        <v>486</v>
      </c>
      <c r="AH712" s="251" t="s">
        <v>486</v>
      </c>
      <c r="AI712" s="251" t="s">
        <v>486</v>
      </c>
      <c r="AJ712" s="251" t="s">
        <v>486</v>
      </c>
      <c r="AK712" s="251" t="s">
        <v>486</v>
      </c>
      <c r="AL712" s="251" t="s">
        <v>491</v>
      </c>
      <c r="AM712" s="251" t="s">
        <v>486</v>
      </c>
      <c r="AN712" s="251" t="s">
        <v>486</v>
      </c>
      <c r="AO712" s="253" t="s">
        <v>486</v>
      </c>
      <c r="AP712" s="252" t="s">
        <v>486</v>
      </c>
      <c r="AQ712" s="254" t="s">
        <v>486</v>
      </c>
      <c r="AR712" s="251" t="s">
        <v>486</v>
      </c>
    </row>
    <row r="713" spans="1:44" ht="15" x14ac:dyDescent="0.25">
      <c r="A713" s="245" t="str">
        <f>HYPERLINK("http://www.ofsted.gov.uk/inspection-reports/find-inspection-report/provider/ELS/113616 ","Ofsted School Webpage")</f>
        <v>Ofsted School Webpage</v>
      </c>
      <c r="B713" s="246">
        <v>113616</v>
      </c>
      <c r="C713" s="246">
        <v>8786039</v>
      </c>
      <c r="D713" s="246" t="s">
        <v>2718</v>
      </c>
      <c r="E713" s="246" t="s">
        <v>248</v>
      </c>
      <c r="F713" s="246" t="s">
        <v>93</v>
      </c>
      <c r="G713" s="246" t="s">
        <v>93</v>
      </c>
      <c r="H713" s="246" t="s">
        <v>93</v>
      </c>
      <c r="I713" s="246" t="s">
        <v>90</v>
      </c>
      <c r="J713" s="246" t="s">
        <v>1490</v>
      </c>
      <c r="K713" s="246" t="s">
        <v>486</v>
      </c>
      <c r="L713" s="246" t="s">
        <v>487</v>
      </c>
      <c r="M713" s="246" t="s">
        <v>483</v>
      </c>
      <c r="N713" s="246" t="s">
        <v>483</v>
      </c>
      <c r="O713" s="246" t="s">
        <v>747</v>
      </c>
      <c r="P713" s="246" t="s">
        <v>2719</v>
      </c>
      <c r="Q713" s="247">
        <v>10047179</v>
      </c>
      <c r="R713" s="248">
        <v>43263</v>
      </c>
      <c r="S713" s="248">
        <v>43265</v>
      </c>
      <c r="T713" s="248">
        <v>43297</v>
      </c>
      <c r="U713" s="246" t="s">
        <v>488</v>
      </c>
      <c r="V713" s="246">
        <v>3</v>
      </c>
      <c r="W713" s="246" t="s">
        <v>219</v>
      </c>
      <c r="X713" s="246">
        <v>3</v>
      </c>
      <c r="Y713" s="246">
        <v>3</v>
      </c>
      <c r="Z713" s="246">
        <v>3</v>
      </c>
      <c r="AA713" s="246">
        <v>3</v>
      </c>
      <c r="AB713" s="246" t="s">
        <v>486</v>
      </c>
      <c r="AC713" s="246" t="s">
        <v>486</v>
      </c>
      <c r="AD713" s="246" t="s">
        <v>490</v>
      </c>
      <c r="AE713" s="246" t="s">
        <v>486</v>
      </c>
      <c r="AF713" s="246" t="s">
        <v>486</v>
      </c>
      <c r="AG713" s="246" t="s">
        <v>486</v>
      </c>
      <c r="AH713" s="246" t="s">
        <v>486</v>
      </c>
      <c r="AI713" s="246" t="s">
        <v>486</v>
      </c>
      <c r="AJ713" s="246" t="s">
        <v>486</v>
      </c>
      <c r="AK713" s="246" t="s">
        <v>486</v>
      </c>
      <c r="AL713" s="246" t="s">
        <v>491</v>
      </c>
      <c r="AM713" s="246" t="s">
        <v>486</v>
      </c>
      <c r="AN713" s="246" t="s">
        <v>486</v>
      </c>
      <c r="AO713" s="248" t="s">
        <v>486</v>
      </c>
      <c r="AP713" s="247" t="s">
        <v>486</v>
      </c>
      <c r="AQ713" s="249" t="s">
        <v>486</v>
      </c>
      <c r="AR713" s="246" t="s">
        <v>486</v>
      </c>
    </row>
    <row r="714" spans="1:44" ht="15" x14ac:dyDescent="0.25">
      <c r="A714" s="250" t="str">
        <f>HYPERLINK("http://www.ofsted.gov.uk/inspection-reports/find-inspection-report/provider/ELS/131353 ","Ofsted School Webpage")</f>
        <v>Ofsted School Webpage</v>
      </c>
      <c r="B714" s="251">
        <v>131353</v>
      </c>
      <c r="C714" s="251">
        <v>8846011</v>
      </c>
      <c r="D714" s="251" t="s">
        <v>1017</v>
      </c>
      <c r="E714" s="251" t="s">
        <v>248</v>
      </c>
      <c r="F714" s="251" t="s">
        <v>93</v>
      </c>
      <c r="G714" s="251" t="s">
        <v>93</v>
      </c>
      <c r="H714" s="251" t="s">
        <v>93</v>
      </c>
      <c r="I714" s="251" t="s">
        <v>90</v>
      </c>
      <c r="J714" s="251" t="s">
        <v>1490</v>
      </c>
      <c r="K714" s="251" t="s">
        <v>486</v>
      </c>
      <c r="L714" s="251" t="s">
        <v>487</v>
      </c>
      <c r="M714" s="251" t="s">
        <v>502</v>
      </c>
      <c r="N714" s="251" t="s">
        <v>502</v>
      </c>
      <c r="O714" s="251" t="s">
        <v>1251</v>
      </c>
      <c r="P714" s="251" t="s">
        <v>2720</v>
      </c>
      <c r="Q714" s="252">
        <v>10047130</v>
      </c>
      <c r="R714" s="253">
        <v>43263</v>
      </c>
      <c r="S714" s="253">
        <v>43265</v>
      </c>
      <c r="T714" s="253">
        <v>43350</v>
      </c>
      <c r="U714" s="251" t="s">
        <v>2930</v>
      </c>
      <c r="V714" s="251">
        <v>2</v>
      </c>
      <c r="W714" s="251" t="s">
        <v>219</v>
      </c>
      <c r="X714" s="251">
        <v>2</v>
      </c>
      <c r="Y714" s="251">
        <v>2</v>
      </c>
      <c r="Z714" s="251">
        <v>2</v>
      </c>
      <c r="AA714" s="251">
        <v>2</v>
      </c>
      <c r="AB714" s="251" t="s">
        <v>486</v>
      </c>
      <c r="AC714" s="251">
        <v>2</v>
      </c>
      <c r="AD714" s="251" t="s">
        <v>490</v>
      </c>
      <c r="AE714" s="251" t="s">
        <v>486</v>
      </c>
      <c r="AF714" s="251" t="s">
        <v>486</v>
      </c>
      <c r="AG714" s="251" t="s">
        <v>486</v>
      </c>
      <c r="AH714" s="251" t="s">
        <v>486</v>
      </c>
      <c r="AI714" s="251" t="s">
        <v>486</v>
      </c>
      <c r="AJ714" s="251" t="s">
        <v>486</v>
      </c>
      <c r="AK714" s="251" t="s">
        <v>486</v>
      </c>
      <c r="AL714" s="251" t="s">
        <v>491</v>
      </c>
      <c r="AM714" s="251" t="s">
        <v>486</v>
      </c>
      <c r="AN714" s="251" t="s">
        <v>486</v>
      </c>
      <c r="AO714" s="253" t="s">
        <v>486</v>
      </c>
      <c r="AP714" s="252" t="s">
        <v>486</v>
      </c>
      <c r="AQ714" s="254" t="s">
        <v>486</v>
      </c>
      <c r="AR714" s="251" t="s">
        <v>486</v>
      </c>
    </row>
    <row r="715" spans="1:44" ht="15" x14ac:dyDescent="0.25">
      <c r="A715" s="245" t="str">
        <f>HYPERLINK("http://www.ofsted.gov.uk/inspection-reports/find-inspection-report/provider/ELS/134982 ","Ofsted School Webpage")</f>
        <v>Ofsted School Webpage</v>
      </c>
      <c r="B715" s="246">
        <v>134982</v>
      </c>
      <c r="C715" s="246">
        <v>3306112</v>
      </c>
      <c r="D715" s="246" t="s">
        <v>1246</v>
      </c>
      <c r="E715" s="246" t="s">
        <v>248</v>
      </c>
      <c r="F715" s="246" t="s">
        <v>93</v>
      </c>
      <c r="G715" s="246" t="s">
        <v>93</v>
      </c>
      <c r="H715" s="246" t="s">
        <v>93</v>
      </c>
      <c r="I715" s="246" t="s">
        <v>90</v>
      </c>
      <c r="J715" s="246" t="s">
        <v>1490</v>
      </c>
      <c r="K715" s="246" t="s">
        <v>486</v>
      </c>
      <c r="L715" s="246" t="s">
        <v>487</v>
      </c>
      <c r="M715" s="246" t="s">
        <v>502</v>
      </c>
      <c r="N715" s="246" t="s">
        <v>502</v>
      </c>
      <c r="O715" s="246" t="s">
        <v>909</v>
      </c>
      <c r="P715" s="246" t="s">
        <v>1247</v>
      </c>
      <c r="Q715" s="247">
        <v>10026237</v>
      </c>
      <c r="R715" s="248">
        <v>43263</v>
      </c>
      <c r="S715" s="248">
        <v>43265</v>
      </c>
      <c r="T715" s="248">
        <v>43383</v>
      </c>
      <c r="U715" s="246" t="s">
        <v>488</v>
      </c>
      <c r="V715" s="246">
        <v>4</v>
      </c>
      <c r="W715" s="246" t="s">
        <v>220</v>
      </c>
      <c r="X715" s="246">
        <v>4</v>
      </c>
      <c r="Y715" s="246">
        <v>4</v>
      </c>
      <c r="Z715" s="246">
        <v>2</v>
      </c>
      <c r="AA715" s="246">
        <v>2</v>
      </c>
      <c r="AB715" s="246" t="s">
        <v>486</v>
      </c>
      <c r="AC715" s="246">
        <v>4</v>
      </c>
      <c r="AD715" s="246" t="s">
        <v>490</v>
      </c>
      <c r="AE715" s="246" t="s">
        <v>486</v>
      </c>
      <c r="AF715" s="246" t="s">
        <v>486</v>
      </c>
      <c r="AG715" s="246" t="s">
        <v>486</v>
      </c>
      <c r="AH715" s="246" t="s">
        <v>486</v>
      </c>
      <c r="AI715" s="246" t="s">
        <v>486</v>
      </c>
      <c r="AJ715" s="246" t="s">
        <v>486</v>
      </c>
      <c r="AK715" s="246" t="s">
        <v>486</v>
      </c>
      <c r="AL715" s="246" t="s">
        <v>545</v>
      </c>
      <c r="AM715" s="246" t="s">
        <v>486</v>
      </c>
      <c r="AN715" s="246" t="s">
        <v>486</v>
      </c>
      <c r="AO715" s="248" t="s">
        <v>486</v>
      </c>
      <c r="AP715" s="247" t="s">
        <v>486</v>
      </c>
      <c r="AQ715" s="249" t="s">
        <v>486</v>
      </c>
      <c r="AR715" s="246" t="s">
        <v>486</v>
      </c>
    </row>
    <row r="716" spans="1:44" ht="15" x14ac:dyDescent="0.25">
      <c r="A716" s="250" t="str">
        <f>HYPERLINK("http://www.ofsted.gov.uk/inspection-reports/find-inspection-report/provider/ELS/135990 ","Ofsted School Webpage")</f>
        <v>Ofsted School Webpage</v>
      </c>
      <c r="B716" s="251">
        <v>135990</v>
      </c>
      <c r="C716" s="251">
        <v>8226014</v>
      </c>
      <c r="D716" s="251" t="s">
        <v>2721</v>
      </c>
      <c r="E716" s="251" t="s">
        <v>248</v>
      </c>
      <c r="F716" s="251" t="s">
        <v>93</v>
      </c>
      <c r="G716" s="251" t="s">
        <v>93</v>
      </c>
      <c r="H716" s="251" t="s">
        <v>93</v>
      </c>
      <c r="I716" s="251" t="s">
        <v>90</v>
      </c>
      <c r="J716" s="251" t="s">
        <v>1490</v>
      </c>
      <c r="K716" s="251" t="s">
        <v>486</v>
      </c>
      <c r="L716" s="251" t="s">
        <v>487</v>
      </c>
      <c r="M716" s="251" t="s">
        <v>516</v>
      </c>
      <c r="N716" s="251" t="s">
        <v>516</v>
      </c>
      <c r="O716" s="251" t="s">
        <v>1161</v>
      </c>
      <c r="P716" s="251" t="s">
        <v>2722</v>
      </c>
      <c r="Q716" s="252">
        <v>10054010</v>
      </c>
      <c r="R716" s="253">
        <v>43263</v>
      </c>
      <c r="S716" s="253">
        <v>43265</v>
      </c>
      <c r="T716" s="253">
        <v>43305</v>
      </c>
      <c r="U716" s="251" t="s">
        <v>2930</v>
      </c>
      <c r="V716" s="251">
        <v>3</v>
      </c>
      <c r="W716" s="251" t="s">
        <v>219</v>
      </c>
      <c r="X716" s="251">
        <v>3</v>
      </c>
      <c r="Y716" s="251">
        <v>3</v>
      </c>
      <c r="Z716" s="251">
        <v>3</v>
      </c>
      <c r="AA716" s="251">
        <v>3</v>
      </c>
      <c r="AB716" s="251" t="s">
        <v>486</v>
      </c>
      <c r="AC716" s="251">
        <v>3</v>
      </c>
      <c r="AD716" s="251" t="s">
        <v>490</v>
      </c>
      <c r="AE716" s="251" t="s">
        <v>486</v>
      </c>
      <c r="AF716" s="251" t="s">
        <v>486</v>
      </c>
      <c r="AG716" s="251" t="s">
        <v>486</v>
      </c>
      <c r="AH716" s="251" t="s">
        <v>486</v>
      </c>
      <c r="AI716" s="251" t="s">
        <v>486</v>
      </c>
      <c r="AJ716" s="251" t="s">
        <v>486</v>
      </c>
      <c r="AK716" s="251" t="s">
        <v>486</v>
      </c>
      <c r="AL716" s="251" t="s">
        <v>545</v>
      </c>
      <c r="AM716" s="251" t="s">
        <v>486</v>
      </c>
      <c r="AN716" s="251" t="s">
        <v>486</v>
      </c>
      <c r="AO716" s="253" t="s">
        <v>486</v>
      </c>
      <c r="AP716" s="252" t="s">
        <v>486</v>
      </c>
      <c r="AQ716" s="254" t="s">
        <v>486</v>
      </c>
      <c r="AR716" s="251" t="s">
        <v>486</v>
      </c>
    </row>
    <row r="717" spans="1:44" ht="15" x14ac:dyDescent="0.25">
      <c r="A717" s="245" t="str">
        <f>HYPERLINK("http://www.ofsted.gov.uk/inspection-reports/find-inspection-report/provider/ELS/136220 ","Ofsted School Webpage")</f>
        <v>Ofsted School Webpage</v>
      </c>
      <c r="B717" s="246">
        <v>136220</v>
      </c>
      <c r="C717" s="246">
        <v>8616004</v>
      </c>
      <c r="D717" s="246" t="s">
        <v>2723</v>
      </c>
      <c r="E717" s="246" t="s">
        <v>248</v>
      </c>
      <c r="F717" s="246" t="s">
        <v>93</v>
      </c>
      <c r="G717" s="246" t="s">
        <v>93</v>
      </c>
      <c r="H717" s="246" t="s">
        <v>93</v>
      </c>
      <c r="I717" s="246" t="s">
        <v>90</v>
      </c>
      <c r="J717" s="246" t="s">
        <v>1490</v>
      </c>
      <c r="K717" s="246" t="s">
        <v>486</v>
      </c>
      <c r="L717" s="246" t="s">
        <v>487</v>
      </c>
      <c r="M717" s="246" t="s">
        <v>502</v>
      </c>
      <c r="N717" s="246" t="s">
        <v>502</v>
      </c>
      <c r="O717" s="246" t="s">
        <v>655</v>
      </c>
      <c r="P717" s="246" t="s">
        <v>2724</v>
      </c>
      <c r="Q717" s="247">
        <v>10038842</v>
      </c>
      <c r="R717" s="248">
        <v>43263</v>
      </c>
      <c r="S717" s="248">
        <v>43265</v>
      </c>
      <c r="T717" s="248">
        <v>43417</v>
      </c>
      <c r="U717" s="246" t="s">
        <v>2930</v>
      </c>
      <c r="V717" s="246">
        <v>2</v>
      </c>
      <c r="W717" s="246" t="s">
        <v>219</v>
      </c>
      <c r="X717" s="246">
        <v>2</v>
      </c>
      <c r="Y717" s="246">
        <v>1</v>
      </c>
      <c r="Z717" s="246">
        <v>2</v>
      </c>
      <c r="AA717" s="246">
        <v>2</v>
      </c>
      <c r="AB717" s="246" t="s">
        <v>486</v>
      </c>
      <c r="AC717" s="246" t="s">
        <v>486</v>
      </c>
      <c r="AD717" s="246" t="s">
        <v>490</v>
      </c>
      <c r="AE717" s="246" t="s">
        <v>486</v>
      </c>
      <c r="AF717" s="246" t="s">
        <v>486</v>
      </c>
      <c r="AG717" s="246" t="s">
        <v>486</v>
      </c>
      <c r="AH717" s="246" t="s">
        <v>486</v>
      </c>
      <c r="AI717" s="246" t="s">
        <v>486</v>
      </c>
      <c r="AJ717" s="246" t="s">
        <v>486</v>
      </c>
      <c r="AK717" s="246" t="s">
        <v>486</v>
      </c>
      <c r="AL717" s="246" t="s">
        <v>491</v>
      </c>
      <c r="AM717" s="246" t="s">
        <v>486</v>
      </c>
      <c r="AN717" s="246" t="s">
        <v>486</v>
      </c>
      <c r="AO717" s="248" t="s">
        <v>486</v>
      </c>
      <c r="AP717" s="247" t="s">
        <v>486</v>
      </c>
      <c r="AQ717" s="249" t="s">
        <v>486</v>
      </c>
      <c r="AR717" s="246" t="s">
        <v>486</v>
      </c>
    </row>
    <row r="718" spans="1:44" ht="15" x14ac:dyDescent="0.25">
      <c r="A718" s="250" t="str">
        <f>HYPERLINK("http://www.ofsted.gov.uk/inspection-reports/find-inspection-report/provider/ELS/136260 ","Ofsted School Webpage")</f>
        <v>Ofsted School Webpage</v>
      </c>
      <c r="B718" s="251">
        <v>136260</v>
      </c>
      <c r="C718" s="251">
        <v>8856039</v>
      </c>
      <c r="D718" s="251" t="s">
        <v>2725</v>
      </c>
      <c r="E718" s="251" t="s">
        <v>248</v>
      </c>
      <c r="F718" s="251" t="s">
        <v>93</v>
      </c>
      <c r="G718" s="251" t="s">
        <v>93</v>
      </c>
      <c r="H718" s="251" t="s">
        <v>93</v>
      </c>
      <c r="I718" s="251" t="s">
        <v>90</v>
      </c>
      <c r="J718" s="251" t="s">
        <v>1490</v>
      </c>
      <c r="K718" s="251" t="s">
        <v>486</v>
      </c>
      <c r="L718" s="251" t="s">
        <v>487</v>
      </c>
      <c r="M718" s="251" t="s">
        <v>502</v>
      </c>
      <c r="N718" s="251" t="s">
        <v>502</v>
      </c>
      <c r="O718" s="251" t="s">
        <v>550</v>
      </c>
      <c r="P718" s="251" t="s">
        <v>2726</v>
      </c>
      <c r="Q718" s="252">
        <v>10038843</v>
      </c>
      <c r="R718" s="253">
        <v>43263</v>
      </c>
      <c r="S718" s="253">
        <v>43265</v>
      </c>
      <c r="T718" s="253">
        <v>43370</v>
      </c>
      <c r="U718" s="251" t="s">
        <v>2930</v>
      </c>
      <c r="V718" s="251">
        <v>4</v>
      </c>
      <c r="W718" s="251" t="s">
        <v>220</v>
      </c>
      <c r="X718" s="251">
        <v>4</v>
      </c>
      <c r="Y718" s="251">
        <v>4</v>
      </c>
      <c r="Z718" s="251">
        <v>3</v>
      </c>
      <c r="AA718" s="251">
        <v>3</v>
      </c>
      <c r="AB718" s="251" t="s">
        <v>486</v>
      </c>
      <c r="AC718" s="251">
        <v>4</v>
      </c>
      <c r="AD718" s="251" t="s">
        <v>490</v>
      </c>
      <c r="AE718" s="251" t="s">
        <v>486</v>
      </c>
      <c r="AF718" s="251" t="s">
        <v>486</v>
      </c>
      <c r="AG718" s="251" t="s">
        <v>486</v>
      </c>
      <c r="AH718" s="251" t="s">
        <v>486</v>
      </c>
      <c r="AI718" s="251" t="s">
        <v>486</v>
      </c>
      <c r="AJ718" s="251" t="s">
        <v>486</v>
      </c>
      <c r="AK718" s="251" t="s">
        <v>486</v>
      </c>
      <c r="AL718" s="251" t="s">
        <v>545</v>
      </c>
      <c r="AM718" s="251" t="s">
        <v>486</v>
      </c>
      <c r="AN718" s="251" t="s">
        <v>486</v>
      </c>
      <c r="AO718" s="253" t="s">
        <v>486</v>
      </c>
      <c r="AP718" s="252" t="s">
        <v>486</v>
      </c>
      <c r="AQ718" s="254" t="s">
        <v>486</v>
      </c>
      <c r="AR718" s="251" t="s">
        <v>486</v>
      </c>
    </row>
    <row r="719" spans="1:44" ht="15" x14ac:dyDescent="0.25">
      <c r="A719" s="245" t="str">
        <f>HYPERLINK("http://www.ofsted.gov.uk/inspection-reports/find-inspection-report/provider/ELS/137809 ","Ofsted School Webpage")</f>
        <v>Ofsted School Webpage</v>
      </c>
      <c r="B719" s="246">
        <v>137809</v>
      </c>
      <c r="C719" s="246">
        <v>2046004</v>
      </c>
      <c r="D719" s="246" t="s">
        <v>1325</v>
      </c>
      <c r="E719" s="246" t="s">
        <v>247</v>
      </c>
      <c r="F719" s="246" t="s">
        <v>93</v>
      </c>
      <c r="G719" s="246" t="s">
        <v>81</v>
      </c>
      <c r="H719" s="246" t="s">
        <v>81</v>
      </c>
      <c r="I719" s="246" t="s">
        <v>81</v>
      </c>
      <c r="J719" s="246" t="s">
        <v>1490</v>
      </c>
      <c r="K719" s="246" t="s">
        <v>486</v>
      </c>
      <c r="L719" s="246" t="s">
        <v>487</v>
      </c>
      <c r="M719" s="246" t="s">
        <v>506</v>
      </c>
      <c r="N719" s="246" t="s">
        <v>506</v>
      </c>
      <c r="O719" s="246" t="s">
        <v>617</v>
      </c>
      <c r="P719" s="246" t="s">
        <v>1326</v>
      </c>
      <c r="Q719" s="247">
        <v>10020726</v>
      </c>
      <c r="R719" s="248">
        <v>43263</v>
      </c>
      <c r="S719" s="248">
        <v>43265</v>
      </c>
      <c r="T719" s="248">
        <v>43385</v>
      </c>
      <c r="U719" s="246" t="s">
        <v>488</v>
      </c>
      <c r="V719" s="246">
        <v>4</v>
      </c>
      <c r="W719" s="246" t="s">
        <v>219</v>
      </c>
      <c r="X719" s="246">
        <v>4</v>
      </c>
      <c r="Y719" s="246">
        <v>3</v>
      </c>
      <c r="Z719" s="246">
        <v>4</v>
      </c>
      <c r="AA719" s="246">
        <v>4</v>
      </c>
      <c r="AB719" s="246">
        <v>3</v>
      </c>
      <c r="AC719" s="246" t="s">
        <v>486</v>
      </c>
      <c r="AD719" s="246" t="s">
        <v>512</v>
      </c>
      <c r="AE719" s="246" t="s">
        <v>486</v>
      </c>
      <c r="AF719" s="246" t="s">
        <v>486</v>
      </c>
      <c r="AG719" s="246" t="s">
        <v>486</v>
      </c>
      <c r="AH719" s="246" t="s">
        <v>490</v>
      </c>
      <c r="AI719" s="246" t="s">
        <v>486</v>
      </c>
      <c r="AJ719" s="246" t="s">
        <v>486</v>
      </c>
      <c r="AK719" s="246" t="s">
        <v>486</v>
      </c>
      <c r="AL719" s="246" t="s">
        <v>545</v>
      </c>
      <c r="AM719" s="246" t="s">
        <v>486</v>
      </c>
      <c r="AN719" s="246" t="s">
        <v>486</v>
      </c>
      <c r="AO719" s="248" t="s">
        <v>486</v>
      </c>
      <c r="AP719" s="247" t="s">
        <v>486</v>
      </c>
      <c r="AQ719" s="249" t="s">
        <v>486</v>
      </c>
      <c r="AR719" s="246" t="s">
        <v>486</v>
      </c>
    </row>
    <row r="720" spans="1:44" ht="15" x14ac:dyDescent="0.25">
      <c r="A720" s="250" t="str">
        <f>HYPERLINK("http://www.ofsted.gov.uk/inspection-reports/find-inspection-report/provider/ELS/140492 ","Ofsted School Webpage")</f>
        <v>Ofsted School Webpage</v>
      </c>
      <c r="B720" s="251">
        <v>140492</v>
      </c>
      <c r="C720" s="251">
        <v>3026007</v>
      </c>
      <c r="D720" s="251" t="s">
        <v>2727</v>
      </c>
      <c r="E720" s="251" t="s">
        <v>247</v>
      </c>
      <c r="F720" s="251" t="s">
        <v>93</v>
      </c>
      <c r="G720" s="251" t="s">
        <v>81</v>
      </c>
      <c r="H720" s="251" t="s">
        <v>81</v>
      </c>
      <c r="I720" s="251" t="s">
        <v>81</v>
      </c>
      <c r="J720" s="251" t="s">
        <v>1490</v>
      </c>
      <c r="K720" s="251" t="s">
        <v>486</v>
      </c>
      <c r="L720" s="251" t="s">
        <v>487</v>
      </c>
      <c r="M720" s="251" t="s">
        <v>506</v>
      </c>
      <c r="N720" s="251" t="s">
        <v>506</v>
      </c>
      <c r="O720" s="251" t="s">
        <v>614</v>
      </c>
      <c r="P720" s="251" t="s">
        <v>2728</v>
      </c>
      <c r="Q720" s="252">
        <v>10038178</v>
      </c>
      <c r="R720" s="253">
        <v>43263</v>
      </c>
      <c r="S720" s="253">
        <v>43265</v>
      </c>
      <c r="T720" s="253">
        <v>43439</v>
      </c>
      <c r="U720" s="251" t="s">
        <v>488</v>
      </c>
      <c r="V720" s="251">
        <v>4</v>
      </c>
      <c r="W720" s="251" t="s">
        <v>219</v>
      </c>
      <c r="X720" s="251">
        <v>4</v>
      </c>
      <c r="Y720" s="251">
        <v>4</v>
      </c>
      <c r="Z720" s="251">
        <v>3</v>
      </c>
      <c r="AA720" s="251">
        <v>3</v>
      </c>
      <c r="AB720" s="251" t="s">
        <v>486</v>
      </c>
      <c r="AC720" s="251" t="s">
        <v>486</v>
      </c>
      <c r="AD720" s="251" t="s">
        <v>490</v>
      </c>
      <c r="AE720" s="251" t="s">
        <v>486</v>
      </c>
      <c r="AF720" s="251" t="s">
        <v>486</v>
      </c>
      <c r="AG720" s="251" t="s">
        <v>486</v>
      </c>
      <c r="AH720" s="251" t="s">
        <v>486</v>
      </c>
      <c r="AI720" s="251" t="s">
        <v>486</v>
      </c>
      <c r="AJ720" s="251" t="s">
        <v>486</v>
      </c>
      <c r="AK720" s="251" t="s">
        <v>486</v>
      </c>
      <c r="AL720" s="251" t="s">
        <v>545</v>
      </c>
      <c r="AM720" s="251" t="s">
        <v>486</v>
      </c>
      <c r="AN720" s="251" t="s">
        <v>486</v>
      </c>
      <c r="AO720" s="253" t="s">
        <v>486</v>
      </c>
      <c r="AP720" s="252" t="s">
        <v>486</v>
      </c>
      <c r="AQ720" s="254" t="s">
        <v>486</v>
      </c>
      <c r="AR720" s="251" t="s">
        <v>486</v>
      </c>
    </row>
    <row r="721" spans="1:44" ht="15" x14ac:dyDescent="0.25">
      <c r="A721" s="245" t="str">
        <f>HYPERLINK("http://www.ofsted.gov.uk/inspection-reports/find-inspection-report/provider/ELS/141603 ","Ofsted School Webpage")</f>
        <v>Ofsted School Webpage</v>
      </c>
      <c r="B721" s="246">
        <v>141603</v>
      </c>
      <c r="C721" s="246">
        <v>3806011</v>
      </c>
      <c r="D721" s="246" t="s">
        <v>2729</v>
      </c>
      <c r="E721" s="246" t="s">
        <v>248</v>
      </c>
      <c r="F721" s="246" t="s">
        <v>93</v>
      </c>
      <c r="G721" s="246" t="s">
        <v>93</v>
      </c>
      <c r="H721" s="246" t="s">
        <v>93</v>
      </c>
      <c r="I721" s="246" t="s">
        <v>90</v>
      </c>
      <c r="J721" s="246" t="s">
        <v>1490</v>
      </c>
      <c r="K721" s="246" t="s">
        <v>486</v>
      </c>
      <c r="L721" s="246" t="s">
        <v>487</v>
      </c>
      <c r="M721" s="246" t="s">
        <v>523</v>
      </c>
      <c r="N721" s="246" t="s">
        <v>524</v>
      </c>
      <c r="O721" s="246" t="s">
        <v>674</v>
      </c>
      <c r="P721" s="246" t="s">
        <v>2730</v>
      </c>
      <c r="Q721" s="247">
        <v>10046955</v>
      </c>
      <c r="R721" s="248">
        <v>43263</v>
      </c>
      <c r="S721" s="248">
        <v>43265</v>
      </c>
      <c r="T721" s="248">
        <v>43290</v>
      </c>
      <c r="U721" s="246" t="s">
        <v>488</v>
      </c>
      <c r="V721" s="246">
        <v>2</v>
      </c>
      <c r="W721" s="246" t="s">
        <v>219</v>
      </c>
      <c r="X721" s="246">
        <v>2</v>
      </c>
      <c r="Y721" s="246">
        <v>2</v>
      </c>
      <c r="Z721" s="246">
        <v>2</v>
      </c>
      <c r="AA721" s="246">
        <v>2</v>
      </c>
      <c r="AB721" s="246" t="s">
        <v>486</v>
      </c>
      <c r="AC721" s="246" t="s">
        <v>486</v>
      </c>
      <c r="AD721" s="246" t="s">
        <v>490</v>
      </c>
      <c r="AE721" s="246" t="s">
        <v>486</v>
      </c>
      <c r="AF721" s="246" t="s">
        <v>486</v>
      </c>
      <c r="AG721" s="246" t="s">
        <v>486</v>
      </c>
      <c r="AH721" s="246" t="s">
        <v>486</v>
      </c>
      <c r="AI721" s="246" t="s">
        <v>486</v>
      </c>
      <c r="AJ721" s="246" t="s">
        <v>486</v>
      </c>
      <c r="AK721" s="246" t="s">
        <v>486</v>
      </c>
      <c r="AL721" s="246" t="s">
        <v>491</v>
      </c>
      <c r="AM721" s="246" t="s">
        <v>486</v>
      </c>
      <c r="AN721" s="246" t="s">
        <v>486</v>
      </c>
      <c r="AO721" s="248" t="s">
        <v>486</v>
      </c>
      <c r="AP721" s="247" t="s">
        <v>486</v>
      </c>
      <c r="AQ721" s="249" t="s">
        <v>486</v>
      </c>
      <c r="AR721" s="246" t="s">
        <v>486</v>
      </c>
    </row>
    <row r="722" spans="1:44" ht="15" x14ac:dyDescent="0.25">
      <c r="A722" s="250" t="str">
        <f>HYPERLINK("http://www.ofsted.gov.uk/inspection-reports/find-inspection-report/provider/ELS/141701 ","Ofsted School Webpage")</f>
        <v>Ofsted School Webpage</v>
      </c>
      <c r="B722" s="251">
        <v>141701</v>
      </c>
      <c r="C722" s="251">
        <v>2106007</v>
      </c>
      <c r="D722" s="251" t="s">
        <v>2731</v>
      </c>
      <c r="E722" s="251" t="s">
        <v>248</v>
      </c>
      <c r="F722" s="251" t="s">
        <v>93</v>
      </c>
      <c r="G722" s="251" t="s">
        <v>93</v>
      </c>
      <c r="H722" s="251" t="s">
        <v>93</v>
      </c>
      <c r="I722" s="251" t="s">
        <v>90</v>
      </c>
      <c r="J722" s="251" t="s">
        <v>1490</v>
      </c>
      <c r="K722" s="251" t="s">
        <v>486</v>
      </c>
      <c r="L722" s="251" t="s">
        <v>487</v>
      </c>
      <c r="M722" s="251" t="s">
        <v>506</v>
      </c>
      <c r="N722" s="251" t="s">
        <v>506</v>
      </c>
      <c r="O722" s="251" t="s">
        <v>1311</v>
      </c>
      <c r="P722" s="251" t="s">
        <v>2732</v>
      </c>
      <c r="Q722" s="252">
        <v>10048724</v>
      </c>
      <c r="R722" s="253">
        <v>43263</v>
      </c>
      <c r="S722" s="253">
        <v>43265</v>
      </c>
      <c r="T722" s="253">
        <v>43287</v>
      </c>
      <c r="U722" s="251" t="s">
        <v>488</v>
      </c>
      <c r="V722" s="251">
        <v>2</v>
      </c>
      <c r="W722" s="251" t="s">
        <v>219</v>
      </c>
      <c r="X722" s="251">
        <v>2</v>
      </c>
      <c r="Y722" s="251">
        <v>2</v>
      </c>
      <c r="Z722" s="251">
        <v>2</v>
      </c>
      <c r="AA722" s="251">
        <v>2</v>
      </c>
      <c r="AB722" s="251" t="s">
        <v>486</v>
      </c>
      <c r="AC722" s="251" t="s">
        <v>486</v>
      </c>
      <c r="AD722" s="251" t="s">
        <v>490</v>
      </c>
      <c r="AE722" s="251" t="s">
        <v>486</v>
      </c>
      <c r="AF722" s="251" t="s">
        <v>486</v>
      </c>
      <c r="AG722" s="251" t="s">
        <v>486</v>
      </c>
      <c r="AH722" s="251" t="s">
        <v>486</v>
      </c>
      <c r="AI722" s="251" t="s">
        <v>486</v>
      </c>
      <c r="AJ722" s="251" t="s">
        <v>486</v>
      </c>
      <c r="AK722" s="251" t="s">
        <v>486</v>
      </c>
      <c r="AL722" s="251" t="s">
        <v>491</v>
      </c>
      <c r="AM722" s="251" t="s">
        <v>486</v>
      </c>
      <c r="AN722" s="251" t="s">
        <v>486</v>
      </c>
      <c r="AO722" s="253" t="s">
        <v>486</v>
      </c>
      <c r="AP722" s="252" t="s">
        <v>486</v>
      </c>
      <c r="AQ722" s="254" t="s">
        <v>486</v>
      </c>
      <c r="AR722" s="251" t="s">
        <v>486</v>
      </c>
    </row>
    <row r="723" spans="1:44" ht="15" x14ac:dyDescent="0.25">
      <c r="A723" s="245" t="str">
        <f>HYPERLINK("http://www.ofsted.gov.uk/inspection-reports/find-inspection-report/provider/ELS/143407 ","Ofsted School Webpage")</f>
        <v>Ofsted School Webpage</v>
      </c>
      <c r="B723" s="246">
        <v>143407</v>
      </c>
      <c r="C723" s="246">
        <v>8786066</v>
      </c>
      <c r="D723" s="246" t="s">
        <v>2733</v>
      </c>
      <c r="E723" s="246" t="s">
        <v>247</v>
      </c>
      <c r="F723" s="246" t="s">
        <v>93</v>
      </c>
      <c r="G723" s="246" t="s">
        <v>93</v>
      </c>
      <c r="H723" s="246" t="s">
        <v>93</v>
      </c>
      <c r="I723" s="246" t="s">
        <v>90</v>
      </c>
      <c r="J723" s="246" t="s">
        <v>1490</v>
      </c>
      <c r="K723" s="246" t="s">
        <v>486</v>
      </c>
      <c r="L723" s="246" t="s">
        <v>487</v>
      </c>
      <c r="M723" s="246" t="s">
        <v>483</v>
      </c>
      <c r="N723" s="246" t="s">
        <v>483</v>
      </c>
      <c r="O723" s="246" t="s">
        <v>747</v>
      </c>
      <c r="P723" s="246" t="s">
        <v>2734</v>
      </c>
      <c r="Q723" s="247">
        <v>10047186</v>
      </c>
      <c r="R723" s="248">
        <v>43263</v>
      </c>
      <c r="S723" s="248">
        <v>43265</v>
      </c>
      <c r="T723" s="248">
        <v>43299</v>
      </c>
      <c r="U723" s="246" t="s">
        <v>499</v>
      </c>
      <c r="V723" s="246">
        <v>3</v>
      </c>
      <c r="W723" s="246" t="s">
        <v>219</v>
      </c>
      <c r="X723" s="246">
        <v>3</v>
      </c>
      <c r="Y723" s="246">
        <v>3</v>
      </c>
      <c r="Z723" s="246">
        <v>3</v>
      </c>
      <c r="AA723" s="246">
        <v>3</v>
      </c>
      <c r="AB723" s="246" t="s">
        <v>486</v>
      </c>
      <c r="AC723" s="246" t="s">
        <v>486</v>
      </c>
      <c r="AD723" s="246" t="s">
        <v>490</v>
      </c>
      <c r="AE723" s="246" t="s">
        <v>486</v>
      </c>
      <c r="AF723" s="246" t="s">
        <v>486</v>
      </c>
      <c r="AG723" s="246" t="s">
        <v>486</v>
      </c>
      <c r="AH723" s="246" t="s">
        <v>486</v>
      </c>
      <c r="AI723" s="246" t="s">
        <v>486</v>
      </c>
      <c r="AJ723" s="246" t="s">
        <v>486</v>
      </c>
      <c r="AK723" s="246" t="s">
        <v>486</v>
      </c>
      <c r="AL723" s="246" t="s">
        <v>491</v>
      </c>
      <c r="AM723" s="246" t="s">
        <v>486</v>
      </c>
      <c r="AN723" s="246" t="s">
        <v>486</v>
      </c>
      <c r="AO723" s="248" t="s">
        <v>486</v>
      </c>
      <c r="AP723" s="247" t="s">
        <v>486</v>
      </c>
      <c r="AQ723" s="249" t="s">
        <v>486</v>
      </c>
      <c r="AR723" s="246" t="s">
        <v>486</v>
      </c>
    </row>
    <row r="724" spans="1:44" ht="15" x14ac:dyDescent="0.25">
      <c r="A724" s="250" t="str">
        <f>HYPERLINK("http://www.ofsted.gov.uk/inspection-reports/find-inspection-report/provider/ELS/144620 ","Ofsted School Webpage")</f>
        <v>Ofsted School Webpage</v>
      </c>
      <c r="B724" s="251">
        <v>144620</v>
      </c>
      <c r="C724" s="251">
        <v>3836005</v>
      </c>
      <c r="D724" s="251" t="s">
        <v>2735</v>
      </c>
      <c r="E724" s="251" t="s">
        <v>247</v>
      </c>
      <c r="F724" s="251" t="s">
        <v>93</v>
      </c>
      <c r="G724" s="251" t="s">
        <v>93</v>
      </c>
      <c r="H724" s="251" t="s">
        <v>93</v>
      </c>
      <c r="I724" s="251" t="s">
        <v>90</v>
      </c>
      <c r="J724" s="251" t="s">
        <v>1490</v>
      </c>
      <c r="K724" s="251" t="s">
        <v>486</v>
      </c>
      <c r="L724" s="251" t="s">
        <v>487</v>
      </c>
      <c r="M724" s="251" t="s">
        <v>523</v>
      </c>
      <c r="N724" s="251" t="s">
        <v>524</v>
      </c>
      <c r="O724" s="251" t="s">
        <v>702</v>
      </c>
      <c r="P724" s="251" t="s">
        <v>2736</v>
      </c>
      <c r="Q724" s="252">
        <v>10046958</v>
      </c>
      <c r="R724" s="253">
        <v>43263</v>
      </c>
      <c r="S724" s="253">
        <v>43265</v>
      </c>
      <c r="T724" s="253">
        <v>43355</v>
      </c>
      <c r="U724" s="251" t="s">
        <v>499</v>
      </c>
      <c r="V724" s="251">
        <v>3</v>
      </c>
      <c r="W724" s="251" t="s">
        <v>219</v>
      </c>
      <c r="X724" s="251">
        <v>3</v>
      </c>
      <c r="Y724" s="251">
        <v>2</v>
      </c>
      <c r="Z724" s="251">
        <v>2</v>
      </c>
      <c r="AA724" s="251">
        <v>2</v>
      </c>
      <c r="AB724" s="251">
        <v>2</v>
      </c>
      <c r="AC724" s="251" t="s">
        <v>486</v>
      </c>
      <c r="AD724" s="251" t="s">
        <v>490</v>
      </c>
      <c r="AE724" s="251" t="s">
        <v>486</v>
      </c>
      <c r="AF724" s="251" t="s">
        <v>486</v>
      </c>
      <c r="AG724" s="251" t="s">
        <v>486</v>
      </c>
      <c r="AH724" s="251" t="s">
        <v>486</v>
      </c>
      <c r="AI724" s="251" t="s">
        <v>486</v>
      </c>
      <c r="AJ724" s="251" t="s">
        <v>486</v>
      </c>
      <c r="AK724" s="251" t="s">
        <v>486</v>
      </c>
      <c r="AL724" s="251" t="s">
        <v>545</v>
      </c>
      <c r="AM724" s="251" t="s">
        <v>486</v>
      </c>
      <c r="AN724" s="251" t="s">
        <v>486</v>
      </c>
      <c r="AO724" s="253" t="s">
        <v>486</v>
      </c>
      <c r="AP724" s="252" t="s">
        <v>486</v>
      </c>
      <c r="AQ724" s="254" t="s">
        <v>486</v>
      </c>
      <c r="AR724" s="251" t="s">
        <v>486</v>
      </c>
    </row>
    <row r="725" spans="1:44" ht="15" x14ac:dyDescent="0.25">
      <c r="A725" s="245" t="str">
        <f>HYPERLINK("http://www.ofsted.gov.uk/inspection-reports/find-inspection-report/provider/ELS/144375 ","Ofsted School Webpage")</f>
        <v>Ofsted School Webpage</v>
      </c>
      <c r="B725" s="246">
        <v>144375</v>
      </c>
      <c r="C725" s="246">
        <v>8886070</v>
      </c>
      <c r="D725" s="246" t="s">
        <v>2737</v>
      </c>
      <c r="E725" s="246" t="s">
        <v>248</v>
      </c>
      <c r="F725" s="246" t="s">
        <v>93</v>
      </c>
      <c r="G725" s="246" t="s">
        <v>93</v>
      </c>
      <c r="H725" s="246" t="s">
        <v>93</v>
      </c>
      <c r="I725" s="246" t="s">
        <v>90</v>
      </c>
      <c r="J725" s="246" t="s">
        <v>1490</v>
      </c>
      <c r="K725" s="246" t="s">
        <v>486</v>
      </c>
      <c r="L725" s="246" t="s">
        <v>487</v>
      </c>
      <c r="M725" s="246" t="s">
        <v>495</v>
      </c>
      <c r="N725" s="246" t="s">
        <v>495</v>
      </c>
      <c r="O725" s="246" t="s">
        <v>534</v>
      </c>
      <c r="P725" s="246" t="s">
        <v>2738</v>
      </c>
      <c r="Q725" s="247">
        <v>10043791</v>
      </c>
      <c r="R725" s="248">
        <v>43264</v>
      </c>
      <c r="S725" s="248">
        <v>43266</v>
      </c>
      <c r="T725" s="248">
        <v>43298</v>
      </c>
      <c r="U725" s="246" t="s">
        <v>499</v>
      </c>
      <c r="V725" s="246">
        <v>2</v>
      </c>
      <c r="W725" s="246" t="s">
        <v>219</v>
      </c>
      <c r="X725" s="246">
        <v>2</v>
      </c>
      <c r="Y725" s="246">
        <v>2</v>
      </c>
      <c r="Z725" s="246">
        <v>2</v>
      </c>
      <c r="AA725" s="246">
        <v>2</v>
      </c>
      <c r="AB725" s="246" t="s">
        <v>486</v>
      </c>
      <c r="AC725" s="246" t="s">
        <v>486</v>
      </c>
      <c r="AD725" s="246" t="s">
        <v>490</v>
      </c>
      <c r="AE725" s="246" t="s">
        <v>486</v>
      </c>
      <c r="AF725" s="246" t="s">
        <v>486</v>
      </c>
      <c r="AG725" s="246" t="s">
        <v>486</v>
      </c>
      <c r="AH725" s="246" t="s">
        <v>486</v>
      </c>
      <c r="AI725" s="246" t="s">
        <v>486</v>
      </c>
      <c r="AJ725" s="246" t="s">
        <v>486</v>
      </c>
      <c r="AK725" s="246" t="s">
        <v>486</v>
      </c>
      <c r="AL725" s="246" t="s">
        <v>491</v>
      </c>
      <c r="AM725" s="246" t="s">
        <v>486</v>
      </c>
      <c r="AN725" s="246" t="s">
        <v>486</v>
      </c>
      <c r="AO725" s="248" t="s">
        <v>486</v>
      </c>
      <c r="AP725" s="247" t="s">
        <v>486</v>
      </c>
      <c r="AQ725" s="249" t="s">
        <v>486</v>
      </c>
      <c r="AR725" s="246" t="s">
        <v>486</v>
      </c>
    </row>
    <row r="726" spans="1:44" ht="15" x14ac:dyDescent="0.25">
      <c r="A726" s="250" t="str">
        <f>HYPERLINK("http://www.ofsted.gov.uk/inspection-reports/find-inspection-report/provider/ELS/144516 ","Ofsted School Webpage")</f>
        <v>Ofsted School Webpage</v>
      </c>
      <c r="B726" s="251">
        <v>144516</v>
      </c>
      <c r="C726" s="251">
        <v>2076013</v>
      </c>
      <c r="D726" s="251" t="s">
        <v>2739</v>
      </c>
      <c r="E726" s="251" t="s">
        <v>247</v>
      </c>
      <c r="F726" s="251" t="s">
        <v>93</v>
      </c>
      <c r="G726" s="251" t="s">
        <v>93</v>
      </c>
      <c r="H726" s="251" t="s">
        <v>93</v>
      </c>
      <c r="I726" s="251" t="s">
        <v>90</v>
      </c>
      <c r="J726" s="251" t="s">
        <v>1490</v>
      </c>
      <c r="K726" s="251" t="s">
        <v>486</v>
      </c>
      <c r="L726" s="251" t="s">
        <v>487</v>
      </c>
      <c r="M726" s="251" t="s">
        <v>506</v>
      </c>
      <c r="N726" s="251" t="s">
        <v>506</v>
      </c>
      <c r="O726" s="251" t="s">
        <v>640</v>
      </c>
      <c r="P726" s="251" t="s">
        <v>2740</v>
      </c>
      <c r="Q726" s="252">
        <v>10044446</v>
      </c>
      <c r="R726" s="253">
        <v>43264</v>
      </c>
      <c r="S726" s="253">
        <v>43266</v>
      </c>
      <c r="T726" s="253">
        <v>43287</v>
      </c>
      <c r="U726" s="251" t="s">
        <v>499</v>
      </c>
      <c r="V726" s="251">
        <v>2</v>
      </c>
      <c r="W726" s="251" t="s">
        <v>219</v>
      </c>
      <c r="X726" s="251">
        <v>2</v>
      </c>
      <c r="Y726" s="251">
        <v>2</v>
      </c>
      <c r="Z726" s="251">
        <v>2</v>
      </c>
      <c r="AA726" s="251">
        <v>2</v>
      </c>
      <c r="AB726" s="251">
        <v>2</v>
      </c>
      <c r="AC726" s="251" t="s">
        <v>486</v>
      </c>
      <c r="AD726" s="251" t="s">
        <v>490</v>
      </c>
      <c r="AE726" s="251" t="s">
        <v>486</v>
      </c>
      <c r="AF726" s="251" t="s">
        <v>486</v>
      </c>
      <c r="AG726" s="251" t="s">
        <v>486</v>
      </c>
      <c r="AH726" s="251" t="s">
        <v>486</v>
      </c>
      <c r="AI726" s="251" t="s">
        <v>486</v>
      </c>
      <c r="AJ726" s="251" t="s">
        <v>486</v>
      </c>
      <c r="AK726" s="251" t="s">
        <v>486</v>
      </c>
      <c r="AL726" s="251" t="s">
        <v>491</v>
      </c>
      <c r="AM726" s="251" t="s">
        <v>486</v>
      </c>
      <c r="AN726" s="251" t="s">
        <v>486</v>
      </c>
      <c r="AO726" s="253" t="s">
        <v>486</v>
      </c>
      <c r="AP726" s="252" t="s">
        <v>486</v>
      </c>
      <c r="AQ726" s="254" t="s">
        <v>486</v>
      </c>
      <c r="AR726" s="251" t="s">
        <v>486</v>
      </c>
    </row>
    <row r="727" spans="1:44" ht="15" x14ac:dyDescent="0.25">
      <c r="A727" s="245" t="str">
        <f>HYPERLINK("http://www.ofsted.gov.uk/inspection-reports/find-inspection-report/provider/ELS/143841 ","Ofsted School Webpage")</f>
        <v>Ofsted School Webpage</v>
      </c>
      <c r="B727" s="246">
        <v>143841</v>
      </c>
      <c r="C727" s="246">
        <v>3816019</v>
      </c>
      <c r="D727" s="246" t="s">
        <v>2741</v>
      </c>
      <c r="E727" s="246" t="s">
        <v>247</v>
      </c>
      <c r="F727" s="246" t="s">
        <v>93</v>
      </c>
      <c r="G727" s="246" t="s">
        <v>93</v>
      </c>
      <c r="H727" s="246" t="s">
        <v>93</v>
      </c>
      <c r="I727" s="246" t="s">
        <v>90</v>
      </c>
      <c r="J727" s="246" t="s">
        <v>1490</v>
      </c>
      <c r="K727" s="246" t="s">
        <v>486</v>
      </c>
      <c r="L727" s="246" t="s">
        <v>487</v>
      </c>
      <c r="M727" s="246" t="s">
        <v>523</v>
      </c>
      <c r="N727" s="246" t="s">
        <v>524</v>
      </c>
      <c r="O727" s="246" t="s">
        <v>1539</v>
      </c>
      <c r="P727" s="246" t="s">
        <v>1062</v>
      </c>
      <c r="Q727" s="247">
        <v>10043662</v>
      </c>
      <c r="R727" s="248">
        <v>43270</v>
      </c>
      <c r="S727" s="248">
        <v>43271</v>
      </c>
      <c r="T727" s="248">
        <v>43378</v>
      </c>
      <c r="U727" s="246" t="s">
        <v>499</v>
      </c>
      <c r="V727" s="246">
        <v>4</v>
      </c>
      <c r="W727" s="246" t="s">
        <v>219</v>
      </c>
      <c r="X727" s="246">
        <v>4</v>
      </c>
      <c r="Y727" s="246">
        <v>3</v>
      </c>
      <c r="Z727" s="246">
        <v>4</v>
      </c>
      <c r="AA727" s="246">
        <v>4</v>
      </c>
      <c r="AB727" s="246" t="s">
        <v>486</v>
      </c>
      <c r="AC727" s="246" t="s">
        <v>486</v>
      </c>
      <c r="AD727" s="246" t="s">
        <v>490</v>
      </c>
      <c r="AE727" s="246" t="s">
        <v>486</v>
      </c>
      <c r="AF727" s="246" t="s">
        <v>486</v>
      </c>
      <c r="AG727" s="246" t="s">
        <v>486</v>
      </c>
      <c r="AH727" s="246" t="s">
        <v>486</v>
      </c>
      <c r="AI727" s="246" t="s">
        <v>486</v>
      </c>
      <c r="AJ727" s="246" t="s">
        <v>486</v>
      </c>
      <c r="AK727" s="246" t="s">
        <v>486</v>
      </c>
      <c r="AL727" s="246" t="s">
        <v>545</v>
      </c>
      <c r="AM727" s="246" t="s">
        <v>486</v>
      </c>
      <c r="AN727" s="246" t="s">
        <v>486</v>
      </c>
      <c r="AO727" s="248" t="s">
        <v>486</v>
      </c>
      <c r="AP727" s="247" t="s">
        <v>486</v>
      </c>
      <c r="AQ727" s="249" t="s">
        <v>486</v>
      </c>
      <c r="AR727" s="246" t="s">
        <v>486</v>
      </c>
    </row>
    <row r="728" spans="1:44" ht="15" x14ac:dyDescent="0.25">
      <c r="A728" s="250" t="str">
        <f>HYPERLINK("http://www.ofsted.gov.uk/inspection-reports/find-inspection-report/provider/ELS/118979 ","Ofsted School Webpage")</f>
        <v>Ofsted School Webpage</v>
      </c>
      <c r="B728" s="251">
        <v>118979</v>
      </c>
      <c r="C728" s="251">
        <v>8876001</v>
      </c>
      <c r="D728" s="251" t="s">
        <v>2742</v>
      </c>
      <c r="E728" s="251" t="s">
        <v>247</v>
      </c>
      <c r="F728" s="251" t="s">
        <v>93</v>
      </c>
      <c r="G728" s="251" t="s">
        <v>93</v>
      </c>
      <c r="H728" s="251" t="s">
        <v>93</v>
      </c>
      <c r="I728" s="251" t="s">
        <v>90</v>
      </c>
      <c r="J728" s="251" t="s">
        <v>1490</v>
      </c>
      <c r="K728" s="251" t="s">
        <v>486</v>
      </c>
      <c r="L728" s="251" t="s">
        <v>487</v>
      </c>
      <c r="M728" s="251" t="s">
        <v>581</v>
      </c>
      <c r="N728" s="251" t="s">
        <v>581</v>
      </c>
      <c r="O728" s="251" t="s">
        <v>794</v>
      </c>
      <c r="P728" s="251" t="s">
        <v>2743</v>
      </c>
      <c r="Q728" s="252">
        <v>10047025</v>
      </c>
      <c r="R728" s="253">
        <v>43270</v>
      </c>
      <c r="S728" s="253">
        <v>43272</v>
      </c>
      <c r="T728" s="253">
        <v>43347</v>
      </c>
      <c r="U728" s="251" t="s">
        <v>488</v>
      </c>
      <c r="V728" s="251">
        <v>2</v>
      </c>
      <c r="W728" s="251" t="s">
        <v>219</v>
      </c>
      <c r="X728" s="251">
        <v>2</v>
      </c>
      <c r="Y728" s="251">
        <v>2</v>
      </c>
      <c r="Z728" s="251">
        <v>2</v>
      </c>
      <c r="AA728" s="251">
        <v>2</v>
      </c>
      <c r="AB728" s="251">
        <v>2</v>
      </c>
      <c r="AC728" s="251" t="s">
        <v>486</v>
      </c>
      <c r="AD728" s="251" t="s">
        <v>490</v>
      </c>
      <c r="AE728" s="251" t="s">
        <v>486</v>
      </c>
      <c r="AF728" s="251" t="s">
        <v>486</v>
      </c>
      <c r="AG728" s="251" t="s">
        <v>486</v>
      </c>
      <c r="AH728" s="251" t="s">
        <v>486</v>
      </c>
      <c r="AI728" s="251" t="s">
        <v>486</v>
      </c>
      <c r="AJ728" s="251" t="s">
        <v>486</v>
      </c>
      <c r="AK728" s="251" t="s">
        <v>486</v>
      </c>
      <c r="AL728" s="251" t="s">
        <v>491</v>
      </c>
      <c r="AM728" s="251" t="s">
        <v>486</v>
      </c>
      <c r="AN728" s="251" t="s">
        <v>486</v>
      </c>
      <c r="AO728" s="253" t="s">
        <v>486</v>
      </c>
      <c r="AP728" s="252" t="s">
        <v>486</v>
      </c>
      <c r="AQ728" s="254" t="s">
        <v>486</v>
      </c>
      <c r="AR728" s="251" t="s">
        <v>486</v>
      </c>
    </row>
    <row r="729" spans="1:44" ht="15" x14ac:dyDescent="0.25">
      <c r="A729" s="245" t="str">
        <f>HYPERLINK("http://www.ofsted.gov.uk/inspection-reports/find-inspection-report/provider/ELS/118987 ","Ofsted School Webpage")</f>
        <v>Ofsted School Webpage</v>
      </c>
      <c r="B729" s="246">
        <v>118987</v>
      </c>
      <c r="C729" s="246">
        <v>8866041</v>
      </c>
      <c r="D729" s="246" t="s">
        <v>2744</v>
      </c>
      <c r="E729" s="246" t="s">
        <v>247</v>
      </c>
      <c r="F729" s="246" t="s">
        <v>93</v>
      </c>
      <c r="G729" s="246" t="s">
        <v>79</v>
      </c>
      <c r="H729" s="246" t="s">
        <v>79</v>
      </c>
      <c r="I729" s="246" t="s">
        <v>71</v>
      </c>
      <c r="J729" s="246" t="s">
        <v>1490</v>
      </c>
      <c r="K729" s="246" t="s">
        <v>486</v>
      </c>
      <c r="L729" s="246" t="s">
        <v>487</v>
      </c>
      <c r="M729" s="246" t="s">
        <v>581</v>
      </c>
      <c r="N729" s="246" t="s">
        <v>581</v>
      </c>
      <c r="O729" s="246" t="s">
        <v>694</v>
      </c>
      <c r="P729" s="246" t="s">
        <v>2745</v>
      </c>
      <c r="Q729" s="247">
        <v>10047026</v>
      </c>
      <c r="R729" s="248">
        <v>43270</v>
      </c>
      <c r="S729" s="248">
        <v>43272</v>
      </c>
      <c r="T729" s="248">
        <v>43294</v>
      </c>
      <c r="U729" s="246" t="s">
        <v>488</v>
      </c>
      <c r="V729" s="246">
        <v>2</v>
      </c>
      <c r="W729" s="246" t="s">
        <v>219</v>
      </c>
      <c r="X729" s="246">
        <v>2</v>
      </c>
      <c r="Y729" s="246">
        <v>2</v>
      </c>
      <c r="Z729" s="246">
        <v>2</v>
      </c>
      <c r="AA729" s="246">
        <v>2</v>
      </c>
      <c r="AB729" s="246">
        <v>2</v>
      </c>
      <c r="AC729" s="246" t="s">
        <v>486</v>
      </c>
      <c r="AD729" s="246" t="s">
        <v>490</v>
      </c>
      <c r="AE729" s="246" t="s">
        <v>486</v>
      </c>
      <c r="AF729" s="246" t="s">
        <v>486</v>
      </c>
      <c r="AG729" s="246" t="s">
        <v>486</v>
      </c>
      <c r="AH729" s="246" t="s">
        <v>486</v>
      </c>
      <c r="AI729" s="246" t="s">
        <v>486</v>
      </c>
      <c r="AJ729" s="246" t="s">
        <v>486</v>
      </c>
      <c r="AK729" s="246" t="s">
        <v>486</v>
      </c>
      <c r="AL729" s="246" t="s">
        <v>491</v>
      </c>
      <c r="AM729" s="246" t="s">
        <v>486</v>
      </c>
      <c r="AN729" s="246" t="s">
        <v>486</v>
      </c>
      <c r="AO729" s="248" t="s">
        <v>486</v>
      </c>
      <c r="AP729" s="247" t="s">
        <v>486</v>
      </c>
      <c r="AQ729" s="249" t="s">
        <v>486</v>
      </c>
      <c r="AR729" s="246" t="s">
        <v>486</v>
      </c>
    </row>
    <row r="730" spans="1:44" ht="15" x14ac:dyDescent="0.25">
      <c r="A730" s="250" t="str">
        <f>HYPERLINK("http://www.ofsted.gov.uk/inspection-reports/find-inspection-report/provider/ELS/131131 ","Ofsted School Webpage")</f>
        <v>Ofsted School Webpage</v>
      </c>
      <c r="B730" s="251">
        <v>131131</v>
      </c>
      <c r="C730" s="251">
        <v>3826019</v>
      </c>
      <c r="D730" s="251" t="s">
        <v>2746</v>
      </c>
      <c r="E730" s="251" t="s">
        <v>247</v>
      </c>
      <c r="F730" s="251" t="s">
        <v>93</v>
      </c>
      <c r="G730" s="251" t="s">
        <v>84</v>
      </c>
      <c r="H730" s="251" t="s">
        <v>84</v>
      </c>
      <c r="I730" s="251" t="s">
        <v>84</v>
      </c>
      <c r="J730" s="251" t="s">
        <v>1490</v>
      </c>
      <c r="K730" s="251" t="s">
        <v>486</v>
      </c>
      <c r="L730" s="251" t="s">
        <v>487</v>
      </c>
      <c r="M730" s="251" t="s">
        <v>523</v>
      </c>
      <c r="N730" s="251" t="s">
        <v>524</v>
      </c>
      <c r="O730" s="251" t="s">
        <v>767</v>
      </c>
      <c r="P730" s="251" t="s">
        <v>2747</v>
      </c>
      <c r="Q730" s="252">
        <v>10043654</v>
      </c>
      <c r="R730" s="253">
        <v>43270</v>
      </c>
      <c r="S730" s="253">
        <v>43272</v>
      </c>
      <c r="T730" s="253">
        <v>43355</v>
      </c>
      <c r="U730" s="251" t="s">
        <v>488</v>
      </c>
      <c r="V730" s="251">
        <v>3</v>
      </c>
      <c r="W730" s="251" t="s">
        <v>219</v>
      </c>
      <c r="X730" s="251">
        <v>3</v>
      </c>
      <c r="Y730" s="251">
        <v>3</v>
      </c>
      <c r="Z730" s="251">
        <v>3</v>
      </c>
      <c r="AA730" s="251">
        <v>3</v>
      </c>
      <c r="AB730" s="251">
        <v>2</v>
      </c>
      <c r="AC730" s="251" t="s">
        <v>486</v>
      </c>
      <c r="AD730" s="251" t="s">
        <v>512</v>
      </c>
      <c r="AE730" s="251" t="s">
        <v>486</v>
      </c>
      <c r="AF730" s="251" t="s">
        <v>486</v>
      </c>
      <c r="AG730" s="251" t="s">
        <v>486</v>
      </c>
      <c r="AH730" s="251" t="s">
        <v>490</v>
      </c>
      <c r="AI730" s="251" t="s">
        <v>486</v>
      </c>
      <c r="AJ730" s="251" t="s">
        <v>486</v>
      </c>
      <c r="AK730" s="251" t="s">
        <v>486</v>
      </c>
      <c r="AL730" s="251" t="s">
        <v>545</v>
      </c>
      <c r="AM730" s="251" t="s">
        <v>486</v>
      </c>
      <c r="AN730" s="251" t="s">
        <v>486</v>
      </c>
      <c r="AO730" s="253" t="s">
        <v>486</v>
      </c>
      <c r="AP730" s="252" t="s">
        <v>486</v>
      </c>
      <c r="AQ730" s="254" t="s">
        <v>486</v>
      </c>
      <c r="AR730" s="251" t="s">
        <v>486</v>
      </c>
    </row>
    <row r="731" spans="1:44" ht="15" x14ac:dyDescent="0.25">
      <c r="A731" s="245" t="str">
        <f>HYPERLINK("http://www.ofsted.gov.uk/inspection-reports/find-inspection-report/provider/ELS/132120 ","Ofsted School Webpage")</f>
        <v>Ofsted School Webpage</v>
      </c>
      <c r="B731" s="246">
        <v>132120</v>
      </c>
      <c r="C731" s="246">
        <v>8306024</v>
      </c>
      <c r="D731" s="246" t="s">
        <v>2748</v>
      </c>
      <c r="E731" s="246" t="s">
        <v>248</v>
      </c>
      <c r="F731" s="246" t="s">
        <v>93</v>
      </c>
      <c r="G731" s="246" t="s">
        <v>93</v>
      </c>
      <c r="H731" s="246" t="s">
        <v>93</v>
      </c>
      <c r="I731" s="246" t="s">
        <v>90</v>
      </c>
      <c r="J731" s="246" t="s">
        <v>1490</v>
      </c>
      <c r="K731" s="246" t="s">
        <v>486</v>
      </c>
      <c r="L731" s="246" t="s">
        <v>487</v>
      </c>
      <c r="M731" s="246" t="s">
        <v>572</v>
      </c>
      <c r="N731" s="246" t="s">
        <v>572</v>
      </c>
      <c r="O731" s="246" t="s">
        <v>573</v>
      </c>
      <c r="P731" s="246" t="s">
        <v>2749</v>
      </c>
      <c r="Q731" s="247">
        <v>10048633</v>
      </c>
      <c r="R731" s="248">
        <v>43270</v>
      </c>
      <c r="S731" s="248">
        <v>43272</v>
      </c>
      <c r="T731" s="248">
        <v>43298</v>
      </c>
      <c r="U731" s="246" t="s">
        <v>488</v>
      </c>
      <c r="V731" s="246">
        <v>2</v>
      </c>
      <c r="W731" s="246" t="s">
        <v>219</v>
      </c>
      <c r="X731" s="246">
        <v>2</v>
      </c>
      <c r="Y731" s="246">
        <v>2</v>
      </c>
      <c r="Z731" s="246">
        <v>2</v>
      </c>
      <c r="AA731" s="246">
        <v>2</v>
      </c>
      <c r="AB731" s="246" t="s">
        <v>486</v>
      </c>
      <c r="AC731" s="246">
        <v>2</v>
      </c>
      <c r="AD731" s="246" t="s">
        <v>490</v>
      </c>
      <c r="AE731" s="246" t="s">
        <v>486</v>
      </c>
      <c r="AF731" s="246" t="s">
        <v>486</v>
      </c>
      <c r="AG731" s="246" t="s">
        <v>486</v>
      </c>
      <c r="AH731" s="246" t="s">
        <v>486</v>
      </c>
      <c r="AI731" s="246" t="s">
        <v>486</v>
      </c>
      <c r="AJ731" s="246" t="s">
        <v>486</v>
      </c>
      <c r="AK731" s="246" t="s">
        <v>486</v>
      </c>
      <c r="AL731" s="246" t="s">
        <v>491</v>
      </c>
      <c r="AM731" s="246" t="s">
        <v>486</v>
      </c>
      <c r="AN731" s="246" t="s">
        <v>486</v>
      </c>
      <c r="AO731" s="248" t="s">
        <v>486</v>
      </c>
      <c r="AP731" s="247" t="s">
        <v>486</v>
      </c>
      <c r="AQ731" s="249" t="s">
        <v>486</v>
      </c>
      <c r="AR731" s="246" t="s">
        <v>486</v>
      </c>
    </row>
    <row r="732" spans="1:44" ht="15" x14ac:dyDescent="0.25">
      <c r="A732" s="250" t="str">
        <f>HYPERLINK("http://www.ofsted.gov.uk/inspection-reports/find-inspection-report/provider/ELS/134909 ","Ofsted School Webpage")</f>
        <v>Ofsted School Webpage</v>
      </c>
      <c r="B732" s="251">
        <v>134909</v>
      </c>
      <c r="C732" s="251">
        <v>9336207</v>
      </c>
      <c r="D732" s="251" t="s">
        <v>2750</v>
      </c>
      <c r="E732" s="251" t="s">
        <v>248</v>
      </c>
      <c r="F732" s="251" t="s">
        <v>93</v>
      </c>
      <c r="G732" s="251" t="s">
        <v>93</v>
      </c>
      <c r="H732" s="251" t="s">
        <v>93</v>
      </c>
      <c r="I732" s="251" t="s">
        <v>90</v>
      </c>
      <c r="J732" s="251" t="s">
        <v>1490</v>
      </c>
      <c r="K732" s="251" t="s">
        <v>486</v>
      </c>
      <c r="L732" s="251" t="s">
        <v>487</v>
      </c>
      <c r="M732" s="251" t="s">
        <v>483</v>
      </c>
      <c r="N732" s="251" t="s">
        <v>483</v>
      </c>
      <c r="O732" s="251" t="s">
        <v>531</v>
      </c>
      <c r="P732" s="251" t="s">
        <v>2751</v>
      </c>
      <c r="Q732" s="252">
        <v>10047184</v>
      </c>
      <c r="R732" s="253">
        <v>43270</v>
      </c>
      <c r="S732" s="253">
        <v>43272</v>
      </c>
      <c r="T732" s="253">
        <v>43304</v>
      </c>
      <c r="U732" s="251" t="s">
        <v>2930</v>
      </c>
      <c r="V732" s="251">
        <v>2</v>
      </c>
      <c r="W732" s="251" t="s">
        <v>219</v>
      </c>
      <c r="X732" s="251">
        <v>2</v>
      </c>
      <c r="Y732" s="251">
        <v>1</v>
      </c>
      <c r="Z732" s="251">
        <v>2</v>
      </c>
      <c r="AA732" s="251">
        <v>2</v>
      </c>
      <c r="AB732" s="251" t="s">
        <v>486</v>
      </c>
      <c r="AC732" s="251" t="s">
        <v>486</v>
      </c>
      <c r="AD732" s="251" t="s">
        <v>490</v>
      </c>
      <c r="AE732" s="251" t="s">
        <v>486</v>
      </c>
      <c r="AF732" s="251" t="s">
        <v>486</v>
      </c>
      <c r="AG732" s="251" t="s">
        <v>486</v>
      </c>
      <c r="AH732" s="251" t="s">
        <v>486</v>
      </c>
      <c r="AI732" s="251" t="s">
        <v>486</v>
      </c>
      <c r="AJ732" s="251" t="s">
        <v>486</v>
      </c>
      <c r="AK732" s="251" t="s">
        <v>486</v>
      </c>
      <c r="AL732" s="251" t="s">
        <v>491</v>
      </c>
      <c r="AM732" s="251" t="s">
        <v>486</v>
      </c>
      <c r="AN732" s="251" t="s">
        <v>486</v>
      </c>
      <c r="AO732" s="253" t="s">
        <v>486</v>
      </c>
      <c r="AP732" s="252" t="s">
        <v>486</v>
      </c>
      <c r="AQ732" s="254" t="s">
        <v>486</v>
      </c>
      <c r="AR732" s="251" t="s">
        <v>486</v>
      </c>
    </row>
    <row r="733" spans="1:44" ht="15" x14ac:dyDescent="0.25">
      <c r="A733" s="245" t="str">
        <f>HYPERLINK("http://www.ofsted.gov.uk/inspection-reports/find-inspection-report/provider/ELS/135633 ","Ofsted School Webpage")</f>
        <v>Ofsted School Webpage</v>
      </c>
      <c r="B733" s="246">
        <v>135633</v>
      </c>
      <c r="C733" s="246">
        <v>3556056</v>
      </c>
      <c r="D733" s="246" t="s">
        <v>2752</v>
      </c>
      <c r="E733" s="246" t="s">
        <v>248</v>
      </c>
      <c r="F733" s="246" t="s">
        <v>81</v>
      </c>
      <c r="G733" s="246" t="s">
        <v>81</v>
      </c>
      <c r="H733" s="246" t="s">
        <v>81</v>
      </c>
      <c r="I733" s="246" t="s">
        <v>81</v>
      </c>
      <c r="J733" s="246" t="s">
        <v>1490</v>
      </c>
      <c r="K733" s="246" t="s">
        <v>486</v>
      </c>
      <c r="L733" s="246" t="s">
        <v>487</v>
      </c>
      <c r="M733" s="246" t="s">
        <v>495</v>
      </c>
      <c r="N733" s="246" t="s">
        <v>495</v>
      </c>
      <c r="O733" s="246" t="s">
        <v>601</v>
      </c>
      <c r="P733" s="246" t="s">
        <v>2753</v>
      </c>
      <c r="Q733" s="247">
        <v>10048595</v>
      </c>
      <c r="R733" s="248">
        <v>43270</v>
      </c>
      <c r="S733" s="248">
        <v>43272</v>
      </c>
      <c r="T733" s="248">
        <v>43293</v>
      </c>
      <c r="U733" s="246" t="s">
        <v>488</v>
      </c>
      <c r="V733" s="246">
        <v>2</v>
      </c>
      <c r="W733" s="246" t="s">
        <v>219</v>
      </c>
      <c r="X733" s="246">
        <v>2</v>
      </c>
      <c r="Y733" s="246">
        <v>1</v>
      </c>
      <c r="Z733" s="246">
        <v>2</v>
      </c>
      <c r="AA733" s="246">
        <v>2</v>
      </c>
      <c r="AB733" s="246">
        <v>2</v>
      </c>
      <c r="AC733" s="246">
        <v>2</v>
      </c>
      <c r="AD733" s="246" t="s">
        <v>490</v>
      </c>
      <c r="AE733" s="246" t="s">
        <v>486</v>
      </c>
      <c r="AF733" s="246" t="s">
        <v>486</v>
      </c>
      <c r="AG733" s="246" t="s">
        <v>486</v>
      </c>
      <c r="AH733" s="246" t="s">
        <v>486</v>
      </c>
      <c r="AI733" s="246" t="s">
        <v>486</v>
      </c>
      <c r="AJ733" s="246" t="s">
        <v>486</v>
      </c>
      <c r="AK733" s="246" t="s">
        <v>486</v>
      </c>
      <c r="AL733" s="246" t="s">
        <v>491</v>
      </c>
      <c r="AM733" s="246" t="s">
        <v>486</v>
      </c>
      <c r="AN733" s="246" t="s">
        <v>486</v>
      </c>
      <c r="AO733" s="248" t="s">
        <v>486</v>
      </c>
      <c r="AP733" s="247" t="s">
        <v>486</v>
      </c>
      <c r="AQ733" s="249" t="s">
        <v>486</v>
      </c>
      <c r="AR733" s="246" t="s">
        <v>486</v>
      </c>
    </row>
    <row r="734" spans="1:44" ht="15" x14ac:dyDescent="0.25">
      <c r="A734" s="250" t="str">
        <f>HYPERLINK("http://www.ofsted.gov.uk/inspection-reports/find-inspection-report/provider/ELS/136231 ","Ofsted School Webpage")</f>
        <v>Ofsted School Webpage</v>
      </c>
      <c r="B734" s="251">
        <v>136231</v>
      </c>
      <c r="C734" s="251">
        <v>3046114</v>
      </c>
      <c r="D734" s="251" t="s">
        <v>2754</v>
      </c>
      <c r="E734" s="251" t="s">
        <v>247</v>
      </c>
      <c r="F734" s="251" t="s">
        <v>93</v>
      </c>
      <c r="G734" s="251" t="s">
        <v>81</v>
      </c>
      <c r="H734" s="251" t="s">
        <v>81</v>
      </c>
      <c r="I734" s="251" t="s">
        <v>81</v>
      </c>
      <c r="J734" s="251" t="s">
        <v>1490</v>
      </c>
      <c r="K734" s="251" t="s">
        <v>486</v>
      </c>
      <c r="L734" s="251" t="s">
        <v>487</v>
      </c>
      <c r="M734" s="251" t="s">
        <v>506</v>
      </c>
      <c r="N734" s="251" t="s">
        <v>506</v>
      </c>
      <c r="O734" s="251" t="s">
        <v>543</v>
      </c>
      <c r="P734" s="251" t="s">
        <v>2755</v>
      </c>
      <c r="Q734" s="252">
        <v>10038174</v>
      </c>
      <c r="R734" s="253">
        <v>43270</v>
      </c>
      <c r="S734" s="253">
        <v>43272</v>
      </c>
      <c r="T734" s="253">
        <v>43307</v>
      </c>
      <c r="U734" s="251" t="s">
        <v>488</v>
      </c>
      <c r="V734" s="251">
        <v>2</v>
      </c>
      <c r="W734" s="251" t="s">
        <v>219</v>
      </c>
      <c r="X734" s="251">
        <v>2</v>
      </c>
      <c r="Y734" s="251">
        <v>2</v>
      </c>
      <c r="Z734" s="251">
        <v>2</v>
      </c>
      <c r="AA734" s="251">
        <v>2</v>
      </c>
      <c r="AB734" s="251">
        <v>2</v>
      </c>
      <c r="AC734" s="251" t="s">
        <v>486</v>
      </c>
      <c r="AD734" s="251" t="s">
        <v>490</v>
      </c>
      <c r="AE734" s="251" t="s">
        <v>486</v>
      </c>
      <c r="AF734" s="251" t="s">
        <v>486</v>
      </c>
      <c r="AG734" s="251" t="s">
        <v>486</v>
      </c>
      <c r="AH734" s="251" t="s">
        <v>486</v>
      </c>
      <c r="AI734" s="251" t="s">
        <v>486</v>
      </c>
      <c r="AJ734" s="251" t="s">
        <v>486</v>
      </c>
      <c r="AK734" s="251" t="s">
        <v>486</v>
      </c>
      <c r="AL734" s="251" t="s">
        <v>491</v>
      </c>
      <c r="AM734" s="251" t="s">
        <v>486</v>
      </c>
      <c r="AN734" s="251" t="s">
        <v>486</v>
      </c>
      <c r="AO734" s="253" t="s">
        <v>486</v>
      </c>
      <c r="AP734" s="252" t="s">
        <v>486</v>
      </c>
      <c r="AQ734" s="254" t="s">
        <v>486</v>
      </c>
      <c r="AR734" s="251" t="s">
        <v>486</v>
      </c>
    </row>
    <row r="735" spans="1:44" ht="15" x14ac:dyDescent="0.25">
      <c r="A735" s="245" t="str">
        <f>HYPERLINK("http://www.ofsted.gov.uk/inspection-reports/find-inspection-report/provider/ELS/140039 ","Ofsted School Webpage")</f>
        <v>Ofsted School Webpage</v>
      </c>
      <c r="B735" s="246">
        <v>140039</v>
      </c>
      <c r="C735" s="246">
        <v>3036001</v>
      </c>
      <c r="D735" s="246" t="s">
        <v>1329</v>
      </c>
      <c r="E735" s="246" t="s">
        <v>247</v>
      </c>
      <c r="F735" s="246" t="s">
        <v>93</v>
      </c>
      <c r="G735" s="246" t="s">
        <v>93</v>
      </c>
      <c r="H735" s="246" t="s">
        <v>93</v>
      </c>
      <c r="I735" s="246" t="s">
        <v>90</v>
      </c>
      <c r="J735" s="246" t="s">
        <v>1490</v>
      </c>
      <c r="K735" s="246" t="s">
        <v>486</v>
      </c>
      <c r="L735" s="246" t="s">
        <v>487</v>
      </c>
      <c r="M735" s="246" t="s">
        <v>506</v>
      </c>
      <c r="N735" s="246" t="s">
        <v>506</v>
      </c>
      <c r="O735" s="246" t="s">
        <v>1330</v>
      </c>
      <c r="P735" s="246" t="s">
        <v>1331</v>
      </c>
      <c r="Q735" s="247">
        <v>10035811</v>
      </c>
      <c r="R735" s="248">
        <v>43270</v>
      </c>
      <c r="S735" s="248">
        <v>43272</v>
      </c>
      <c r="T735" s="248">
        <v>43298</v>
      </c>
      <c r="U735" s="246" t="s">
        <v>488</v>
      </c>
      <c r="V735" s="246">
        <v>2</v>
      </c>
      <c r="W735" s="246" t="s">
        <v>219</v>
      </c>
      <c r="X735" s="246">
        <v>2</v>
      </c>
      <c r="Y735" s="246">
        <v>2</v>
      </c>
      <c r="Z735" s="246">
        <v>2</v>
      </c>
      <c r="AA735" s="246">
        <v>2</v>
      </c>
      <c r="AB735" s="246" t="s">
        <v>486</v>
      </c>
      <c r="AC735" s="246" t="s">
        <v>486</v>
      </c>
      <c r="AD735" s="246" t="s">
        <v>490</v>
      </c>
      <c r="AE735" s="246" t="s">
        <v>486</v>
      </c>
      <c r="AF735" s="246" t="s">
        <v>486</v>
      </c>
      <c r="AG735" s="246" t="s">
        <v>486</v>
      </c>
      <c r="AH735" s="246" t="s">
        <v>486</v>
      </c>
      <c r="AI735" s="246" t="s">
        <v>486</v>
      </c>
      <c r="AJ735" s="246" t="s">
        <v>486</v>
      </c>
      <c r="AK735" s="246" t="s">
        <v>486</v>
      </c>
      <c r="AL735" s="246" t="s">
        <v>491</v>
      </c>
      <c r="AM735" s="246" t="s">
        <v>486</v>
      </c>
      <c r="AN735" s="246" t="s">
        <v>486</v>
      </c>
      <c r="AO735" s="248" t="s">
        <v>486</v>
      </c>
      <c r="AP735" s="247" t="s">
        <v>486</v>
      </c>
      <c r="AQ735" s="249" t="s">
        <v>486</v>
      </c>
      <c r="AR735" s="246" t="s">
        <v>486</v>
      </c>
    </row>
    <row r="736" spans="1:44" ht="15" x14ac:dyDescent="0.25">
      <c r="A736" s="250" t="str">
        <f>HYPERLINK("http://www.ofsted.gov.uk/inspection-reports/find-inspection-report/provider/ELS/143839 ","Ofsted School Webpage")</f>
        <v>Ofsted School Webpage</v>
      </c>
      <c r="B736" s="251">
        <v>143839</v>
      </c>
      <c r="C736" s="251">
        <v>8606044</v>
      </c>
      <c r="D736" s="251" t="s">
        <v>1366</v>
      </c>
      <c r="E736" s="251" t="s">
        <v>248</v>
      </c>
      <c r="F736" s="251" t="s">
        <v>93</v>
      </c>
      <c r="G736" s="251" t="s">
        <v>93</v>
      </c>
      <c r="H736" s="251" t="s">
        <v>93</v>
      </c>
      <c r="I736" s="251" t="s">
        <v>90</v>
      </c>
      <c r="J736" s="251" t="s">
        <v>1490</v>
      </c>
      <c r="K736" s="251" t="s">
        <v>486</v>
      </c>
      <c r="L736" s="251" t="s">
        <v>487</v>
      </c>
      <c r="M736" s="251" t="s">
        <v>502</v>
      </c>
      <c r="N736" s="251" t="s">
        <v>502</v>
      </c>
      <c r="O736" s="251" t="s">
        <v>652</v>
      </c>
      <c r="P736" s="251" t="s">
        <v>1367</v>
      </c>
      <c r="Q736" s="252">
        <v>10045268</v>
      </c>
      <c r="R736" s="253">
        <v>43270</v>
      </c>
      <c r="S736" s="253">
        <v>43272</v>
      </c>
      <c r="T736" s="253">
        <v>43348</v>
      </c>
      <c r="U736" s="251" t="s">
        <v>499</v>
      </c>
      <c r="V736" s="251">
        <v>1</v>
      </c>
      <c r="W736" s="251" t="s">
        <v>219</v>
      </c>
      <c r="X736" s="251">
        <v>1</v>
      </c>
      <c r="Y736" s="251">
        <v>1</v>
      </c>
      <c r="Z736" s="251">
        <v>1</v>
      </c>
      <c r="AA736" s="251">
        <v>1</v>
      </c>
      <c r="AB736" s="251" t="s">
        <v>486</v>
      </c>
      <c r="AC736" s="251" t="s">
        <v>486</v>
      </c>
      <c r="AD736" s="251" t="s">
        <v>490</v>
      </c>
      <c r="AE736" s="251" t="s">
        <v>486</v>
      </c>
      <c r="AF736" s="251" t="s">
        <v>486</v>
      </c>
      <c r="AG736" s="251" t="s">
        <v>486</v>
      </c>
      <c r="AH736" s="251" t="s">
        <v>486</v>
      </c>
      <c r="AI736" s="251" t="s">
        <v>486</v>
      </c>
      <c r="AJ736" s="251" t="s">
        <v>486</v>
      </c>
      <c r="AK736" s="251" t="s">
        <v>486</v>
      </c>
      <c r="AL736" s="251" t="s">
        <v>491</v>
      </c>
      <c r="AM736" s="251" t="s">
        <v>486</v>
      </c>
      <c r="AN736" s="251" t="s">
        <v>486</v>
      </c>
      <c r="AO736" s="253" t="s">
        <v>486</v>
      </c>
      <c r="AP736" s="252" t="s">
        <v>486</v>
      </c>
      <c r="AQ736" s="254" t="s">
        <v>486</v>
      </c>
      <c r="AR736" s="251" t="s">
        <v>486</v>
      </c>
    </row>
    <row r="737" spans="1:44" ht="15" x14ac:dyDescent="0.25">
      <c r="A737" s="245" t="str">
        <f>HYPERLINK("http://www.ofsted.gov.uk/inspection-reports/find-inspection-report/provider/ELS/143930 ","Ofsted School Webpage")</f>
        <v>Ofsted School Webpage</v>
      </c>
      <c r="B737" s="246">
        <v>143930</v>
      </c>
      <c r="C737" s="246">
        <v>8956004</v>
      </c>
      <c r="D737" s="246" t="s">
        <v>2756</v>
      </c>
      <c r="E737" s="246" t="s">
        <v>247</v>
      </c>
      <c r="F737" s="246" t="s">
        <v>93</v>
      </c>
      <c r="G737" s="246" t="s">
        <v>93</v>
      </c>
      <c r="H737" s="246" t="s">
        <v>93</v>
      </c>
      <c r="I737" s="246" t="s">
        <v>90</v>
      </c>
      <c r="J737" s="246" t="s">
        <v>1490</v>
      </c>
      <c r="K737" s="246" t="s">
        <v>486</v>
      </c>
      <c r="L737" s="246" t="s">
        <v>487</v>
      </c>
      <c r="M737" s="246" t="s">
        <v>495</v>
      </c>
      <c r="N737" s="246" t="s">
        <v>495</v>
      </c>
      <c r="O737" s="246" t="s">
        <v>985</v>
      </c>
      <c r="P737" s="246" t="s">
        <v>2757</v>
      </c>
      <c r="Q737" s="247">
        <v>10043790</v>
      </c>
      <c r="R737" s="248">
        <v>43270</v>
      </c>
      <c r="S737" s="248">
        <v>43272</v>
      </c>
      <c r="T737" s="248">
        <v>43301</v>
      </c>
      <c r="U737" s="246" t="s">
        <v>499</v>
      </c>
      <c r="V737" s="246">
        <v>3</v>
      </c>
      <c r="W737" s="246" t="s">
        <v>219</v>
      </c>
      <c r="X737" s="246">
        <v>3</v>
      </c>
      <c r="Y737" s="246">
        <v>3</v>
      </c>
      <c r="Z737" s="246">
        <v>3</v>
      </c>
      <c r="AA737" s="246">
        <v>3</v>
      </c>
      <c r="AB737" s="246" t="s">
        <v>486</v>
      </c>
      <c r="AC737" s="246" t="s">
        <v>486</v>
      </c>
      <c r="AD737" s="246" t="s">
        <v>490</v>
      </c>
      <c r="AE737" s="246" t="s">
        <v>486</v>
      </c>
      <c r="AF737" s="246" t="s">
        <v>486</v>
      </c>
      <c r="AG737" s="246" t="s">
        <v>486</v>
      </c>
      <c r="AH737" s="246" t="s">
        <v>486</v>
      </c>
      <c r="AI737" s="246" t="s">
        <v>486</v>
      </c>
      <c r="AJ737" s="246" t="s">
        <v>486</v>
      </c>
      <c r="AK737" s="246" t="s">
        <v>486</v>
      </c>
      <c r="AL737" s="246" t="s">
        <v>491</v>
      </c>
      <c r="AM737" s="246" t="s">
        <v>486</v>
      </c>
      <c r="AN737" s="246" t="s">
        <v>486</v>
      </c>
      <c r="AO737" s="248" t="s">
        <v>486</v>
      </c>
      <c r="AP737" s="247" t="s">
        <v>486</v>
      </c>
      <c r="AQ737" s="249" t="s">
        <v>486</v>
      </c>
      <c r="AR737" s="246" t="s">
        <v>486</v>
      </c>
    </row>
    <row r="738" spans="1:44" ht="15" x14ac:dyDescent="0.25">
      <c r="A738" s="250" t="str">
        <f>HYPERLINK("http://www.ofsted.gov.uk/inspection-reports/find-inspection-report/provider/ELS/144363 ","Ofsted School Webpage")</f>
        <v>Ofsted School Webpage</v>
      </c>
      <c r="B738" s="251">
        <v>144363</v>
      </c>
      <c r="C738" s="251">
        <v>2046016</v>
      </c>
      <c r="D738" s="251" t="s">
        <v>2758</v>
      </c>
      <c r="E738" s="251" t="s">
        <v>247</v>
      </c>
      <c r="F738" s="251" t="s">
        <v>93</v>
      </c>
      <c r="G738" s="251" t="s">
        <v>82</v>
      </c>
      <c r="H738" s="251" t="s">
        <v>82</v>
      </c>
      <c r="I738" s="251" t="s">
        <v>81</v>
      </c>
      <c r="J738" s="251" t="s">
        <v>1490</v>
      </c>
      <c r="K738" s="251" t="s">
        <v>486</v>
      </c>
      <c r="L738" s="251" t="s">
        <v>487</v>
      </c>
      <c r="M738" s="251" t="s">
        <v>506</v>
      </c>
      <c r="N738" s="251" t="s">
        <v>506</v>
      </c>
      <c r="O738" s="251" t="s">
        <v>617</v>
      </c>
      <c r="P738" s="251" t="s">
        <v>2759</v>
      </c>
      <c r="Q738" s="252">
        <v>10041408</v>
      </c>
      <c r="R738" s="253">
        <v>43270</v>
      </c>
      <c r="S738" s="253">
        <v>43272</v>
      </c>
      <c r="T738" s="253">
        <v>43384</v>
      </c>
      <c r="U738" s="251" t="s">
        <v>499</v>
      </c>
      <c r="V738" s="251">
        <v>4</v>
      </c>
      <c r="W738" s="251" t="s">
        <v>220</v>
      </c>
      <c r="X738" s="251">
        <v>4</v>
      </c>
      <c r="Y738" s="251">
        <v>4</v>
      </c>
      <c r="Z738" s="251">
        <v>4</v>
      </c>
      <c r="AA738" s="251">
        <v>4</v>
      </c>
      <c r="AB738" s="251" t="s">
        <v>486</v>
      </c>
      <c r="AC738" s="251" t="s">
        <v>486</v>
      </c>
      <c r="AD738" s="251" t="s">
        <v>490</v>
      </c>
      <c r="AE738" s="251" t="s">
        <v>486</v>
      </c>
      <c r="AF738" s="251" t="s">
        <v>486</v>
      </c>
      <c r="AG738" s="251" t="s">
        <v>486</v>
      </c>
      <c r="AH738" s="251" t="s">
        <v>486</v>
      </c>
      <c r="AI738" s="251" t="s">
        <v>486</v>
      </c>
      <c r="AJ738" s="251" t="s">
        <v>486</v>
      </c>
      <c r="AK738" s="251" t="s">
        <v>486</v>
      </c>
      <c r="AL738" s="251" t="s">
        <v>545</v>
      </c>
      <c r="AM738" s="251" t="s">
        <v>486</v>
      </c>
      <c r="AN738" s="251" t="s">
        <v>486</v>
      </c>
      <c r="AO738" s="253" t="s">
        <v>486</v>
      </c>
      <c r="AP738" s="252" t="s">
        <v>486</v>
      </c>
      <c r="AQ738" s="254" t="s">
        <v>486</v>
      </c>
      <c r="AR738" s="251" t="s">
        <v>486</v>
      </c>
    </row>
    <row r="739" spans="1:44" ht="15" x14ac:dyDescent="0.25">
      <c r="A739" s="245" t="str">
        <f>HYPERLINK("http://www.ofsted.gov.uk/inspection-reports/find-inspection-report/provider/ELS/144374 ","Ofsted School Webpage")</f>
        <v>Ofsted School Webpage</v>
      </c>
      <c r="B739" s="246">
        <v>144374</v>
      </c>
      <c r="C739" s="246">
        <v>3326008</v>
      </c>
      <c r="D739" s="246" t="s">
        <v>2760</v>
      </c>
      <c r="E739" s="246" t="s">
        <v>248</v>
      </c>
      <c r="F739" s="246" t="s">
        <v>93</v>
      </c>
      <c r="G739" s="246" t="s">
        <v>93</v>
      </c>
      <c r="H739" s="246" t="s">
        <v>93</v>
      </c>
      <c r="I739" s="246" t="s">
        <v>90</v>
      </c>
      <c r="J739" s="246" t="s">
        <v>1490</v>
      </c>
      <c r="K739" s="246" t="s">
        <v>486</v>
      </c>
      <c r="L739" s="246" t="s">
        <v>487</v>
      </c>
      <c r="M739" s="246" t="s">
        <v>502</v>
      </c>
      <c r="N739" s="246" t="s">
        <v>502</v>
      </c>
      <c r="O739" s="246" t="s">
        <v>699</v>
      </c>
      <c r="P739" s="246" t="s">
        <v>2761</v>
      </c>
      <c r="Q739" s="247">
        <v>10045270</v>
      </c>
      <c r="R739" s="248">
        <v>43270</v>
      </c>
      <c r="S739" s="248">
        <v>43272</v>
      </c>
      <c r="T739" s="248">
        <v>43356</v>
      </c>
      <c r="U739" s="246" t="s">
        <v>499</v>
      </c>
      <c r="V739" s="246">
        <v>4</v>
      </c>
      <c r="W739" s="246" t="s">
        <v>220</v>
      </c>
      <c r="X739" s="246">
        <v>4</v>
      </c>
      <c r="Y739" s="246">
        <v>4</v>
      </c>
      <c r="Z739" s="246">
        <v>4</v>
      </c>
      <c r="AA739" s="246">
        <v>4</v>
      </c>
      <c r="AB739" s="246" t="s">
        <v>486</v>
      </c>
      <c r="AC739" s="246" t="s">
        <v>486</v>
      </c>
      <c r="AD739" s="246" t="s">
        <v>490</v>
      </c>
      <c r="AE739" s="246" t="s">
        <v>486</v>
      </c>
      <c r="AF739" s="246" t="s">
        <v>486</v>
      </c>
      <c r="AG739" s="246" t="s">
        <v>486</v>
      </c>
      <c r="AH739" s="246" t="s">
        <v>486</v>
      </c>
      <c r="AI739" s="246" t="s">
        <v>486</v>
      </c>
      <c r="AJ739" s="246" t="s">
        <v>486</v>
      </c>
      <c r="AK739" s="246" t="s">
        <v>486</v>
      </c>
      <c r="AL739" s="246" t="s">
        <v>545</v>
      </c>
      <c r="AM739" s="246" t="s">
        <v>486</v>
      </c>
      <c r="AN739" s="246" t="s">
        <v>486</v>
      </c>
      <c r="AO739" s="248" t="s">
        <v>486</v>
      </c>
      <c r="AP739" s="247" t="s">
        <v>486</v>
      </c>
      <c r="AQ739" s="249" t="s">
        <v>486</v>
      </c>
      <c r="AR739" s="246" t="s">
        <v>486</v>
      </c>
    </row>
    <row r="740" spans="1:44" ht="15" x14ac:dyDescent="0.25">
      <c r="A740" s="250" t="str">
        <f>HYPERLINK("http://www.ofsted.gov.uk/inspection-reports/find-inspection-report/provider/ELS/144475 ","Ofsted School Webpage")</f>
        <v>Ofsted School Webpage</v>
      </c>
      <c r="B740" s="251">
        <v>144475</v>
      </c>
      <c r="C740" s="251">
        <v>8866144</v>
      </c>
      <c r="D740" s="251" t="s">
        <v>2762</v>
      </c>
      <c r="E740" s="251" t="s">
        <v>248</v>
      </c>
      <c r="F740" s="251" t="s">
        <v>93</v>
      </c>
      <c r="G740" s="251" t="s">
        <v>93</v>
      </c>
      <c r="H740" s="251" t="s">
        <v>93</v>
      </c>
      <c r="I740" s="251" t="s">
        <v>90</v>
      </c>
      <c r="J740" s="251" t="s">
        <v>1490</v>
      </c>
      <c r="K740" s="251" t="s">
        <v>486</v>
      </c>
      <c r="L740" s="251" t="s">
        <v>487</v>
      </c>
      <c r="M740" s="251" t="s">
        <v>581</v>
      </c>
      <c r="N740" s="251" t="s">
        <v>581</v>
      </c>
      <c r="O740" s="251" t="s">
        <v>694</v>
      </c>
      <c r="P740" s="251" t="s">
        <v>2763</v>
      </c>
      <c r="Q740" s="252">
        <v>10044151</v>
      </c>
      <c r="R740" s="253">
        <v>43270</v>
      </c>
      <c r="S740" s="253">
        <v>43272</v>
      </c>
      <c r="T740" s="253">
        <v>43293</v>
      </c>
      <c r="U740" s="251" t="s">
        <v>499</v>
      </c>
      <c r="V740" s="251">
        <v>2</v>
      </c>
      <c r="W740" s="251" t="s">
        <v>219</v>
      </c>
      <c r="X740" s="251">
        <v>2</v>
      </c>
      <c r="Y740" s="251">
        <v>2</v>
      </c>
      <c r="Z740" s="251">
        <v>2</v>
      </c>
      <c r="AA740" s="251">
        <v>2</v>
      </c>
      <c r="AB740" s="251" t="s">
        <v>486</v>
      </c>
      <c r="AC740" s="251" t="s">
        <v>486</v>
      </c>
      <c r="AD740" s="251" t="s">
        <v>490</v>
      </c>
      <c r="AE740" s="251" t="s">
        <v>486</v>
      </c>
      <c r="AF740" s="251" t="s">
        <v>486</v>
      </c>
      <c r="AG740" s="251" t="s">
        <v>486</v>
      </c>
      <c r="AH740" s="251" t="s">
        <v>486</v>
      </c>
      <c r="AI740" s="251" t="s">
        <v>486</v>
      </c>
      <c r="AJ740" s="251" t="s">
        <v>486</v>
      </c>
      <c r="AK740" s="251" t="s">
        <v>486</v>
      </c>
      <c r="AL740" s="251" t="s">
        <v>491</v>
      </c>
      <c r="AM740" s="251" t="s">
        <v>486</v>
      </c>
      <c r="AN740" s="251" t="s">
        <v>486</v>
      </c>
      <c r="AO740" s="253" t="s">
        <v>486</v>
      </c>
      <c r="AP740" s="252" t="s">
        <v>486</v>
      </c>
      <c r="AQ740" s="254" t="s">
        <v>486</v>
      </c>
      <c r="AR740" s="251" t="s">
        <v>486</v>
      </c>
    </row>
    <row r="741" spans="1:44" ht="15" x14ac:dyDescent="0.25">
      <c r="A741" s="245" t="str">
        <f>HYPERLINK("http://www.ofsted.gov.uk/inspection-reports/find-inspection-report/provider/ELS/144820 ","Ofsted School Webpage")</f>
        <v>Ofsted School Webpage</v>
      </c>
      <c r="B741" s="246">
        <v>144820</v>
      </c>
      <c r="C741" s="246">
        <v>3306034</v>
      </c>
      <c r="D741" s="246" t="s">
        <v>2764</v>
      </c>
      <c r="E741" s="246" t="s">
        <v>247</v>
      </c>
      <c r="F741" s="246" t="s">
        <v>93</v>
      </c>
      <c r="G741" s="246" t="s">
        <v>93</v>
      </c>
      <c r="H741" s="246" t="s">
        <v>93</v>
      </c>
      <c r="I741" s="246" t="s">
        <v>90</v>
      </c>
      <c r="J741" s="246" t="s">
        <v>1490</v>
      </c>
      <c r="K741" s="246" t="s">
        <v>486</v>
      </c>
      <c r="L741" s="246" t="s">
        <v>487</v>
      </c>
      <c r="M741" s="246" t="s">
        <v>502</v>
      </c>
      <c r="N741" s="246" t="s">
        <v>502</v>
      </c>
      <c r="O741" s="246" t="s">
        <v>909</v>
      </c>
      <c r="P741" s="246" t="s">
        <v>2765</v>
      </c>
      <c r="Q741" s="247">
        <v>10045273</v>
      </c>
      <c r="R741" s="248">
        <v>43270</v>
      </c>
      <c r="S741" s="248">
        <v>43272</v>
      </c>
      <c r="T741" s="248">
        <v>43357</v>
      </c>
      <c r="U741" s="246" t="s">
        <v>499</v>
      </c>
      <c r="V741" s="246">
        <v>4</v>
      </c>
      <c r="W741" s="246" t="s">
        <v>219</v>
      </c>
      <c r="X741" s="246">
        <v>4</v>
      </c>
      <c r="Y741" s="246">
        <v>4</v>
      </c>
      <c r="Z741" s="246">
        <v>4</v>
      </c>
      <c r="AA741" s="246">
        <v>4</v>
      </c>
      <c r="AB741" s="246" t="s">
        <v>486</v>
      </c>
      <c r="AC741" s="246" t="s">
        <v>486</v>
      </c>
      <c r="AD741" s="246" t="s">
        <v>490</v>
      </c>
      <c r="AE741" s="246" t="s">
        <v>486</v>
      </c>
      <c r="AF741" s="246" t="s">
        <v>486</v>
      </c>
      <c r="AG741" s="246" t="s">
        <v>486</v>
      </c>
      <c r="AH741" s="246" t="s">
        <v>486</v>
      </c>
      <c r="AI741" s="246" t="s">
        <v>486</v>
      </c>
      <c r="AJ741" s="246" t="s">
        <v>486</v>
      </c>
      <c r="AK741" s="246" t="s">
        <v>486</v>
      </c>
      <c r="AL741" s="246" t="s">
        <v>545</v>
      </c>
      <c r="AM741" s="246" t="s">
        <v>486</v>
      </c>
      <c r="AN741" s="246" t="s">
        <v>486</v>
      </c>
      <c r="AO741" s="248" t="s">
        <v>486</v>
      </c>
      <c r="AP741" s="247" t="s">
        <v>486</v>
      </c>
      <c r="AQ741" s="249" t="s">
        <v>486</v>
      </c>
      <c r="AR741" s="246" t="s">
        <v>486</v>
      </c>
    </row>
    <row r="742" spans="1:44" ht="15" x14ac:dyDescent="0.25">
      <c r="A742" s="250" t="str">
        <f>HYPERLINK("http://www.ofsted.gov.uk/inspection-reports/find-inspection-report/provider/ELS/145064 ","Ofsted School Webpage")</f>
        <v>Ofsted School Webpage</v>
      </c>
      <c r="B742" s="251">
        <v>145064</v>
      </c>
      <c r="C742" s="251">
        <v>8866145</v>
      </c>
      <c r="D742" s="251" t="s">
        <v>2766</v>
      </c>
      <c r="E742" s="251" t="s">
        <v>248</v>
      </c>
      <c r="F742" s="251" t="s">
        <v>93</v>
      </c>
      <c r="G742" s="251" t="s">
        <v>93</v>
      </c>
      <c r="H742" s="251" t="s">
        <v>93</v>
      </c>
      <c r="I742" s="251" t="s">
        <v>90</v>
      </c>
      <c r="J742" s="251" t="s">
        <v>1490</v>
      </c>
      <c r="K742" s="251" t="s">
        <v>486</v>
      </c>
      <c r="L742" s="251" t="s">
        <v>487</v>
      </c>
      <c r="M742" s="251" t="s">
        <v>581</v>
      </c>
      <c r="N742" s="251" t="s">
        <v>581</v>
      </c>
      <c r="O742" s="251" t="s">
        <v>694</v>
      </c>
      <c r="P742" s="251" t="s">
        <v>2767</v>
      </c>
      <c r="Q742" s="252">
        <v>10045500</v>
      </c>
      <c r="R742" s="253">
        <v>43270</v>
      </c>
      <c r="S742" s="253">
        <v>43272</v>
      </c>
      <c r="T742" s="253">
        <v>43298</v>
      </c>
      <c r="U742" s="251" t="s">
        <v>499</v>
      </c>
      <c r="V742" s="251">
        <v>2</v>
      </c>
      <c r="W742" s="251" t="s">
        <v>219</v>
      </c>
      <c r="X742" s="251">
        <v>1</v>
      </c>
      <c r="Y742" s="251">
        <v>1</v>
      </c>
      <c r="Z742" s="251">
        <v>2</v>
      </c>
      <c r="AA742" s="251">
        <v>2</v>
      </c>
      <c r="AB742" s="251" t="s">
        <v>486</v>
      </c>
      <c r="AC742" s="251" t="s">
        <v>486</v>
      </c>
      <c r="AD742" s="251" t="s">
        <v>490</v>
      </c>
      <c r="AE742" s="251" t="s">
        <v>486</v>
      </c>
      <c r="AF742" s="251" t="s">
        <v>486</v>
      </c>
      <c r="AG742" s="251" t="s">
        <v>486</v>
      </c>
      <c r="AH742" s="251" t="s">
        <v>486</v>
      </c>
      <c r="AI742" s="251" t="s">
        <v>486</v>
      </c>
      <c r="AJ742" s="251" t="s">
        <v>486</v>
      </c>
      <c r="AK742" s="251" t="s">
        <v>486</v>
      </c>
      <c r="AL742" s="251" t="s">
        <v>491</v>
      </c>
      <c r="AM742" s="251" t="s">
        <v>486</v>
      </c>
      <c r="AN742" s="251" t="s">
        <v>486</v>
      </c>
      <c r="AO742" s="253" t="s">
        <v>486</v>
      </c>
      <c r="AP742" s="252" t="s">
        <v>486</v>
      </c>
      <c r="AQ742" s="254" t="s">
        <v>486</v>
      </c>
      <c r="AR742" s="251" t="s">
        <v>486</v>
      </c>
    </row>
    <row r="743" spans="1:44" ht="15" x14ac:dyDescent="0.25">
      <c r="A743" s="245" t="str">
        <f>HYPERLINK("http://www.ofsted.gov.uk/inspection-reports/find-inspection-report/provider/ELS/145160 ","Ofsted School Webpage")</f>
        <v>Ofsted School Webpage</v>
      </c>
      <c r="B743" s="246">
        <v>145160</v>
      </c>
      <c r="C743" s="246">
        <v>3406005</v>
      </c>
      <c r="D743" s="246" t="s">
        <v>2768</v>
      </c>
      <c r="E743" s="246" t="s">
        <v>247</v>
      </c>
      <c r="F743" s="246" t="s">
        <v>93</v>
      </c>
      <c r="G743" s="246" t="s">
        <v>93</v>
      </c>
      <c r="H743" s="246" t="s">
        <v>93</v>
      </c>
      <c r="I743" s="246" t="s">
        <v>90</v>
      </c>
      <c r="J743" s="246" t="s">
        <v>1490</v>
      </c>
      <c r="K743" s="246" t="s">
        <v>486</v>
      </c>
      <c r="L743" s="246" t="s">
        <v>487</v>
      </c>
      <c r="M743" s="246" t="s">
        <v>495</v>
      </c>
      <c r="N743" s="246" t="s">
        <v>495</v>
      </c>
      <c r="O743" s="246" t="s">
        <v>559</v>
      </c>
      <c r="P743" s="246" t="s">
        <v>2769</v>
      </c>
      <c r="Q743" s="247">
        <v>10053738</v>
      </c>
      <c r="R743" s="248">
        <v>43270</v>
      </c>
      <c r="S743" s="248">
        <v>43272</v>
      </c>
      <c r="T743" s="248">
        <v>43298</v>
      </c>
      <c r="U743" s="246" t="s">
        <v>499</v>
      </c>
      <c r="V743" s="246">
        <v>2</v>
      </c>
      <c r="W743" s="246" t="s">
        <v>219</v>
      </c>
      <c r="X743" s="246">
        <v>2</v>
      </c>
      <c r="Y743" s="246">
        <v>3</v>
      </c>
      <c r="Z743" s="246">
        <v>2</v>
      </c>
      <c r="AA743" s="246">
        <v>2</v>
      </c>
      <c r="AB743" s="246" t="s">
        <v>486</v>
      </c>
      <c r="AC743" s="246" t="s">
        <v>486</v>
      </c>
      <c r="AD743" s="246" t="s">
        <v>490</v>
      </c>
      <c r="AE743" s="246" t="s">
        <v>486</v>
      </c>
      <c r="AF743" s="246" t="s">
        <v>486</v>
      </c>
      <c r="AG743" s="246" t="s">
        <v>486</v>
      </c>
      <c r="AH743" s="246" t="s">
        <v>486</v>
      </c>
      <c r="AI743" s="246" t="s">
        <v>486</v>
      </c>
      <c r="AJ743" s="246" t="s">
        <v>486</v>
      </c>
      <c r="AK743" s="246" t="s">
        <v>486</v>
      </c>
      <c r="AL743" s="246" t="s">
        <v>491</v>
      </c>
      <c r="AM743" s="246" t="s">
        <v>486</v>
      </c>
      <c r="AN743" s="246" t="s">
        <v>486</v>
      </c>
      <c r="AO743" s="248" t="s">
        <v>486</v>
      </c>
      <c r="AP743" s="247" t="s">
        <v>486</v>
      </c>
      <c r="AQ743" s="249" t="s">
        <v>486</v>
      </c>
      <c r="AR743" s="246" t="s">
        <v>486</v>
      </c>
    </row>
    <row r="744" spans="1:44" ht="15" x14ac:dyDescent="0.25">
      <c r="A744" s="250" t="str">
        <f>HYPERLINK("http://www.ofsted.gov.uk/inspection-reports/find-inspection-report/provider/ELS/144806 ","Ofsted School Webpage")</f>
        <v>Ofsted School Webpage</v>
      </c>
      <c r="B744" s="251">
        <v>144806</v>
      </c>
      <c r="C744" s="251">
        <v>8306044</v>
      </c>
      <c r="D744" s="251" t="s">
        <v>2770</v>
      </c>
      <c r="E744" s="251" t="s">
        <v>247</v>
      </c>
      <c r="F744" s="251" t="s">
        <v>71</v>
      </c>
      <c r="G744" s="251" t="s">
        <v>71</v>
      </c>
      <c r="H744" s="251" t="s">
        <v>71</v>
      </c>
      <c r="I744" s="251" t="s">
        <v>71</v>
      </c>
      <c r="J744" s="251" t="s">
        <v>1490</v>
      </c>
      <c r="K744" s="251" t="s">
        <v>486</v>
      </c>
      <c r="L744" s="251" t="s">
        <v>487</v>
      </c>
      <c r="M744" s="251" t="s">
        <v>572</v>
      </c>
      <c r="N744" s="251" t="s">
        <v>572</v>
      </c>
      <c r="O744" s="251" t="s">
        <v>573</v>
      </c>
      <c r="P744" s="251" t="s">
        <v>2771</v>
      </c>
      <c r="Q744" s="252">
        <v>10048638</v>
      </c>
      <c r="R744" s="253">
        <v>43277</v>
      </c>
      <c r="S744" s="253">
        <v>43278</v>
      </c>
      <c r="T744" s="253">
        <v>43356</v>
      </c>
      <c r="U744" s="251" t="s">
        <v>499</v>
      </c>
      <c r="V744" s="251">
        <v>2</v>
      </c>
      <c r="W744" s="251" t="s">
        <v>219</v>
      </c>
      <c r="X744" s="251">
        <v>2</v>
      </c>
      <c r="Y744" s="251">
        <v>2</v>
      </c>
      <c r="Z744" s="251">
        <v>2</v>
      </c>
      <c r="AA744" s="251">
        <v>2</v>
      </c>
      <c r="AB744" s="251">
        <v>2</v>
      </c>
      <c r="AC744" s="251" t="s">
        <v>486</v>
      </c>
      <c r="AD744" s="251" t="s">
        <v>490</v>
      </c>
      <c r="AE744" s="251" t="s">
        <v>486</v>
      </c>
      <c r="AF744" s="251" t="s">
        <v>486</v>
      </c>
      <c r="AG744" s="251" t="s">
        <v>486</v>
      </c>
      <c r="AH744" s="251" t="s">
        <v>486</v>
      </c>
      <c r="AI744" s="251" t="s">
        <v>486</v>
      </c>
      <c r="AJ744" s="251" t="s">
        <v>486</v>
      </c>
      <c r="AK744" s="251" t="s">
        <v>486</v>
      </c>
      <c r="AL744" s="251" t="s">
        <v>491</v>
      </c>
      <c r="AM744" s="251" t="s">
        <v>486</v>
      </c>
      <c r="AN744" s="251" t="s">
        <v>486</v>
      </c>
      <c r="AO744" s="253" t="s">
        <v>486</v>
      </c>
      <c r="AP744" s="252" t="s">
        <v>486</v>
      </c>
      <c r="AQ744" s="254" t="s">
        <v>486</v>
      </c>
      <c r="AR744" s="251" t="s">
        <v>486</v>
      </c>
    </row>
    <row r="745" spans="1:44" ht="15" x14ac:dyDescent="0.25">
      <c r="A745" s="245" t="str">
        <f>HYPERLINK("http://www.ofsted.gov.uk/inspection-reports/find-inspection-report/provider/ELS/100082 ","Ofsted School Webpage")</f>
        <v>Ofsted School Webpage</v>
      </c>
      <c r="B745" s="246">
        <v>100082</v>
      </c>
      <c r="C745" s="246">
        <v>2026385</v>
      </c>
      <c r="D745" s="246" t="s">
        <v>2772</v>
      </c>
      <c r="E745" s="246" t="s">
        <v>247</v>
      </c>
      <c r="F745" s="246" t="s">
        <v>93</v>
      </c>
      <c r="G745" s="246" t="s">
        <v>93</v>
      </c>
      <c r="H745" s="246" t="s">
        <v>93</v>
      </c>
      <c r="I745" s="246" t="s">
        <v>90</v>
      </c>
      <c r="J745" s="246" t="s">
        <v>1490</v>
      </c>
      <c r="K745" s="246" t="s">
        <v>486</v>
      </c>
      <c r="L745" s="246" t="s">
        <v>487</v>
      </c>
      <c r="M745" s="246" t="s">
        <v>506</v>
      </c>
      <c r="N745" s="246" t="s">
        <v>506</v>
      </c>
      <c r="O745" s="246" t="s">
        <v>1177</v>
      </c>
      <c r="P745" s="246" t="s">
        <v>2773</v>
      </c>
      <c r="Q745" s="247">
        <v>10041393</v>
      </c>
      <c r="R745" s="248">
        <v>43277</v>
      </c>
      <c r="S745" s="248">
        <v>43279</v>
      </c>
      <c r="T745" s="248">
        <v>43361</v>
      </c>
      <c r="U745" s="246" t="s">
        <v>488</v>
      </c>
      <c r="V745" s="246">
        <v>1</v>
      </c>
      <c r="W745" s="246" t="s">
        <v>219</v>
      </c>
      <c r="X745" s="246">
        <v>1</v>
      </c>
      <c r="Y745" s="246">
        <v>1</v>
      </c>
      <c r="Z745" s="246">
        <v>1</v>
      </c>
      <c r="AA745" s="246">
        <v>1</v>
      </c>
      <c r="AB745" s="246" t="s">
        <v>486</v>
      </c>
      <c r="AC745" s="246" t="s">
        <v>486</v>
      </c>
      <c r="AD745" s="246" t="s">
        <v>490</v>
      </c>
      <c r="AE745" s="246" t="s">
        <v>486</v>
      </c>
      <c r="AF745" s="246" t="s">
        <v>486</v>
      </c>
      <c r="AG745" s="246" t="s">
        <v>486</v>
      </c>
      <c r="AH745" s="246" t="s">
        <v>486</v>
      </c>
      <c r="AI745" s="246" t="s">
        <v>486</v>
      </c>
      <c r="AJ745" s="246" t="s">
        <v>486</v>
      </c>
      <c r="AK745" s="246" t="s">
        <v>486</v>
      </c>
      <c r="AL745" s="246" t="s">
        <v>491</v>
      </c>
      <c r="AM745" s="246" t="s">
        <v>486</v>
      </c>
      <c r="AN745" s="246" t="s">
        <v>486</v>
      </c>
      <c r="AO745" s="248" t="s">
        <v>486</v>
      </c>
      <c r="AP745" s="247" t="s">
        <v>486</v>
      </c>
      <c r="AQ745" s="249" t="s">
        <v>486</v>
      </c>
      <c r="AR745" s="246" t="s">
        <v>486</v>
      </c>
    </row>
    <row r="746" spans="1:44" ht="15" x14ac:dyDescent="0.25">
      <c r="A746" s="250" t="str">
        <f>HYPERLINK("http://www.ofsted.gov.uk/inspection-reports/find-inspection-report/provider/ELS/100547 ","Ofsted School Webpage")</f>
        <v>Ofsted School Webpage</v>
      </c>
      <c r="B746" s="251">
        <v>100547</v>
      </c>
      <c r="C746" s="251">
        <v>2076391</v>
      </c>
      <c r="D746" s="251" t="s">
        <v>2774</v>
      </c>
      <c r="E746" s="251" t="s">
        <v>247</v>
      </c>
      <c r="F746" s="251" t="s">
        <v>93</v>
      </c>
      <c r="G746" s="251" t="s">
        <v>93</v>
      </c>
      <c r="H746" s="251" t="s">
        <v>93</v>
      </c>
      <c r="I746" s="251" t="s">
        <v>90</v>
      </c>
      <c r="J746" s="251" t="s">
        <v>1490</v>
      </c>
      <c r="K746" s="251" t="s">
        <v>486</v>
      </c>
      <c r="L746" s="251" t="s">
        <v>487</v>
      </c>
      <c r="M746" s="251" t="s">
        <v>506</v>
      </c>
      <c r="N746" s="251" t="s">
        <v>506</v>
      </c>
      <c r="O746" s="251" t="s">
        <v>640</v>
      </c>
      <c r="P746" s="251" t="s">
        <v>2775</v>
      </c>
      <c r="Q746" s="252">
        <v>10020763</v>
      </c>
      <c r="R746" s="253">
        <v>43277</v>
      </c>
      <c r="S746" s="253">
        <v>43279</v>
      </c>
      <c r="T746" s="253">
        <v>43360</v>
      </c>
      <c r="U746" s="251" t="s">
        <v>488</v>
      </c>
      <c r="V746" s="251">
        <v>2</v>
      </c>
      <c r="W746" s="251" t="s">
        <v>219</v>
      </c>
      <c r="X746" s="251">
        <v>2</v>
      </c>
      <c r="Y746" s="251">
        <v>2</v>
      </c>
      <c r="Z746" s="251">
        <v>2</v>
      </c>
      <c r="AA746" s="251">
        <v>2</v>
      </c>
      <c r="AB746" s="251" t="s">
        <v>486</v>
      </c>
      <c r="AC746" s="251">
        <v>2</v>
      </c>
      <c r="AD746" s="251" t="s">
        <v>490</v>
      </c>
      <c r="AE746" s="251" t="s">
        <v>486</v>
      </c>
      <c r="AF746" s="251" t="s">
        <v>486</v>
      </c>
      <c r="AG746" s="251" t="s">
        <v>486</v>
      </c>
      <c r="AH746" s="251" t="s">
        <v>486</v>
      </c>
      <c r="AI746" s="251" t="s">
        <v>486</v>
      </c>
      <c r="AJ746" s="251" t="s">
        <v>486</v>
      </c>
      <c r="AK746" s="251" t="s">
        <v>486</v>
      </c>
      <c r="AL746" s="251" t="s">
        <v>491</v>
      </c>
      <c r="AM746" s="251" t="s">
        <v>486</v>
      </c>
      <c r="AN746" s="251" t="s">
        <v>486</v>
      </c>
      <c r="AO746" s="253" t="s">
        <v>486</v>
      </c>
      <c r="AP746" s="252" t="s">
        <v>486</v>
      </c>
      <c r="AQ746" s="254" t="s">
        <v>486</v>
      </c>
      <c r="AR746" s="251" t="s">
        <v>486</v>
      </c>
    </row>
    <row r="747" spans="1:44" ht="15" x14ac:dyDescent="0.25">
      <c r="A747" s="245" t="str">
        <f>HYPERLINK("http://www.ofsted.gov.uk/inspection-reports/find-inspection-report/provider/ELS/102171 ","Ofsted School Webpage")</f>
        <v>Ofsted School Webpage</v>
      </c>
      <c r="B747" s="246">
        <v>102171</v>
      </c>
      <c r="C747" s="246">
        <v>2046399</v>
      </c>
      <c r="D747" s="246" t="s">
        <v>2776</v>
      </c>
      <c r="E747" s="246" t="s">
        <v>247</v>
      </c>
      <c r="F747" s="246" t="s">
        <v>93</v>
      </c>
      <c r="G747" s="246" t="s">
        <v>82</v>
      </c>
      <c r="H747" s="246" t="s">
        <v>82</v>
      </c>
      <c r="I747" s="246" t="s">
        <v>81</v>
      </c>
      <c r="J747" s="246" t="s">
        <v>1490</v>
      </c>
      <c r="K747" s="246" t="s">
        <v>486</v>
      </c>
      <c r="L747" s="246" t="s">
        <v>487</v>
      </c>
      <c r="M747" s="246" t="s">
        <v>506</v>
      </c>
      <c r="N747" s="246" t="s">
        <v>506</v>
      </c>
      <c r="O747" s="246" t="s">
        <v>617</v>
      </c>
      <c r="P747" s="246" t="s">
        <v>2777</v>
      </c>
      <c r="Q747" s="247">
        <v>10026279</v>
      </c>
      <c r="R747" s="248">
        <v>43277</v>
      </c>
      <c r="S747" s="248">
        <v>43279</v>
      </c>
      <c r="T747" s="248">
        <v>43493</v>
      </c>
      <c r="U747" s="246" t="s">
        <v>488</v>
      </c>
      <c r="V747" s="246">
        <v>4</v>
      </c>
      <c r="W747" s="246" t="s">
        <v>220</v>
      </c>
      <c r="X747" s="246">
        <v>4</v>
      </c>
      <c r="Y747" s="246">
        <v>4</v>
      </c>
      <c r="Z747" s="246">
        <v>4</v>
      </c>
      <c r="AA747" s="246">
        <v>4</v>
      </c>
      <c r="AB747" s="246">
        <v>4</v>
      </c>
      <c r="AC747" s="246" t="s">
        <v>486</v>
      </c>
      <c r="AD747" s="246" t="s">
        <v>512</v>
      </c>
      <c r="AE747" s="246" t="s">
        <v>490</v>
      </c>
      <c r="AF747" s="246" t="s">
        <v>486</v>
      </c>
      <c r="AG747" s="246" t="s">
        <v>486</v>
      </c>
      <c r="AH747" s="246" t="s">
        <v>490</v>
      </c>
      <c r="AI747" s="246" t="s">
        <v>486</v>
      </c>
      <c r="AJ747" s="246" t="s">
        <v>486</v>
      </c>
      <c r="AK747" s="246" t="s">
        <v>486</v>
      </c>
      <c r="AL747" s="246" t="s">
        <v>545</v>
      </c>
      <c r="AM747" s="246" t="s">
        <v>486</v>
      </c>
      <c r="AN747" s="246" t="s">
        <v>486</v>
      </c>
      <c r="AO747" s="248" t="s">
        <v>486</v>
      </c>
      <c r="AP747" s="247" t="s">
        <v>486</v>
      </c>
      <c r="AQ747" s="249" t="s">
        <v>486</v>
      </c>
      <c r="AR747" s="246" t="s">
        <v>486</v>
      </c>
    </row>
    <row r="748" spans="1:44" ht="15" x14ac:dyDescent="0.25">
      <c r="A748" s="250" t="str">
        <f>HYPERLINK("http://www.ofsted.gov.uk/inspection-reports/find-inspection-report/provider/ELS/107460 ","Ofsted School Webpage")</f>
        <v>Ofsted School Webpage</v>
      </c>
      <c r="B748" s="251">
        <v>107460</v>
      </c>
      <c r="C748" s="251">
        <v>3806109</v>
      </c>
      <c r="D748" s="251" t="s">
        <v>2778</v>
      </c>
      <c r="E748" s="251" t="s">
        <v>247</v>
      </c>
      <c r="F748" s="251" t="s">
        <v>84</v>
      </c>
      <c r="G748" s="251" t="s">
        <v>84</v>
      </c>
      <c r="H748" s="251" t="s">
        <v>84</v>
      </c>
      <c r="I748" s="251" t="s">
        <v>84</v>
      </c>
      <c r="J748" s="251" t="s">
        <v>1490</v>
      </c>
      <c r="K748" s="251" t="s">
        <v>486</v>
      </c>
      <c r="L748" s="251" t="s">
        <v>487</v>
      </c>
      <c r="M748" s="251" t="s">
        <v>523</v>
      </c>
      <c r="N748" s="251" t="s">
        <v>524</v>
      </c>
      <c r="O748" s="251" t="s">
        <v>674</v>
      </c>
      <c r="P748" s="251" t="s">
        <v>2779</v>
      </c>
      <c r="Q748" s="252">
        <v>10046961</v>
      </c>
      <c r="R748" s="253">
        <v>43277</v>
      </c>
      <c r="S748" s="253">
        <v>43279</v>
      </c>
      <c r="T748" s="253">
        <v>43305</v>
      </c>
      <c r="U748" s="251" t="s">
        <v>488</v>
      </c>
      <c r="V748" s="251">
        <v>2</v>
      </c>
      <c r="W748" s="251" t="s">
        <v>219</v>
      </c>
      <c r="X748" s="251">
        <v>2</v>
      </c>
      <c r="Y748" s="251">
        <v>1</v>
      </c>
      <c r="Z748" s="251">
        <v>2</v>
      </c>
      <c r="AA748" s="251">
        <v>2</v>
      </c>
      <c r="AB748" s="251" t="s">
        <v>486</v>
      </c>
      <c r="AC748" s="251">
        <v>2</v>
      </c>
      <c r="AD748" s="251" t="s">
        <v>490</v>
      </c>
      <c r="AE748" s="251" t="s">
        <v>486</v>
      </c>
      <c r="AF748" s="251" t="s">
        <v>486</v>
      </c>
      <c r="AG748" s="251" t="s">
        <v>486</v>
      </c>
      <c r="AH748" s="251" t="s">
        <v>486</v>
      </c>
      <c r="AI748" s="251" t="s">
        <v>486</v>
      </c>
      <c r="AJ748" s="251" t="s">
        <v>486</v>
      </c>
      <c r="AK748" s="251" t="s">
        <v>486</v>
      </c>
      <c r="AL748" s="251" t="s">
        <v>491</v>
      </c>
      <c r="AM748" s="251" t="s">
        <v>486</v>
      </c>
      <c r="AN748" s="251" t="s">
        <v>486</v>
      </c>
      <c r="AO748" s="253" t="s">
        <v>486</v>
      </c>
      <c r="AP748" s="252" t="s">
        <v>486</v>
      </c>
      <c r="AQ748" s="254" t="s">
        <v>486</v>
      </c>
      <c r="AR748" s="251" t="s">
        <v>486</v>
      </c>
    </row>
    <row r="749" spans="1:44" ht="15" x14ac:dyDescent="0.25">
      <c r="A749" s="245" t="str">
        <f>HYPERLINK("http://www.ofsted.gov.uk/inspection-reports/find-inspection-report/provider/ELS/113571 ","Ofsted School Webpage")</f>
        <v>Ofsted School Webpage</v>
      </c>
      <c r="B749" s="246">
        <v>113571</v>
      </c>
      <c r="C749" s="246">
        <v>8786007</v>
      </c>
      <c r="D749" s="246" t="s">
        <v>2780</v>
      </c>
      <c r="E749" s="246" t="s">
        <v>248</v>
      </c>
      <c r="F749" s="246" t="s">
        <v>93</v>
      </c>
      <c r="G749" s="246" t="s">
        <v>93</v>
      </c>
      <c r="H749" s="246" t="s">
        <v>93</v>
      </c>
      <c r="I749" s="246" t="s">
        <v>90</v>
      </c>
      <c r="J749" s="246" t="s">
        <v>1490</v>
      </c>
      <c r="K749" s="246" t="s">
        <v>486</v>
      </c>
      <c r="L749" s="246" t="s">
        <v>487</v>
      </c>
      <c r="M749" s="246" t="s">
        <v>483</v>
      </c>
      <c r="N749" s="246" t="s">
        <v>483</v>
      </c>
      <c r="O749" s="246" t="s">
        <v>747</v>
      </c>
      <c r="P749" s="246" t="s">
        <v>2781</v>
      </c>
      <c r="Q749" s="247">
        <v>10047178</v>
      </c>
      <c r="R749" s="248">
        <v>43277</v>
      </c>
      <c r="S749" s="248">
        <v>43279</v>
      </c>
      <c r="T749" s="248">
        <v>43347</v>
      </c>
      <c r="U749" s="246" t="s">
        <v>488</v>
      </c>
      <c r="V749" s="246">
        <v>1</v>
      </c>
      <c r="W749" s="246" t="s">
        <v>219</v>
      </c>
      <c r="X749" s="246">
        <v>1</v>
      </c>
      <c r="Y749" s="246">
        <v>1</v>
      </c>
      <c r="Z749" s="246">
        <v>1</v>
      </c>
      <c r="AA749" s="246">
        <v>1</v>
      </c>
      <c r="AB749" s="246">
        <v>1</v>
      </c>
      <c r="AC749" s="246" t="s">
        <v>486</v>
      </c>
      <c r="AD749" s="246" t="s">
        <v>490</v>
      </c>
      <c r="AE749" s="246" t="s">
        <v>486</v>
      </c>
      <c r="AF749" s="246" t="s">
        <v>486</v>
      </c>
      <c r="AG749" s="246" t="s">
        <v>486</v>
      </c>
      <c r="AH749" s="246" t="s">
        <v>486</v>
      </c>
      <c r="AI749" s="246" t="s">
        <v>486</v>
      </c>
      <c r="AJ749" s="246" t="s">
        <v>486</v>
      </c>
      <c r="AK749" s="246" t="s">
        <v>486</v>
      </c>
      <c r="AL749" s="246" t="s">
        <v>491</v>
      </c>
      <c r="AM749" s="246" t="s">
        <v>486</v>
      </c>
      <c r="AN749" s="246" t="s">
        <v>486</v>
      </c>
      <c r="AO749" s="248" t="s">
        <v>486</v>
      </c>
      <c r="AP749" s="247" t="s">
        <v>486</v>
      </c>
      <c r="AQ749" s="249" t="s">
        <v>486</v>
      </c>
      <c r="AR749" s="246" t="s">
        <v>486</v>
      </c>
    </row>
    <row r="750" spans="1:44" ht="15" x14ac:dyDescent="0.25">
      <c r="A750" s="250" t="str">
        <f>HYPERLINK("http://www.ofsted.gov.uk/inspection-reports/find-inspection-report/provider/ELS/118977 ","Ofsted School Webpage")</f>
        <v>Ofsted School Webpage</v>
      </c>
      <c r="B750" s="251">
        <v>118977</v>
      </c>
      <c r="C750" s="251">
        <v>8866035</v>
      </c>
      <c r="D750" s="251" t="s">
        <v>2782</v>
      </c>
      <c r="E750" s="251" t="s">
        <v>247</v>
      </c>
      <c r="F750" s="251" t="s">
        <v>93</v>
      </c>
      <c r="G750" s="251" t="s">
        <v>71</v>
      </c>
      <c r="H750" s="251" t="s">
        <v>71</v>
      </c>
      <c r="I750" s="251" t="s">
        <v>71</v>
      </c>
      <c r="J750" s="251" t="s">
        <v>1490</v>
      </c>
      <c r="K750" s="251" t="s">
        <v>486</v>
      </c>
      <c r="L750" s="251" t="s">
        <v>487</v>
      </c>
      <c r="M750" s="251" t="s">
        <v>581</v>
      </c>
      <c r="N750" s="251" t="s">
        <v>581</v>
      </c>
      <c r="O750" s="251" t="s">
        <v>694</v>
      </c>
      <c r="P750" s="251" t="s">
        <v>2783</v>
      </c>
      <c r="Q750" s="252">
        <v>10033945</v>
      </c>
      <c r="R750" s="253">
        <v>43277</v>
      </c>
      <c r="S750" s="253">
        <v>43279</v>
      </c>
      <c r="T750" s="253">
        <v>43353</v>
      </c>
      <c r="U750" s="251" t="s">
        <v>488</v>
      </c>
      <c r="V750" s="251">
        <v>4</v>
      </c>
      <c r="W750" s="251" t="s">
        <v>220</v>
      </c>
      <c r="X750" s="251">
        <v>4</v>
      </c>
      <c r="Y750" s="251">
        <v>2</v>
      </c>
      <c r="Z750" s="251">
        <v>2</v>
      </c>
      <c r="AA750" s="251">
        <v>2</v>
      </c>
      <c r="AB750" s="251">
        <v>4</v>
      </c>
      <c r="AC750" s="251" t="s">
        <v>486</v>
      </c>
      <c r="AD750" s="251" t="s">
        <v>490</v>
      </c>
      <c r="AE750" s="251" t="s">
        <v>486</v>
      </c>
      <c r="AF750" s="251" t="s">
        <v>486</v>
      </c>
      <c r="AG750" s="251" t="s">
        <v>486</v>
      </c>
      <c r="AH750" s="251" t="s">
        <v>486</v>
      </c>
      <c r="AI750" s="251" t="s">
        <v>486</v>
      </c>
      <c r="AJ750" s="251" t="s">
        <v>486</v>
      </c>
      <c r="AK750" s="251" t="s">
        <v>486</v>
      </c>
      <c r="AL750" s="251" t="s">
        <v>545</v>
      </c>
      <c r="AM750" s="251" t="s">
        <v>486</v>
      </c>
      <c r="AN750" s="251" t="s">
        <v>486</v>
      </c>
      <c r="AO750" s="253" t="s">
        <v>486</v>
      </c>
      <c r="AP750" s="252" t="s">
        <v>486</v>
      </c>
      <c r="AQ750" s="254" t="s">
        <v>486</v>
      </c>
      <c r="AR750" s="251" t="s">
        <v>486</v>
      </c>
    </row>
    <row r="751" spans="1:44" ht="15" x14ac:dyDescent="0.25">
      <c r="A751" s="245" t="str">
        <f>HYPERLINK("http://www.ofsted.gov.uk/inspection-reports/find-inspection-report/provider/ELS/126132 ","Ofsted School Webpage")</f>
        <v>Ofsted School Webpage</v>
      </c>
      <c r="B751" s="246">
        <v>126132</v>
      </c>
      <c r="C751" s="246">
        <v>9386188</v>
      </c>
      <c r="D751" s="246" t="s">
        <v>2784</v>
      </c>
      <c r="E751" s="246" t="s">
        <v>247</v>
      </c>
      <c r="F751" s="246" t="s">
        <v>70</v>
      </c>
      <c r="G751" s="246" t="s">
        <v>74</v>
      </c>
      <c r="H751" s="246" t="s">
        <v>70</v>
      </c>
      <c r="I751" s="246" t="s">
        <v>71</v>
      </c>
      <c r="J751" s="246" t="s">
        <v>1490</v>
      </c>
      <c r="K751" s="246" t="s">
        <v>486</v>
      </c>
      <c r="L751" s="246" t="s">
        <v>487</v>
      </c>
      <c r="M751" s="246" t="s">
        <v>581</v>
      </c>
      <c r="N751" s="246" t="s">
        <v>581</v>
      </c>
      <c r="O751" s="246" t="s">
        <v>829</v>
      </c>
      <c r="P751" s="246" t="s">
        <v>2785</v>
      </c>
      <c r="Q751" s="247">
        <v>10033960</v>
      </c>
      <c r="R751" s="248">
        <v>43277</v>
      </c>
      <c r="S751" s="248">
        <v>43279</v>
      </c>
      <c r="T751" s="248">
        <v>43357</v>
      </c>
      <c r="U751" s="246" t="s">
        <v>488</v>
      </c>
      <c r="V751" s="246">
        <v>2</v>
      </c>
      <c r="W751" s="246" t="s">
        <v>219</v>
      </c>
      <c r="X751" s="246">
        <v>2</v>
      </c>
      <c r="Y751" s="246">
        <v>1</v>
      </c>
      <c r="Z751" s="246">
        <v>2</v>
      </c>
      <c r="AA751" s="246">
        <v>2</v>
      </c>
      <c r="AB751" s="246" t="s">
        <v>486</v>
      </c>
      <c r="AC751" s="246" t="s">
        <v>486</v>
      </c>
      <c r="AD751" s="246" t="s">
        <v>490</v>
      </c>
      <c r="AE751" s="246" t="s">
        <v>486</v>
      </c>
      <c r="AF751" s="246" t="s">
        <v>486</v>
      </c>
      <c r="AG751" s="246" t="s">
        <v>486</v>
      </c>
      <c r="AH751" s="246" t="s">
        <v>486</v>
      </c>
      <c r="AI751" s="246" t="s">
        <v>486</v>
      </c>
      <c r="AJ751" s="246" t="s">
        <v>486</v>
      </c>
      <c r="AK751" s="246" t="s">
        <v>486</v>
      </c>
      <c r="AL751" s="246" t="s">
        <v>491</v>
      </c>
      <c r="AM751" s="246" t="s">
        <v>486</v>
      </c>
      <c r="AN751" s="246" t="s">
        <v>486</v>
      </c>
      <c r="AO751" s="248" t="s">
        <v>486</v>
      </c>
      <c r="AP751" s="247" t="s">
        <v>486</v>
      </c>
      <c r="AQ751" s="249" t="s">
        <v>486</v>
      </c>
      <c r="AR751" s="246" t="s">
        <v>486</v>
      </c>
    </row>
    <row r="752" spans="1:44" ht="15" x14ac:dyDescent="0.25">
      <c r="A752" s="250" t="str">
        <f>HYPERLINK("http://www.ofsted.gov.uk/inspection-reports/find-inspection-report/provider/ELS/126523 ","Ofsted School Webpage")</f>
        <v>Ofsted School Webpage</v>
      </c>
      <c r="B752" s="251">
        <v>126523</v>
      </c>
      <c r="C752" s="251">
        <v>8656005</v>
      </c>
      <c r="D752" s="251" t="s">
        <v>2786</v>
      </c>
      <c r="E752" s="251" t="s">
        <v>247</v>
      </c>
      <c r="F752" s="251" t="s">
        <v>93</v>
      </c>
      <c r="G752" s="251" t="s">
        <v>71</v>
      </c>
      <c r="H752" s="251" t="s">
        <v>71</v>
      </c>
      <c r="I752" s="251" t="s">
        <v>71</v>
      </c>
      <c r="J752" s="251" t="s">
        <v>1490</v>
      </c>
      <c r="K752" s="251" t="s">
        <v>486</v>
      </c>
      <c r="L752" s="251" t="s">
        <v>487</v>
      </c>
      <c r="M752" s="251" t="s">
        <v>483</v>
      </c>
      <c r="N752" s="251" t="s">
        <v>483</v>
      </c>
      <c r="O752" s="251" t="s">
        <v>791</v>
      </c>
      <c r="P752" s="251" t="s">
        <v>2787</v>
      </c>
      <c r="Q752" s="252">
        <v>10047181</v>
      </c>
      <c r="R752" s="253">
        <v>43277</v>
      </c>
      <c r="S752" s="253">
        <v>43279</v>
      </c>
      <c r="T752" s="253">
        <v>43300</v>
      </c>
      <c r="U752" s="251" t="s">
        <v>488</v>
      </c>
      <c r="V752" s="251">
        <v>2</v>
      </c>
      <c r="W752" s="251" t="s">
        <v>219</v>
      </c>
      <c r="X752" s="251">
        <v>2</v>
      </c>
      <c r="Y752" s="251">
        <v>1</v>
      </c>
      <c r="Z752" s="251">
        <v>2</v>
      </c>
      <c r="AA752" s="251">
        <v>2</v>
      </c>
      <c r="AB752" s="251">
        <v>2</v>
      </c>
      <c r="AC752" s="251" t="s">
        <v>486</v>
      </c>
      <c r="AD752" s="251" t="s">
        <v>490</v>
      </c>
      <c r="AE752" s="251" t="s">
        <v>486</v>
      </c>
      <c r="AF752" s="251" t="s">
        <v>486</v>
      </c>
      <c r="AG752" s="251" t="s">
        <v>486</v>
      </c>
      <c r="AH752" s="251" t="s">
        <v>486</v>
      </c>
      <c r="AI752" s="251" t="s">
        <v>486</v>
      </c>
      <c r="AJ752" s="251" t="s">
        <v>486</v>
      </c>
      <c r="AK752" s="251" t="s">
        <v>486</v>
      </c>
      <c r="AL752" s="251" t="s">
        <v>491</v>
      </c>
      <c r="AM752" s="251" t="s">
        <v>486</v>
      </c>
      <c r="AN752" s="251" t="s">
        <v>486</v>
      </c>
      <c r="AO752" s="253" t="s">
        <v>486</v>
      </c>
      <c r="AP752" s="252" t="s">
        <v>486</v>
      </c>
      <c r="AQ752" s="254" t="s">
        <v>486</v>
      </c>
      <c r="AR752" s="251" t="s">
        <v>486</v>
      </c>
    </row>
    <row r="753" spans="1:44" ht="15" x14ac:dyDescent="0.25">
      <c r="A753" s="245" t="str">
        <f>HYPERLINK("http://www.ofsted.gov.uk/inspection-reports/find-inspection-report/provider/ELS/134084 ","Ofsted School Webpage")</f>
        <v>Ofsted School Webpage</v>
      </c>
      <c r="B753" s="246">
        <v>134084</v>
      </c>
      <c r="C753" s="246">
        <v>3096087</v>
      </c>
      <c r="D753" s="246" t="s">
        <v>2103</v>
      </c>
      <c r="E753" s="246" t="s">
        <v>247</v>
      </c>
      <c r="F753" s="246" t="s">
        <v>93</v>
      </c>
      <c r="G753" s="246" t="s">
        <v>84</v>
      </c>
      <c r="H753" s="246" t="s">
        <v>84</v>
      </c>
      <c r="I753" s="246" t="s">
        <v>84</v>
      </c>
      <c r="J753" s="246" t="s">
        <v>1490</v>
      </c>
      <c r="K753" s="246" t="s">
        <v>486</v>
      </c>
      <c r="L753" s="246" t="s">
        <v>487</v>
      </c>
      <c r="M753" s="246" t="s">
        <v>506</v>
      </c>
      <c r="N753" s="246" t="s">
        <v>506</v>
      </c>
      <c r="O753" s="246" t="s">
        <v>595</v>
      </c>
      <c r="P753" s="246" t="s">
        <v>2788</v>
      </c>
      <c r="Q753" s="247">
        <v>10035797</v>
      </c>
      <c r="R753" s="248">
        <v>43277</v>
      </c>
      <c r="S753" s="248">
        <v>43279</v>
      </c>
      <c r="T753" s="248">
        <v>43369</v>
      </c>
      <c r="U753" s="246" t="s">
        <v>488</v>
      </c>
      <c r="V753" s="246">
        <v>2</v>
      </c>
      <c r="W753" s="246" t="s">
        <v>219</v>
      </c>
      <c r="X753" s="246">
        <v>2</v>
      </c>
      <c r="Y753" s="246">
        <v>2</v>
      </c>
      <c r="Z753" s="246">
        <v>2</v>
      </c>
      <c r="AA753" s="246">
        <v>2</v>
      </c>
      <c r="AB753" s="246">
        <v>2</v>
      </c>
      <c r="AC753" s="246" t="s">
        <v>486</v>
      </c>
      <c r="AD753" s="246" t="s">
        <v>512</v>
      </c>
      <c r="AE753" s="246" t="s">
        <v>486</v>
      </c>
      <c r="AF753" s="246" t="s">
        <v>486</v>
      </c>
      <c r="AG753" s="246" t="s">
        <v>486</v>
      </c>
      <c r="AH753" s="246" t="s">
        <v>490</v>
      </c>
      <c r="AI753" s="246" t="s">
        <v>486</v>
      </c>
      <c r="AJ753" s="246" t="s">
        <v>486</v>
      </c>
      <c r="AK753" s="246" t="s">
        <v>486</v>
      </c>
      <c r="AL753" s="246" t="s">
        <v>491</v>
      </c>
      <c r="AM753" s="246" t="s">
        <v>486</v>
      </c>
      <c r="AN753" s="246" t="s">
        <v>486</v>
      </c>
      <c r="AO753" s="248" t="s">
        <v>486</v>
      </c>
      <c r="AP753" s="247" t="s">
        <v>486</v>
      </c>
      <c r="AQ753" s="249" t="s">
        <v>486</v>
      </c>
      <c r="AR753" s="246" t="s">
        <v>486</v>
      </c>
    </row>
    <row r="754" spans="1:44" ht="15" x14ac:dyDescent="0.25">
      <c r="A754" s="250" t="str">
        <f>HYPERLINK("http://www.ofsted.gov.uk/inspection-reports/find-inspection-report/provider/ELS/134634 ","Ofsted School Webpage")</f>
        <v>Ofsted School Webpage</v>
      </c>
      <c r="B754" s="251">
        <v>134634</v>
      </c>
      <c r="C754" s="251">
        <v>8456054</v>
      </c>
      <c r="D754" s="251" t="s">
        <v>2789</v>
      </c>
      <c r="E754" s="251" t="s">
        <v>248</v>
      </c>
      <c r="F754" s="251" t="s">
        <v>93</v>
      </c>
      <c r="G754" s="251" t="s">
        <v>93</v>
      </c>
      <c r="H754" s="251" t="s">
        <v>93</v>
      </c>
      <c r="I754" s="251" t="s">
        <v>90</v>
      </c>
      <c r="J754" s="251" t="s">
        <v>1490</v>
      </c>
      <c r="K754" s="251" t="s">
        <v>486</v>
      </c>
      <c r="L754" s="251" t="s">
        <v>487</v>
      </c>
      <c r="M754" s="251" t="s">
        <v>581</v>
      </c>
      <c r="N754" s="251" t="s">
        <v>581</v>
      </c>
      <c r="O754" s="251" t="s">
        <v>761</v>
      </c>
      <c r="P754" s="251" t="s">
        <v>2790</v>
      </c>
      <c r="Q754" s="252">
        <v>10047020</v>
      </c>
      <c r="R754" s="253">
        <v>43277</v>
      </c>
      <c r="S754" s="253">
        <v>43279</v>
      </c>
      <c r="T754" s="253">
        <v>43299</v>
      </c>
      <c r="U754" s="251" t="s">
        <v>488</v>
      </c>
      <c r="V754" s="251">
        <v>2</v>
      </c>
      <c r="W754" s="251" t="s">
        <v>219</v>
      </c>
      <c r="X754" s="251">
        <v>2</v>
      </c>
      <c r="Y754" s="251">
        <v>1</v>
      </c>
      <c r="Z754" s="251">
        <v>1</v>
      </c>
      <c r="AA754" s="251">
        <v>1</v>
      </c>
      <c r="AB754" s="251" t="s">
        <v>486</v>
      </c>
      <c r="AC754" s="251" t="s">
        <v>486</v>
      </c>
      <c r="AD754" s="251" t="s">
        <v>490</v>
      </c>
      <c r="AE754" s="251" t="s">
        <v>486</v>
      </c>
      <c r="AF754" s="251" t="s">
        <v>486</v>
      </c>
      <c r="AG754" s="251" t="s">
        <v>486</v>
      </c>
      <c r="AH754" s="251" t="s">
        <v>486</v>
      </c>
      <c r="AI754" s="251" t="s">
        <v>486</v>
      </c>
      <c r="AJ754" s="251" t="s">
        <v>486</v>
      </c>
      <c r="AK754" s="251" t="s">
        <v>486</v>
      </c>
      <c r="AL754" s="251" t="s">
        <v>491</v>
      </c>
      <c r="AM754" s="251" t="s">
        <v>486</v>
      </c>
      <c r="AN754" s="251" t="s">
        <v>486</v>
      </c>
      <c r="AO754" s="253" t="s">
        <v>486</v>
      </c>
      <c r="AP754" s="252" t="s">
        <v>486</v>
      </c>
      <c r="AQ754" s="254" t="s">
        <v>486</v>
      </c>
      <c r="AR754" s="251" t="s">
        <v>486</v>
      </c>
    </row>
    <row r="755" spans="1:44" ht="15" x14ac:dyDescent="0.25">
      <c r="A755" s="245" t="str">
        <f>HYPERLINK("http://www.ofsted.gov.uk/inspection-reports/find-inspection-report/provider/ELS/135001 ","Ofsted School Webpage")</f>
        <v>Ofsted School Webpage</v>
      </c>
      <c r="B755" s="246">
        <v>135001</v>
      </c>
      <c r="C755" s="246">
        <v>3926011</v>
      </c>
      <c r="D755" s="246" t="s">
        <v>2791</v>
      </c>
      <c r="E755" s="246" t="s">
        <v>248</v>
      </c>
      <c r="F755" s="246" t="s">
        <v>93</v>
      </c>
      <c r="G755" s="246" t="s">
        <v>93</v>
      </c>
      <c r="H755" s="246" t="s">
        <v>93</v>
      </c>
      <c r="I755" s="246" t="s">
        <v>90</v>
      </c>
      <c r="J755" s="246" t="s">
        <v>1490</v>
      </c>
      <c r="K755" s="246" t="s">
        <v>486</v>
      </c>
      <c r="L755" s="246" t="s">
        <v>487</v>
      </c>
      <c r="M755" s="246" t="s">
        <v>523</v>
      </c>
      <c r="N755" s="246" t="s">
        <v>539</v>
      </c>
      <c r="O755" s="246" t="s">
        <v>635</v>
      </c>
      <c r="P755" s="246" t="s">
        <v>2792</v>
      </c>
      <c r="Q755" s="247">
        <v>10046964</v>
      </c>
      <c r="R755" s="248">
        <v>43277</v>
      </c>
      <c r="S755" s="248">
        <v>43279</v>
      </c>
      <c r="T755" s="248">
        <v>43304</v>
      </c>
      <c r="U755" s="246" t="s">
        <v>488</v>
      </c>
      <c r="V755" s="246">
        <v>3</v>
      </c>
      <c r="W755" s="246" t="s">
        <v>219</v>
      </c>
      <c r="X755" s="246">
        <v>3</v>
      </c>
      <c r="Y755" s="246">
        <v>3</v>
      </c>
      <c r="Z755" s="246">
        <v>2</v>
      </c>
      <c r="AA755" s="246">
        <v>2</v>
      </c>
      <c r="AB755" s="246" t="s">
        <v>486</v>
      </c>
      <c r="AC755" s="246" t="s">
        <v>486</v>
      </c>
      <c r="AD755" s="246" t="s">
        <v>490</v>
      </c>
      <c r="AE755" s="246" t="s">
        <v>486</v>
      </c>
      <c r="AF755" s="246" t="s">
        <v>486</v>
      </c>
      <c r="AG755" s="246" t="s">
        <v>486</v>
      </c>
      <c r="AH755" s="246" t="s">
        <v>486</v>
      </c>
      <c r="AI755" s="246" t="s">
        <v>486</v>
      </c>
      <c r="AJ755" s="246" t="s">
        <v>486</v>
      </c>
      <c r="AK755" s="246" t="s">
        <v>486</v>
      </c>
      <c r="AL755" s="246" t="s">
        <v>545</v>
      </c>
      <c r="AM755" s="246" t="s">
        <v>486</v>
      </c>
      <c r="AN755" s="246" t="s">
        <v>486</v>
      </c>
      <c r="AO755" s="248" t="s">
        <v>486</v>
      </c>
      <c r="AP755" s="247" t="s">
        <v>486</v>
      </c>
      <c r="AQ755" s="249" t="s">
        <v>486</v>
      </c>
      <c r="AR755" s="246" t="s">
        <v>486</v>
      </c>
    </row>
    <row r="756" spans="1:44" ht="15" x14ac:dyDescent="0.25">
      <c r="A756" s="250" t="str">
        <f>HYPERLINK("http://www.ofsted.gov.uk/inspection-reports/find-inspection-report/provider/ELS/135407 ","Ofsted School Webpage")</f>
        <v>Ofsted School Webpage</v>
      </c>
      <c r="B756" s="251">
        <v>135407</v>
      </c>
      <c r="C756" s="251">
        <v>9366590</v>
      </c>
      <c r="D756" s="251" t="s">
        <v>2793</v>
      </c>
      <c r="E756" s="251" t="s">
        <v>248</v>
      </c>
      <c r="F756" s="251" t="s">
        <v>93</v>
      </c>
      <c r="G756" s="251" t="s">
        <v>93</v>
      </c>
      <c r="H756" s="251" t="s">
        <v>93</v>
      </c>
      <c r="I756" s="251" t="s">
        <v>90</v>
      </c>
      <c r="J756" s="251" t="s">
        <v>1490</v>
      </c>
      <c r="K756" s="251" t="s">
        <v>486</v>
      </c>
      <c r="L756" s="251" t="s">
        <v>487</v>
      </c>
      <c r="M756" s="251" t="s">
        <v>581</v>
      </c>
      <c r="N756" s="251" t="s">
        <v>581</v>
      </c>
      <c r="O756" s="251" t="s">
        <v>788</v>
      </c>
      <c r="P756" s="251" t="s">
        <v>2794</v>
      </c>
      <c r="Q756" s="252">
        <v>10047021</v>
      </c>
      <c r="R756" s="253">
        <v>43277</v>
      </c>
      <c r="S756" s="253">
        <v>43279</v>
      </c>
      <c r="T756" s="253">
        <v>43353</v>
      </c>
      <c r="U756" s="251" t="s">
        <v>488</v>
      </c>
      <c r="V756" s="251">
        <v>1</v>
      </c>
      <c r="W756" s="251" t="s">
        <v>219</v>
      </c>
      <c r="X756" s="251">
        <v>1</v>
      </c>
      <c r="Y756" s="251">
        <v>1</v>
      </c>
      <c r="Z756" s="251">
        <v>1</v>
      </c>
      <c r="AA756" s="251">
        <v>1</v>
      </c>
      <c r="AB756" s="251" t="s">
        <v>486</v>
      </c>
      <c r="AC756" s="251" t="s">
        <v>486</v>
      </c>
      <c r="AD756" s="251" t="s">
        <v>490</v>
      </c>
      <c r="AE756" s="251" t="s">
        <v>486</v>
      </c>
      <c r="AF756" s="251" t="s">
        <v>486</v>
      </c>
      <c r="AG756" s="251" t="s">
        <v>486</v>
      </c>
      <c r="AH756" s="251" t="s">
        <v>486</v>
      </c>
      <c r="AI756" s="251" t="s">
        <v>486</v>
      </c>
      <c r="AJ756" s="251" t="s">
        <v>486</v>
      </c>
      <c r="AK756" s="251" t="s">
        <v>486</v>
      </c>
      <c r="AL756" s="251" t="s">
        <v>491</v>
      </c>
      <c r="AM756" s="251" t="s">
        <v>486</v>
      </c>
      <c r="AN756" s="251" t="s">
        <v>486</v>
      </c>
      <c r="AO756" s="253" t="s">
        <v>486</v>
      </c>
      <c r="AP756" s="252" t="s">
        <v>486</v>
      </c>
      <c r="AQ756" s="254" t="s">
        <v>486</v>
      </c>
      <c r="AR756" s="251" t="s">
        <v>486</v>
      </c>
    </row>
    <row r="757" spans="1:44" ht="15" x14ac:dyDescent="0.25">
      <c r="A757" s="245" t="str">
        <f>HYPERLINK("http://www.ofsted.gov.uk/inspection-reports/find-inspection-report/provider/ELS/135445 ","Ofsted School Webpage")</f>
        <v>Ofsted School Webpage</v>
      </c>
      <c r="B757" s="246">
        <v>135445</v>
      </c>
      <c r="C757" s="246">
        <v>8936106</v>
      </c>
      <c r="D757" s="246" t="s">
        <v>2795</v>
      </c>
      <c r="E757" s="246" t="s">
        <v>248</v>
      </c>
      <c r="F757" s="246" t="s">
        <v>93</v>
      </c>
      <c r="G757" s="246" t="s">
        <v>93</v>
      </c>
      <c r="H757" s="246" t="s">
        <v>93</v>
      </c>
      <c r="I757" s="246" t="s">
        <v>90</v>
      </c>
      <c r="J757" s="246" t="s">
        <v>1490</v>
      </c>
      <c r="K757" s="246" t="s">
        <v>486</v>
      </c>
      <c r="L757" s="246" t="s">
        <v>487</v>
      </c>
      <c r="M757" s="246" t="s">
        <v>502</v>
      </c>
      <c r="N757" s="246" t="s">
        <v>502</v>
      </c>
      <c r="O757" s="246" t="s">
        <v>666</v>
      </c>
      <c r="P757" s="246" t="s">
        <v>2796</v>
      </c>
      <c r="Q757" s="247">
        <v>10047133</v>
      </c>
      <c r="R757" s="248">
        <v>43277</v>
      </c>
      <c r="S757" s="248">
        <v>43279</v>
      </c>
      <c r="T757" s="248">
        <v>43298</v>
      </c>
      <c r="U757" s="246" t="s">
        <v>2930</v>
      </c>
      <c r="V757" s="246">
        <v>2</v>
      </c>
      <c r="W757" s="246" t="s">
        <v>219</v>
      </c>
      <c r="X757" s="246">
        <v>2</v>
      </c>
      <c r="Y757" s="246">
        <v>1</v>
      </c>
      <c r="Z757" s="246">
        <v>2</v>
      </c>
      <c r="AA757" s="246">
        <v>2</v>
      </c>
      <c r="AB757" s="246" t="s">
        <v>486</v>
      </c>
      <c r="AC757" s="246">
        <v>2</v>
      </c>
      <c r="AD757" s="246" t="s">
        <v>490</v>
      </c>
      <c r="AE757" s="246" t="s">
        <v>486</v>
      </c>
      <c r="AF757" s="246" t="s">
        <v>486</v>
      </c>
      <c r="AG757" s="246" t="s">
        <v>486</v>
      </c>
      <c r="AH757" s="246" t="s">
        <v>486</v>
      </c>
      <c r="AI757" s="246" t="s">
        <v>486</v>
      </c>
      <c r="AJ757" s="246" t="s">
        <v>486</v>
      </c>
      <c r="AK757" s="246" t="s">
        <v>486</v>
      </c>
      <c r="AL757" s="246" t="s">
        <v>491</v>
      </c>
      <c r="AM757" s="246" t="s">
        <v>486</v>
      </c>
      <c r="AN757" s="246" t="s">
        <v>486</v>
      </c>
      <c r="AO757" s="248" t="s">
        <v>486</v>
      </c>
      <c r="AP757" s="247" t="s">
        <v>486</v>
      </c>
      <c r="AQ757" s="249" t="s">
        <v>486</v>
      </c>
      <c r="AR757" s="246" t="s">
        <v>486</v>
      </c>
    </row>
    <row r="758" spans="1:44" ht="15" x14ac:dyDescent="0.25">
      <c r="A758" s="250" t="str">
        <f>HYPERLINK("http://www.ofsted.gov.uk/inspection-reports/find-inspection-report/provider/ELS/135541 ","Ofsted School Webpage")</f>
        <v>Ofsted School Webpage</v>
      </c>
      <c r="B758" s="251">
        <v>135541</v>
      </c>
      <c r="C758" s="251">
        <v>8886104</v>
      </c>
      <c r="D758" s="251" t="s">
        <v>1284</v>
      </c>
      <c r="E758" s="251" t="s">
        <v>248</v>
      </c>
      <c r="F758" s="251" t="s">
        <v>93</v>
      </c>
      <c r="G758" s="251" t="s">
        <v>93</v>
      </c>
      <c r="H758" s="251" t="s">
        <v>93</v>
      </c>
      <c r="I758" s="251" t="s">
        <v>90</v>
      </c>
      <c r="J758" s="251" t="s">
        <v>1490</v>
      </c>
      <c r="K758" s="251" t="s">
        <v>486</v>
      </c>
      <c r="L758" s="251" t="s">
        <v>487</v>
      </c>
      <c r="M758" s="251" t="s">
        <v>495</v>
      </c>
      <c r="N758" s="251" t="s">
        <v>495</v>
      </c>
      <c r="O758" s="251" t="s">
        <v>534</v>
      </c>
      <c r="P758" s="251" t="s">
        <v>1285</v>
      </c>
      <c r="Q758" s="252">
        <v>10048594</v>
      </c>
      <c r="R758" s="253">
        <v>43277</v>
      </c>
      <c r="S758" s="253">
        <v>43279</v>
      </c>
      <c r="T758" s="253">
        <v>43304</v>
      </c>
      <c r="U758" s="251" t="s">
        <v>488</v>
      </c>
      <c r="V758" s="251">
        <v>2</v>
      </c>
      <c r="W758" s="251" t="s">
        <v>219</v>
      </c>
      <c r="X758" s="251">
        <v>1</v>
      </c>
      <c r="Y758" s="251">
        <v>2</v>
      </c>
      <c r="Z758" s="251">
        <v>2</v>
      </c>
      <c r="AA758" s="251">
        <v>2</v>
      </c>
      <c r="AB758" s="251" t="s">
        <v>486</v>
      </c>
      <c r="AC758" s="251" t="s">
        <v>486</v>
      </c>
      <c r="AD758" s="251" t="s">
        <v>490</v>
      </c>
      <c r="AE758" s="251" t="s">
        <v>486</v>
      </c>
      <c r="AF758" s="251" t="s">
        <v>486</v>
      </c>
      <c r="AG758" s="251" t="s">
        <v>486</v>
      </c>
      <c r="AH758" s="251" t="s">
        <v>486</v>
      </c>
      <c r="AI758" s="251" t="s">
        <v>486</v>
      </c>
      <c r="AJ758" s="251" t="s">
        <v>486</v>
      </c>
      <c r="AK758" s="251" t="s">
        <v>486</v>
      </c>
      <c r="AL758" s="251" t="s">
        <v>491</v>
      </c>
      <c r="AM758" s="251" t="s">
        <v>486</v>
      </c>
      <c r="AN758" s="251" t="s">
        <v>486</v>
      </c>
      <c r="AO758" s="253" t="s">
        <v>486</v>
      </c>
      <c r="AP758" s="252" t="s">
        <v>486</v>
      </c>
      <c r="AQ758" s="254" t="s">
        <v>486</v>
      </c>
      <c r="AR758" s="251" t="s">
        <v>486</v>
      </c>
    </row>
    <row r="759" spans="1:44" ht="15" x14ac:dyDescent="0.25">
      <c r="A759" s="245" t="str">
        <f>HYPERLINK("http://www.ofsted.gov.uk/inspection-reports/find-inspection-report/provider/ELS/136112 ","Ofsted School Webpage")</f>
        <v>Ofsted School Webpage</v>
      </c>
      <c r="B759" s="246">
        <v>136112</v>
      </c>
      <c r="C759" s="246">
        <v>8506075</v>
      </c>
      <c r="D759" s="246" t="s">
        <v>2797</v>
      </c>
      <c r="E759" s="246" t="s">
        <v>247</v>
      </c>
      <c r="F759" s="246" t="s">
        <v>93</v>
      </c>
      <c r="G759" s="246" t="s">
        <v>93</v>
      </c>
      <c r="H759" s="246" t="s">
        <v>93</v>
      </c>
      <c r="I759" s="246" t="s">
        <v>90</v>
      </c>
      <c r="J759" s="246" t="s">
        <v>1490</v>
      </c>
      <c r="K759" s="246" t="s">
        <v>486</v>
      </c>
      <c r="L759" s="246" t="s">
        <v>487</v>
      </c>
      <c r="M759" s="246" t="s">
        <v>581</v>
      </c>
      <c r="N759" s="246" t="s">
        <v>581</v>
      </c>
      <c r="O759" s="246" t="s">
        <v>582</v>
      </c>
      <c r="P759" s="246" t="s">
        <v>2798</v>
      </c>
      <c r="Q759" s="247">
        <v>10039164</v>
      </c>
      <c r="R759" s="248">
        <v>43277</v>
      </c>
      <c r="S759" s="248">
        <v>43279</v>
      </c>
      <c r="T759" s="248">
        <v>43299</v>
      </c>
      <c r="U759" s="246" t="s">
        <v>488</v>
      </c>
      <c r="V759" s="246">
        <v>2</v>
      </c>
      <c r="W759" s="246" t="s">
        <v>219</v>
      </c>
      <c r="X759" s="246">
        <v>2</v>
      </c>
      <c r="Y759" s="246">
        <v>1</v>
      </c>
      <c r="Z759" s="246">
        <v>2</v>
      </c>
      <c r="AA759" s="246">
        <v>2</v>
      </c>
      <c r="AB759" s="246">
        <v>2</v>
      </c>
      <c r="AC759" s="246" t="s">
        <v>486</v>
      </c>
      <c r="AD759" s="246" t="s">
        <v>490</v>
      </c>
      <c r="AE759" s="246" t="s">
        <v>486</v>
      </c>
      <c r="AF759" s="246" t="s">
        <v>486</v>
      </c>
      <c r="AG759" s="246" t="s">
        <v>486</v>
      </c>
      <c r="AH759" s="246" t="s">
        <v>486</v>
      </c>
      <c r="AI759" s="246" t="s">
        <v>486</v>
      </c>
      <c r="AJ759" s="246" t="s">
        <v>486</v>
      </c>
      <c r="AK759" s="246" t="s">
        <v>486</v>
      </c>
      <c r="AL759" s="246" t="s">
        <v>491</v>
      </c>
      <c r="AM759" s="246" t="s">
        <v>486</v>
      </c>
      <c r="AN759" s="246" t="s">
        <v>486</v>
      </c>
      <c r="AO759" s="248" t="s">
        <v>486</v>
      </c>
      <c r="AP759" s="247" t="s">
        <v>486</v>
      </c>
      <c r="AQ759" s="249" t="s">
        <v>486</v>
      </c>
      <c r="AR759" s="246" t="s">
        <v>486</v>
      </c>
    </row>
    <row r="760" spans="1:44" ht="15" x14ac:dyDescent="0.25">
      <c r="A760" s="250" t="str">
        <f>HYPERLINK("http://www.ofsted.gov.uk/inspection-reports/find-inspection-report/provider/ELS/140496 ","Ofsted School Webpage")</f>
        <v>Ofsted School Webpage</v>
      </c>
      <c r="B760" s="251">
        <v>140496</v>
      </c>
      <c r="C760" s="251">
        <v>3156006</v>
      </c>
      <c r="D760" s="251" t="s">
        <v>1359</v>
      </c>
      <c r="E760" s="251" t="s">
        <v>247</v>
      </c>
      <c r="F760" s="251" t="s">
        <v>93</v>
      </c>
      <c r="G760" s="251" t="s">
        <v>93</v>
      </c>
      <c r="H760" s="251" t="s">
        <v>93</v>
      </c>
      <c r="I760" s="251" t="s">
        <v>90</v>
      </c>
      <c r="J760" s="251" t="s">
        <v>1490</v>
      </c>
      <c r="K760" s="251" t="s">
        <v>486</v>
      </c>
      <c r="L760" s="251" t="s">
        <v>487</v>
      </c>
      <c r="M760" s="251" t="s">
        <v>506</v>
      </c>
      <c r="N760" s="251" t="s">
        <v>506</v>
      </c>
      <c r="O760" s="251" t="s">
        <v>1360</v>
      </c>
      <c r="P760" s="251" t="s">
        <v>1361</v>
      </c>
      <c r="Q760" s="252">
        <v>10038179</v>
      </c>
      <c r="R760" s="253">
        <v>43277</v>
      </c>
      <c r="S760" s="253">
        <v>43279</v>
      </c>
      <c r="T760" s="253">
        <v>43411</v>
      </c>
      <c r="U760" s="251" t="s">
        <v>488</v>
      </c>
      <c r="V760" s="251">
        <v>4</v>
      </c>
      <c r="W760" s="251" t="s">
        <v>220</v>
      </c>
      <c r="X760" s="251">
        <v>4</v>
      </c>
      <c r="Y760" s="251">
        <v>4</v>
      </c>
      <c r="Z760" s="251">
        <v>3</v>
      </c>
      <c r="AA760" s="251">
        <v>3</v>
      </c>
      <c r="AB760" s="251" t="s">
        <v>486</v>
      </c>
      <c r="AC760" s="251" t="s">
        <v>486</v>
      </c>
      <c r="AD760" s="251" t="s">
        <v>490</v>
      </c>
      <c r="AE760" s="251" t="s">
        <v>486</v>
      </c>
      <c r="AF760" s="251" t="s">
        <v>486</v>
      </c>
      <c r="AG760" s="251" t="s">
        <v>486</v>
      </c>
      <c r="AH760" s="251" t="s">
        <v>486</v>
      </c>
      <c r="AI760" s="251" t="s">
        <v>486</v>
      </c>
      <c r="AJ760" s="251" t="s">
        <v>486</v>
      </c>
      <c r="AK760" s="251" t="s">
        <v>486</v>
      </c>
      <c r="AL760" s="251" t="s">
        <v>545</v>
      </c>
      <c r="AM760" s="251">
        <v>10094752</v>
      </c>
      <c r="AN760" s="251" t="s">
        <v>1109</v>
      </c>
      <c r="AO760" s="253">
        <v>43508</v>
      </c>
      <c r="AP760" s="252" t="s">
        <v>1523</v>
      </c>
      <c r="AQ760" s="254">
        <v>43534</v>
      </c>
      <c r="AR760" s="251" t="s">
        <v>1110</v>
      </c>
    </row>
    <row r="761" spans="1:44" ht="15" x14ac:dyDescent="0.25">
      <c r="A761" s="245" t="str">
        <f>HYPERLINK("http://www.ofsted.gov.uk/inspection-reports/find-inspection-report/provider/ELS/141242 ","Ofsted School Webpage")</f>
        <v>Ofsted School Webpage</v>
      </c>
      <c r="B761" s="246">
        <v>141242</v>
      </c>
      <c r="C761" s="246">
        <v>3306017</v>
      </c>
      <c r="D761" s="246" t="s">
        <v>2799</v>
      </c>
      <c r="E761" s="246" t="s">
        <v>247</v>
      </c>
      <c r="F761" s="246" t="s">
        <v>93</v>
      </c>
      <c r="G761" s="246" t="s">
        <v>93</v>
      </c>
      <c r="H761" s="246" t="s">
        <v>93</v>
      </c>
      <c r="I761" s="246" t="s">
        <v>90</v>
      </c>
      <c r="J761" s="246" t="s">
        <v>1490</v>
      </c>
      <c r="K761" s="246" t="s">
        <v>486</v>
      </c>
      <c r="L761" s="246" t="s">
        <v>487</v>
      </c>
      <c r="M761" s="246" t="s">
        <v>502</v>
      </c>
      <c r="N761" s="246" t="s">
        <v>502</v>
      </c>
      <c r="O761" s="246" t="s">
        <v>909</v>
      </c>
      <c r="P761" s="246" t="s">
        <v>2800</v>
      </c>
      <c r="Q761" s="247">
        <v>10047138</v>
      </c>
      <c r="R761" s="248">
        <v>43277</v>
      </c>
      <c r="S761" s="248">
        <v>43279</v>
      </c>
      <c r="T761" s="248">
        <v>43335</v>
      </c>
      <c r="U761" s="246" t="s">
        <v>488</v>
      </c>
      <c r="V761" s="246">
        <v>2</v>
      </c>
      <c r="W761" s="246" t="s">
        <v>219</v>
      </c>
      <c r="X761" s="246">
        <v>2</v>
      </c>
      <c r="Y761" s="246">
        <v>2</v>
      </c>
      <c r="Z761" s="246">
        <v>2</v>
      </c>
      <c r="AA761" s="246">
        <v>2</v>
      </c>
      <c r="AB761" s="246" t="s">
        <v>486</v>
      </c>
      <c r="AC761" s="246" t="s">
        <v>486</v>
      </c>
      <c r="AD761" s="246" t="s">
        <v>490</v>
      </c>
      <c r="AE761" s="246" t="s">
        <v>486</v>
      </c>
      <c r="AF761" s="246" t="s">
        <v>486</v>
      </c>
      <c r="AG761" s="246" t="s">
        <v>486</v>
      </c>
      <c r="AH761" s="246" t="s">
        <v>486</v>
      </c>
      <c r="AI761" s="246" t="s">
        <v>486</v>
      </c>
      <c r="AJ761" s="246" t="s">
        <v>486</v>
      </c>
      <c r="AK761" s="246" t="s">
        <v>486</v>
      </c>
      <c r="AL761" s="246" t="s">
        <v>491</v>
      </c>
      <c r="AM761" s="246" t="s">
        <v>486</v>
      </c>
      <c r="AN761" s="246" t="s">
        <v>486</v>
      </c>
      <c r="AO761" s="248" t="s">
        <v>486</v>
      </c>
      <c r="AP761" s="247" t="s">
        <v>486</v>
      </c>
      <c r="AQ761" s="249" t="s">
        <v>486</v>
      </c>
      <c r="AR761" s="246" t="s">
        <v>486</v>
      </c>
    </row>
    <row r="762" spans="1:44" ht="15" x14ac:dyDescent="0.25">
      <c r="A762" s="250" t="str">
        <f>HYPERLINK("http://www.ofsted.gov.uk/inspection-reports/find-inspection-report/provider/ELS/143642 ","Ofsted School Webpage")</f>
        <v>Ofsted School Webpage</v>
      </c>
      <c r="B762" s="251">
        <v>143642</v>
      </c>
      <c r="C762" s="251">
        <v>8356039</v>
      </c>
      <c r="D762" s="251" t="s">
        <v>2801</v>
      </c>
      <c r="E762" s="251" t="s">
        <v>248</v>
      </c>
      <c r="F762" s="251" t="s">
        <v>93</v>
      </c>
      <c r="G762" s="251" t="s">
        <v>93</v>
      </c>
      <c r="H762" s="251" t="s">
        <v>93</v>
      </c>
      <c r="I762" s="251" t="s">
        <v>90</v>
      </c>
      <c r="J762" s="251" t="s">
        <v>1490</v>
      </c>
      <c r="K762" s="251" t="s">
        <v>486</v>
      </c>
      <c r="L762" s="251" t="s">
        <v>487</v>
      </c>
      <c r="M762" s="251" t="s">
        <v>483</v>
      </c>
      <c r="N762" s="251" t="s">
        <v>483</v>
      </c>
      <c r="O762" s="251" t="s">
        <v>643</v>
      </c>
      <c r="P762" s="251" t="s">
        <v>2802</v>
      </c>
      <c r="Q762" s="252">
        <v>10047187</v>
      </c>
      <c r="R762" s="253">
        <v>43277</v>
      </c>
      <c r="S762" s="253">
        <v>43279</v>
      </c>
      <c r="T762" s="253">
        <v>43305</v>
      </c>
      <c r="U762" s="251" t="s">
        <v>499</v>
      </c>
      <c r="V762" s="251">
        <v>2</v>
      </c>
      <c r="W762" s="251" t="s">
        <v>219</v>
      </c>
      <c r="X762" s="251">
        <v>2</v>
      </c>
      <c r="Y762" s="251">
        <v>2</v>
      </c>
      <c r="Z762" s="251">
        <v>2</v>
      </c>
      <c r="AA762" s="251">
        <v>2</v>
      </c>
      <c r="AB762" s="251" t="s">
        <v>486</v>
      </c>
      <c r="AC762" s="251" t="s">
        <v>486</v>
      </c>
      <c r="AD762" s="251" t="s">
        <v>490</v>
      </c>
      <c r="AE762" s="251" t="s">
        <v>486</v>
      </c>
      <c r="AF762" s="251" t="s">
        <v>486</v>
      </c>
      <c r="AG762" s="251" t="s">
        <v>486</v>
      </c>
      <c r="AH762" s="251" t="s">
        <v>486</v>
      </c>
      <c r="AI762" s="251" t="s">
        <v>486</v>
      </c>
      <c r="AJ762" s="251" t="s">
        <v>486</v>
      </c>
      <c r="AK762" s="251" t="s">
        <v>486</v>
      </c>
      <c r="AL762" s="251" t="s">
        <v>491</v>
      </c>
      <c r="AM762" s="251" t="s">
        <v>486</v>
      </c>
      <c r="AN762" s="251" t="s">
        <v>486</v>
      </c>
      <c r="AO762" s="253" t="s">
        <v>486</v>
      </c>
      <c r="AP762" s="252" t="s">
        <v>486</v>
      </c>
      <c r="AQ762" s="254" t="s">
        <v>486</v>
      </c>
      <c r="AR762" s="251" t="s">
        <v>486</v>
      </c>
    </row>
    <row r="763" spans="1:44" ht="15" x14ac:dyDescent="0.25">
      <c r="A763" s="245" t="str">
        <f>HYPERLINK("http://www.ofsted.gov.uk/inspection-reports/find-inspection-report/provider/ELS/143932 ","Ofsted School Webpage")</f>
        <v>Ofsted School Webpage</v>
      </c>
      <c r="B763" s="246">
        <v>143932</v>
      </c>
      <c r="C763" s="246">
        <v>8606045</v>
      </c>
      <c r="D763" s="246" t="s">
        <v>2803</v>
      </c>
      <c r="E763" s="246" t="s">
        <v>248</v>
      </c>
      <c r="F763" s="246" t="s">
        <v>93</v>
      </c>
      <c r="G763" s="246" t="s">
        <v>93</v>
      </c>
      <c r="H763" s="246" t="s">
        <v>93</v>
      </c>
      <c r="I763" s="246" t="s">
        <v>90</v>
      </c>
      <c r="J763" s="246" t="s">
        <v>1490</v>
      </c>
      <c r="K763" s="246" t="s">
        <v>486</v>
      </c>
      <c r="L763" s="246" t="s">
        <v>487</v>
      </c>
      <c r="M763" s="246" t="s">
        <v>502</v>
      </c>
      <c r="N763" s="246" t="s">
        <v>502</v>
      </c>
      <c r="O763" s="246" t="s">
        <v>652</v>
      </c>
      <c r="P763" s="246" t="s">
        <v>2804</v>
      </c>
      <c r="Q763" s="247">
        <v>10045269</v>
      </c>
      <c r="R763" s="248">
        <v>43277</v>
      </c>
      <c r="S763" s="248">
        <v>43279</v>
      </c>
      <c r="T763" s="248">
        <v>43361</v>
      </c>
      <c r="U763" s="246" t="s">
        <v>499</v>
      </c>
      <c r="V763" s="246">
        <v>1</v>
      </c>
      <c r="W763" s="246" t="s">
        <v>219</v>
      </c>
      <c r="X763" s="246">
        <v>1</v>
      </c>
      <c r="Y763" s="246">
        <v>1</v>
      </c>
      <c r="Z763" s="246">
        <v>1</v>
      </c>
      <c r="AA763" s="246">
        <v>2</v>
      </c>
      <c r="AB763" s="246" t="s">
        <v>486</v>
      </c>
      <c r="AC763" s="246" t="s">
        <v>486</v>
      </c>
      <c r="AD763" s="246" t="s">
        <v>490</v>
      </c>
      <c r="AE763" s="246" t="s">
        <v>486</v>
      </c>
      <c r="AF763" s="246" t="s">
        <v>486</v>
      </c>
      <c r="AG763" s="246" t="s">
        <v>486</v>
      </c>
      <c r="AH763" s="246" t="s">
        <v>486</v>
      </c>
      <c r="AI763" s="246" t="s">
        <v>486</v>
      </c>
      <c r="AJ763" s="246" t="s">
        <v>486</v>
      </c>
      <c r="AK763" s="246" t="s">
        <v>486</v>
      </c>
      <c r="AL763" s="246" t="s">
        <v>491</v>
      </c>
      <c r="AM763" s="246" t="s">
        <v>486</v>
      </c>
      <c r="AN763" s="246" t="s">
        <v>486</v>
      </c>
      <c r="AO763" s="248" t="s">
        <v>486</v>
      </c>
      <c r="AP763" s="247" t="s">
        <v>486</v>
      </c>
      <c r="AQ763" s="249" t="s">
        <v>486</v>
      </c>
      <c r="AR763" s="246" t="s">
        <v>486</v>
      </c>
    </row>
    <row r="764" spans="1:44" ht="15" x14ac:dyDescent="0.25">
      <c r="A764" s="250" t="str">
        <f>HYPERLINK("http://www.ofsted.gov.uk/inspection-reports/find-inspection-report/provider/ELS/143046 ","Ofsted School Webpage")</f>
        <v>Ofsted School Webpage</v>
      </c>
      <c r="B764" s="251">
        <v>143046</v>
      </c>
      <c r="C764" s="251">
        <v>8466024</v>
      </c>
      <c r="D764" s="251" t="s">
        <v>2805</v>
      </c>
      <c r="E764" s="251" t="s">
        <v>247</v>
      </c>
      <c r="F764" s="251" t="s">
        <v>93</v>
      </c>
      <c r="G764" s="251" t="s">
        <v>93</v>
      </c>
      <c r="H764" s="251" t="s">
        <v>93</v>
      </c>
      <c r="I764" s="251" t="s">
        <v>90</v>
      </c>
      <c r="J764" s="251" t="s">
        <v>1490</v>
      </c>
      <c r="K764" s="251" t="s">
        <v>486</v>
      </c>
      <c r="L764" s="251" t="s">
        <v>487</v>
      </c>
      <c r="M764" s="251" t="s">
        <v>581</v>
      </c>
      <c r="N764" s="251" t="s">
        <v>581</v>
      </c>
      <c r="O764" s="251" t="s">
        <v>924</v>
      </c>
      <c r="P764" s="251" t="s">
        <v>2806</v>
      </c>
      <c r="Q764" s="252">
        <v>10044147</v>
      </c>
      <c r="R764" s="253">
        <v>43278</v>
      </c>
      <c r="S764" s="253">
        <v>43280</v>
      </c>
      <c r="T764" s="253">
        <v>43304</v>
      </c>
      <c r="U764" s="251" t="s">
        <v>499</v>
      </c>
      <c r="V764" s="251">
        <v>2</v>
      </c>
      <c r="W764" s="251" t="s">
        <v>219</v>
      </c>
      <c r="X764" s="251">
        <v>2</v>
      </c>
      <c r="Y764" s="251">
        <v>2</v>
      </c>
      <c r="Z764" s="251">
        <v>2</v>
      </c>
      <c r="AA764" s="251">
        <v>2</v>
      </c>
      <c r="AB764" s="251" t="s">
        <v>486</v>
      </c>
      <c r="AC764" s="251" t="s">
        <v>486</v>
      </c>
      <c r="AD764" s="251" t="s">
        <v>490</v>
      </c>
      <c r="AE764" s="251" t="s">
        <v>486</v>
      </c>
      <c r="AF764" s="251" t="s">
        <v>486</v>
      </c>
      <c r="AG764" s="251" t="s">
        <v>486</v>
      </c>
      <c r="AH764" s="251" t="s">
        <v>486</v>
      </c>
      <c r="AI764" s="251" t="s">
        <v>486</v>
      </c>
      <c r="AJ764" s="251" t="s">
        <v>486</v>
      </c>
      <c r="AK764" s="251" t="s">
        <v>486</v>
      </c>
      <c r="AL764" s="251" t="s">
        <v>491</v>
      </c>
      <c r="AM764" s="251" t="s">
        <v>486</v>
      </c>
      <c r="AN764" s="251" t="s">
        <v>486</v>
      </c>
      <c r="AO764" s="253" t="s">
        <v>486</v>
      </c>
      <c r="AP764" s="252" t="s">
        <v>486</v>
      </c>
      <c r="AQ764" s="254" t="s">
        <v>486</v>
      </c>
      <c r="AR764" s="251" t="s">
        <v>486</v>
      </c>
    </row>
    <row r="765" spans="1:44" ht="15" x14ac:dyDescent="0.25">
      <c r="A765" s="245" t="str">
        <f>HYPERLINK("http://www.ofsted.gov.uk/inspection-reports/find-inspection-report/provider/ELS/135277 ","Ofsted School Webpage")</f>
        <v>Ofsted School Webpage</v>
      </c>
      <c r="B765" s="246">
        <v>135277</v>
      </c>
      <c r="C765" s="246">
        <v>2126411</v>
      </c>
      <c r="D765" s="246" t="s">
        <v>2807</v>
      </c>
      <c r="E765" s="246" t="s">
        <v>247</v>
      </c>
      <c r="F765" s="246" t="s">
        <v>93</v>
      </c>
      <c r="G765" s="246" t="s">
        <v>93</v>
      </c>
      <c r="H765" s="246" t="s">
        <v>93</v>
      </c>
      <c r="I765" s="246" t="s">
        <v>90</v>
      </c>
      <c r="J765" s="246" t="s">
        <v>1490</v>
      </c>
      <c r="K765" s="246" t="s">
        <v>486</v>
      </c>
      <c r="L765" s="246" t="s">
        <v>487</v>
      </c>
      <c r="M765" s="246" t="s">
        <v>506</v>
      </c>
      <c r="N765" s="246" t="s">
        <v>506</v>
      </c>
      <c r="O765" s="246" t="s">
        <v>837</v>
      </c>
      <c r="P765" s="246" t="s">
        <v>2808</v>
      </c>
      <c r="Q765" s="247">
        <v>10048716</v>
      </c>
      <c r="R765" s="248">
        <v>43283</v>
      </c>
      <c r="S765" s="248">
        <v>43285</v>
      </c>
      <c r="T765" s="248">
        <v>43346</v>
      </c>
      <c r="U765" s="246" t="s">
        <v>488</v>
      </c>
      <c r="V765" s="246">
        <v>1</v>
      </c>
      <c r="W765" s="246" t="s">
        <v>219</v>
      </c>
      <c r="X765" s="246">
        <v>1</v>
      </c>
      <c r="Y765" s="246">
        <v>1</v>
      </c>
      <c r="Z765" s="246">
        <v>1</v>
      </c>
      <c r="AA765" s="246">
        <v>1</v>
      </c>
      <c r="AB765" s="246">
        <v>1</v>
      </c>
      <c r="AC765" s="246" t="s">
        <v>486</v>
      </c>
      <c r="AD765" s="246" t="s">
        <v>490</v>
      </c>
      <c r="AE765" s="246" t="s">
        <v>486</v>
      </c>
      <c r="AF765" s="246" t="s">
        <v>486</v>
      </c>
      <c r="AG765" s="246" t="s">
        <v>486</v>
      </c>
      <c r="AH765" s="246" t="s">
        <v>486</v>
      </c>
      <c r="AI765" s="246" t="s">
        <v>486</v>
      </c>
      <c r="AJ765" s="246" t="s">
        <v>486</v>
      </c>
      <c r="AK765" s="246" t="s">
        <v>486</v>
      </c>
      <c r="AL765" s="246" t="s">
        <v>491</v>
      </c>
      <c r="AM765" s="246" t="s">
        <v>486</v>
      </c>
      <c r="AN765" s="246" t="s">
        <v>486</v>
      </c>
      <c r="AO765" s="248" t="s">
        <v>486</v>
      </c>
      <c r="AP765" s="247" t="s">
        <v>486</v>
      </c>
      <c r="AQ765" s="249" t="s">
        <v>486</v>
      </c>
      <c r="AR765" s="246" t="s">
        <v>486</v>
      </c>
    </row>
    <row r="766" spans="1:44" ht="15" x14ac:dyDescent="0.25">
      <c r="A766" s="250" t="str">
        <f>HYPERLINK("http://www.ofsted.gov.uk/inspection-reports/find-inspection-report/provider/ELS/101843 ","Ofsted School Webpage")</f>
        <v>Ofsted School Webpage</v>
      </c>
      <c r="B766" s="251">
        <v>101843</v>
      </c>
      <c r="C766" s="251">
        <v>3066078</v>
      </c>
      <c r="D766" s="251" t="s">
        <v>2809</v>
      </c>
      <c r="E766" s="251" t="s">
        <v>248</v>
      </c>
      <c r="F766" s="251" t="s">
        <v>93</v>
      </c>
      <c r="G766" s="251" t="s">
        <v>93</v>
      </c>
      <c r="H766" s="251" t="s">
        <v>93</v>
      </c>
      <c r="I766" s="251" t="s">
        <v>90</v>
      </c>
      <c r="J766" s="251" t="s">
        <v>1490</v>
      </c>
      <c r="K766" s="251" t="s">
        <v>486</v>
      </c>
      <c r="L766" s="251" t="s">
        <v>487</v>
      </c>
      <c r="M766" s="251" t="s">
        <v>506</v>
      </c>
      <c r="N766" s="251" t="s">
        <v>506</v>
      </c>
      <c r="O766" s="251" t="s">
        <v>826</v>
      </c>
      <c r="P766" s="251" t="s">
        <v>2810</v>
      </c>
      <c r="Q766" s="252">
        <v>10048714</v>
      </c>
      <c r="R766" s="253">
        <v>43284</v>
      </c>
      <c r="S766" s="253">
        <v>43286</v>
      </c>
      <c r="T766" s="253">
        <v>43360</v>
      </c>
      <c r="U766" s="251" t="s">
        <v>488</v>
      </c>
      <c r="V766" s="251">
        <v>2</v>
      </c>
      <c r="W766" s="251" t="s">
        <v>219</v>
      </c>
      <c r="X766" s="251">
        <v>2</v>
      </c>
      <c r="Y766" s="251">
        <v>1</v>
      </c>
      <c r="Z766" s="251">
        <v>2</v>
      </c>
      <c r="AA766" s="251">
        <v>2</v>
      </c>
      <c r="AB766" s="251" t="s">
        <v>486</v>
      </c>
      <c r="AC766" s="251" t="s">
        <v>486</v>
      </c>
      <c r="AD766" s="251" t="s">
        <v>490</v>
      </c>
      <c r="AE766" s="251" t="s">
        <v>486</v>
      </c>
      <c r="AF766" s="251" t="s">
        <v>486</v>
      </c>
      <c r="AG766" s="251" t="s">
        <v>486</v>
      </c>
      <c r="AH766" s="251" t="s">
        <v>486</v>
      </c>
      <c r="AI766" s="251" t="s">
        <v>486</v>
      </c>
      <c r="AJ766" s="251" t="s">
        <v>486</v>
      </c>
      <c r="AK766" s="251" t="s">
        <v>486</v>
      </c>
      <c r="AL766" s="251" t="s">
        <v>491</v>
      </c>
      <c r="AM766" s="251" t="s">
        <v>486</v>
      </c>
      <c r="AN766" s="251" t="s">
        <v>486</v>
      </c>
      <c r="AO766" s="253" t="s">
        <v>486</v>
      </c>
      <c r="AP766" s="252" t="s">
        <v>486</v>
      </c>
      <c r="AQ766" s="254" t="s">
        <v>486</v>
      </c>
      <c r="AR766" s="251" t="s">
        <v>486</v>
      </c>
    </row>
    <row r="767" spans="1:44" ht="15" x14ac:dyDescent="0.25">
      <c r="A767" s="245" t="str">
        <f>HYPERLINK("http://www.ofsted.gov.uk/inspection-reports/find-inspection-report/provider/ELS/120336 ","Ofsted School Webpage")</f>
        <v>Ofsted School Webpage</v>
      </c>
      <c r="B767" s="246">
        <v>120336</v>
      </c>
      <c r="C767" s="246">
        <v>8556014</v>
      </c>
      <c r="D767" s="246" t="s">
        <v>2811</v>
      </c>
      <c r="E767" s="246" t="s">
        <v>247</v>
      </c>
      <c r="F767" s="246" t="s">
        <v>93</v>
      </c>
      <c r="G767" s="246" t="s">
        <v>93</v>
      </c>
      <c r="H767" s="246" t="s">
        <v>93</v>
      </c>
      <c r="I767" s="246" t="s">
        <v>90</v>
      </c>
      <c r="J767" s="246" t="s">
        <v>1490</v>
      </c>
      <c r="K767" s="246" t="s">
        <v>486</v>
      </c>
      <c r="L767" s="246" t="s">
        <v>487</v>
      </c>
      <c r="M767" s="246" t="s">
        <v>572</v>
      </c>
      <c r="N767" s="246" t="s">
        <v>572</v>
      </c>
      <c r="O767" s="246" t="s">
        <v>966</v>
      </c>
      <c r="P767" s="246" t="s">
        <v>2812</v>
      </c>
      <c r="Q767" s="247">
        <v>10033525</v>
      </c>
      <c r="R767" s="248">
        <v>43284</v>
      </c>
      <c r="S767" s="248">
        <v>43286</v>
      </c>
      <c r="T767" s="248">
        <v>43357</v>
      </c>
      <c r="U767" s="246" t="s">
        <v>488</v>
      </c>
      <c r="V767" s="246">
        <v>1</v>
      </c>
      <c r="W767" s="246" t="s">
        <v>219</v>
      </c>
      <c r="X767" s="246">
        <v>1</v>
      </c>
      <c r="Y767" s="246">
        <v>1</v>
      </c>
      <c r="Z767" s="246">
        <v>1</v>
      </c>
      <c r="AA767" s="246">
        <v>1</v>
      </c>
      <c r="AB767" s="246">
        <v>1</v>
      </c>
      <c r="AC767" s="246" t="s">
        <v>486</v>
      </c>
      <c r="AD767" s="246" t="s">
        <v>490</v>
      </c>
      <c r="AE767" s="246" t="s">
        <v>486</v>
      </c>
      <c r="AF767" s="246" t="s">
        <v>486</v>
      </c>
      <c r="AG767" s="246" t="s">
        <v>486</v>
      </c>
      <c r="AH767" s="246" t="s">
        <v>486</v>
      </c>
      <c r="AI767" s="246" t="s">
        <v>486</v>
      </c>
      <c r="AJ767" s="246" t="s">
        <v>486</v>
      </c>
      <c r="AK767" s="246" t="s">
        <v>486</v>
      </c>
      <c r="AL767" s="246" t="s">
        <v>491</v>
      </c>
      <c r="AM767" s="246" t="s">
        <v>486</v>
      </c>
      <c r="AN767" s="246" t="s">
        <v>486</v>
      </c>
      <c r="AO767" s="248" t="s">
        <v>486</v>
      </c>
      <c r="AP767" s="247" t="s">
        <v>486</v>
      </c>
      <c r="AQ767" s="249" t="s">
        <v>486</v>
      </c>
      <c r="AR767" s="246" t="s">
        <v>486</v>
      </c>
    </row>
    <row r="768" spans="1:44" ht="15" x14ac:dyDescent="0.25">
      <c r="A768" s="250" t="str">
        <f>HYPERLINK("http://www.ofsted.gov.uk/inspection-reports/find-inspection-report/provider/ELS/124495 ","Ofsted School Webpage")</f>
        <v>Ofsted School Webpage</v>
      </c>
      <c r="B768" s="251">
        <v>124495</v>
      </c>
      <c r="C768" s="251">
        <v>8606017</v>
      </c>
      <c r="D768" s="251" t="s">
        <v>2813</v>
      </c>
      <c r="E768" s="251" t="s">
        <v>248</v>
      </c>
      <c r="F768" s="251" t="s">
        <v>93</v>
      </c>
      <c r="G768" s="251" t="s">
        <v>93</v>
      </c>
      <c r="H768" s="251" t="s">
        <v>93</v>
      </c>
      <c r="I768" s="251" t="s">
        <v>90</v>
      </c>
      <c r="J768" s="251" t="s">
        <v>1490</v>
      </c>
      <c r="K768" s="251" t="s">
        <v>486</v>
      </c>
      <c r="L768" s="251" t="s">
        <v>487</v>
      </c>
      <c r="M768" s="251" t="s">
        <v>502</v>
      </c>
      <c r="N768" s="251" t="s">
        <v>502</v>
      </c>
      <c r="O768" s="251" t="s">
        <v>652</v>
      </c>
      <c r="P768" s="251" t="s">
        <v>2814</v>
      </c>
      <c r="Q768" s="252">
        <v>10012892</v>
      </c>
      <c r="R768" s="253">
        <v>43284</v>
      </c>
      <c r="S768" s="253">
        <v>43286</v>
      </c>
      <c r="T768" s="253">
        <v>43350</v>
      </c>
      <c r="U768" s="251" t="s">
        <v>488</v>
      </c>
      <c r="V768" s="251">
        <v>1</v>
      </c>
      <c r="W768" s="251" t="s">
        <v>219</v>
      </c>
      <c r="X768" s="251">
        <v>1</v>
      </c>
      <c r="Y768" s="251">
        <v>1</v>
      </c>
      <c r="Z768" s="251">
        <v>1</v>
      </c>
      <c r="AA768" s="251">
        <v>1</v>
      </c>
      <c r="AB768" s="251" t="s">
        <v>486</v>
      </c>
      <c r="AC768" s="251" t="s">
        <v>486</v>
      </c>
      <c r="AD768" s="251" t="s">
        <v>486</v>
      </c>
      <c r="AE768" s="251" t="s">
        <v>486</v>
      </c>
      <c r="AF768" s="251" t="s">
        <v>486</v>
      </c>
      <c r="AG768" s="251" t="s">
        <v>486</v>
      </c>
      <c r="AH768" s="251" t="s">
        <v>486</v>
      </c>
      <c r="AI768" s="251" t="s">
        <v>486</v>
      </c>
      <c r="AJ768" s="251" t="s">
        <v>486</v>
      </c>
      <c r="AK768" s="251" t="s">
        <v>486</v>
      </c>
      <c r="AL768" s="251" t="s">
        <v>491</v>
      </c>
      <c r="AM768" s="251" t="s">
        <v>486</v>
      </c>
      <c r="AN768" s="251" t="s">
        <v>486</v>
      </c>
      <c r="AO768" s="253" t="s">
        <v>486</v>
      </c>
      <c r="AP768" s="252" t="s">
        <v>486</v>
      </c>
      <c r="AQ768" s="254" t="s">
        <v>486</v>
      </c>
      <c r="AR768" s="251" t="s">
        <v>486</v>
      </c>
    </row>
    <row r="769" spans="1:44" ht="15" x14ac:dyDescent="0.25">
      <c r="A769" s="245" t="str">
        <f>HYPERLINK("http://www.ofsted.gov.uk/inspection-reports/find-inspection-report/provider/ELS/131261 ","Ofsted School Webpage")</f>
        <v>Ofsted School Webpage</v>
      </c>
      <c r="B769" s="246">
        <v>131261</v>
      </c>
      <c r="C769" s="246">
        <v>3026119</v>
      </c>
      <c r="D769" s="246" t="s">
        <v>2815</v>
      </c>
      <c r="E769" s="246" t="s">
        <v>247</v>
      </c>
      <c r="F769" s="246" t="s">
        <v>83</v>
      </c>
      <c r="G769" s="246" t="s">
        <v>84</v>
      </c>
      <c r="H769" s="246" t="s">
        <v>83</v>
      </c>
      <c r="I769" s="246" t="s">
        <v>84</v>
      </c>
      <c r="J769" s="246" t="s">
        <v>1490</v>
      </c>
      <c r="K769" s="246" t="s">
        <v>486</v>
      </c>
      <c r="L769" s="246" t="s">
        <v>487</v>
      </c>
      <c r="M769" s="246" t="s">
        <v>506</v>
      </c>
      <c r="N769" s="246" t="s">
        <v>506</v>
      </c>
      <c r="O769" s="246" t="s">
        <v>614</v>
      </c>
      <c r="P769" s="246" t="s">
        <v>2816</v>
      </c>
      <c r="Q769" s="247">
        <v>10012794</v>
      </c>
      <c r="R769" s="248">
        <v>43284</v>
      </c>
      <c r="S769" s="248">
        <v>43286</v>
      </c>
      <c r="T769" s="248">
        <v>43360</v>
      </c>
      <c r="U769" s="246" t="s">
        <v>488</v>
      </c>
      <c r="V769" s="246">
        <v>2</v>
      </c>
      <c r="W769" s="246" t="s">
        <v>219</v>
      </c>
      <c r="X769" s="246">
        <v>2</v>
      </c>
      <c r="Y769" s="246">
        <v>1</v>
      </c>
      <c r="Z769" s="246">
        <v>2</v>
      </c>
      <c r="AA769" s="246">
        <v>2</v>
      </c>
      <c r="AB769" s="246">
        <v>2</v>
      </c>
      <c r="AC769" s="246" t="s">
        <v>486</v>
      </c>
      <c r="AD769" s="246" t="s">
        <v>490</v>
      </c>
      <c r="AE769" s="246" t="s">
        <v>486</v>
      </c>
      <c r="AF769" s="246" t="s">
        <v>486</v>
      </c>
      <c r="AG769" s="246" t="s">
        <v>486</v>
      </c>
      <c r="AH769" s="246" t="s">
        <v>486</v>
      </c>
      <c r="AI769" s="246" t="s">
        <v>486</v>
      </c>
      <c r="AJ769" s="246" t="s">
        <v>486</v>
      </c>
      <c r="AK769" s="246" t="s">
        <v>486</v>
      </c>
      <c r="AL769" s="246" t="s">
        <v>491</v>
      </c>
      <c r="AM769" s="246" t="s">
        <v>486</v>
      </c>
      <c r="AN769" s="246" t="s">
        <v>486</v>
      </c>
      <c r="AO769" s="248" t="s">
        <v>486</v>
      </c>
      <c r="AP769" s="247" t="s">
        <v>486</v>
      </c>
      <c r="AQ769" s="249" t="s">
        <v>486</v>
      </c>
      <c r="AR769" s="246" t="s">
        <v>486</v>
      </c>
    </row>
    <row r="770" spans="1:44" ht="15" x14ac:dyDescent="0.25">
      <c r="A770" s="250" t="str">
        <f>HYPERLINK("http://www.ofsted.gov.uk/inspection-reports/find-inspection-report/provider/ELS/131342 ","Ofsted School Webpage")</f>
        <v>Ofsted School Webpage</v>
      </c>
      <c r="B770" s="251">
        <v>131342</v>
      </c>
      <c r="C770" s="251">
        <v>2046400</v>
      </c>
      <c r="D770" s="251" t="s">
        <v>2817</v>
      </c>
      <c r="E770" s="251" t="s">
        <v>247</v>
      </c>
      <c r="F770" s="251" t="s">
        <v>93</v>
      </c>
      <c r="G770" s="251" t="s">
        <v>81</v>
      </c>
      <c r="H770" s="251" t="s">
        <v>81</v>
      </c>
      <c r="I770" s="251" t="s">
        <v>81</v>
      </c>
      <c r="J770" s="251" t="s">
        <v>1490</v>
      </c>
      <c r="K770" s="251" t="s">
        <v>486</v>
      </c>
      <c r="L770" s="251" t="s">
        <v>487</v>
      </c>
      <c r="M770" s="251" t="s">
        <v>506</v>
      </c>
      <c r="N770" s="251" t="s">
        <v>506</v>
      </c>
      <c r="O770" s="251" t="s">
        <v>617</v>
      </c>
      <c r="P770" s="251" t="s">
        <v>2818</v>
      </c>
      <c r="Q770" s="252">
        <v>10035791</v>
      </c>
      <c r="R770" s="253">
        <v>43284</v>
      </c>
      <c r="S770" s="253">
        <v>43286</v>
      </c>
      <c r="T770" s="253">
        <v>43384</v>
      </c>
      <c r="U770" s="251" t="s">
        <v>488</v>
      </c>
      <c r="V770" s="251">
        <v>4</v>
      </c>
      <c r="W770" s="251" t="s">
        <v>219</v>
      </c>
      <c r="X770" s="251">
        <v>4</v>
      </c>
      <c r="Y770" s="251">
        <v>3</v>
      </c>
      <c r="Z770" s="251">
        <v>4</v>
      </c>
      <c r="AA770" s="251">
        <v>4</v>
      </c>
      <c r="AB770" s="251">
        <v>3</v>
      </c>
      <c r="AC770" s="251" t="s">
        <v>486</v>
      </c>
      <c r="AD770" s="251" t="s">
        <v>490</v>
      </c>
      <c r="AE770" s="251" t="s">
        <v>486</v>
      </c>
      <c r="AF770" s="251" t="s">
        <v>486</v>
      </c>
      <c r="AG770" s="251" t="s">
        <v>486</v>
      </c>
      <c r="AH770" s="251" t="s">
        <v>486</v>
      </c>
      <c r="AI770" s="251" t="s">
        <v>486</v>
      </c>
      <c r="AJ770" s="251" t="s">
        <v>486</v>
      </c>
      <c r="AK770" s="251" t="s">
        <v>486</v>
      </c>
      <c r="AL770" s="251" t="s">
        <v>545</v>
      </c>
      <c r="AM770" s="251" t="s">
        <v>486</v>
      </c>
      <c r="AN770" s="251" t="s">
        <v>486</v>
      </c>
      <c r="AO770" s="253" t="s">
        <v>486</v>
      </c>
      <c r="AP770" s="252" t="s">
        <v>486</v>
      </c>
      <c r="AQ770" s="254" t="s">
        <v>486</v>
      </c>
      <c r="AR770" s="251" t="s">
        <v>486</v>
      </c>
    </row>
    <row r="771" spans="1:44" ht="15" x14ac:dyDescent="0.25">
      <c r="A771" s="245" t="str">
        <f>HYPERLINK("http://www.ofsted.gov.uk/inspection-reports/find-inspection-report/provider/ELS/131715 ","Ofsted School Webpage")</f>
        <v>Ofsted School Webpage</v>
      </c>
      <c r="B771" s="246">
        <v>131715</v>
      </c>
      <c r="C771" s="246">
        <v>8786060</v>
      </c>
      <c r="D771" s="246" t="s">
        <v>2819</v>
      </c>
      <c r="E771" s="246" t="s">
        <v>248</v>
      </c>
      <c r="F771" s="246" t="s">
        <v>93</v>
      </c>
      <c r="G771" s="246" t="s">
        <v>93</v>
      </c>
      <c r="H771" s="246" t="s">
        <v>93</v>
      </c>
      <c r="I771" s="246" t="s">
        <v>90</v>
      </c>
      <c r="J771" s="246" t="s">
        <v>1490</v>
      </c>
      <c r="K771" s="246" t="s">
        <v>486</v>
      </c>
      <c r="L771" s="246" t="s">
        <v>487</v>
      </c>
      <c r="M771" s="246" t="s">
        <v>483</v>
      </c>
      <c r="N771" s="246" t="s">
        <v>483</v>
      </c>
      <c r="O771" s="246" t="s">
        <v>747</v>
      </c>
      <c r="P771" s="246" t="s">
        <v>2820</v>
      </c>
      <c r="Q771" s="247">
        <v>10047183</v>
      </c>
      <c r="R771" s="248">
        <v>43284</v>
      </c>
      <c r="S771" s="248">
        <v>43286</v>
      </c>
      <c r="T771" s="248">
        <v>43346</v>
      </c>
      <c r="U771" s="246" t="s">
        <v>488</v>
      </c>
      <c r="V771" s="246">
        <v>2</v>
      </c>
      <c r="W771" s="246" t="s">
        <v>219</v>
      </c>
      <c r="X771" s="246">
        <v>2</v>
      </c>
      <c r="Y771" s="246">
        <v>2</v>
      </c>
      <c r="Z771" s="246">
        <v>2</v>
      </c>
      <c r="AA771" s="246">
        <v>2</v>
      </c>
      <c r="AB771" s="246" t="s">
        <v>486</v>
      </c>
      <c r="AC771" s="246">
        <v>2</v>
      </c>
      <c r="AD771" s="246" t="s">
        <v>490</v>
      </c>
      <c r="AE771" s="246" t="s">
        <v>486</v>
      </c>
      <c r="AF771" s="246" t="s">
        <v>486</v>
      </c>
      <c r="AG771" s="246" t="s">
        <v>486</v>
      </c>
      <c r="AH771" s="246" t="s">
        <v>486</v>
      </c>
      <c r="AI771" s="246" t="s">
        <v>486</v>
      </c>
      <c r="AJ771" s="246" t="s">
        <v>486</v>
      </c>
      <c r="AK771" s="246" t="s">
        <v>486</v>
      </c>
      <c r="AL771" s="246" t="s">
        <v>491</v>
      </c>
      <c r="AM771" s="246" t="s">
        <v>486</v>
      </c>
      <c r="AN771" s="246" t="s">
        <v>486</v>
      </c>
      <c r="AO771" s="248" t="s">
        <v>486</v>
      </c>
      <c r="AP771" s="247" t="s">
        <v>486</v>
      </c>
      <c r="AQ771" s="249" t="s">
        <v>486</v>
      </c>
      <c r="AR771" s="246" t="s">
        <v>486</v>
      </c>
    </row>
    <row r="772" spans="1:44" ht="15" x14ac:dyDescent="0.25">
      <c r="A772" s="250" t="str">
        <f>HYPERLINK("http://www.ofsted.gov.uk/inspection-reports/find-inspection-report/provider/ELS/132775 ","Ofsted School Webpage")</f>
        <v>Ofsted School Webpage</v>
      </c>
      <c r="B772" s="251">
        <v>132775</v>
      </c>
      <c r="C772" s="251">
        <v>8656034</v>
      </c>
      <c r="D772" s="251" t="s">
        <v>2821</v>
      </c>
      <c r="E772" s="251" t="s">
        <v>248</v>
      </c>
      <c r="F772" s="251" t="s">
        <v>93</v>
      </c>
      <c r="G772" s="251" t="s">
        <v>93</v>
      </c>
      <c r="H772" s="251" t="s">
        <v>93</v>
      </c>
      <c r="I772" s="251" t="s">
        <v>90</v>
      </c>
      <c r="J772" s="251" t="s">
        <v>1490</v>
      </c>
      <c r="K772" s="251" t="s">
        <v>486</v>
      </c>
      <c r="L772" s="251" t="s">
        <v>487</v>
      </c>
      <c r="M772" s="251" t="s">
        <v>483</v>
      </c>
      <c r="N772" s="251" t="s">
        <v>483</v>
      </c>
      <c r="O772" s="251" t="s">
        <v>791</v>
      </c>
      <c r="P772" s="251" t="s">
        <v>2822</v>
      </c>
      <c r="Q772" s="252">
        <v>10053776</v>
      </c>
      <c r="R772" s="253">
        <v>43284</v>
      </c>
      <c r="S772" s="253">
        <v>43286</v>
      </c>
      <c r="T772" s="253">
        <v>43346</v>
      </c>
      <c r="U772" s="251" t="s">
        <v>2930</v>
      </c>
      <c r="V772" s="251">
        <v>2</v>
      </c>
      <c r="W772" s="251" t="s">
        <v>219</v>
      </c>
      <c r="X772" s="251">
        <v>2</v>
      </c>
      <c r="Y772" s="251">
        <v>2</v>
      </c>
      <c r="Z772" s="251">
        <v>2</v>
      </c>
      <c r="AA772" s="251">
        <v>2</v>
      </c>
      <c r="AB772" s="251" t="s">
        <v>486</v>
      </c>
      <c r="AC772" s="251" t="s">
        <v>486</v>
      </c>
      <c r="AD772" s="251" t="s">
        <v>490</v>
      </c>
      <c r="AE772" s="251" t="s">
        <v>486</v>
      </c>
      <c r="AF772" s="251" t="s">
        <v>486</v>
      </c>
      <c r="AG772" s="251" t="s">
        <v>486</v>
      </c>
      <c r="AH772" s="251" t="s">
        <v>486</v>
      </c>
      <c r="AI772" s="251" t="s">
        <v>486</v>
      </c>
      <c r="AJ772" s="251" t="s">
        <v>486</v>
      </c>
      <c r="AK772" s="251" t="s">
        <v>486</v>
      </c>
      <c r="AL772" s="251" t="s">
        <v>491</v>
      </c>
      <c r="AM772" s="251" t="s">
        <v>486</v>
      </c>
      <c r="AN772" s="251" t="s">
        <v>486</v>
      </c>
      <c r="AO772" s="253" t="s">
        <v>486</v>
      </c>
      <c r="AP772" s="252" t="s">
        <v>486</v>
      </c>
      <c r="AQ772" s="254" t="s">
        <v>486</v>
      </c>
      <c r="AR772" s="251" t="s">
        <v>486</v>
      </c>
    </row>
    <row r="773" spans="1:44" ht="15" x14ac:dyDescent="0.25">
      <c r="A773" s="245" t="str">
        <f>HYPERLINK("http://www.ofsted.gov.uk/inspection-reports/find-inspection-report/provider/ELS/134649 ","Ofsted School Webpage")</f>
        <v>Ofsted School Webpage</v>
      </c>
      <c r="B773" s="246">
        <v>134649</v>
      </c>
      <c r="C773" s="246">
        <v>8916022</v>
      </c>
      <c r="D773" s="246" t="s">
        <v>2823</v>
      </c>
      <c r="E773" s="246" t="s">
        <v>248</v>
      </c>
      <c r="F773" s="246" t="s">
        <v>93</v>
      </c>
      <c r="G773" s="246" t="s">
        <v>93</v>
      </c>
      <c r="H773" s="246" t="s">
        <v>93</v>
      </c>
      <c r="I773" s="246" t="s">
        <v>90</v>
      </c>
      <c r="J773" s="246" t="s">
        <v>1490</v>
      </c>
      <c r="K773" s="246" t="s">
        <v>486</v>
      </c>
      <c r="L773" s="246" t="s">
        <v>487</v>
      </c>
      <c r="M773" s="246" t="s">
        <v>572</v>
      </c>
      <c r="N773" s="246" t="s">
        <v>572</v>
      </c>
      <c r="O773" s="246" t="s">
        <v>852</v>
      </c>
      <c r="P773" s="246" t="s">
        <v>2824</v>
      </c>
      <c r="Q773" s="247">
        <v>10039186</v>
      </c>
      <c r="R773" s="248">
        <v>43285</v>
      </c>
      <c r="S773" s="248">
        <v>43286</v>
      </c>
      <c r="T773" s="248">
        <v>43348</v>
      </c>
      <c r="U773" s="246" t="s">
        <v>488</v>
      </c>
      <c r="V773" s="246">
        <v>2</v>
      </c>
      <c r="W773" s="246" t="s">
        <v>219</v>
      </c>
      <c r="X773" s="246">
        <v>2</v>
      </c>
      <c r="Y773" s="246">
        <v>2</v>
      </c>
      <c r="Z773" s="246">
        <v>2</v>
      </c>
      <c r="AA773" s="246">
        <v>2</v>
      </c>
      <c r="AB773" s="246" t="s">
        <v>486</v>
      </c>
      <c r="AC773" s="246" t="s">
        <v>486</v>
      </c>
      <c r="AD773" s="246" t="s">
        <v>490</v>
      </c>
      <c r="AE773" s="246" t="s">
        <v>486</v>
      </c>
      <c r="AF773" s="246" t="s">
        <v>486</v>
      </c>
      <c r="AG773" s="246" t="s">
        <v>486</v>
      </c>
      <c r="AH773" s="246" t="s">
        <v>486</v>
      </c>
      <c r="AI773" s="246" t="s">
        <v>486</v>
      </c>
      <c r="AJ773" s="246" t="s">
        <v>486</v>
      </c>
      <c r="AK773" s="246" t="s">
        <v>486</v>
      </c>
      <c r="AL773" s="246" t="s">
        <v>491</v>
      </c>
      <c r="AM773" s="246" t="s">
        <v>486</v>
      </c>
      <c r="AN773" s="246" t="s">
        <v>486</v>
      </c>
      <c r="AO773" s="248" t="s">
        <v>486</v>
      </c>
      <c r="AP773" s="247" t="s">
        <v>486</v>
      </c>
      <c r="AQ773" s="249" t="s">
        <v>486</v>
      </c>
      <c r="AR773" s="246" t="s">
        <v>486</v>
      </c>
    </row>
    <row r="774" spans="1:44" ht="15" x14ac:dyDescent="0.25">
      <c r="A774" s="250" t="str">
        <f>HYPERLINK("http://www.ofsted.gov.uk/inspection-reports/find-inspection-report/provider/ELS/135753 ","Ofsted School Webpage")</f>
        <v>Ofsted School Webpage</v>
      </c>
      <c r="B774" s="251">
        <v>135753</v>
      </c>
      <c r="C774" s="251">
        <v>3546035</v>
      </c>
      <c r="D774" s="251" t="s">
        <v>2825</v>
      </c>
      <c r="E774" s="251" t="s">
        <v>248</v>
      </c>
      <c r="F774" s="251" t="s">
        <v>93</v>
      </c>
      <c r="G774" s="251" t="s">
        <v>93</v>
      </c>
      <c r="H774" s="251" t="s">
        <v>93</v>
      </c>
      <c r="I774" s="251" t="s">
        <v>90</v>
      </c>
      <c r="J774" s="251" t="s">
        <v>1490</v>
      </c>
      <c r="K774" s="251" t="s">
        <v>486</v>
      </c>
      <c r="L774" s="251" t="s">
        <v>487</v>
      </c>
      <c r="M774" s="251" t="s">
        <v>495</v>
      </c>
      <c r="N774" s="251" t="s">
        <v>495</v>
      </c>
      <c r="O774" s="251" t="s">
        <v>604</v>
      </c>
      <c r="P774" s="251" t="s">
        <v>2826</v>
      </c>
      <c r="Q774" s="252">
        <v>10048618</v>
      </c>
      <c r="R774" s="253">
        <v>43284</v>
      </c>
      <c r="S774" s="253">
        <v>43286</v>
      </c>
      <c r="T774" s="253">
        <v>43360</v>
      </c>
      <c r="U774" s="251" t="s">
        <v>488</v>
      </c>
      <c r="V774" s="251">
        <v>2</v>
      </c>
      <c r="W774" s="251" t="s">
        <v>219</v>
      </c>
      <c r="X774" s="251">
        <v>2</v>
      </c>
      <c r="Y774" s="251">
        <v>2</v>
      </c>
      <c r="Z774" s="251">
        <v>2</v>
      </c>
      <c r="AA774" s="251">
        <v>2</v>
      </c>
      <c r="AB774" s="251" t="s">
        <v>486</v>
      </c>
      <c r="AC774" s="251" t="s">
        <v>486</v>
      </c>
      <c r="AD774" s="251" t="s">
        <v>490</v>
      </c>
      <c r="AE774" s="251" t="s">
        <v>486</v>
      </c>
      <c r="AF774" s="251" t="s">
        <v>486</v>
      </c>
      <c r="AG774" s="251" t="s">
        <v>486</v>
      </c>
      <c r="AH774" s="251" t="s">
        <v>486</v>
      </c>
      <c r="AI774" s="251" t="s">
        <v>486</v>
      </c>
      <c r="AJ774" s="251" t="s">
        <v>486</v>
      </c>
      <c r="AK774" s="251" t="s">
        <v>486</v>
      </c>
      <c r="AL774" s="251" t="s">
        <v>491</v>
      </c>
      <c r="AM774" s="251" t="s">
        <v>486</v>
      </c>
      <c r="AN774" s="251" t="s">
        <v>486</v>
      </c>
      <c r="AO774" s="253" t="s">
        <v>486</v>
      </c>
      <c r="AP774" s="252" t="s">
        <v>486</v>
      </c>
      <c r="AQ774" s="254" t="s">
        <v>486</v>
      </c>
      <c r="AR774" s="251" t="s">
        <v>486</v>
      </c>
    </row>
    <row r="775" spans="1:44" ht="15" x14ac:dyDescent="0.25">
      <c r="A775" s="245" t="str">
        <f>HYPERLINK("http://www.ofsted.gov.uk/inspection-reports/find-inspection-report/provider/ELS/135801 ","Ofsted School Webpage")</f>
        <v>Ofsted School Webpage</v>
      </c>
      <c r="B775" s="246">
        <v>135801</v>
      </c>
      <c r="C775" s="246">
        <v>3196074</v>
      </c>
      <c r="D775" s="246" t="s">
        <v>2827</v>
      </c>
      <c r="E775" s="246" t="s">
        <v>248</v>
      </c>
      <c r="F775" s="246" t="s">
        <v>93</v>
      </c>
      <c r="G775" s="246" t="s">
        <v>93</v>
      </c>
      <c r="H775" s="246" t="s">
        <v>93</v>
      </c>
      <c r="I775" s="246" t="s">
        <v>90</v>
      </c>
      <c r="J775" s="246" t="s">
        <v>1490</v>
      </c>
      <c r="K775" s="246" t="s">
        <v>486</v>
      </c>
      <c r="L775" s="246" t="s">
        <v>487</v>
      </c>
      <c r="M775" s="246" t="s">
        <v>506</v>
      </c>
      <c r="N775" s="246" t="s">
        <v>506</v>
      </c>
      <c r="O775" s="246" t="s">
        <v>592</v>
      </c>
      <c r="P775" s="246" t="s">
        <v>2828</v>
      </c>
      <c r="Q775" s="247">
        <v>10020779</v>
      </c>
      <c r="R775" s="248">
        <v>43284</v>
      </c>
      <c r="S775" s="248">
        <v>43286</v>
      </c>
      <c r="T775" s="248">
        <v>43304</v>
      </c>
      <c r="U775" s="246" t="s">
        <v>488</v>
      </c>
      <c r="V775" s="246">
        <v>2</v>
      </c>
      <c r="W775" s="246" t="s">
        <v>219</v>
      </c>
      <c r="X775" s="246">
        <v>2</v>
      </c>
      <c r="Y775" s="246">
        <v>2</v>
      </c>
      <c r="Z775" s="246">
        <v>2</v>
      </c>
      <c r="AA775" s="246">
        <v>2</v>
      </c>
      <c r="AB775" s="246" t="s">
        <v>486</v>
      </c>
      <c r="AC775" s="246">
        <v>2</v>
      </c>
      <c r="AD775" s="246" t="s">
        <v>490</v>
      </c>
      <c r="AE775" s="246" t="s">
        <v>486</v>
      </c>
      <c r="AF775" s="246" t="s">
        <v>486</v>
      </c>
      <c r="AG775" s="246" t="s">
        <v>486</v>
      </c>
      <c r="AH775" s="246" t="s">
        <v>486</v>
      </c>
      <c r="AI775" s="246" t="s">
        <v>486</v>
      </c>
      <c r="AJ775" s="246" t="s">
        <v>486</v>
      </c>
      <c r="AK775" s="246" t="s">
        <v>486</v>
      </c>
      <c r="AL775" s="246" t="s">
        <v>491</v>
      </c>
      <c r="AM775" s="246" t="s">
        <v>486</v>
      </c>
      <c r="AN775" s="246" t="s">
        <v>486</v>
      </c>
      <c r="AO775" s="248" t="s">
        <v>486</v>
      </c>
      <c r="AP775" s="247" t="s">
        <v>486</v>
      </c>
      <c r="AQ775" s="249" t="s">
        <v>486</v>
      </c>
      <c r="AR775" s="246" t="s">
        <v>486</v>
      </c>
    </row>
    <row r="776" spans="1:44" ht="15" x14ac:dyDescent="0.25">
      <c r="A776" s="250" t="str">
        <f>HYPERLINK("http://www.ofsted.gov.uk/inspection-reports/find-inspection-report/provider/ELS/135803 ","Ofsted School Webpage")</f>
        <v>Ofsted School Webpage</v>
      </c>
      <c r="B776" s="251">
        <v>135803</v>
      </c>
      <c r="C776" s="251">
        <v>8786213</v>
      </c>
      <c r="D776" s="251" t="s">
        <v>2829</v>
      </c>
      <c r="E776" s="251" t="s">
        <v>248</v>
      </c>
      <c r="F776" s="251" t="s">
        <v>93</v>
      </c>
      <c r="G776" s="251" t="s">
        <v>93</v>
      </c>
      <c r="H776" s="251" t="s">
        <v>93</v>
      </c>
      <c r="I776" s="251" t="s">
        <v>90</v>
      </c>
      <c r="J776" s="251" t="s">
        <v>1490</v>
      </c>
      <c r="K776" s="251" t="s">
        <v>486</v>
      </c>
      <c r="L776" s="251" t="s">
        <v>487</v>
      </c>
      <c r="M776" s="251" t="s">
        <v>483</v>
      </c>
      <c r="N776" s="251" t="s">
        <v>483</v>
      </c>
      <c r="O776" s="251" t="s">
        <v>747</v>
      </c>
      <c r="P776" s="251" t="s">
        <v>2830</v>
      </c>
      <c r="Q776" s="252">
        <v>10047185</v>
      </c>
      <c r="R776" s="253">
        <v>43284</v>
      </c>
      <c r="S776" s="253">
        <v>43286</v>
      </c>
      <c r="T776" s="253">
        <v>43348</v>
      </c>
      <c r="U776" s="251" t="s">
        <v>488</v>
      </c>
      <c r="V776" s="251">
        <v>2</v>
      </c>
      <c r="W776" s="251" t="s">
        <v>219</v>
      </c>
      <c r="X776" s="251">
        <v>2</v>
      </c>
      <c r="Y776" s="251">
        <v>2</v>
      </c>
      <c r="Z776" s="251">
        <v>2</v>
      </c>
      <c r="AA776" s="251">
        <v>2</v>
      </c>
      <c r="AB776" s="251" t="s">
        <v>486</v>
      </c>
      <c r="AC776" s="251" t="s">
        <v>486</v>
      </c>
      <c r="AD776" s="251" t="s">
        <v>490</v>
      </c>
      <c r="AE776" s="251" t="s">
        <v>486</v>
      </c>
      <c r="AF776" s="251" t="s">
        <v>486</v>
      </c>
      <c r="AG776" s="251" t="s">
        <v>486</v>
      </c>
      <c r="AH776" s="251" t="s">
        <v>486</v>
      </c>
      <c r="AI776" s="251" t="s">
        <v>486</v>
      </c>
      <c r="AJ776" s="251" t="s">
        <v>486</v>
      </c>
      <c r="AK776" s="251" t="s">
        <v>486</v>
      </c>
      <c r="AL776" s="251" t="s">
        <v>491</v>
      </c>
      <c r="AM776" s="251" t="s">
        <v>486</v>
      </c>
      <c r="AN776" s="251" t="s">
        <v>486</v>
      </c>
      <c r="AO776" s="253" t="s">
        <v>486</v>
      </c>
      <c r="AP776" s="252" t="s">
        <v>486</v>
      </c>
      <c r="AQ776" s="254" t="s">
        <v>486</v>
      </c>
      <c r="AR776" s="251" t="s">
        <v>486</v>
      </c>
    </row>
    <row r="777" spans="1:44" ht="15" x14ac:dyDescent="0.25">
      <c r="A777" s="245" t="str">
        <f>HYPERLINK("http://www.ofsted.gov.uk/inspection-reports/find-inspection-report/provider/ELS/136168 ","Ofsted School Webpage")</f>
        <v>Ofsted School Webpage</v>
      </c>
      <c r="B777" s="246">
        <v>136168</v>
      </c>
      <c r="C777" s="246">
        <v>8306038</v>
      </c>
      <c r="D777" s="246" t="s">
        <v>2831</v>
      </c>
      <c r="E777" s="246" t="s">
        <v>248</v>
      </c>
      <c r="F777" s="246" t="s">
        <v>93</v>
      </c>
      <c r="G777" s="246" t="s">
        <v>93</v>
      </c>
      <c r="H777" s="246" t="s">
        <v>93</v>
      </c>
      <c r="I777" s="246" t="s">
        <v>90</v>
      </c>
      <c r="J777" s="246" t="s">
        <v>1490</v>
      </c>
      <c r="K777" s="246" t="s">
        <v>486</v>
      </c>
      <c r="L777" s="246" t="s">
        <v>487</v>
      </c>
      <c r="M777" s="246" t="s">
        <v>572</v>
      </c>
      <c r="N777" s="246" t="s">
        <v>572</v>
      </c>
      <c r="O777" s="246" t="s">
        <v>573</v>
      </c>
      <c r="P777" s="246" t="s">
        <v>2832</v>
      </c>
      <c r="Q777" s="247">
        <v>10039189</v>
      </c>
      <c r="R777" s="248">
        <v>43284</v>
      </c>
      <c r="S777" s="248">
        <v>43286</v>
      </c>
      <c r="T777" s="248">
        <v>43348</v>
      </c>
      <c r="U777" s="246" t="s">
        <v>488</v>
      </c>
      <c r="V777" s="246">
        <v>2</v>
      </c>
      <c r="W777" s="246" t="s">
        <v>219</v>
      </c>
      <c r="X777" s="246">
        <v>2</v>
      </c>
      <c r="Y777" s="246">
        <v>2</v>
      </c>
      <c r="Z777" s="246">
        <v>2</v>
      </c>
      <c r="AA777" s="246">
        <v>2</v>
      </c>
      <c r="AB777" s="246" t="s">
        <v>486</v>
      </c>
      <c r="AC777" s="246" t="s">
        <v>486</v>
      </c>
      <c r="AD777" s="246" t="s">
        <v>490</v>
      </c>
      <c r="AE777" s="246" t="s">
        <v>486</v>
      </c>
      <c r="AF777" s="246" t="s">
        <v>486</v>
      </c>
      <c r="AG777" s="246" t="s">
        <v>486</v>
      </c>
      <c r="AH777" s="246" t="s">
        <v>486</v>
      </c>
      <c r="AI777" s="246" t="s">
        <v>486</v>
      </c>
      <c r="AJ777" s="246" t="s">
        <v>486</v>
      </c>
      <c r="AK777" s="246" t="s">
        <v>486</v>
      </c>
      <c r="AL777" s="246" t="s">
        <v>491</v>
      </c>
      <c r="AM777" s="246" t="s">
        <v>486</v>
      </c>
      <c r="AN777" s="246" t="s">
        <v>486</v>
      </c>
      <c r="AO777" s="248" t="s">
        <v>486</v>
      </c>
      <c r="AP777" s="247" t="s">
        <v>486</v>
      </c>
      <c r="AQ777" s="249" t="s">
        <v>486</v>
      </c>
      <c r="AR777" s="246" t="s">
        <v>486</v>
      </c>
    </row>
    <row r="778" spans="1:44" ht="15" x14ac:dyDescent="0.25">
      <c r="A778" s="250" t="str">
        <f>HYPERLINK("http://www.ofsted.gov.uk/inspection-reports/find-inspection-report/provider/ELS/139419 ","Ofsted School Webpage")</f>
        <v>Ofsted School Webpage</v>
      </c>
      <c r="B778" s="251">
        <v>139419</v>
      </c>
      <c r="C778" s="251">
        <v>9376024</v>
      </c>
      <c r="D778" s="251" t="s">
        <v>2833</v>
      </c>
      <c r="E778" s="251" t="s">
        <v>248</v>
      </c>
      <c r="F778" s="251" t="s">
        <v>93</v>
      </c>
      <c r="G778" s="251" t="s">
        <v>93</v>
      </c>
      <c r="H778" s="251" t="s">
        <v>93</v>
      </c>
      <c r="I778" s="251" t="s">
        <v>90</v>
      </c>
      <c r="J778" s="251" t="s">
        <v>1490</v>
      </c>
      <c r="K778" s="251" t="s">
        <v>486</v>
      </c>
      <c r="L778" s="251" t="s">
        <v>487</v>
      </c>
      <c r="M778" s="251" t="s">
        <v>502</v>
      </c>
      <c r="N778" s="251" t="s">
        <v>502</v>
      </c>
      <c r="O778" s="251" t="s">
        <v>503</v>
      </c>
      <c r="P778" s="251" t="s">
        <v>2834</v>
      </c>
      <c r="Q778" s="252">
        <v>10026112</v>
      </c>
      <c r="R778" s="253">
        <v>43284</v>
      </c>
      <c r="S778" s="253">
        <v>43286</v>
      </c>
      <c r="T778" s="253">
        <v>43376</v>
      </c>
      <c r="U778" s="251" t="s">
        <v>488</v>
      </c>
      <c r="V778" s="251">
        <v>4</v>
      </c>
      <c r="W778" s="251" t="s">
        <v>220</v>
      </c>
      <c r="X778" s="251">
        <v>4</v>
      </c>
      <c r="Y778" s="251">
        <v>4</v>
      </c>
      <c r="Z778" s="251">
        <v>3</v>
      </c>
      <c r="AA778" s="251">
        <v>3</v>
      </c>
      <c r="AB778" s="251" t="s">
        <v>486</v>
      </c>
      <c r="AC778" s="251" t="s">
        <v>486</v>
      </c>
      <c r="AD778" s="251" t="s">
        <v>486</v>
      </c>
      <c r="AE778" s="251" t="s">
        <v>486</v>
      </c>
      <c r="AF778" s="251" t="s">
        <v>486</v>
      </c>
      <c r="AG778" s="251" t="s">
        <v>486</v>
      </c>
      <c r="AH778" s="251" t="s">
        <v>486</v>
      </c>
      <c r="AI778" s="251" t="s">
        <v>486</v>
      </c>
      <c r="AJ778" s="251" t="s">
        <v>486</v>
      </c>
      <c r="AK778" s="251" t="s">
        <v>486</v>
      </c>
      <c r="AL778" s="251" t="s">
        <v>545</v>
      </c>
      <c r="AM778" s="251" t="s">
        <v>486</v>
      </c>
      <c r="AN778" s="251" t="s">
        <v>486</v>
      </c>
      <c r="AO778" s="253" t="s">
        <v>486</v>
      </c>
      <c r="AP778" s="252" t="s">
        <v>486</v>
      </c>
      <c r="AQ778" s="254" t="s">
        <v>486</v>
      </c>
      <c r="AR778" s="251" t="s">
        <v>486</v>
      </c>
    </row>
    <row r="779" spans="1:44" ht="15" x14ac:dyDescent="0.25">
      <c r="A779" s="245" t="str">
        <f>HYPERLINK("http://www.ofsted.gov.uk/inspection-reports/find-inspection-report/provider/ELS/139559 ","Ofsted School Webpage")</f>
        <v>Ofsted School Webpage</v>
      </c>
      <c r="B779" s="246">
        <v>139559</v>
      </c>
      <c r="C779" s="246">
        <v>8556042</v>
      </c>
      <c r="D779" s="246" t="s">
        <v>2835</v>
      </c>
      <c r="E779" s="246" t="s">
        <v>248</v>
      </c>
      <c r="F779" s="246" t="s">
        <v>93</v>
      </c>
      <c r="G779" s="246" t="s">
        <v>93</v>
      </c>
      <c r="H779" s="246" t="s">
        <v>93</v>
      </c>
      <c r="I779" s="246" t="s">
        <v>90</v>
      </c>
      <c r="J779" s="246" t="s">
        <v>1490</v>
      </c>
      <c r="K779" s="246" t="s">
        <v>486</v>
      </c>
      <c r="L779" s="246" t="s">
        <v>487</v>
      </c>
      <c r="M779" s="246" t="s">
        <v>572</v>
      </c>
      <c r="N779" s="246" t="s">
        <v>572</v>
      </c>
      <c r="O779" s="246" t="s">
        <v>966</v>
      </c>
      <c r="P779" s="246" t="s">
        <v>2836</v>
      </c>
      <c r="Q779" s="247">
        <v>10026052</v>
      </c>
      <c r="R779" s="248">
        <v>43284</v>
      </c>
      <c r="S779" s="248">
        <v>43286</v>
      </c>
      <c r="T779" s="248">
        <v>43349</v>
      </c>
      <c r="U779" s="246" t="s">
        <v>488</v>
      </c>
      <c r="V779" s="246">
        <v>2</v>
      </c>
      <c r="W779" s="246" t="s">
        <v>219</v>
      </c>
      <c r="X779" s="246">
        <v>2</v>
      </c>
      <c r="Y779" s="246">
        <v>2</v>
      </c>
      <c r="Z779" s="246">
        <v>2</v>
      </c>
      <c r="AA779" s="246">
        <v>2</v>
      </c>
      <c r="AB779" s="246" t="s">
        <v>486</v>
      </c>
      <c r="AC779" s="246">
        <v>2</v>
      </c>
      <c r="AD779" s="246" t="s">
        <v>490</v>
      </c>
      <c r="AE779" s="246" t="s">
        <v>486</v>
      </c>
      <c r="AF779" s="246" t="s">
        <v>486</v>
      </c>
      <c r="AG779" s="246" t="s">
        <v>486</v>
      </c>
      <c r="AH779" s="246" t="s">
        <v>486</v>
      </c>
      <c r="AI779" s="246" t="s">
        <v>486</v>
      </c>
      <c r="AJ779" s="246" t="s">
        <v>486</v>
      </c>
      <c r="AK779" s="246" t="s">
        <v>486</v>
      </c>
      <c r="AL779" s="246" t="s">
        <v>491</v>
      </c>
      <c r="AM779" s="246" t="s">
        <v>486</v>
      </c>
      <c r="AN779" s="246" t="s">
        <v>486</v>
      </c>
      <c r="AO779" s="248" t="s">
        <v>486</v>
      </c>
      <c r="AP779" s="247" t="s">
        <v>486</v>
      </c>
      <c r="AQ779" s="249" t="s">
        <v>486</v>
      </c>
      <c r="AR779" s="246" t="s">
        <v>486</v>
      </c>
    </row>
    <row r="780" spans="1:44" ht="15" x14ac:dyDescent="0.25">
      <c r="A780" s="250" t="str">
        <f>HYPERLINK("http://www.ofsted.gov.uk/inspection-reports/find-inspection-report/provider/ELS/142859 ","Ofsted School Webpage")</f>
        <v>Ofsted School Webpage</v>
      </c>
      <c r="B780" s="251">
        <v>142859</v>
      </c>
      <c r="C780" s="251">
        <v>8866143</v>
      </c>
      <c r="D780" s="251" t="s">
        <v>1342</v>
      </c>
      <c r="E780" s="251" t="s">
        <v>248</v>
      </c>
      <c r="F780" s="251" t="s">
        <v>93</v>
      </c>
      <c r="G780" s="251" t="s">
        <v>93</v>
      </c>
      <c r="H780" s="251" t="s">
        <v>93</v>
      </c>
      <c r="I780" s="251" t="s">
        <v>90</v>
      </c>
      <c r="J780" s="251" t="s">
        <v>1490</v>
      </c>
      <c r="K780" s="251" t="s">
        <v>486</v>
      </c>
      <c r="L780" s="251" t="s">
        <v>487</v>
      </c>
      <c r="M780" s="251" t="s">
        <v>581</v>
      </c>
      <c r="N780" s="251" t="s">
        <v>581</v>
      </c>
      <c r="O780" s="251" t="s">
        <v>694</v>
      </c>
      <c r="P780" s="251" t="s">
        <v>1343</v>
      </c>
      <c r="Q780" s="252">
        <v>10044146</v>
      </c>
      <c r="R780" s="253">
        <v>43284</v>
      </c>
      <c r="S780" s="253">
        <v>43286</v>
      </c>
      <c r="T780" s="253">
        <v>43353</v>
      </c>
      <c r="U780" s="251" t="s">
        <v>499</v>
      </c>
      <c r="V780" s="251">
        <v>2</v>
      </c>
      <c r="W780" s="251" t="s">
        <v>219</v>
      </c>
      <c r="X780" s="251">
        <v>2</v>
      </c>
      <c r="Y780" s="251">
        <v>2</v>
      </c>
      <c r="Z780" s="251">
        <v>2</v>
      </c>
      <c r="AA780" s="251">
        <v>2</v>
      </c>
      <c r="AB780" s="251" t="s">
        <v>486</v>
      </c>
      <c r="AC780" s="251" t="s">
        <v>486</v>
      </c>
      <c r="AD780" s="251" t="s">
        <v>490</v>
      </c>
      <c r="AE780" s="251" t="s">
        <v>486</v>
      </c>
      <c r="AF780" s="251" t="s">
        <v>486</v>
      </c>
      <c r="AG780" s="251" t="s">
        <v>486</v>
      </c>
      <c r="AH780" s="251" t="s">
        <v>486</v>
      </c>
      <c r="AI780" s="251" t="s">
        <v>486</v>
      </c>
      <c r="AJ780" s="251" t="s">
        <v>486</v>
      </c>
      <c r="AK780" s="251" t="s">
        <v>486</v>
      </c>
      <c r="AL780" s="251" t="s">
        <v>491</v>
      </c>
      <c r="AM780" s="251" t="s">
        <v>486</v>
      </c>
      <c r="AN780" s="251" t="s">
        <v>486</v>
      </c>
      <c r="AO780" s="253" t="s">
        <v>486</v>
      </c>
      <c r="AP780" s="252" t="s">
        <v>486</v>
      </c>
      <c r="AQ780" s="254" t="s">
        <v>486</v>
      </c>
      <c r="AR780" s="251" t="s">
        <v>486</v>
      </c>
    </row>
    <row r="781" spans="1:44" ht="15" x14ac:dyDescent="0.25">
      <c r="A781" s="245" t="str">
        <f>HYPERLINK("http://www.ofsted.gov.uk/inspection-reports/find-inspection-report/provider/ELS/143646 ","Ofsted School Webpage")</f>
        <v>Ofsted School Webpage</v>
      </c>
      <c r="B781" s="246">
        <v>143646</v>
      </c>
      <c r="C781" s="246">
        <v>3516006</v>
      </c>
      <c r="D781" s="246" t="s">
        <v>2837</v>
      </c>
      <c r="E781" s="246" t="s">
        <v>247</v>
      </c>
      <c r="F781" s="246" t="s">
        <v>93</v>
      </c>
      <c r="G781" s="246" t="s">
        <v>93</v>
      </c>
      <c r="H781" s="246" t="s">
        <v>93</v>
      </c>
      <c r="I781" s="246" t="s">
        <v>90</v>
      </c>
      <c r="J781" s="246" t="s">
        <v>1490</v>
      </c>
      <c r="K781" s="246" t="s">
        <v>486</v>
      </c>
      <c r="L781" s="246" t="s">
        <v>487</v>
      </c>
      <c r="M781" s="246" t="s">
        <v>495</v>
      </c>
      <c r="N781" s="246" t="s">
        <v>495</v>
      </c>
      <c r="O781" s="246" t="s">
        <v>1045</v>
      </c>
      <c r="P781" s="246" t="s">
        <v>2838</v>
      </c>
      <c r="Q781" s="247">
        <v>10043787</v>
      </c>
      <c r="R781" s="248">
        <v>43284</v>
      </c>
      <c r="S781" s="248">
        <v>43286</v>
      </c>
      <c r="T781" s="248">
        <v>43304</v>
      </c>
      <c r="U781" s="246" t="s">
        <v>499</v>
      </c>
      <c r="V781" s="246">
        <v>2</v>
      </c>
      <c r="W781" s="246" t="s">
        <v>219</v>
      </c>
      <c r="X781" s="246">
        <v>2</v>
      </c>
      <c r="Y781" s="246">
        <v>2</v>
      </c>
      <c r="Z781" s="246">
        <v>2</v>
      </c>
      <c r="AA781" s="246">
        <v>2</v>
      </c>
      <c r="AB781" s="246" t="s">
        <v>486</v>
      </c>
      <c r="AC781" s="246">
        <v>2</v>
      </c>
      <c r="AD781" s="246" t="s">
        <v>490</v>
      </c>
      <c r="AE781" s="246" t="s">
        <v>486</v>
      </c>
      <c r="AF781" s="246" t="s">
        <v>486</v>
      </c>
      <c r="AG781" s="246" t="s">
        <v>486</v>
      </c>
      <c r="AH781" s="246" t="s">
        <v>486</v>
      </c>
      <c r="AI781" s="246" t="s">
        <v>486</v>
      </c>
      <c r="AJ781" s="246" t="s">
        <v>486</v>
      </c>
      <c r="AK781" s="246" t="s">
        <v>486</v>
      </c>
      <c r="AL781" s="246" t="s">
        <v>491</v>
      </c>
      <c r="AM781" s="246" t="s">
        <v>486</v>
      </c>
      <c r="AN781" s="246" t="s">
        <v>486</v>
      </c>
      <c r="AO781" s="248" t="s">
        <v>486</v>
      </c>
      <c r="AP781" s="247" t="s">
        <v>486</v>
      </c>
      <c r="AQ781" s="249" t="s">
        <v>486</v>
      </c>
      <c r="AR781" s="246" t="s">
        <v>486</v>
      </c>
    </row>
    <row r="782" spans="1:44" ht="15" x14ac:dyDescent="0.25">
      <c r="A782" s="250" t="str">
        <f>HYPERLINK("http://www.ofsted.gov.uk/inspection-reports/find-inspection-report/provider/ELS/144404 ","Ofsted School Webpage")</f>
        <v>Ofsted School Webpage</v>
      </c>
      <c r="B782" s="251">
        <v>144404</v>
      </c>
      <c r="C782" s="251">
        <v>8946009</v>
      </c>
      <c r="D782" s="251" t="s">
        <v>2839</v>
      </c>
      <c r="E782" s="251" t="s">
        <v>247</v>
      </c>
      <c r="F782" s="251" t="s">
        <v>93</v>
      </c>
      <c r="G782" s="251" t="s">
        <v>93</v>
      </c>
      <c r="H782" s="251" t="s">
        <v>93</v>
      </c>
      <c r="I782" s="251" t="s">
        <v>90</v>
      </c>
      <c r="J782" s="251" t="s">
        <v>1490</v>
      </c>
      <c r="K782" s="251" t="s">
        <v>486</v>
      </c>
      <c r="L782" s="251" t="s">
        <v>487</v>
      </c>
      <c r="M782" s="251" t="s">
        <v>502</v>
      </c>
      <c r="N782" s="251" t="s">
        <v>502</v>
      </c>
      <c r="O782" s="251" t="s">
        <v>520</v>
      </c>
      <c r="P782" s="251" t="s">
        <v>1062</v>
      </c>
      <c r="Q782" s="252">
        <v>10045271</v>
      </c>
      <c r="R782" s="253">
        <v>43284</v>
      </c>
      <c r="S782" s="253">
        <v>43286</v>
      </c>
      <c r="T782" s="253">
        <v>43356</v>
      </c>
      <c r="U782" s="251" t="s">
        <v>499</v>
      </c>
      <c r="V782" s="251">
        <v>2</v>
      </c>
      <c r="W782" s="251" t="s">
        <v>219</v>
      </c>
      <c r="X782" s="251">
        <v>2</v>
      </c>
      <c r="Y782" s="251">
        <v>2</v>
      </c>
      <c r="Z782" s="251">
        <v>2</v>
      </c>
      <c r="AA782" s="251">
        <v>2</v>
      </c>
      <c r="AB782" s="251" t="s">
        <v>486</v>
      </c>
      <c r="AC782" s="251" t="s">
        <v>486</v>
      </c>
      <c r="AD782" s="251" t="s">
        <v>490</v>
      </c>
      <c r="AE782" s="251" t="s">
        <v>486</v>
      </c>
      <c r="AF782" s="251" t="s">
        <v>486</v>
      </c>
      <c r="AG782" s="251" t="s">
        <v>486</v>
      </c>
      <c r="AH782" s="251" t="s">
        <v>486</v>
      </c>
      <c r="AI782" s="251" t="s">
        <v>486</v>
      </c>
      <c r="AJ782" s="251" t="s">
        <v>486</v>
      </c>
      <c r="AK782" s="251" t="s">
        <v>486</v>
      </c>
      <c r="AL782" s="251" t="s">
        <v>491</v>
      </c>
      <c r="AM782" s="251" t="s">
        <v>486</v>
      </c>
      <c r="AN782" s="251" t="s">
        <v>486</v>
      </c>
      <c r="AO782" s="253" t="s">
        <v>486</v>
      </c>
      <c r="AP782" s="252" t="s">
        <v>486</v>
      </c>
      <c r="AQ782" s="254" t="s">
        <v>486</v>
      </c>
      <c r="AR782" s="251" t="s">
        <v>486</v>
      </c>
    </row>
    <row r="783" spans="1:44" ht="15" x14ac:dyDescent="0.25">
      <c r="A783" s="245" t="str">
        <f>HYPERLINK("http://www.ofsted.gov.uk/inspection-reports/find-inspection-report/provider/ELS/144856 ","Ofsted School Webpage")</f>
        <v>Ofsted School Webpage</v>
      </c>
      <c r="B783" s="246">
        <v>144856</v>
      </c>
      <c r="C783" s="246">
        <v>3416010</v>
      </c>
      <c r="D783" s="246" t="s">
        <v>1203</v>
      </c>
      <c r="E783" s="246" t="s">
        <v>247</v>
      </c>
      <c r="F783" s="246" t="s">
        <v>93</v>
      </c>
      <c r="G783" s="246" t="s">
        <v>93</v>
      </c>
      <c r="H783" s="246" t="s">
        <v>93</v>
      </c>
      <c r="I783" s="246" t="s">
        <v>90</v>
      </c>
      <c r="J783" s="246" t="s">
        <v>1490</v>
      </c>
      <c r="K783" s="246" t="s">
        <v>486</v>
      </c>
      <c r="L783" s="246" t="s">
        <v>487</v>
      </c>
      <c r="M783" s="246" t="s">
        <v>495</v>
      </c>
      <c r="N783" s="246" t="s">
        <v>495</v>
      </c>
      <c r="O783" s="246" t="s">
        <v>736</v>
      </c>
      <c r="P783" s="246" t="s">
        <v>1204</v>
      </c>
      <c r="Q783" s="247">
        <v>10048615</v>
      </c>
      <c r="R783" s="248">
        <v>43291</v>
      </c>
      <c r="S783" s="248">
        <v>43292</v>
      </c>
      <c r="T783" s="248">
        <v>43322</v>
      </c>
      <c r="U783" s="246" t="s">
        <v>499</v>
      </c>
      <c r="V783" s="246">
        <v>2</v>
      </c>
      <c r="W783" s="246" t="s">
        <v>219</v>
      </c>
      <c r="X783" s="246">
        <v>2</v>
      </c>
      <c r="Y783" s="246">
        <v>1</v>
      </c>
      <c r="Z783" s="246">
        <v>2</v>
      </c>
      <c r="AA783" s="246">
        <v>2</v>
      </c>
      <c r="AB783" s="246" t="s">
        <v>486</v>
      </c>
      <c r="AC783" s="246" t="s">
        <v>486</v>
      </c>
      <c r="AD783" s="246" t="s">
        <v>490</v>
      </c>
      <c r="AE783" s="246" t="s">
        <v>486</v>
      </c>
      <c r="AF783" s="246" t="s">
        <v>486</v>
      </c>
      <c r="AG783" s="246" t="s">
        <v>486</v>
      </c>
      <c r="AH783" s="246" t="s">
        <v>486</v>
      </c>
      <c r="AI783" s="246" t="s">
        <v>486</v>
      </c>
      <c r="AJ783" s="246" t="s">
        <v>486</v>
      </c>
      <c r="AK783" s="246" t="s">
        <v>486</v>
      </c>
      <c r="AL783" s="246" t="s">
        <v>491</v>
      </c>
      <c r="AM783" s="246" t="s">
        <v>486</v>
      </c>
      <c r="AN783" s="246" t="s">
        <v>486</v>
      </c>
      <c r="AO783" s="248" t="s">
        <v>486</v>
      </c>
      <c r="AP783" s="247" t="s">
        <v>486</v>
      </c>
      <c r="AQ783" s="249" t="s">
        <v>486</v>
      </c>
      <c r="AR783" s="246" t="s">
        <v>486</v>
      </c>
    </row>
    <row r="784" spans="1:44" ht="15" x14ac:dyDescent="0.25">
      <c r="A784" s="250" t="str">
        <f>HYPERLINK("http://www.ofsted.gov.uk/inspection-reports/find-inspection-report/provider/ELS/108414 ","Ofsted School Webpage")</f>
        <v>Ofsted School Webpage</v>
      </c>
      <c r="B784" s="251">
        <v>108414</v>
      </c>
      <c r="C784" s="251">
        <v>3906002</v>
      </c>
      <c r="D784" s="251" t="s">
        <v>2840</v>
      </c>
      <c r="E784" s="251" t="s">
        <v>247</v>
      </c>
      <c r="F784" s="251" t="s">
        <v>93</v>
      </c>
      <c r="G784" s="251" t="s">
        <v>81</v>
      </c>
      <c r="H784" s="251" t="s">
        <v>81</v>
      </c>
      <c r="I784" s="251" t="s">
        <v>81</v>
      </c>
      <c r="J784" s="251" t="s">
        <v>1490</v>
      </c>
      <c r="K784" s="251" t="s">
        <v>486</v>
      </c>
      <c r="L784" s="251" t="s">
        <v>487</v>
      </c>
      <c r="M784" s="251" t="s">
        <v>523</v>
      </c>
      <c r="N784" s="251" t="s">
        <v>539</v>
      </c>
      <c r="O784" s="251" t="s">
        <v>883</v>
      </c>
      <c r="P784" s="251" t="s">
        <v>2841</v>
      </c>
      <c r="Q784" s="252">
        <v>10046953</v>
      </c>
      <c r="R784" s="253">
        <v>43291</v>
      </c>
      <c r="S784" s="253">
        <v>43293</v>
      </c>
      <c r="T784" s="253">
        <v>43357</v>
      </c>
      <c r="U784" s="251" t="s">
        <v>488</v>
      </c>
      <c r="V784" s="251">
        <v>3</v>
      </c>
      <c r="W784" s="251" t="s">
        <v>219</v>
      </c>
      <c r="X784" s="251">
        <v>3</v>
      </c>
      <c r="Y784" s="251">
        <v>2</v>
      </c>
      <c r="Z784" s="251">
        <v>3</v>
      </c>
      <c r="AA784" s="251">
        <v>3</v>
      </c>
      <c r="AB784" s="251" t="s">
        <v>486</v>
      </c>
      <c r="AC784" s="251" t="s">
        <v>486</v>
      </c>
      <c r="AD784" s="251" t="s">
        <v>490</v>
      </c>
      <c r="AE784" s="251" t="s">
        <v>486</v>
      </c>
      <c r="AF784" s="251" t="s">
        <v>486</v>
      </c>
      <c r="AG784" s="251" t="s">
        <v>486</v>
      </c>
      <c r="AH784" s="251" t="s">
        <v>486</v>
      </c>
      <c r="AI784" s="251" t="s">
        <v>486</v>
      </c>
      <c r="AJ784" s="251" t="s">
        <v>486</v>
      </c>
      <c r="AK784" s="251" t="s">
        <v>486</v>
      </c>
      <c r="AL784" s="251" t="s">
        <v>545</v>
      </c>
      <c r="AM784" s="251" t="s">
        <v>486</v>
      </c>
      <c r="AN784" s="251" t="s">
        <v>486</v>
      </c>
      <c r="AO784" s="253" t="s">
        <v>486</v>
      </c>
      <c r="AP784" s="252" t="s">
        <v>486</v>
      </c>
      <c r="AQ784" s="254" t="s">
        <v>486</v>
      </c>
      <c r="AR784" s="251" t="s">
        <v>486</v>
      </c>
    </row>
    <row r="785" spans="1:44" ht="15" x14ac:dyDescent="0.25">
      <c r="A785" s="245" t="str">
        <f>HYPERLINK("http://www.ofsted.gov.uk/inspection-reports/find-inspection-report/provider/ELS/113021 ","Ofsted School Webpage")</f>
        <v>Ofsted School Webpage</v>
      </c>
      <c r="B785" s="246">
        <v>113021</v>
      </c>
      <c r="C785" s="246">
        <v>8306016</v>
      </c>
      <c r="D785" s="246" t="s">
        <v>2842</v>
      </c>
      <c r="E785" s="246" t="s">
        <v>248</v>
      </c>
      <c r="F785" s="246" t="s">
        <v>93</v>
      </c>
      <c r="G785" s="246" t="s">
        <v>93</v>
      </c>
      <c r="H785" s="246" t="s">
        <v>93</v>
      </c>
      <c r="I785" s="246" t="s">
        <v>90</v>
      </c>
      <c r="J785" s="246" t="s">
        <v>1490</v>
      </c>
      <c r="K785" s="246" t="s">
        <v>486</v>
      </c>
      <c r="L785" s="246" t="s">
        <v>487</v>
      </c>
      <c r="M785" s="246" t="s">
        <v>572</v>
      </c>
      <c r="N785" s="246" t="s">
        <v>572</v>
      </c>
      <c r="O785" s="246" t="s">
        <v>573</v>
      </c>
      <c r="P785" s="246" t="s">
        <v>2843</v>
      </c>
      <c r="Q785" s="247">
        <v>10039178</v>
      </c>
      <c r="R785" s="248">
        <v>43291</v>
      </c>
      <c r="S785" s="248">
        <v>43293</v>
      </c>
      <c r="T785" s="248">
        <v>43355</v>
      </c>
      <c r="U785" s="246" t="s">
        <v>488</v>
      </c>
      <c r="V785" s="246">
        <v>2</v>
      </c>
      <c r="W785" s="246" t="s">
        <v>219</v>
      </c>
      <c r="X785" s="246">
        <v>1</v>
      </c>
      <c r="Y785" s="246">
        <v>1</v>
      </c>
      <c r="Z785" s="246">
        <v>2</v>
      </c>
      <c r="AA785" s="246">
        <v>2</v>
      </c>
      <c r="AB785" s="246" t="s">
        <v>486</v>
      </c>
      <c r="AC785" s="246">
        <v>2</v>
      </c>
      <c r="AD785" s="246" t="s">
        <v>490</v>
      </c>
      <c r="AE785" s="246" t="s">
        <v>486</v>
      </c>
      <c r="AF785" s="246" t="s">
        <v>486</v>
      </c>
      <c r="AG785" s="246" t="s">
        <v>486</v>
      </c>
      <c r="AH785" s="246" t="s">
        <v>486</v>
      </c>
      <c r="AI785" s="246" t="s">
        <v>486</v>
      </c>
      <c r="AJ785" s="246" t="s">
        <v>486</v>
      </c>
      <c r="AK785" s="246" t="s">
        <v>486</v>
      </c>
      <c r="AL785" s="246" t="s">
        <v>491</v>
      </c>
      <c r="AM785" s="246" t="s">
        <v>486</v>
      </c>
      <c r="AN785" s="246" t="s">
        <v>486</v>
      </c>
      <c r="AO785" s="248" t="s">
        <v>486</v>
      </c>
      <c r="AP785" s="247" t="s">
        <v>486</v>
      </c>
      <c r="AQ785" s="249" t="s">
        <v>486</v>
      </c>
      <c r="AR785" s="246" t="s">
        <v>486</v>
      </c>
    </row>
    <row r="786" spans="1:44" ht="15" x14ac:dyDescent="0.25">
      <c r="A786" s="250" t="str">
        <f>HYPERLINK("http://www.ofsted.gov.uk/inspection-reports/find-inspection-report/provider/ELS/115809 ","Ofsted School Webpage")</f>
        <v>Ofsted School Webpage</v>
      </c>
      <c r="B786" s="251">
        <v>115809</v>
      </c>
      <c r="C786" s="251">
        <v>9166072</v>
      </c>
      <c r="D786" s="251" t="s">
        <v>2844</v>
      </c>
      <c r="E786" s="251" t="s">
        <v>248</v>
      </c>
      <c r="F786" s="251" t="s">
        <v>93</v>
      </c>
      <c r="G786" s="251" t="s">
        <v>93</v>
      </c>
      <c r="H786" s="251" t="s">
        <v>93</v>
      </c>
      <c r="I786" s="251" t="s">
        <v>90</v>
      </c>
      <c r="J786" s="251" t="s">
        <v>1490</v>
      </c>
      <c r="K786" s="251" t="s">
        <v>486</v>
      </c>
      <c r="L786" s="251" t="s">
        <v>487</v>
      </c>
      <c r="M786" s="251" t="s">
        <v>483</v>
      </c>
      <c r="N786" s="251" t="s">
        <v>483</v>
      </c>
      <c r="O786" s="251" t="s">
        <v>948</v>
      </c>
      <c r="P786" s="251" t="s">
        <v>2845</v>
      </c>
      <c r="Q786" s="252">
        <v>10047180</v>
      </c>
      <c r="R786" s="253">
        <v>43291</v>
      </c>
      <c r="S786" s="253">
        <v>43293</v>
      </c>
      <c r="T786" s="253">
        <v>43353</v>
      </c>
      <c r="U786" s="251" t="s">
        <v>488</v>
      </c>
      <c r="V786" s="251">
        <v>2</v>
      </c>
      <c r="W786" s="251" t="s">
        <v>219</v>
      </c>
      <c r="X786" s="251">
        <v>2</v>
      </c>
      <c r="Y786" s="251">
        <v>2</v>
      </c>
      <c r="Z786" s="251">
        <v>2</v>
      </c>
      <c r="AA786" s="251">
        <v>2</v>
      </c>
      <c r="AB786" s="251" t="s">
        <v>486</v>
      </c>
      <c r="AC786" s="251" t="s">
        <v>486</v>
      </c>
      <c r="AD786" s="251" t="s">
        <v>490</v>
      </c>
      <c r="AE786" s="251" t="s">
        <v>486</v>
      </c>
      <c r="AF786" s="251" t="s">
        <v>486</v>
      </c>
      <c r="AG786" s="251" t="s">
        <v>486</v>
      </c>
      <c r="AH786" s="251" t="s">
        <v>486</v>
      </c>
      <c r="AI786" s="251" t="s">
        <v>486</v>
      </c>
      <c r="AJ786" s="251" t="s">
        <v>486</v>
      </c>
      <c r="AK786" s="251" t="s">
        <v>486</v>
      </c>
      <c r="AL786" s="251" t="s">
        <v>491</v>
      </c>
      <c r="AM786" s="251" t="s">
        <v>486</v>
      </c>
      <c r="AN786" s="251" t="s">
        <v>486</v>
      </c>
      <c r="AO786" s="253" t="s">
        <v>486</v>
      </c>
      <c r="AP786" s="252" t="s">
        <v>486</v>
      </c>
      <c r="AQ786" s="254" t="s">
        <v>486</v>
      </c>
      <c r="AR786" s="251" t="s">
        <v>486</v>
      </c>
    </row>
    <row r="787" spans="1:44" ht="15" x14ac:dyDescent="0.25">
      <c r="A787" s="245" t="str">
        <f>HYPERLINK("http://www.ofsted.gov.uk/inspection-reports/find-inspection-report/provider/ELS/116589 ","Ofsted School Webpage")</f>
        <v>Ofsted School Webpage</v>
      </c>
      <c r="B787" s="246">
        <v>116589</v>
      </c>
      <c r="C787" s="246">
        <v>8506005</v>
      </c>
      <c r="D787" s="246" t="s">
        <v>2846</v>
      </c>
      <c r="E787" s="246" t="s">
        <v>248</v>
      </c>
      <c r="F787" s="246" t="s">
        <v>93</v>
      </c>
      <c r="G787" s="246" t="s">
        <v>93</v>
      </c>
      <c r="H787" s="246" t="s">
        <v>93</v>
      </c>
      <c r="I787" s="246" t="s">
        <v>90</v>
      </c>
      <c r="J787" s="246" t="s">
        <v>1490</v>
      </c>
      <c r="K787" s="246" t="s">
        <v>486</v>
      </c>
      <c r="L787" s="246" t="s">
        <v>487</v>
      </c>
      <c r="M787" s="246" t="s">
        <v>581</v>
      </c>
      <c r="N787" s="246" t="s">
        <v>581</v>
      </c>
      <c r="O787" s="246" t="s">
        <v>582</v>
      </c>
      <c r="P787" s="246" t="s">
        <v>2847</v>
      </c>
      <c r="Q787" s="247">
        <v>10047017</v>
      </c>
      <c r="R787" s="248">
        <v>43291</v>
      </c>
      <c r="S787" s="248">
        <v>43293</v>
      </c>
      <c r="T787" s="248">
        <v>43367</v>
      </c>
      <c r="U787" s="246" t="s">
        <v>2930</v>
      </c>
      <c r="V787" s="246">
        <v>1</v>
      </c>
      <c r="W787" s="246" t="s">
        <v>219</v>
      </c>
      <c r="X787" s="246">
        <v>1</v>
      </c>
      <c r="Y787" s="246">
        <v>1</v>
      </c>
      <c r="Z787" s="246">
        <v>1</v>
      </c>
      <c r="AA787" s="246">
        <v>1</v>
      </c>
      <c r="AB787" s="246" t="s">
        <v>486</v>
      </c>
      <c r="AC787" s="246">
        <v>1</v>
      </c>
      <c r="AD787" s="246" t="s">
        <v>490</v>
      </c>
      <c r="AE787" s="246" t="s">
        <v>486</v>
      </c>
      <c r="AF787" s="246" t="s">
        <v>486</v>
      </c>
      <c r="AG787" s="246" t="s">
        <v>486</v>
      </c>
      <c r="AH787" s="246" t="s">
        <v>486</v>
      </c>
      <c r="AI787" s="246" t="s">
        <v>486</v>
      </c>
      <c r="AJ787" s="246" t="s">
        <v>486</v>
      </c>
      <c r="AK787" s="246" t="s">
        <v>486</v>
      </c>
      <c r="AL787" s="246" t="s">
        <v>491</v>
      </c>
      <c r="AM787" s="246" t="s">
        <v>486</v>
      </c>
      <c r="AN787" s="246" t="s">
        <v>486</v>
      </c>
      <c r="AO787" s="248" t="s">
        <v>486</v>
      </c>
      <c r="AP787" s="247" t="s">
        <v>486</v>
      </c>
      <c r="AQ787" s="249" t="s">
        <v>486</v>
      </c>
      <c r="AR787" s="246" t="s">
        <v>486</v>
      </c>
    </row>
    <row r="788" spans="1:44" ht="15" x14ac:dyDescent="0.25">
      <c r="A788" s="250" t="str">
        <f>HYPERLINK("http://www.ofsted.gov.uk/inspection-reports/find-inspection-report/provider/ELS/130287 ","Ofsted School Webpage")</f>
        <v>Ofsted School Webpage</v>
      </c>
      <c r="B788" s="251">
        <v>130287</v>
      </c>
      <c r="C788" s="251">
        <v>3556031</v>
      </c>
      <c r="D788" s="251" t="s">
        <v>2848</v>
      </c>
      <c r="E788" s="251" t="s">
        <v>247</v>
      </c>
      <c r="F788" s="251" t="s">
        <v>93</v>
      </c>
      <c r="G788" s="251" t="s">
        <v>81</v>
      </c>
      <c r="H788" s="251" t="s">
        <v>81</v>
      </c>
      <c r="I788" s="251" t="s">
        <v>81</v>
      </c>
      <c r="J788" s="251" t="s">
        <v>1490</v>
      </c>
      <c r="K788" s="251" t="s">
        <v>486</v>
      </c>
      <c r="L788" s="251" t="s">
        <v>487</v>
      </c>
      <c r="M788" s="251" t="s">
        <v>495</v>
      </c>
      <c r="N788" s="251" t="s">
        <v>495</v>
      </c>
      <c r="O788" s="251" t="s">
        <v>601</v>
      </c>
      <c r="P788" s="251" t="s">
        <v>2849</v>
      </c>
      <c r="Q788" s="252">
        <v>10034024</v>
      </c>
      <c r="R788" s="253">
        <v>43291</v>
      </c>
      <c r="S788" s="253">
        <v>43293</v>
      </c>
      <c r="T788" s="253">
        <v>43418</v>
      </c>
      <c r="U788" s="251" t="s">
        <v>488</v>
      </c>
      <c r="V788" s="251">
        <v>4</v>
      </c>
      <c r="W788" s="251" t="s">
        <v>220</v>
      </c>
      <c r="X788" s="251">
        <v>4</v>
      </c>
      <c r="Y788" s="251">
        <v>4</v>
      </c>
      <c r="Z788" s="251">
        <v>4</v>
      </c>
      <c r="AA788" s="251">
        <v>4</v>
      </c>
      <c r="AB788" s="251" t="s">
        <v>486</v>
      </c>
      <c r="AC788" s="251" t="s">
        <v>486</v>
      </c>
      <c r="AD788" s="251" t="s">
        <v>512</v>
      </c>
      <c r="AE788" s="251" t="s">
        <v>486</v>
      </c>
      <c r="AF788" s="251" t="s">
        <v>486</v>
      </c>
      <c r="AG788" s="251" t="s">
        <v>490</v>
      </c>
      <c r="AH788" s="251" t="s">
        <v>490</v>
      </c>
      <c r="AI788" s="251" t="s">
        <v>486</v>
      </c>
      <c r="AJ788" s="251" t="s">
        <v>486</v>
      </c>
      <c r="AK788" s="251" t="s">
        <v>486</v>
      </c>
      <c r="AL788" s="251" t="s">
        <v>545</v>
      </c>
      <c r="AM788" s="251" t="s">
        <v>486</v>
      </c>
      <c r="AN788" s="251" t="s">
        <v>486</v>
      </c>
      <c r="AO788" s="253" t="s">
        <v>486</v>
      </c>
      <c r="AP788" s="252" t="s">
        <v>486</v>
      </c>
      <c r="AQ788" s="254" t="s">
        <v>486</v>
      </c>
      <c r="AR788" s="251" t="s">
        <v>486</v>
      </c>
    </row>
    <row r="789" spans="1:44" ht="15" x14ac:dyDescent="0.25">
      <c r="A789" s="245" t="str">
        <f>HYPERLINK("http://www.ofsted.gov.uk/inspection-reports/find-inspection-report/provider/ELS/131171 ","Ofsted School Webpage")</f>
        <v>Ofsted School Webpage</v>
      </c>
      <c r="B789" s="246">
        <v>131171</v>
      </c>
      <c r="C789" s="246">
        <v>8936099</v>
      </c>
      <c r="D789" s="246" t="s">
        <v>2850</v>
      </c>
      <c r="E789" s="246" t="s">
        <v>248</v>
      </c>
      <c r="F789" s="246" t="s">
        <v>93</v>
      </c>
      <c r="G789" s="246" t="s">
        <v>93</v>
      </c>
      <c r="H789" s="246" t="s">
        <v>93</v>
      </c>
      <c r="I789" s="246" t="s">
        <v>90</v>
      </c>
      <c r="J789" s="246" t="s">
        <v>1490</v>
      </c>
      <c r="K789" s="246" t="s">
        <v>486</v>
      </c>
      <c r="L789" s="246" t="s">
        <v>487</v>
      </c>
      <c r="M789" s="246" t="s">
        <v>502</v>
      </c>
      <c r="N789" s="246" t="s">
        <v>502</v>
      </c>
      <c r="O789" s="246" t="s">
        <v>666</v>
      </c>
      <c r="P789" s="246" t="s">
        <v>607</v>
      </c>
      <c r="Q789" s="247">
        <v>10041365</v>
      </c>
      <c r="R789" s="248">
        <v>43291</v>
      </c>
      <c r="S789" s="248">
        <v>43293</v>
      </c>
      <c r="T789" s="248">
        <v>43360</v>
      </c>
      <c r="U789" s="246" t="s">
        <v>2930</v>
      </c>
      <c r="V789" s="246">
        <v>2</v>
      </c>
      <c r="W789" s="246" t="s">
        <v>219</v>
      </c>
      <c r="X789" s="246">
        <v>2</v>
      </c>
      <c r="Y789" s="246">
        <v>2</v>
      </c>
      <c r="Z789" s="246">
        <v>2</v>
      </c>
      <c r="AA789" s="246">
        <v>2</v>
      </c>
      <c r="AB789" s="246" t="s">
        <v>486</v>
      </c>
      <c r="AC789" s="246" t="s">
        <v>486</v>
      </c>
      <c r="AD789" s="246" t="s">
        <v>490</v>
      </c>
      <c r="AE789" s="246" t="s">
        <v>486</v>
      </c>
      <c r="AF789" s="246" t="s">
        <v>486</v>
      </c>
      <c r="AG789" s="246" t="s">
        <v>486</v>
      </c>
      <c r="AH789" s="246" t="s">
        <v>486</v>
      </c>
      <c r="AI789" s="246" t="s">
        <v>486</v>
      </c>
      <c r="AJ789" s="246" t="s">
        <v>486</v>
      </c>
      <c r="AK789" s="246" t="s">
        <v>486</v>
      </c>
      <c r="AL789" s="246" t="s">
        <v>491</v>
      </c>
      <c r="AM789" s="246" t="s">
        <v>486</v>
      </c>
      <c r="AN789" s="246" t="s">
        <v>486</v>
      </c>
      <c r="AO789" s="248" t="s">
        <v>486</v>
      </c>
      <c r="AP789" s="247" t="s">
        <v>486</v>
      </c>
      <c r="AQ789" s="249" t="s">
        <v>486</v>
      </c>
      <c r="AR789" s="246" t="s">
        <v>486</v>
      </c>
    </row>
    <row r="790" spans="1:44" ht="15" x14ac:dyDescent="0.25">
      <c r="A790" s="250" t="str">
        <f>HYPERLINK("http://www.ofsted.gov.uk/inspection-reports/find-inspection-report/provider/ELS/134614 ","Ofsted School Webpage")</f>
        <v>Ofsted School Webpage</v>
      </c>
      <c r="B790" s="251">
        <v>134614</v>
      </c>
      <c r="C790" s="251">
        <v>9376104</v>
      </c>
      <c r="D790" s="251" t="s">
        <v>2851</v>
      </c>
      <c r="E790" s="251" t="s">
        <v>248</v>
      </c>
      <c r="F790" s="251" t="s">
        <v>93</v>
      </c>
      <c r="G790" s="251" t="s">
        <v>93</v>
      </c>
      <c r="H790" s="251" t="s">
        <v>93</v>
      </c>
      <c r="I790" s="251" t="s">
        <v>90</v>
      </c>
      <c r="J790" s="251" t="s">
        <v>1490</v>
      </c>
      <c r="K790" s="251" t="s">
        <v>486</v>
      </c>
      <c r="L790" s="251" t="s">
        <v>487</v>
      </c>
      <c r="M790" s="251" t="s">
        <v>502</v>
      </c>
      <c r="N790" s="251" t="s">
        <v>502</v>
      </c>
      <c r="O790" s="251" t="s">
        <v>503</v>
      </c>
      <c r="P790" s="251" t="s">
        <v>2852</v>
      </c>
      <c r="Q790" s="252">
        <v>10047132</v>
      </c>
      <c r="R790" s="253">
        <v>43291</v>
      </c>
      <c r="S790" s="253">
        <v>43293</v>
      </c>
      <c r="T790" s="253">
        <v>43362</v>
      </c>
      <c r="U790" s="251" t="s">
        <v>488</v>
      </c>
      <c r="V790" s="251">
        <v>3</v>
      </c>
      <c r="W790" s="251" t="s">
        <v>219</v>
      </c>
      <c r="X790" s="251">
        <v>3</v>
      </c>
      <c r="Y790" s="251">
        <v>3</v>
      </c>
      <c r="Z790" s="251">
        <v>3</v>
      </c>
      <c r="AA790" s="251">
        <v>3</v>
      </c>
      <c r="AB790" s="251" t="s">
        <v>486</v>
      </c>
      <c r="AC790" s="251" t="s">
        <v>486</v>
      </c>
      <c r="AD790" s="251" t="s">
        <v>512</v>
      </c>
      <c r="AE790" s="251" t="s">
        <v>490</v>
      </c>
      <c r="AF790" s="251" t="s">
        <v>486</v>
      </c>
      <c r="AG790" s="251" t="s">
        <v>486</v>
      </c>
      <c r="AH790" s="251" t="s">
        <v>486</v>
      </c>
      <c r="AI790" s="251" t="s">
        <v>486</v>
      </c>
      <c r="AJ790" s="251" t="s">
        <v>486</v>
      </c>
      <c r="AK790" s="251" t="s">
        <v>486</v>
      </c>
      <c r="AL790" s="251" t="s">
        <v>545</v>
      </c>
      <c r="AM790" s="251" t="s">
        <v>486</v>
      </c>
      <c r="AN790" s="251" t="s">
        <v>486</v>
      </c>
      <c r="AO790" s="253" t="s">
        <v>486</v>
      </c>
      <c r="AP790" s="252" t="s">
        <v>486</v>
      </c>
      <c r="AQ790" s="254" t="s">
        <v>486</v>
      </c>
      <c r="AR790" s="251" t="s">
        <v>486</v>
      </c>
    </row>
    <row r="791" spans="1:44" ht="15" x14ac:dyDescent="0.25">
      <c r="A791" s="245" t="str">
        <f>HYPERLINK("http://www.ofsted.gov.uk/inspection-reports/find-inspection-report/provider/ELS/136052 ","Ofsted School Webpage")</f>
        <v>Ofsted School Webpage</v>
      </c>
      <c r="B791" s="246">
        <v>136052</v>
      </c>
      <c r="C791" s="246">
        <v>3166072</v>
      </c>
      <c r="D791" s="246" t="s">
        <v>2853</v>
      </c>
      <c r="E791" s="246" t="s">
        <v>248</v>
      </c>
      <c r="F791" s="246" t="s">
        <v>93</v>
      </c>
      <c r="G791" s="246" t="s">
        <v>93</v>
      </c>
      <c r="H791" s="246" t="s">
        <v>93</v>
      </c>
      <c r="I791" s="246" t="s">
        <v>90</v>
      </c>
      <c r="J791" s="246" t="s">
        <v>1490</v>
      </c>
      <c r="K791" s="246" t="s">
        <v>486</v>
      </c>
      <c r="L791" s="246" t="s">
        <v>487</v>
      </c>
      <c r="M791" s="246" t="s">
        <v>506</v>
      </c>
      <c r="N791" s="246" t="s">
        <v>506</v>
      </c>
      <c r="O791" s="246" t="s">
        <v>799</v>
      </c>
      <c r="P791" s="246" t="s">
        <v>2854</v>
      </c>
      <c r="Q791" s="247">
        <v>10035807</v>
      </c>
      <c r="R791" s="248">
        <v>43291</v>
      </c>
      <c r="S791" s="248">
        <v>43293</v>
      </c>
      <c r="T791" s="248">
        <v>43354</v>
      </c>
      <c r="U791" s="246" t="s">
        <v>488</v>
      </c>
      <c r="V791" s="246">
        <v>2</v>
      </c>
      <c r="W791" s="246" t="s">
        <v>219</v>
      </c>
      <c r="X791" s="246">
        <v>2</v>
      </c>
      <c r="Y791" s="246">
        <v>2</v>
      </c>
      <c r="Z791" s="246">
        <v>2</v>
      </c>
      <c r="AA791" s="246">
        <v>2</v>
      </c>
      <c r="AB791" s="246" t="s">
        <v>486</v>
      </c>
      <c r="AC791" s="246" t="s">
        <v>486</v>
      </c>
      <c r="AD791" s="246" t="s">
        <v>490</v>
      </c>
      <c r="AE791" s="246" t="s">
        <v>486</v>
      </c>
      <c r="AF791" s="246" t="s">
        <v>486</v>
      </c>
      <c r="AG791" s="246" t="s">
        <v>486</v>
      </c>
      <c r="AH791" s="246" t="s">
        <v>486</v>
      </c>
      <c r="AI791" s="246" t="s">
        <v>486</v>
      </c>
      <c r="AJ791" s="246" t="s">
        <v>486</v>
      </c>
      <c r="AK791" s="246" t="s">
        <v>486</v>
      </c>
      <c r="AL791" s="246" t="s">
        <v>491</v>
      </c>
      <c r="AM791" s="246" t="s">
        <v>486</v>
      </c>
      <c r="AN791" s="246" t="s">
        <v>486</v>
      </c>
      <c r="AO791" s="248" t="s">
        <v>486</v>
      </c>
      <c r="AP791" s="247" t="s">
        <v>486</v>
      </c>
      <c r="AQ791" s="249" t="s">
        <v>486</v>
      </c>
      <c r="AR791" s="246" t="s">
        <v>486</v>
      </c>
    </row>
    <row r="792" spans="1:44" ht="15" x14ac:dyDescent="0.25">
      <c r="A792" s="250" t="str">
        <f>HYPERLINK("http://www.ofsted.gov.uk/inspection-reports/find-inspection-report/provider/ELS/136706 ","Ofsted School Webpage")</f>
        <v>Ofsted School Webpage</v>
      </c>
      <c r="B792" s="251">
        <v>136706</v>
      </c>
      <c r="C792" s="251">
        <v>8696201</v>
      </c>
      <c r="D792" s="251" t="s">
        <v>2855</v>
      </c>
      <c r="E792" s="251" t="s">
        <v>247</v>
      </c>
      <c r="F792" s="251" t="s">
        <v>93</v>
      </c>
      <c r="G792" s="251" t="s">
        <v>71</v>
      </c>
      <c r="H792" s="251" t="s">
        <v>71</v>
      </c>
      <c r="I792" s="251" t="s">
        <v>71</v>
      </c>
      <c r="J792" s="251" t="s">
        <v>1490</v>
      </c>
      <c r="K792" s="251" t="s">
        <v>486</v>
      </c>
      <c r="L792" s="251" t="s">
        <v>487</v>
      </c>
      <c r="M792" s="251" t="s">
        <v>581</v>
      </c>
      <c r="N792" s="251" t="s">
        <v>581</v>
      </c>
      <c r="O792" s="251" t="s">
        <v>1519</v>
      </c>
      <c r="P792" s="251" t="s">
        <v>2856</v>
      </c>
      <c r="Q792" s="252">
        <v>10047022</v>
      </c>
      <c r="R792" s="253">
        <v>43291</v>
      </c>
      <c r="S792" s="253">
        <v>43293</v>
      </c>
      <c r="T792" s="253">
        <v>43353</v>
      </c>
      <c r="U792" s="251" t="s">
        <v>488</v>
      </c>
      <c r="V792" s="251">
        <v>2</v>
      </c>
      <c r="W792" s="251" t="s">
        <v>219</v>
      </c>
      <c r="X792" s="251">
        <v>2</v>
      </c>
      <c r="Y792" s="251">
        <v>2</v>
      </c>
      <c r="Z792" s="251">
        <v>2</v>
      </c>
      <c r="AA792" s="251">
        <v>2</v>
      </c>
      <c r="AB792" s="251" t="s">
        <v>486</v>
      </c>
      <c r="AC792" s="251" t="s">
        <v>486</v>
      </c>
      <c r="AD792" s="251" t="s">
        <v>490</v>
      </c>
      <c r="AE792" s="251" t="s">
        <v>486</v>
      </c>
      <c r="AF792" s="251" t="s">
        <v>486</v>
      </c>
      <c r="AG792" s="251" t="s">
        <v>486</v>
      </c>
      <c r="AH792" s="251" t="s">
        <v>486</v>
      </c>
      <c r="AI792" s="251" t="s">
        <v>486</v>
      </c>
      <c r="AJ792" s="251" t="s">
        <v>486</v>
      </c>
      <c r="AK792" s="251" t="s">
        <v>486</v>
      </c>
      <c r="AL792" s="251" t="s">
        <v>491</v>
      </c>
      <c r="AM792" s="251" t="s">
        <v>486</v>
      </c>
      <c r="AN792" s="251" t="s">
        <v>486</v>
      </c>
      <c r="AO792" s="253" t="s">
        <v>486</v>
      </c>
      <c r="AP792" s="252" t="s">
        <v>486</v>
      </c>
      <c r="AQ792" s="254" t="s">
        <v>486</v>
      </c>
      <c r="AR792" s="251" t="s">
        <v>486</v>
      </c>
    </row>
    <row r="793" spans="1:44" ht="15" x14ac:dyDescent="0.25">
      <c r="A793" s="245" t="str">
        <f>HYPERLINK("http://www.ofsted.gov.uk/inspection-reports/find-inspection-report/provider/ELS/137597 ","Ofsted School Webpage")</f>
        <v>Ofsted School Webpage</v>
      </c>
      <c r="B793" s="246">
        <v>137597</v>
      </c>
      <c r="C793" s="246">
        <v>9376000</v>
      </c>
      <c r="D793" s="246" t="s">
        <v>1597</v>
      </c>
      <c r="E793" s="246" t="s">
        <v>248</v>
      </c>
      <c r="F793" s="246" t="s">
        <v>93</v>
      </c>
      <c r="G793" s="246" t="s">
        <v>93</v>
      </c>
      <c r="H793" s="246" t="s">
        <v>93</v>
      </c>
      <c r="I793" s="246" t="s">
        <v>90</v>
      </c>
      <c r="J793" s="246" t="s">
        <v>1490</v>
      </c>
      <c r="K793" s="246" t="s">
        <v>486</v>
      </c>
      <c r="L793" s="246" t="s">
        <v>487</v>
      </c>
      <c r="M793" s="246" t="s">
        <v>502</v>
      </c>
      <c r="N793" s="246" t="s">
        <v>502</v>
      </c>
      <c r="O793" s="246" t="s">
        <v>503</v>
      </c>
      <c r="P793" s="246" t="s">
        <v>2857</v>
      </c>
      <c r="Q793" s="247">
        <v>10038846</v>
      </c>
      <c r="R793" s="248">
        <v>43291</v>
      </c>
      <c r="S793" s="248">
        <v>43293</v>
      </c>
      <c r="T793" s="248">
        <v>43367</v>
      </c>
      <c r="U793" s="246" t="s">
        <v>488</v>
      </c>
      <c r="V793" s="246">
        <v>2</v>
      </c>
      <c r="W793" s="246" t="s">
        <v>219</v>
      </c>
      <c r="X793" s="246">
        <v>2</v>
      </c>
      <c r="Y793" s="246">
        <v>2</v>
      </c>
      <c r="Z793" s="246">
        <v>2</v>
      </c>
      <c r="AA793" s="246">
        <v>3</v>
      </c>
      <c r="AB793" s="246" t="s">
        <v>486</v>
      </c>
      <c r="AC793" s="246">
        <v>2</v>
      </c>
      <c r="AD793" s="246" t="s">
        <v>490</v>
      </c>
      <c r="AE793" s="246" t="s">
        <v>486</v>
      </c>
      <c r="AF793" s="246" t="s">
        <v>486</v>
      </c>
      <c r="AG793" s="246" t="s">
        <v>486</v>
      </c>
      <c r="AH793" s="246" t="s">
        <v>486</v>
      </c>
      <c r="AI793" s="246" t="s">
        <v>486</v>
      </c>
      <c r="AJ793" s="246" t="s">
        <v>486</v>
      </c>
      <c r="AK793" s="246" t="s">
        <v>486</v>
      </c>
      <c r="AL793" s="246" t="s">
        <v>491</v>
      </c>
      <c r="AM793" s="246" t="s">
        <v>486</v>
      </c>
      <c r="AN793" s="246" t="s">
        <v>486</v>
      </c>
      <c r="AO793" s="248" t="s">
        <v>486</v>
      </c>
      <c r="AP793" s="247" t="s">
        <v>486</v>
      </c>
      <c r="AQ793" s="249" t="s">
        <v>486</v>
      </c>
      <c r="AR793" s="246" t="s">
        <v>486</v>
      </c>
    </row>
    <row r="794" spans="1:44" ht="15" x14ac:dyDescent="0.25">
      <c r="A794" s="250" t="str">
        <f>HYPERLINK("http://www.ofsted.gov.uk/inspection-reports/find-inspection-report/provider/ELS/141007 ","Ofsted School Webpage")</f>
        <v>Ofsted School Webpage</v>
      </c>
      <c r="B794" s="251">
        <v>141007</v>
      </c>
      <c r="C794" s="251">
        <v>9376011</v>
      </c>
      <c r="D794" s="251" t="s">
        <v>2858</v>
      </c>
      <c r="E794" s="251" t="s">
        <v>248</v>
      </c>
      <c r="F794" s="251" t="s">
        <v>93</v>
      </c>
      <c r="G794" s="251" t="s">
        <v>93</v>
      </c>
      <c r="H794" s="251" t="s">
        <v>93</v>
      </c>
      <c r="I794" s="251" t="s">
        <v>90</v>
      </c>
      <c r="J794" s="251" t="s">
        <v>1490</v>
      </c>
      <c r="K794" s="251" t="s">
        <v>486</v>
      </c>
      <c r="L794" s="251" t="s">
        <v>487</v>
      </c>
      <c r="M794" s="251" t="s">
        <v>502</v>
      </c>
      <c r="N794" s="251" t="s">
        <v>502</v>
      </c>
      <c r="O794" s="251" t="s">
        <v>503</v>
      </c>
      <c r="P794" s="251" t="s">
        <v>2859</v>
      </c>
      <c r="Q794" s="252">
        <v>10047135</v>
      </c>
      <c r="R794" s="253">
        <v>43291</v>
      </c>
      <c r="S794" s="253">
        <v>43293</v>
      </c>
      <c r="T794" s="253">
        <v>43353</v>
      </c>
      <c r="U794" s="251" t="s">
        <v>488</v>
      </c>
      <c r="V794" s="251">
        <v>2</v>
      </c>
      <c r="W794" s="251" t="s">
        <v>219</v>
      </c>
      <c r="X794" s="251">
        <v>2</v>
      </c>
      <c r="Y794" s="251">
        <v>2</v>
      </c>
      <c r="Z794" s="251">
        <v>2</v>
      </c>
      <c r="AA794" s="251">
        <v>2</v>
      </c>
      <c r="AB794" s="251" t="s">
        <v>486</v>
      </c>
      <c r="AC794" s="251" t="s">
        <v>486</v>
      </c>
      <c r="AD794" s="251" t="s">
        <v>490</v>
      </c>
      <c r="AE794" s="251" t="s">
        <v>486</v>
      </c>
      <c r="AF794" s="251" t="s">
        <v>486</v>
      </c>
      <c r="AG794" s="251" t="s">
        <v>486</v>
      </c>
      <c r="AH794" s="251" t="s">
        <v>486</v>
      </c>
      <c r="AI794" s="251" t="s">
        <v>486</v>
      </c>
      <c r="AJ794" s="251" t="s">
        <v>486</v>
      </c>
      <c r="AK794" s="251" t="s">
        <v>486</v>
      </c>
      <c r="AL794" s="251" t="s">
        <v>491</v>
      </c>
      <c r="AM794" s="251" t="s">
        <v>486</v>
      </c>
      <c r="AN794" s="251" t="s">
        <v>486</v>
      </c>
      <c r="AO794" s="253" t="s">
        <v>486</v>
      </c>
      <c r="AP794" s="252" t="s">
        <v>486</v>
      </c>
      <c r="AQ794" s="254" t="s">
        <v>486</v>
      </c>
      <c r="AR794" s="251" t="s">
        <v>486</v>
      </c>
    </row>
    <row r="795" spans="1:44" ht="15" x14ac:dyDescent="0.25">
      <c r="A795" s="245" t="str">
        <f>HYPERLINK("http://www.ofsted.gov.uk/inspection-reports/find-inspection-report/provider/ELS/144370 ","Ofsted School Webpage")</f>
        <v>Ofsted School Webpage</v>
      </c>
      <c r="B795" s="246">
        <v>144370</v>
      </c>
      <c r="C795" s="246">
        <v>3416009</v>
      </c>
      <c r="D795" s="246" t="s">
        <v>2860</v>
      </c>
      <c r="E795" s="246" t="s">
        <v>247</v>
      </c>
      <c r="F795" s="246" t="s">
        <v>93</v>
      </c>
      <c r="G795" s="246" t="s">
        <v>93</v>
      </c>
      <c r="H795" s="246" t="s">
        <v>93</v>
      </c>
      <c r="I795" s="246" t="s">
        <v>90</v>
      </c>
      <c r="J795" s="246" t="s">
        <v>1490</v>
      </c>
      <c r="K795" s="246" t="s">
        <v>486</v>
      </c>
      <c r="L795" s="246" t="s">
        <v>487</v>
      </c>
      <c r="M795" s="246" t="s">
        <v>495</v>
      </c>
      <c r="N795" s="246" t="s">
        <v>495</v>
      </c>
      <c r="O795" s="246" t="s">
        <v>736</v>
      </c>
      <c r="P795" s="246" t="s">
        <v>2861</v>
      </c>
      <c r="Q795" s="247">
        <v>10048611</v>
      </c>
      <c r="R795" s="248">
        <v>43291</v>
      </c>
      <c r="S795" s="248">
        <v>43293</v>
      </c>
      <c r="T795" s="248">
        <v>43361</v>
      </c>
      <c r="U795" s="246" t="s">
        <v>499</v>
      </c>
      <c r="V795" s="246">
        <v>3</v>
      </c>
      <c r="W795" s="246" t="s">
        <v>219</v>
      </c>
      <c r="X795" s="246">
        <v>3</v>
      </c>
      <c r="Y795" s="246">
        <v>2</v>
      </c>
      <c r="Z795" s="246">
        <v>3</v>
      </c>
      <c r="AA795" s="246">
        <v>3</v>
      </c>
      <c r="AB795" s="246" t="s">
        <v>486</v>
      </c>
      <c r="AC795" s="246" t="s">
        <v>486</v>
      </c>
      <c r="AD795" s="246" t="s">
        <v>490</v>
      </c>
      <c r="AE795" s="246" t="s">
        <v>486</v>
      </c>
      <c r="AF795" s="246" t="s">
        <v>486</v>
      </c>
      <c r="AG795" s="246" t="s">
        <v>486</v>
      </c>
      <c r="AH795" s="246" t="s">
        <v>486</v>
      </c>
      <c r="AI795" s="246" t="s">
        <v>486</v>
      </c>
      <c r="AJ795" s="246" t="s">
        <v>486</v>
      </c>
      <c r="AK795" s="246" t="s">
        <v>486</v>
      </c>
      <c r="AL795" s="246" t="s">
        <v>491</v>
      </c>
      <c r="AM795" s="246" t="s">
        <v>486</v>
      </c>
      <c r="AN795" s="246" t="s">
        <v>486</v>
      </c>
      <c r="AO795" s="248" t="s">
        <v>486</v>
      </c>
      <c r="AP795" s="247" t="s">
        <v>486</v>
      </c>
      <c r="AQ795" s="249" t="s">
        <v>486</v>
      </c>
      <c r="AR795" s="246" t="s">
        <v>486</v>
      </c>
    </row>
    <row r="796" spans="1:44" ht="15" x14ac:dyDescent="0.25">
      <c r="A796" s="250" t="str">
        <f>HYPERLINK("http://www.ofsted.gov.uk/inspection-reports/find-inspection-report/provider/ELS/145164 ","Ofsted School Webpage")</f>
        <v>Ofsted School Webpage</v>
      </c>
      <c r="B796" s="251">
        <v>145164</v>
      </c>
      <c r="C796" s="251">
        <v>2126003</v>
      </c>
      <c r="D796" s="251" t="s">
        <v>2862</v>
      </c>
      <c r="E796" s="251" t="s">
        <v>248</v>
      </c>
      <c r="F796" s="251" t="s">
        <v>93</v>
      </c>
      <c r="G796" s="251" t="s">
        <v>93</v>
      </c>
      <c r="H796" s="251" t="s">
        <v>93</v>
      </c>
      <c r="I796" s="251" t="s">
        <v>90</v>
      </c>
      <c r="J796" s="251" t="s">
        <v>1490</v>
      </c>
      <c r="K796" s="251" t="s">
        <v>486</v>
      </c>
      <c r="L796" s="251" t="s">
        <v>487</v>
      </c>
      <c r="M796" s="251" t="s">
        <v>506</v>
      </c>
      <c r="N796" s="251" t="s">
        <v>506</v>
      </c>
      <c r="O796" s="251" t="s">
        <v>837</v>
      </c>
      <c r="P796" s="251" t="s">
        <v>2863</v>
      </c>
      <c r="Q796" s="252">
        <v>10044424</v>
      </c>
      <c r="R796" s="253">
        <v>43291</v>
      </c>
      <c r="S796" s="253">
        <v>43293</v>
      </c>
      <c r="T796" s="253">
        <v>43312</v>
      </c>
      <c r="U796" s="251" t="s">
        <v>499</v>
      </c>
      <c r="V796" s="251">
        <v>1</v>
      </c>
      <c r="W796" s="251" t="s">
        <v>219</v>
      </c>
      <c r="X796" s="251">
        <v>1</v>
      </c>
      <c r="Y796" s="251">
        <v>1</v>
      </c>
      <c r="Z796" s="251">
        <v>1</v>
      </c>
      <c r="AA796" s="251">
        <v>1</v>
      </c>
      <c r="AB796" s="251" t="s">
        <v>486</v>
      </c>
      <c r="AC796" s="251" t="s">
        <v>486</v>
      </c>
      <c r="AD796" s="251" t="s">
        <v>490</v>
      </c>
      <c r="AE796" s="251" t="s">
        <v>486</v>
      </c>
      <c r="AF796" s="251" t="s">
        <v>486</v>
      </c>
      <c r="AG796" s="251" t="s">
        <v>486</v>
      </c>
      <c r="AH796" s="251" t="s">
        <v>486</v>
      </c>
      <c r="AI796" s="251" t="s">
        <v>486</v>
      </c>
      <c r="AJ796" s="251" t="s">
        <v>486</v>
      </c>
      <c r="AK796" s="251" t="s">
        <v>486</v>
      </c>
      <c r="AL796" s="251" t="s">
        <v>491</v>
      </c>
      <c r="AM796" s="251" t="s">
        <v>486</v>
      </c>
      <c r="AN796" s="251" t="s">
        <v>486</v>
      </c>
      <c r="AO796" s="253" t="s">
        <v>486</v>
      </c>
      <c r="AP796" s="252" t="s">
        <v>486</v>
      </c>
      <c r="AQ796" s="254" t="s">
        <v>486</v>
      </c>
      <c r="AR796" s="251" t="s">
        <v>486</v>
      </c>
    </row>
    <row r="797" spans="1:44" ht="15" x14ac:dyDescent="0.25">
      <c r="A797" s="245" t="str">
        <f>HYPERLINK("http://www.ofsted.gov.uk/inspection-reports/find-inspection-report/provider/ELS/145181 ","Ofsted School Webpage")</f>
        <v>Ofsted School Webpage</v>
      </c>
      <c r="B797" s="246">
        <v>145181</v>
      </c>
      <c r="C797" s="246">
        <v>8786071</v>
      </c>
      <c r="D797" s="246" t="s">
        <v>2864</v>
      </c>
      <c r="E797" s="246" t="s">
        <v>248</v>
      </c>
      <c r="F797" s="246" t="s">
        <v>93</v>
      </c>
      <c r="G797" s="246" t="s">
        <v>93</v>
      </c>
      <c r="H797" s="246" t="s">
        <v>93</v>
      </c>
      <c r="I797" s="246" t="s">
        <v>90</v>
      </c>
      <c r="J797" s="246" t="s">
        <v>1490</v>
      </c>
      <c r="K797" s="246" t="s">
        <v>486</v>
      </c>
      <c r="L797" s="246" t="s">
        <v>487</v>
      </c>
      <c r="M797" s="246" t="s">
        <v>483</v>
      </c>
      <c r="N797" s="246" t="s">
        <v>483</v>
      </c>
      <c r="O797" s="246" t="s">
        <v>747</v>
      </c>
      <c r="P797" s="246" t="s">
        <v>2865</v>
      </c>
      <c r="Q797" s="247">
        <v>10047190</v>
      </c>
      <c r="R797" s="248">
        <v>43291</v>
      </c>
      <c r="S797" s="248">
        <v>43293</v>
      </c>
      <c r="T797" s="248">
        <v>43348</v>
      </c>
      <c r="U797" s="246" t="s">
        <v>499</v>
      </c>
      <c r="V797" s="246">
        <v>2</v>
      </c>
      <c r="W797" s="246" t="s">
        <v>219</v>
      </c>
      <c r="X797" s="246">
        <v>2</v>
      </c>
      <c r="Y797" s="246">
        <v>2</v>
      </c>
      <c r="Z797" s="246">
        <v>2</v>
      </c>
      <c r="AA797" s="246">
        <v>2</v>
      </c>
      <c r="AB797" s="246" t="s">
        <v>486</v>
      </c>
      <c r="AC797" s="246">
        <v>2</v>
      </c>
      <c r="AD797" s="246" t="s">
        <v>512</v>
      </c>
      <c r="AE797" s="246" t="s">
        <v>486</v>
      </c>
      <c r="AF797" s="246" t="s">
        <v>490</v>
      </c>
      <c r="AG797" s="246" t="s">
        <v>486</v>
      </c>
      <c r="AH797" s="246" t="s">
        <v>490</v>
      </c>
      <c r="AI797" s="246" t="s">
        <v>486</v>
      </c>
      <c r="AJ797" s="246" t="s">
        <v>486</v>
      </c>
      <c r="AK797" s="246" t="s">
        <v>486</v>
      </c>
      <c r="AL797" s="246" t="s">
        <v>491</v>
      </c>
      <c r="AM797" s="246" t="s">
        <v>486</v>
      </c>
      <c r="AN797" s="246" t="s">
        <v>486</v>
      </c>
      <c r="AO797" s="248" t="s">
        <v>486</v>
      </c>
      <c r="AP797" s="247" t="s">
        <v>486</v>
      </c>
      <c r="AQ797" s="249" t="s">
        <v>486</v>
      </c>
      <c r="AR797" s="246" t="s">
        <v>486</v>
      </c>
    </row>
    <row r="798" spans="1:44" ht="15" x14ac:dyDescent="0.25">
      <c r="A798" s="250" t="str">
        <f>HYPERLINK("http://www.ofsted.gov.uk/inspection-reports/find-inspection-report/provider/ELS/136086 ","Ofsted School Webpage")</f>
        <v>Ofsted School Webpage</v>
      </c>
      <c r="B798" s="251">
        <v>136086</v>
      </c>
      <c r="C798" s="251">
        <v>3556057</v>
      </c>
      <c r="D798" s="251" t="s">
        <v>958</v>
      </c>
      <c r="E798" s="251" t="s">
        <v>247</v>
      </c>
      <c r="F798" s="251" t="s">
        <v>93</v>
      </c>
      <c r="G798" s="251" t="s">
        <v>81</v>
      </c>
      <c r="H798" s="251" t="s">
        <v>81</v>
      </c>
      <c r="I798" s="251" t="s">
        <v>81</v>
      </c>
      <c r="J798" s="251" t="s">
        <v>1490</v>
      </c>
      <c r="K798" s="251" t="s">
        <v>486</v>
      </c>
      <c r="L798" s="251" t="s">
        <v>487</v>
      </c>
      <c r="M798" s="251" t="s">
        <v>495</v>
      </c>
      <c r="N798" s="251" t="s">
        <v>495</v>
      </c>
      <c r="O798" s="251" t="s">
        <v>601</v>
      </c>
      <c r="P798" s="251" t="s">
        <v>2866</v>
      </c>
      <c r="Q798" s="252">
        <v>10038931</v>
      </c>
      <c r="R798" s="253">
        <v>43292</v>
      </c>
      <c r="S798" s="253">
        <v>43294</v>
      </c>
      <c r="T798" s="253">
        <v>43424</v>
      </c>
      <c r="U798" s="251" t="s">
        <v>488</v>
      </c>
      <c r="V798" s="251">
        <v>3</v>
      </c>
      <c r="W798" s="251" t="s">
        <v>219</v>
      </c>
      <c r="X798" s="251">
        <v>3</v>
      </c>
      <c r="Y798" s="251">
        <v>3</v>
      </c>
      <c r="Z798" s="251">
        <v>2</v>
      </c>
      <c r="AA798" s="251">
        <v>2</v>
      </c>
      <c r="AB798" s="251" t="s">
        <v>486</v>
      </c>
      <c r="AC798" s="251" t="s">
        <v>486</v>
      </c>
      <c r="AD798" s="251" t="s">
        <v>490</v>
      </c>
      <c r="AE798" s="251" t="s">
        <v>486</v>
      </c>
      <c r="AF798" s="251" t="s">
        <v>486</v>
      </c>
      <c r="AG798" s="251" t="s">
        <v>486</v>
      </c>
      <c r="AH798" s="251" t="s">
        <v>486</v>
      </c>
      <c r="AI798" s="251" t="s">
        <v>486</v>
      </c>
      <c r="AJ798" s="251" t="s">
        <v>486</v>
      </c>
      <c r="AK798" s="251" t="s">
        <v>486</v>
      </c>
      <c r="AL798" s="251" t="s">
        <v>545</v>
      </c>
      <c r="AM798" s="251" t="s">
        <v>486</v>
      </c>
      <c r="AN798" s="251" t="s">
        <v>486</v>
      </c>
      <c r="AO798" s="253" t="s">
        <v>486</v>
      </c>
      <c r="AP798" s="252" t="s">
        <v>486</v>
      </c>
      <c r="AQ798" s="254" t="s">
        <v>486</v>
      </c>
      <c r="AR798" s="251" t="s">
        <v>486</v>
      </c>
    </row>
    <row r="799" spans="1:44" ht="15" x14ac:dyDescent="0.25">
      <c r="A799" s="245" t="str">
        <f>HYPERLINK("http://www.ofsted.gov.uk/inspection-reports/find-inspection-report/provider/ELS/143531 ","Ofsted School Webpage")</f>
        <v>Ofsted School Webpage</v>
      </c>
      <c r="B799" s="246">
        <v>143531</v>
      </c>
      <c r="C799" s="246">
        <v>8956003</v>
      </c>
      <c r="D799" s="246" t="s">
        <v>2867</v>
      </c>
      <c r="E799" s="246" t="s">
        <v>248</v>
      </c>
      <c r="F799" s="246" t="s">
        <v>93</v>
      </c>
      <c r="G799" s="246" t="s">
        <v>93</v>
      </c>
      <c r="H799" s="246" t="s">
        <v>93</v>
      </c>
      <c r="I799" s="246" t="s">
        <v>90</v>
      </c>
      <c r="J799" s="246" t="s">
        <v>1490</v>
      </c>
      <c r="K799" s="246" t="s">
        <v>486</v>
      </c>
      <c r="L799" s="246" t="s">
        <v>487</v>
      </c>
      <c r="M799" s="246" t="s">
        <v>495</v>
      </c>
      <c r="N799" s="246" t="s">
        <v>495</v>
      </c>
      <c r="O799" s="246" t="s">
        <v>985</v>
      </c>
      <c r="P799" s="246" t="s">
        <v>2868</v>
      </c>
      <c r="Q799" s="247">
        <v>10043786</v>
      </c>
      <c r="R799" s="248">
        <v>43298</v>
      </c>
      <c r="S799" s="248">
        <v>43299</v>
      </c>
      <c r="T799" s="248">
        <v>43318</v>
      </c>
      <c r="U799" s="246" t="s">
        <v>499</v>
      </c>
      <c r="V799" s="246">
        <v>0</v>
      </c>
      <c r="W799" s="246" t="s">
        <v>219</v>
      </c>
      <c r="X799" s="246">
        <v>0</v>
      </c>
      <c r="Y799" s="246">
        <v>0</v>
      </c>
      <c r="Z799" s="246">
        <v>0</v>
      </c>
      <c r="AA799" s="246">
        <v>0</v>
      </c>
      <c r="AB799" s="246" t="s">
        <v>486</v>
      </c>
      <c r="AC799" s="246" t="s">
        <v>486</v>
      </c>
      <c r="AD799" s="246" t="s">
        <v>490</v>
      </c>
      <c r="AE799" s="246" t="s">
        <v>486</v>
      </c>
      <c r="AF799" s="246" t="s">
        <v>486</v>
      </c>
      <c r="AG799" s="246" t="s">
        <v>486</v>
      </c>
      <c r="AH799" s="246" t="s">
        <v>486</v>
      </c>
      <c r="AI799" s="246" t="s">
        <v>486</v>
      </c>
      <c r="AJ799" s="246" t="s">
        <v>486</v>
      </c>
      <c r="AK799" s="246" t="s">
        <v>486</v>
      </c>
      <c r="AL799" s="246" t="s">
        <v>491</v>
      </c>
      <c r="AM799" s="246" t="s">
        <v>486</v>
      </c>
      <c r="AN799" s="246" t="s">
        <v>486</v>
      </c>
      <c r="AO799" s="248" t="s">
        <v>486</v>
      </c>
      <c r="AP799" s="247" t="s">
        <v>486</v>
      </c>
      <c r="AQ799" s="249" t="s">
        <v>486</v>
      </c>
      <c r="AR799" s="246" t="s">
        <v>486</v>
      </c>
    </row>
    <row r="800" spans="1:44" ht="15" x14ac:dyDescent="0.25">
      <c r="A800" s="250" t="str">
        <f>HYPERLINK("http://www.ofsted.gov.uk/inspection-reports/find-inspection-report/provider/ELS/132749 ","Ofsted School Webpage")</f>
        <v>Ofsted School Webpage</v>
      </c>
      <c r="B800" s="251">
        <v>132749</v>
      </c>
      <c r="C800" s="251">
        <v>8896007</v>
      </c>
      <c r="D800" s="251" t="s">
        <v>2869</v>
      </c>
      <c r="E800" s="251" t="s">
        <v>247</v>
      </c>
      <c r="F800" s="251" t="s">
        <v>83</v>
      </c>
      <c r="G800" s="251" t="s">
        <v>84</v>
      </c>
      <c r="H800" s="251" t="s">
        <v>83</v>
      </c>
      <c r="I800" s="251" t="s">
        <v>84</v>
      </c>
      <c r="J800" s="251" t="s">
        <v>1490</v>
      </c>
      <c r="K800" s="251" t="s">
        <v>486</v>
      </c>
      <c r="L800" s="251" t="s">
        <v>487</v>
      </c>
      <c r="M800" s="251" t="s">
        <v>495</v>
      </c>
      <c r="N800" s="251" t="s">
        <v>495</v>
      </c>
      <c r="O800" s="251" t="s">
        <v>609</v>
      </c>
      <c r="P800" s="251" t="s">
        <v>2870</v>
      </c>
      <c r="Q800" s="252">
        <v>10038840</v>
      </c>
      <c r="R800" s="253">
        <v>43298</v>
      </c>
      <c r="S800" s="253">
        <v>43300</v>
      </c>
      <c r="T800" s="253">
        <v>43361</v>
      </c>
      <c r="U800" s="251" t="s">
        <v>488</v>
      </c>
      <c r="V800" s="251">
        <v>1</v>
      </c>
      <c r="W800" s="251" t="s">
        <v>219</v>
      </c>
      <c r="X800" s="251">
        <v>1</v>
      </c>
      <c r="Y800" s="251">
        <v>1</v>
      </c>
      <c r="Z800" s="251">
        <v>1</v>
      </c>
      <c r="AA800" s="251">
        <v>1</v>
      </c>
      <c r="AB800" s="251" t="s">
        <v>486</v>
      </c>
      <c r="AC800" s="251" t="s">
        <v>486</v>
      </c>
      <c r="AD800" s="251" t="s">
        <v>490</v>
      </c>
      <c r="AE800" s="251" t="s">
        <v>486</v>
      </c>
      <c r="AF800" s="251" t="s">
        <v>486</v>
      </c>
      <c r="AG800" s="251" t="s">
        <v>486</v>
      </c>
      <c r="AH800" s="251" t="s">
        <v>486</v>
      </c>
      <c r="AI800" s="251" t="s">
        <v>486</v>
      </c>
      <c r="AJ800" s="251" t="s">
        <v>486</v>
      </c>
      <c r="AK800" s="251" t="s">
        <v>486</v>
      </c>
      <c r="AL800" s="251" t="s">
        <v>491</v>
      </c>
      <c r="AM800" s="251" t="s">
        <v>486</v>
      </c>
      <c r="AN800" s="251" t="s">
        <v>486</v>
      </c>
      <c r="AO800" s="253" t="s">
        <v>486</v>
      </c>
      <c r="AP800" s="252" t="s">
        <v>486</v>
      </c>
      <c r="AQ800" s="254" t="s">
        <v>486</v>
      </c>
      <c r="AR800" s="251" t="s">
        <v>486</v>
      </c>
    </row>
    <row r="801" spans="1:44" ht="15" x14ac:dyDescent="0.25">
      <c r="A801" s="245" t="str">
        <f>HYPERLINK("http://www.ofsted.gov.uk/inspection-reports/find-inspection-report/provider/ELS/138249 ","Ofsted School Webpage")</f>
        <v>Ofsted School Webpage</v>
      </c>
      <c r="B801" s="246">
        <v>138249</v>
      </c>
      <c r="C801" s="246">
        <v>8376008</v>
      </c>
      <c r="D801" s="246" t="s">
        <v>481</v>
      </c>
      <c r="E801" s="246" t="s">
        <v>247</v>
      </c>
      <c r="F801" s="246" t="s">
        <v>93</v>
      </c>
      <c r="G801" s="246" t="s">
        <v>71</v>
      </c>
      <c r="H801" s="246" t="s">
        <v>71</v>
      </c>
      <c r="I801" s="246" t="s">
        <v>71</v>
      </c>
      <c r="J801" s="246" t="s">
        <v>1490</v>
      </c>
      <c r="K801" s="246" t="s">
        <v>486</v>
      </c>
      <c r="L801" s="246" t="s">
        <v>487</v>
      </c>
      <c r="M801" s="246" t="s">
        <v>483</v>
      </c>
      <c r="N801" s="246" t="s">
        <v>483</v>
      </c>
      <c r="O801" s="246" t="s">
        <v>484</v>
      </c>
      <c r="P801" s="246" t="s">
        <v>485</v>
      </c>
      <c r="Q801" s="247">
        <v>10053784</v>
      </c>
      <c r="R801" s="248">
        <v>43354</v>
      </c>
      <c r="S801" s="248">
        <v>43356</v>
      </c>
      <c r="T801" s="248">
        <v>43384</v>
      </c>
      <c r="U801" s="246" t="s">
        <v>488</v>
      </c>
      <c r="V801" s="246">
        <v>2</v>
      </c>
      <c r="W801" s="246" t="s">
        <v>219</v>
      </c>
      <c r="X801" s="246">
        <v>2</v>
      </c>
      <c r="Y801" s="246">
        <v>2</v>
      </c>
      <c r="Z801" s="246">
        <v>2</v>
      </c>
      <c r="AA801" s="246">
        <v>2</v>
      </c>
      <c r="AB801" s="246" t="s">
        <v>486</v>
      </c>
      <c r="AC801" s="246" t="s">
        <v>486</v>
      </c>
      <c r="AD801" s="246" t="s">
        <v>490</v>
      </c>
      <c r="AE801" s="246" t="s">
        <v>486</v>
      </c>
      <c r="AF801" s="246" t="s">
        <v>486</v>
      </c>
      <c r="AG801" s="246" t="s">
        <v>486</v>
      </c>
      <c r="AH801" s="246" t="s">
        <v>486</v>
      </c>
      <c r="AI801" s="246" t="s">
        <v>486</v>
      </c>
      <c r="AJ801" s="246" t="s">
        <v>486</v>
      </c>
      <c r="AK801" s="246" t="s">
        <v>486</v>
      </c>
      <c r="AL801" s="246" t="s">
        <v>491</v>
      </c>
      <c r="AM801" s="246" t="s">
        <v>486</v>
      </c>
      <c r="AN801" s="246" t="s">
        <v>486</v>
      </c>
      <c r="AO801" s="248" t="s">
        <v>486</v>
      </c>
      <c r="AP801" s="247" t="s">
        <v>486</v>
      </c>
      <c r="AQ801" s="249" t="s">
        <v>486</v>
      </c>
      <c r="AR801" s="246" t="s">
        <v>486</v>
      </c>
    </row>
    <row r="802" spans="1:44" ht="15" x14ac:dyDescent="0.25">
      <c r="A802" s="250" t="str">
        <f>HYPERLINK("http://www.ofsted.gov.uk/inspection-reports/find-inspection-report/provider/ELS/144966 ","Ofsted School Webpage")</f>
        <v>Ofsted School Webpage</v>
      </c>
      <c r="B802" s="251">
        <v>144966</v>
      </c>
      <c r="C802" s="251">
        <v>9376014</v>
      </c>
      <c r="D802" s="251" t="s">
        <v>500</v>
      </c>
      <c r="E802" s="251" t="s">
        <v>248</v>
      </c>
      <c r="F802" s="251" t="s">
        <v>93</v>
      </c>
      <c r="G802" s="251" t="s">
        <v>93</v>
      </c>
      <c r="H802" s="251" t="s">
        <v>93</v>
      </c>
      <c r="I802" s="251" t="s">
        <v>90</v>
      </c>
      <c r="J802" s="251" t="s">
        <v>1490</v>
      </c>
      <c r="K802" s="251" t="s">
        <v>486</v>
      </c>
      <c r="L802" s="251" t="s">
        <v>487</v>
      </c>
      <c r="M802" s="251" t="s">
        <v>502</v>
      </c>
      <c r="N802" s="251" t="s">
        <v>502</v>
      </c>
      <c r="O802" s="251" t="s">
        <v>503</v>
      </c>
      <c r="P802" s="251" t="s">
        <v>504</v>
      </c>
      <c r="Q802" s="252">
        <v>10052718</v>
      </c>
      <c r="R802" s="253">
        <v>43354</v>
      </c>
      <c r="S802" s="253">
        <v>43356</v>
      </c>
      <c r="T802" s="253">
        <v>43376</v>
      </c>
      <c r="U802" s="251" t="s">
        <v>499</v>
      </c>
      <c r="V802" s="251">
        <v>2</v>
      </c>
      <c r="W802" s="251" t="s">
        <v>219</v>
      </c>
      <c r="X802" s="251">
        <v>2</v>
      </c>
      <c r="Y802" s="251">
        <v>2</v>
      </c>
      <c r="Z802" s="251">
        <v>2</v>
      </c>
      <c r="AA802" s="251">
        <v>2</v>
      </c>
      <c r="AB802" s="251" t="s">
        <v>486</v>
      </c>
      <c r="AC802" s="251" t="s">
        <v>486</v>
      </c>
      <c r="AD802" s="251" t="s">
        <v>490</v>
      </c>
      <c r="AE802" s="251" t="s">
        <v>486</v>
      </c>
      <c r="AF802" s="251" t="s">
        <v>486</v>
      </c>
      <c r="AG802" s="251" t="s">
        <v>486</v>
      </c>
      <c r="AH802" s="251" t="s">
        <v>486</v>
      </c>
      <c r="AI802" s="251" t="s">
        <v>486</v>
      </c>
      <c r="AJ802" s="251" t="s">
        <v>486</v>
      </c>
      <c r="AK802" s="251" t="s">
        <v>486</v>
      </c>
      <c r="AL802" s="251" t="s">
        <v>491</v>
      </c>
      <c r="AM802" s="251" t="s">
        <v>486</v>
      </c>
      <c r="AN802" s="251" t="s">
        <v>486</v>
      </c>
      <c r="AO802" s="253" t="s">
        <v>486</v>
      </c>
      <c r="AP802" s="252" t="s">
        <v>486</v>
      </c>
      <c r="AQ802" s="254" t="s">
        <v>486</v>
      </c>
      <c r="AR802" s="251" t="s">
        <v>486</v>
      </c>
    </row>
    <row r="803" spans="1:44" ht="15" x14ac:dyDescent="0.25">
      <c r="A803" s="245" t="str">
        <f>HYPERLINK("http://www.ofsted.gov.uk/inspection-reports/find-inspection-report/provider/ELS/145187 ","Ofsted School Webpage")</f>
        <v>Ofsted School Webpage</v>
      </c>
      <c r="B803" s="246">
        <v>145187</v>
      </c>
      <c r="C803" s="246">
        <v>3596002</v>
      </c>
      <c r="D803" s="246" t="s">
        <v>494</v>
      </c>
      <c r="E803" s="246" t="s">
        <v>247</v>
      </c>
      <c r="F803" s="246" t="s">
        <v>93</v>
      </c>
      <c r="G803" s="246" t="s">
        <v>93</v>
      </c>
      <c r="H803" s="246" t="s">
        <v>93</v>
      </c>
      <c r="I803" s="246" t="s">
        <v>90</v>
      </c>
      <c r="J803" s="246" t="s">
        <v>1490</v>
      </c>
      <c r="K803" s="246" t="s">
        <v>486</v>
      </c>
      <c r="L803" s="246" t="s">
        <v>487</v>
      </c>
      <c r="M803" s="246" t="s">
        <v>495</v>
      </c>
      <c r="N803" s="246" t="s">
        <v>495</v>
      </c>
      <c r="O803" s="246" t="s">
        <v>496</v>
      </c>
      <c r="P803" s="246" t="s">
        <v>497</v>
      </c>
      <c r="Q803" s="247">
        <v>10053740</v>
      </c>
      <c r="R803" s="248">
        <v>43354</v>
      </c>
      <c r="S803" s="248">
        <v>43356</v>
      </c>
      <c r="T803" s="248">
        <v>43378</v>
      </c>
      <c r="U803" s="246" t="s">
        <v>499</v>
      </c>
      <c r="V803" s="246">
        <v>2</v>
      </c>
      <c r="W803" s="246" t="s">
        <v>219</v>
      </c>
      <c r="X803" s="246">
        <v>2</v>
      </c>
      <c r="Y803" s="246">
        <v>2</v>
      </c>
      <c r="Z803" s="246">
        <v>2</v>
      </c>
      <c r="AA803" s="246">
        <v>2</v>
      </c>
      <c r="AB803" s="246" t="s">
        <v>486</v>
      </c>
      <c r="AC803" s="246" t="s">
        <v>486</v>
      </c>
      <c r="AD803" s="246" t="s">
        <v>490</v>
      </c>
      <c r="AE803" s="246" t="s">
        <v>486</v>
      </c>
      <c r="AF803" s="246" t="s">
        <v>486</v>
      </c>
      <c r="AG803" s="246" t="s">
        <v>486</v>
      </c>
      <c r="AH803" s="246" t="s">
        <v>486</v>
      </c>
      <c r="AI803" s="246" t="s">
        <v>486</v>
      </c>
      <c r="AJ803" s="246" t="s">
        <v>486</v>
      </c>
      <c r="AK803" s="246" t="s">
        <v>486</v>
      </c>
      <c r="AL803" s="246" t="s">
        <v>491</v>
      </c>
      <c r="AM803" s="246" t="s">
        <v>486</v>
      </c>
      <c r="AN803" s="246" t="s">
        <v>486</v>
      </c>
      <c r="AO803" s="248" t="s">
        <v>486</v>
      </c>
      <c r="AP803" s="247" t="s">
        <v>486</v>
      </c>
      <c r="AQ803" s="249" t="s">
        <v>486</v>
      </c>
      <c r="AR803" s="246" t="s">
        <v>486</v>
      </c>
    </row>
    <row r="804" spans="1:44" ht="15" x14ac:dyDescent="0.25">
      <c r="A804" s="250" t="str">
        <f>HYPERLINK("http://www.ofsted.gov.uk/inspection-reports/find-inspection-report/provider/ELS/101573 ","Ofsted School Webpage")</f>
        <v>Ofsted School Webpage</v>
      </c>
      <c r="B804" s="251">
        <v>101573</v>
      </c>
      <c r="C804" s="251">
        <v>3076007</v>
      </c>
      <c r="D804" s="251" t="s">
        <v>513</v>
      </c>
      <c r="E804" s="251" t="s">
        <v>247</v>
      </c>
      <c r="F804" s="251" t="s">
        <v>93</v>
      </c>
      <c r="G804" s="251" t="s">
        <v>93</v>
      </c>
      <c r="H804" s="251" t="s">
        <v>93</v>
      </c>
      <c r="I804" s="251" t="s">
        <v>90</v>
      </c>
      <c r="J804" s="251" t="s">
        <v>1490</v>
      </c>
      <c r="K804" s="251" t="s">
        <v>486</v>
      </c>
      <c r="L804" s="251" t="s">
        <v>487</v>
      </c>
      <c r="M804" s="251" t="s">
        <v>506</v>
      </c>
      <c r="N804" s="251" t="s">
        <v>506</v>
      </c>
      <c r="O804" s="251" t="s">
        <v>507</v>
      </c>
      <c r="P804" s="251" t="s">
        <v>514</v>
      </c>
      <c r="Q804" s="252">
        <v>10054289</v>
      </c>
      <c r="R804" s="253">
        <v>43361</v>
      </c>
      <c r="S804" s="253">
        <v>43363</v>
      </c>
      <c r="T804" s="253">
        <v>43383</v>
      </c>
      <c r="U804" s="251" t="s">
        <v>488</v>
      </c>
      <c r="V804" s="251">
        <v>2</v>
      </c>
      <c r="W804" s="251" t="s">
        <v>219</v>
      </c>
      <c r="X804" s="251">
        <v>2</v>
      </c>
      <c r="Y804" s="251">
        <v>1</v>
      </c>
      <c r="Z804" s="251">
        <v>2</v>
      </c>
      <c r="AA804" s="251">
        <v>2</v>
      </c>
      <c r="AB804" s="251">
        <v>2</v>
      </c>
      <c r="AC804" s="251" t="s">
        <v>486</v>
      </c>
      <c r="AD804" s="251" t="s">
        <v>490</v>
      </c>
      <c r="AE804" s="251" t="s">
        <v>486</v>
      </c>
      <c r="AF804" s="251" t="s">
        <v>486</v>
      </c>
      <c r="AG804" s="251" t="s">
        <v>486</v>
      </c>
      <c r="AH804" s="251" t="s">
        <v>486</v>
      </c>
      <c r="AI804" s="251" t="s">
        <v>486</v>
      </c>
      <c r="AJ804" s="251" t="s">
        <v>486</v>
      </c>
      <c r="AK804" s="251" t="s">
        <v>486</v>
      </c>
      <c r="AL804" s="251" t="s">
        <v>491</v>
      </c>
      <c r="AM804" s="251" t="s">
        <v>486</v>
      </c>
      <c r="AN804" s="251" t="s">
        <v>486</v>
      </c>
      <c r="AO804" s="253" t="s">
        <v>486</v>
      </c>
      <c r="AP804" s="252" t="s">
        <v>486</v>
      </c>
      <c r="AQ804" s="254" t="s">
        <v>486</v>
      </c>
      <c r="AR804" s="251" t="s">
        <v>486</v>
      </c>
    </row>
    <row r="805" spans="1:44" ht="15" x14ac:dyDescent="0.25">
      <c r="A805" s="245" t="str">
        <f>HYPERLINK("http://www.ofsted.gov.uk/inspection-reports/find-inspection-report/provider/ELS/121251 ","Ofsted School Webpage")</f>
        <v>Ofsted School Webpage</v>
      </c>
      <c r="B805" s="246">
        <v>121251</v>
      </c>
      <c r="C805" s="246">
        <v>9266143</v>
      </c>
      <c r="D805" s="246" t="s">
        <v>527</v>
      </c>
      <c r="E805" s="246" t="s">
        <v>247</v>
      </c>
      <c r="F805" s="246" t="s">
        <v>93</v>
      </c>
      <c r="G805" s="246" t="s">
        <v>93</v>
      </c>
      <c r="H805" s="246" t="s">
        <v>93</v>
      </c>
      <c r="I805" s="246" t="s">
        <v>90</v>
      </c>
      <c r="J805" s="246" t="s">
        <v>1490</v>
      </c>
      <c r="K805" s="246" t="s">
        <v>486</v>
      </c>
      <c r="L805" s="246" t="s">
        <v>487</v>
      </c>
      <c r="M805" s="246" t="s">
        <v>516</v>
      </c>
      <c r="N805" s="246" t="s">
        <v>516</v>
      </c>
      <c r="O805" s="246" t="s">
        <v>528</v>
      </c>
      <c r="P805" s="246" t="s">
        <v>529</v>
      </c>
      <c r="Q805" s="247">
        <v>10055828</v>
      </c>
      <c r="R805" s="248">
        <v>43361</v>
      </c>
      <c r="S805" s="248">
        <v>43363</v>
      </c>
      <c r="T805" s="248">
        <v>43390</v>
      </c>
      <c r="U805" s="246" t="s">
        <v>488</v>
      </c>
      <c r="V805" s="246">
        <v>2</v>
      </c>
      <c r="W805" s="246" t="s">
        <v>219</v>
      </c>
      <c r="X805" s="246">
        <v>2</v>
      </c>
      <c r="Y805" s="246">
        <v>2</v>
      </c>
      <c r="Z805" s="246">
        <v>2</v>
      </c>
      <c r="AA805" s="246">
        <v>2</v>
      </c>
      <c r="AB805" s="246">
        <v>2</v>
      </c>
      <c r="AC805" s="246" t="s">
        <v>486</v>
      </c>
      <c r="AD805" s="246" t="s">
        <v>512</v>
      </c>
      <c r="AE805" s="246" t="s">
        <v>486</v>
      </c>
      <c r="AF805" s="246" t="s">
        <v>486</v>
      </c>
      <c r="AG805" s="246" t="s">
        <v>490</v>
      </c>
      <c r="AH805" s="246" t="s">
        <v>486</v>
      </c>
      <c r="AI805" s="246" t="s">
        <v>486</v>
      </c>
      <c r="AJ805" s="246" t="s">
        <v>486</v>
      </c>
      <c r="AK805" s="246" t="s">
        <v>486</v>
      </c>
      <c r="AL805" s="246" t="s">
        <v>491</v>
      </c>
      <c r="AM805" s="246" t="s">
        <v>486</v>
      </c>
      <c r="AN805" s="246" t="s">
        <v>486</v>
      </c>
      <c r="AO805" s="248" t="s">
        <v>486</v>
      </c>
      <c r="AP805" s="247" t="s">
        <v>486</v>
      </c>
      <c r="AQ805" s="249" t="s">
        <v>486</v>
      </c>
      <c r="AR805" s="246" t="s">
        <v>486</v>
      </c>
    </row>
    <row r="806" spans="1:44" ht="15" x14ac:dyDescent="0.25">
      <c r="A806" s="250" t="str">
        <f>HYPERLINK("http://www.ofsted.gov.uk/inspection-reports/find-inspection-report/provider/ELS/123621 ","Ofsted School Webpage")</f>
        <v>Ofsted School Webpage</v>
      </c>
      <c r="B806" s="251">
        <v>123621</v>
      </c>
      <c r="C806" s="251">
        <v>8946003</v>
      </c>
      <c r="D806" s="251" t="s">
        <v>519</v>
      </c>
      <c r="E806" s="251" t="s">
        <v>248</v>
      </c>
      <c r="F806" s="251" t="s">
        <v>93</v>
      </c>
      <c r="G806" s="251" t="s">
        <v>93</v>
      </c>
      <c r="H806" s="251" t="s">
        <v>93</v>
      </c>
      <c r="I806" s="251" t="s">
        <v>90</v>
      </c>
      <c r="J806" s="251" t="s">
        <v>1490</v>
      </c>
      <c r="K806" s="251" t="s">
        <v>486</v>
      </c>
      <c r="L806" s="251" t="s">
        <v>487</v>
      </c>
      <c r="M806" s="251" t="s">
        <v>502</v>
      </c>
      <c r="N806" s="251" t="s">
        <v>502</v>
      </c>
      <c r="O806" s="251" t="s">
        <v>520</v>
      </c>
      <c r="P806" s="251" t="s">
        <v>521</v>
      </c>
      <c r="Q806" s="252">
        <v>10052717</v>
      </c>
      <c r="R806" s="253">
        <v>43361</v>
      </c>
      <c r="S806" s="253">
        <v>43363</v>
      </c>
      <c r="T806" s="253">
        <v>43383</v>
      </c>
      <c r="U806" s="251" t="s">
        <v>488</v>
      </c>
      <c r="V806" s="251">
        <v>3</v>
      </c>
      <c r="W806" s="251" t="s">
        <v>219</v>
      </c>
      <c r="X806" s="251">
        <v>3</v>
      </c>
      <c r="Y806" s="251">
        <v>2</v>
      </c>
      <c r="Z806" s="251">
        <v>2</v>
      </c>
      <c r="AA806" s="251">
        <v>2</v>
      </c>
      <c r="AB806" s="251" t="s">
        <v>486</v>
      </c>
      <c r="AC806" s="251">
        <v>2</v>
      </c>
      <c r="AD806" s="251" t="s">
        <v>490</v>
      </c>
      <c r="AE806" s="251" t="s">
        <v>486</v>
      </c>
      <c r="AF806" s="251" t="s">
        <v>486</v>
      </c>
      <c r="AG806" s="251" t="s">
        <v>486</v>
      </c>
      <c r="AH806" s="251" t="s">
        <v>486</v>
      </c>
      <c r="AI806" s="251" t="s">
        <v>486</v>
      </c>
      <c r="AJ806" s="251" t="s">
        <v>486</v>
      </c>
      <c r="AK806" s="251" t="s">
        <v>486</v>
      </c>
      <c r="AL806" s="251" t="s">
        <v>491</v>
      </c>
      <c r="AM806" s="251" t="s">
        <v>486</v>
      </c>
      <c r="AN806" s="251" t="s">
        <v>486</v>
      </c>
      <c r="AO806" s="253" t="s">
        <v>486</v>
      </c>
      <c r="AP806" s="252" t="s">
        <v>486</v>
      </c>
      <c r="AQ806" s="254" t="s">
        <v>486</v>
      </c>
      <c r="AR806" s="251" t="s">
        <v>486</v>
      </c>
    </row>
    <row r="807" spans="1:44" ht="15" x14ac:dyDescent="0.25">
      <c r="A807" s="245" t="str">
        <f>HYPERLINK("http://www.ofsted.gov.uk/inspection-reports/find-inspection-report/provider/ELS/135493 ","Ofsted School Webpage")</f>
        <v>Ofsted School Webpage</v>
      </c>
      <c r="B807" s="246">
        <v>135493</v>
      </c>
      <c r="C807" s="246">
        <v>3076339</v>
      </c>
      <c r="D807" s="246" t="s">
        <v>505</v>
      </c>
      <c r="E807" s="246" t="s">
        <v>248</v>
      </c>
      <c r="F807" s="246" t="s">
        <v>93</v>
      </c>
      <c r="G807" s="246" t="s">
        <v>93</v>
      </c>
      <c r="H807" s="246" t="s">
        <v>93</v>
      </c>
      <c r="I807" s="246" t="s">
        <v>90</v>
      </c>
      <c r="J807" s="246" t="s">
        <v>1490</v>
      </c>
      <c r="K807" s="246" t="s">
        <v>486</v>
      </c>
      <c r="L807" s="246" t="s">
        <v>487</v>
      </c>
      <c r="M807" s="246" t="s">
        <v>506</v>
      </c>
      <c r="N807" s="246" t="s">
        <v>506</v>
      </c>
      <c r="O807" s="246" t="s">
        <v>507</v>
      </c>
      <c r="P807" s="246" t="s">
        <v>508</v>
      </c>
      <c r="Q807" s="247">
        <v>10054295</v>
      </c>
      <c r="R807" s="248">
        <v>43361</v>
      </c>
      <c r="S807" s="248">
        <v>43363</v>
      </c>
      <c r="T807" s="248">
        <v>43385</v>
      </c>
      <c r="U807" s="246" t="s">
        <v>488</v>
      </c>
      <c r="V807" s="246">
        <v>2</v>
      </c>
      <c r="W807" s="246" t="s">
        <v>219</v>
      </c>
      <c r="X807" s="246">
        <v>2</v>
      </c>
      <c r="Y807" s="246">
        <v>2</v>
      </c>
      <c r="Z807" s="246">
        <v>2</v>
      </c>
      <c r="AA807" s="246">
        <v>2</v>
      </c>
      <c r="AB807" s="246" t="s">
        <v>486</v>
      </c>
      <c r="AC807" s="246" t="s">
        <v>486</v>
      </c>
      <c r="AD807" s="246" t="s">
        <v>490</v>
      </c>
      <c r="AE807" s="246" t="s">
        <v>486</v>
      </c>
      <c r="AF807" s="246" t="s">
        <v>486</v>
      </c>
      <c r="AG807" s="246" t="s">
        <v>486</v>
      </c>
      <c r="AH807" s="246" t="s">
        <v>486</v>
      </c>
      <c r="AI807" s="246" t="s">
        <v>486</v>
      </c>
      <c r="AJ807" s="246" t="s">
        <v>486</v>
      </c>
      <c r="AK807" s="246" t="s">
        <v>486</v>
      </c>
      <c r="AL807" s="246" t="s">
        <v>491</v>
      </c>
      <c r="AM807" s="246" t="s">
        <v>486</v>
      </c>
      <c r="AN807" s="246" t="s">
        <v>486</v>
      </c>
      <c r="AO807" s="248" t="s">
        <v>486</v>
      </c>
      <c r="AP807" s="247" t="s">
        <v>486</v>
      </c>
      <c r="AQ807" s="249" t="s">
        <v>486</v>
      </c>
      <c r="AR807" s="246" t="s">
        <v>486</v>
      </c>
    </row>
    <row r="808" spans="1:44" ht="15" x14ac:dyDescent="0.25">
      <c r="A808" s="250" t="str">
        <f>HYPERLINK("http://www.ofsted.gov.uk/inspection-reports/find-inspection-report/provider/ELS/135699 ","Ofsted School Webpage")</f>
        <v>Ofsted School Webpage</v>
      </c>
      <c r="B808" s="251">
        <v>135699</v>
      </c>
      <c r="C808" s="251">
        <v>8216205</v>
      </c>
      <c r="D808" s="251" t="s">
        <v>515</v>
      </c>
      <c r="E808" s="251" t="s">
        <v>247</v>
      </c>
      <c r="F808" s="251" t="s">
        <v>93</v>
      </c>
      <c r="G808" s="251" t="s">
        <v>71</v>
      </c>
      <c r="H808" s="251" t="s">
        <v>71</v>
      </c>
      <c r="I808" s="251" t="s">
        <v>71</v>
      </c>
      <c r="J808" s="251" t="s">
        <v>1490</v>
      </c>
      <c r="K808" s="251" t="s">
        <v>486</v>
      </c>
      <c r="L808" s="251" t="s">
        <v>487</v>
      </c>
      <c r="M808" s="251" t="s">
        <v>516</v>
      </c>
      <c r="N808" s="251" t="s">
        <v>516</v>
      </c>
      <c r="O808" s="251" t="s">
        <v>517</v>
      </c>
      <c r="P808" s="251" t="s">
        <v>518</v>
      </c>
      <c r="Q808" s="252">
        <v>10054009</v>
      </c>
      <c r="R808" s="253">
        <v>43361</v>
      </c>
      <c r="S808" s="253">
        <v>43363</v>
      </c>
      <c r="T808" s="253">
        <v>43408</v>
      </c>
      <c r="U808" s="251" t="s">
        <v>488</v>
      </c>
      <c r="V808" s="251">
        <v>2</v>
      </c>
      <c r="W808" s="251" t="s">
        <v>219</v>
      </c>
      <c r="X808" s="251">
        <v>2</v>
      </c>
      <c r="Y808" s="251">
        <v>2</v>
      </c>
      <c r="Z808" s="251">
        <v>2</v>
      </c>
      <c r="AA808" s="251">
        <v>2</v>
      </c>
      <c r="AB808" s="251">
        <v>2</v>
      </c>
      <c r="AC808" s="251" t="s">
        <v>486</v>
      </c>
      <c r="AD808" s="251" t="s">
        <v>490</v>
      </c>
      <c r="AE808" s="251" t="s">
        <v>486</v>
      </c>
      <c r="AF808" s="251" t="s">
        <v>486</v>
      </c>
      <c r="AG808" s="251" t="s">
        <v>486</v>
      </c>
      <c r="AH808" s="251" t="s">
        <v>486</v>
      </c>
      <c r="AI808" s="251" t="s">
        <v>486</v>
      </c>
      <c r="AJ808" s="251" t="s">
        <v>486</v>
      </c>
      <c r="AK808" s="251" t="s">
        <v>486</v>
      </c>
      <c r="AL808" s="251" t="s">
        <v>491</v>
      </c>
      <c r="AM808" s="251" t="s">
        <v>486</v>
      </c>
      <c r="AN808" s="251" t="s">
        <v>486</v>
      </c>
      <c r="AO808" s="253" t="s">
        <v>486</v>
      </c>
      <c r="AP808" s="252" t="s">
        <v>486</v>
      </c>
      <c r="AQ808" s="254" t="s">
        <v>486</v>
      </c>
      <c r="AR808" s="251" t="s">
        <v>486</v>
      </c>
    </row>
    <row r="809" spans="1:44" ht="15" x14ac:dyDescent="0.25">
      <c r="A809" s="245" t="str">
        <f>HYPERLINK("http://www.ofsted.gov.uk/inspection-reports/find-inspection-report/provider/ELS/141860 ","Ofsted School Webpage")</f>
        <v>Ofsted School Webpage</v>
      </c>
      <c r="B809" s="246">
        <v>141860</v>
      </c>
      <c r="C809" s="246">
        <v>3846003</v>
      </c>
      <c r="D809" s="246" t="s">
        <v>522</v>
      </c>
      <c r="E809" s="246" t="s">
        <v>248</v>
      </c>
      <c r="F809" s="246" t="s">
        <v>93</v>
      </c>
      <c r="G809" s="246" t="s">
        <v>93</v>
      </c>
      <c r="H809" s="246" t="s">
        <v>93</v>
      </c>
      <c r="I809" s="246" t="s">
        <v>90</v>
      </c>
      <c r="J809" s="246" t="s">
        <v>1490</v>
      </c>
      <c r="K809" s="246" t="s">
        <v>486</v>
      </c>
      <c r="L809" s="246" t="s">
        <v>487</v>
      </c>
      <c r="M809" s="246" t="s">
        <v>523</v>
      </c>
      <c r="N809" s="246" t="s">
        <v>524</v>
      </c>
      <c r="O809" s="246" t="s">
        <v>525</v>
      </c>
      <c r="P809" s="246" t="s">
        <v>526</v>
      </c>
      <c r="Q809" s="247">
        <v>10055380</v>
      </c>
      <c r="R809" s="248">
        <v>43361</v>
      </c>
      <c r="S809" s="248">
        <v>43363</v>
      </c>
      <c r="T809" s="248">
        <v>43408</v>
      </c>
      <c r="U809" s="246" t="s">
        <v>488</v>
      </c>
      <c r="V809" s="246">
        <v>2</v>
      </c>
      <c r="W809" s="246" t="s">
        <v>219</v>
      </c>
      <c r="X809" s="246">
        <v>2</v>
      </c>
      <c r="Y809" s="246">
        <v>2</v>
      </c>
      <c r="Z809" s="246">
        <v>2</v>
      </c>
      <c r="AA809" s="246">
        <v>2</v>
      </c>
      <c r="AB809" s="246" t="s">
        <v>486</v>
      </c>
      <c r="AC809" s="246" t="s">
        <v>486</v>
      </c>
      <c r="AD809" s="246" t="s">
        <v>490</v>
      </c>
      <c r="AE809" s="246" t="s">
        <v>486</v>
      </c>
      <c r="AF809" s="246" t="s">
        <v>486</v>
      </c>
      <c r="AG809" s="246" t="s">
        <v>486</v>
      </c>
      <c r="AH809" s="246" t="s">
        <v>486</v>
      </c>
      <c r="AI809" s="246" t="s">
        <v>486</v>
      </c>
      <c r="AJ809" s="246" t="s">
        <v>486</v>
      </c>
      <c r="AK809" s="246" t="s">
        <v>486</v>
      </c>
      <c r="AL809" s="246" t="s">
        <v>491</v>
      </c>
      <c r="AM809" s="246" t="s">
        <v>486</v>
      </c>
      <c r="AN809" s="246" t="s">
        <v>486</v>
      </c>
      <c r="AO809" s="248" t="s">
        <v>486</v>
      </c>
      <c r="AP809" s="247" t="s">
        <v>486</v>
      </c>
      <c r="AQ809" s="249" t="s">
        <v>486</v>
      </c>
      <c r="AR809" s="246" t="s">
        <v>486</v>
      </c>
    </row>
    <row r="810" spans="1:44" ht="15" x14ac:dyDescent="0.25">
      <c r="A810" s="250" t="str">
        <f>HYPERLINK("http://www.ofsted.gov.uk/inspection-reports/find-inspection-report/provider/ELS/145568 ","Ofsted School Webpage")</f>
        <v>Ofsted School Webpage</v>
      </c>
      <c r="B810" s="251">
        <v>145568</v>
      </c>
      <c r="C810" s="251">
        <v>3106011</v>
      </c>
      <c r="D810" s="251" t="s">
        <v>509</v>
      </c>
      <c r="E810" s="251" t="s">
        <v>247</v>
      </c>
      <c r="F810" s="251" t="s">
        <v>93</v>
      </c>
      <c r="G810" s="251" t="s">
        <v>93</v>
      </c>
      <c r="H810" s="251" t="s">
        <v>93</v>
      </c>
      <c r="I810" s="251" t="s">
        <v>90</v>
      </c>
      <c r="J810" s="251" t="s">
        <v>1490</v>
      </c>
      <c r="K810" s="251" t="s">
        <v>486</v>
      </c>
      <c r="L810" s="251" t="s">
        <v>487</v>
      </c>
      <c r="M810" s="251" t="s">
        <v>506</v>
      </c>
      <c r="N810" s="251" t="s">
        <v>506</v>
      </c>
      <c r="O810" s="251" t="s">
        <v>510</v>
      </c>
      <c r="P810" s="251" t="s">
        <v>511</v>
      </c>
      <c r="Q810" s="252">
        <v>10077718</v>
      </c>
      <c r="R810" s="253">
        <v>43361</v>
      </c>
      <c r="S810" s="253">
        <v>43363</v>
      </c>
      <c r="T810" s="253">
        <v>43388</v>
      </c>
      <c r="U810" s="251" t="s">
        <v>499</v>
      </c>
      <c r="V810" s="251">
        <v>2</v>
      </c>
      <c r="W810" s="251" t="s">
        <v>219</v>
      </c>
      <c r="X810" s="251">
        <v>2</v>
      </c>
      <c r="Y810" s="251">
        <v>2</v>
      </c>
      <c r="Z810" s="251">
        <v>2</v>
      </c>
      <c r="AA810" s="251">
        <v>2</v>
      </c>
      <c r="AB810" s="251" t="s">
        <v>486</v>
      </c>
      <c r="AC810" s="251" t="s">
        <v>486</v>
      </c>
      <c r="AD810" s="251" t="s">
        <v>512</v>
      </c>
      <c r="AE810" s="251" t="s">
        <v>486</v>
      </c>
      <c r="AF810" s="251" t="s">
        <v>486</v>
      </c>
      <c r="AG810" s="251" t="s">
        <v>490</v>
      </c>
      <c r="AH810" s="251" t="s">
        <v>486</v>
      </c>
      <c r="AI810" s="251" t="s">
        <v>486</v>
      </c>
      <c r="AJ810" s="251" t="s">
        <v>486</v>
      </c>
      <c r="AK810" s="251" t="s">
        <v>490</v>
      </c>
      <c r="AL810" s="251" t="s">
        <v>491</v>
      </c>
      <c r="AM810" s="251" t="s">
        <v>486</v>
      </c>
      <c r="AN810" s="251" t="s">
        <v>486</v>
      </c>
      <c r="AO810" s="253" t="s">
        <v>486</v>
      </c>
      <c r="AP810" s="252" t="s">
        <v>486</v>
      </c>
      <c r="AQ810" s="254" t="s">
        <v>486</v>
      </c>
      <c r="AR810" s="251" t="s">
        <v>486</v>
      </c>
    </row>
    <row r="811" spans="1:44" ht="15" x14ac:dyDescent="0.25">
      <c r="A811" s="245" t="str">
        <f>HYPERLINK("http://www.ofsted.gov.uk/inspection-reports/find-inspection-report/provider/ELS/145308 ","Ofsted School Webpage")</f>
        <v>Ofsted School Webpage</v>
      </c>
      <c r="B811" s="246">
        <v>145308</v>
      </c>
      <c r="C811" s="246">
        <v>9336009</v>
      </c>
      <c r="D811" s="246" t="s">
        <v>530</v>
      </c>
      <c r="E811" s="246" t="s">
        <v>248</v>
      </c>
      <c r="F811" s="246" t="s">
        <v>93</v>
      </c>
      <c r="G811" s="246" t="s">
        <v>93</v>
      </c>
      <c r="H811" s="246" t="s">
        <v>93</v>
      </c>
      <c r="I811" s="246" t="s">
        <v>90</v>
      </c>
      <c r="J811" s="246" t="s">
        <v>1490</v>
      </c>
      <c r="K811" s="246" t="s">
        <v>486</v>
      </c>
      <c r="L811" s="246" t="s">
        <v>487</v>
      </c>
      <c r="M811" s="246" t="s">
        <v>483</v>
      </c>
      <c r="N811" s="246" t="s">
        <v>483</v>
      </c>
      <c r="O811" s="246" t="s">
        <v>531</v>
      </c>
      <c r="P811" s="246" t="s">
        <v>532</v>
      </c>
      <c r="Q811" s="247">
        <v>10053796</v>
      </c>
      <c r="R811" s="248">
        <v>43362</v>
      </c>
      <c r="S811" s="248">
        <v>43364</v>
      </c>
      <c r="T811" s="248">
        <v>43388</v>
      </c>
      <c r="U811" s="246" t="s">
        <v>499</v>
      </c>
      <c r="V811" s="246">
        <v>2</v>
      </c>
      <c r="W811" s="246" t="s">
        <v>219</v>
      </c>
      <c r="X811" s="246">
        <v>2</v>
      </c>
      <c r="Y811" s="246">
        <v>1</v>
      </c>
      <c r="Z811" s="246">
        <v>2</v>
      </c>
      <c r="AA811" s="246">
        <v>2</v>
      </c>
      <c r="AB811" s="246" t="s">
        <v>486</v>
      </c>
      <c r="AC811" s="246" t="s">
        <v>486</v>
      </c>
      <c r="AD811" s="246" t="s">
        <v>490</v>
      </c>
      <c r="AE811" s="246" t="s">
        <v>486</v>
      </c>
      <c r="AF811" s="246" t="s">
        <v>486</v>
      </c>
      <c r="AG811" s="246" t="s">
        <v>486</v>
      </c>
      <c r="AH811" s="246" t="s">
        <v>486</v>
      </c>
      <c r="AI811" s="246" t="s">
        <v>486</v>
      </c>
      <c r="AJ811" s="246" t="s">
        <v>486</v>
      </c>
      <c r="AK811" s="246" t="s">
        <v>486</v>
      </c>
      <c r="AL811" s="246" t="s">
        <v>491</v>
      </c>
      <c r="AM811" s="246" t="s">
        <v>486</v>
      </c>
      <c r="AN811" s="246" t="s">
        <v>486</v>
      </c>
      <c r="AO811" s="248" t="s">
        <v>486</v>
      </c>
      <c r="AP811" s="247" t="s">
        <v>486</v>
      </c>
      <c r="AQ811" s="249" t="s">
        <v>486</v>
      </c>
      <c r="AR811" s="246" t="s">
        <v>486</v>
      </c>
    </row>
    <row r="812" spans="1:44" ht="15" x14ac:dyDescent="0.25">
      <c r="A812" s="250" t="str">
        <f>HYPERLINK("http://www.ofsted.gov.uk/inspection-reports/find-inspection-report/provider/ELS/101576 ","Ofsted School Webpage")</f>
        <v>Ofsted School Webpage</v>
      </c>
      <c r="B812" s="251">
        <v>101576</v>
      </c>
      <c r="C812" s="251">
        <v>3046072</v>
      </c>
      <c r="D812" s="251" t="s">
        <v>542</v>
      </c>
      <c r="E812" s="251" t="s">
        <v>247</v>
      </c>
      <c r="F812" s="251" t="s">
        <v>93</v>
      </c>
      <c r="G812" s="251" t="s">
        <v>84</v>
      </c>
      <c r="H812" s="251" t="s">
        <v>84</v>
      </c>
      <c r="I812" s="251" t="s">
        <v>84</v>
      </c>
      <c r="J812" s="251" t="s">
        <v>1490</v>
      </c>
      <c r="K812" s="251" t="s">
        <v>486</v>
      </c>
      <c r="L812" s="251" t="s">
        <v>487</v>
      </c>
      <c r="M812" s="251" t="s">
        <v>506</v>
      </c>
      <c r="N812" s="251" t="s">
        <v>506</v>
      </c>
      <c r="O812" s="251" t="s">
        <v>543</v>
      </c>
      <c r="P812" s="251" t="s">
        <v>544</v>
      </c>
      <c r="Q812" s="252">
        <v>10038154</v>
      </c>
      <c r="R812" s="253">
        <v>43368</v>
      </c>
      <c r="S812" s="253">
        <v>43370</v>
      </c>
      <c r="T812" s="253">
        <v>43423</v>
      </c>
      <c r="U812" s="251" t="s">
        <v>488</v>
      </c>
      <c r="V812" s="251">
        <v>3</v>
      </c>
      <c r="W812" s="251" t="s">
        <v>219</v>
      </c>
      <c r="X812" s="251">
        <v>3</v>
      </c>
      <c r="Y812" s="251">
        <v>2</v>
      </c>
      <c r="Z812" s="251">
        <v>3</v>
      </c>
      <c r="AA812" s="251">
        <v>3</v>
      </c>
      <c r="AB812" s="251">
        <v>4</v>
      </c>
      <c r="AC812" s="251" t="s">
        <v>486</v>
      </c>
      <c r="AD812" s="251" t="s">
        <v>490</v>
      </c>
      <c r="AE812" s="251" t="s">
        <v>486</v>
      </c>
      <c r="AF812" s="251" t="s">
        <v>486</v>
      </c>
      <c r="AG812" s="251" t="s">
        <v>486</v>
      </c>
      <c r="AH812" s="251" t="s">
        <v>486</v>
      </c>
      <c r="AI812" s="251" t="s">
        <v>486</v>
      </c>
      <c r="AJ812" s="251" t="s">
        <v>486</v>
      </c>
      <c r="AK812" s="251" t="s">
        <v>486</v>
      </c>
      <c r="AL812" s="251" t="s">
        <v>545</v>
      </c>
      <c r="AM812" s="251" t="s">
        <v>486</v>
      </c>
      <c r="AN812" s="251" t="s">
        <v>486</v>
      </c>
      <c r="AO812" s="253" t="s">
        <v>486</v>
      </c>
      <c r="AP812" s="252" t="s">
        <v>486</v>
      </c>
      <c r="AQ812" s="254" t="s">
        <v>486</v>
      </c>
      <c r="AR812" s="251" t="s">
        <v>486</v>
      </c>
    </row>
    <row r="813" spans="1:44" ht="15" x14ac:dyDescent="0.25">
      <c r="A813" s="245" t="str">
        <f>HYPERLINK("http://www.ofsted.gov.uk/inspection-reports/find-inspection-report/provider/ELS/117033 ","Ofsted School Webpage")</f>
        <v>Ofsted School Webpage</v>
      </c>
      <c r="B813" s="246">
        <v>117033</v>
      </c>
      <c r="C813" s="246">
        <v>8856024</v>
      </c>
      <c r="D813" s="246" t="s">
        <v>549</v>
      </c>
      <c r="E813" s="246" t="s">
        <v>248</v>
      </c>
      <c r="F813" s="246" t="s">
        <v>93</v>
      </c>
      <c r="G813" s="246" t="s">
        <v>93</v>
      </c>
      <c r="H813" s="246" t="s">
        <v>93</v>
      </c>
      <c r="I813" s="246" t="s">
        <v>90</v>
      </c>
      <c r="J813" s="246" t="s">
        <v>1490</v>
      </c>
      <c r="K813" s="246" t="s">
        <v>486</v>
      </c>
      <c r="L813" s="246" t="s">
        <v>487</v>
      </c>
      <c r="M813" s="246" t="s">
        <v>502</v>
      </c>
      <c r="N813" s="246" t="s">
        <v>502</v>
      </c>
      <c r="O813" s="246" t="s">
        <v>550</v>
      </c>
      <c r="P813" s="246" t="s">
        <v>551</v>
      </c>
      <c r="Q813" s="247">
        <v>10052716</v>
      </c>
      <c r="R813" s="248">
        <v>43368</v>
      </c>
      <c r="S813" s="248">
        <v>43370</v>
      </c>
      <c r="T813" s="248">
        <v>43395</v>
      </c>
      <c r="U813" s="246" t="s">
        <v>2930</v>
      </c>
      <c r="V813" s="246">
        <v>3</v>
      </c>
      <c r="W813" s="246" t="s">
        <v>219</v>
      </c>
      <c r="X813" s="246">
        <v>2</v>
      </c>
      <c r="Y813" s="246">
        <v>2</v>
      </c>
      <c r="Z813" s="246">
        <v>3</v>
      </c>
      <c r="AA813" s="246">
        <v>3</v>
      </c>
      <c r="AB813" s="246" t="s">
        <v>486</v>
      </c>
      <c r="AC813" s="246" t="s">
        <v>486</v>
      </c>
      <c r="AD813" s="246" t="s">
        <v>490</v>
      </c>
      <c r="AE813" s="246" t="s">
        <v>486</v>
      </c>
      <c r="AF813" s="246" t="s">
        <v>486</v>
      </c>
      <c r="AG813" s="246" t="s">
        <v>486</v>
      </c>
      <c r="AH813" s="246" t="s">
        <v>486</v>
      </c>
      <c r="AI813" s="246" t="s">
        <v>486</v>
      </c>
      <c r="AJ813" s="246" t="s">
        <v>486</v>
      </c>
      <c r="AK813" s="246" t="s">
        <v>486</v>
      </c>
      <c r="AL813" s="246" t="s">
        <v>491</v>
      </c>
      <c r="AM813" s="246" t="s">
        <v>486</v>
      </c>
      <c r="AN813" s="246" t="s">
        <v>486</v>
      </c>
      <c r="AO813" s="248" t="s">
        <v>486</v>
      </c>
      <c r="AP813" s="247" t="s">
        <v>486</v>
      </c>
      <c r="AQ813" s="249" t="s">
        <v>486</v>
      </c>
      <c r="AR813" s="246" t="s">
        <v>486</v>
      </c>
    </row>
    <row r="814" spans="1:44" ht="15" x14ac:dyDescent="0.25">
      <c r="A814" s="250" t="str">
        <f>HYPERLINK("http://www.ofsted.gov.uk/inspection-reports/find-inspection-report/provider/ELS/117654 ","Ofsted School Webpage")</f>
        <v>Ofsted School Webpage</v>
      </c>
      <c r="B814" s="251">
        <v>117654</v>
      </c>
      <c r="C814" s="251">
        <v>9196228</v>
      </c>
      <c r="D814" s="251" t="s">
        <v>555</v>
      </c>
      <c r="E814" s="251" t="s">
        <v>247</v>
      </c>
      <c r="F814" s="251" t="s">
        <v>86</v>
      </c>
      <c r="G814" s="251" t="s">
        <v>86</v>
      </c>
      <c r="H814" s="251" t="s">
        <v>86</v>
      </c>
      <c r="I814" s="251" t="s">
        <v>226</v>
      </c>
      <c r="J814" s="251" t="s">
        <v>1490</v>
      </c>
      <c r="K814" s="251" t="s">
        <v>486</v>
      </c>
      <c r="L814" s="251" t="s">
        <v>487</v>
      </c>
      <c r="M814" s="251" t="s">
        <v>516</v>
      </c>
      <c r="N814" s="251" t="s">
        <v>516</v>
      </c>
      <c r="O814" s="251" t="s">
        <v>556</v>
      </c>
      <c r="P814" s="251" t="s">
        <v>557</v>
      </c>
      <c r="Q814" s="252">
        <v>10054005</v>
      </c>
      <c r="R814" s="253">
        <v>43368</v>
      </c>
      <c r="S814" s="253">
        <v>43370</v>
      </c>
      <c r="T814" s="253">
        <v>43422</v>
      </c>
      <c r="U814" s="251" t="s">
        <v>488</v>
      </c>
      <c r="V814" s="251">
        <v>4</v>
      </c>
      <c r="W814" s="251" t="s">
        <v>220</v>
      </c>
      <c r="X814" s="251">
        <v>4</v>
      </c>
      <c r="Y814" s="251">
        <v>4</v>
      </c>
      <c r="Z814" s="251">
        <v>3</v>
      </c>
      <c r="AA814" s="251">
        <v>3</v>
      </c>
      <c r="AB814" s="251">
        <v>4</v>
      </c>
      <c r="AC814" s="251" t="s">
        <v>486</v>
      </c>
      <c r="AD814" s="251" t="s">
        <v>490</v>
      </c>
      <c r="AE814" s="251" t="s">
        <v>486</v>
      </c>
      <c r="AF814" s="251" t="s">
        <v>486</v>
      </c>
      <c r="AG814" s="251" t="s">
        <v>486</v>
      </c>
      <c r="AH814" s="251" t="s">
        <v>486</v>
      </c>
      <c r="AI814" s="251" t="s">
        <v>486</v>
      </c>
      <c r="AJ814" s="251" t="s">
        <v>486</v>
      </c>
      <c r="AK814" s="251" t="s">
        <v>486</v>
      </c>
      <c r="AL814" s="251" t="s">
        <v>545</v>
      </c>
      <c r="AM814" s="251" t="s">
        <v>486</v>
      </c>
      <c r="AN814" s="251" t="s">
        <v>486</v>
      </c>
      <c r="AO814" s="253" t="s">
        <v>486</v>
      </c>
      <c r="AP814" s="252" t="s">
        <v>486</v>
      </c>
      <c r="AQ814" s="254" t="s">
        <v>486</v>
      </c>
      <c r="AR814" s="251" t="s">
        <v>486</v>
      </c>
    </row>
    <row r="815" spans="1:44" ht="15" x14ac:dyDescent="0.25">
      <c r="A815" s="245" t="str">
        <f>HYPERLINK("http://www.ofsted.gov.uk/inspection-reports/find-inspection-report/provider/ELS/121250 ","Ofsted School Webpage")</f>
        <v>Ofsted School Webpage</v>
      </c>
      <c r="B815" s="246">
        <v>121250</v>
      </c>
      <c r="C815" s="246">
        <v>9266140</v>
      </c>
      <c r="D815" s="246" t="s">
        <v>561</v>
      </c>
      <c r="E815" s="246" t="s">
        <v>247</v>
      </c>
      <c r="F815" s="246" t="s">
        <v>93</v>
      </c>
      <c r="G815" s="246" t="s">
        <v>71</v>
      </c>
      <c r="H815" s="246" t="s">
        <v>71</v>
      </c>
      <c r="I815" s="246" t="s">
        <v>71</v>
      </c>
      <c r="J815" s="246" t="s">
        <v>1490</v>
      </c>
      <c r="K815" s="246" t="s">
        <v>486</v>
      </c>
      <c r="L815" s="246" t="s">
        <v>487</v>
      </c>
      <c r="M815" s="246" t="s">
        <v>516</v>
      </c>
      <c r="N815" s="246" t="s">
        <v>516</v>
      </c>
      <c r="O815" s="246" t="s">
        <v>528</v>
      </c>
      <c r="P815" s="246" t="s">
        <v>562</v>
      </c>
      <c r="Q815" s="247">
        <v>10054007</v>
      </c>
      <c r="R815" s="248">
        <v>43368</v>
      </c>
      <c r="S815" s="248">
        <v>43370</v>
      </c>
      <c r="T815" s="248">
        <v>43416</v>
      </c>
      <c r="U815" s="246" t="s">
        <v>488</v>
      </c>
      <c r="V815" s="246">
        <v>4</v>
      </c>
      <c r="W815" s="246" t="s">
        <v>220</v>
      </c>
      <c r="X815" s="246">
        <v>4</v>
      </c>
      <c r="Y815" s="246">
        <v>4</v>
      </c>
      <c r="Z815" s="246">
        <v>3</v>
      </c>
      <c r="AA815" s="246">
        <v>3</v>
      </c>
      <c r="AB815" s="246" t="s">
        <v>486</v>
      </c>
      <c r="AC815" s="246" t="s">
        <v>486</v>
      </c>
      <c r="AD815" s="246" t="s">
        <v>490</v>
      </c>
      <c r="AE815" s="246" t="s">
        <v>486</v>
      </c>
      <c r="AF815" s="246" t="s">
        <v>486</v>
      </c>
      <c r="AG815" s="246" t="s">
        <v>486</v>
      </c>
      <c r="AH815" s="246" t="s">
        <v>486</v>
      </c>
      <c r="AI815" s="246" t="s">
        <v>486</v>
      </c>
      <c r="AJ815" s="246" t="s">
        <v>486</v>
      </c>
      <c r="AK815" s="246" t="s">
        <v>486</v>
      </c>
      <c r="AL815" s="246" t="s">
        <v>545</v>
      </c>
      <c r="AM815" s="246" t="s">
        <v>486</v>
      </c>
      <c r="AN815" s="246" t="s">
        <v>486</v>
      </c>
      <c r="AO815" s="248" t="s">
        <v>486</v>
      </c>
      <c r="AP815" s="247" t="s">
        <v>486</v>
      </c>
      <c r="AQ815" s="249" t="s">
        <v>486</v>
      </c>
      <c r="AR815" s="246" t="s">
        <v>486</v>
      </c>
    </row>
    <row r="816" spans="1:44" ht="15" x14ac:dyDescent="0.25">
      <c r="A816" s="250" t="str">
        <f>HYPERLINK("http://www.ofsted.gov.uk/inspection-reports/find-inspection-report/provider/ELS/121252 ","Ofsted School Webpage")</f>
        <v>Ofsted School Webpage</v>
      </c>
      <c r="B816" s="251">
        <v>121252</v>
      </c>
      <c r="C816" s="251">
        <v>9266145</v>
      </c>
      <c r="D816" s="251" t="s">
        <v>536</v>
      </c>
      <c r="E816" s="251" t="s">
        <v>248</v>
      </c>
      <c r="F816" s="251" t="s">
        <v>77</v>
      </c>
      <c r="G816" s="251" t="s">
        <v>77</v>
      </c>
      <c r="H816" s="251" t="s">
        <v>77</v>
      </c>
      <c r="I816" s="251" t="s">
        <v>71</v>
      </c>
      <c r="J816" s="251" t="s">
        <v>1490</v>
      </c>
      <c r="K816" s="251" t="s">
        <v>486</v>
      </c>
      <c r="L816" s="251" t="s">
        <v>487</v>
      </c>
      <c r="M816" s="251" t="s">
        <v>516</v>
      </c>
      <c r="N816" s="251" t="s">
        <v>516</v>
      </c>
      <c r="O816" s="251" t="s">
        <v>528</v>
      </c>
      <c r="P816" s="251" t="s">
        <v>537</v>
      </c>
      <c r="Q816" s="252">
        <v>10054008</v>
      </c>
      <c r="R816" s="253">
        <v>43368</v>
      </c>
      <c r="S816" s="253">
        <v>43370</v>
      </c>
      <c r="T816" s="253">
        <v>43411</v>
      </c>
      <c r="U816" s="251" t="s">
        <v>488</v>
      </c>
      <c r="V816" s="251">
        <v>2</v>
      </c>
      <c r="W816" s="251" t="s">
        <v>219</v>
      </c>
      <c r="X816" s="251">
        <v>2</v>
      </c>
      <c r="Y816" s="251">
        <v>2</v>
      </c>
      <c r="Z816" s="251">
        <v>2</v>
      </c>
      <c r="AA816" s="251">
        <v>2</v>
      </c>
      <c r="AB816" s="251" t="s">
        <v>486</v>
      </c>
      <c r="AC816" s="251" t="s">
        <v>486</v>
      </c>
      <c r="AD816" s="251" t="s">
        <v>490</v>
      </c>
      <c r="AE816" s="251" t="s">
        <v>486</v>
      </c>
      <c r="AF816" s="251" t="s">
        <v>486</v>
      </c>
      <c r="AG816" s="251" t="s">
        <v>486</v>
      </c>
      <c r="AH816" s="251" t="s">
        <v>486</v>
      </c>
      <c r="AI816" s="251" t="s">
        <v>486</v>
      </c>
      <c r="AJ816" s="251" t="s">
        <v>486</v>
      </c>
      <c r="AK816" s="251" t="s">
        <v>486</v>
      </c>
      <c r="AL816" s="251" t="s">
        <v>491</v>
      </c>
      <c r="AM816" s="251" t="s">
        <v>486</v>
      </c>
      <c r="AN816" s="251" t="s">
        <v>486</v>
      </c>
      <c r="AO816" s="253" t="s">
        <v>486</v>
      </c>
      <c r="AP816" s="252" t="s">
        <v>486</v>
      </c>
      <c r="AQ816" s="254" t="s">
        <v>486</v>
      </c>
      <c r="AR816" s="251" t="s">
        <v>486</v>
      </c>
    </row>
    <row r="817" spans="1:44" ht="15" x14ac:dyDescent="0.25">
      <c r="A817" s="245" t="str">
        <f>HYPERLINK("http://www.ofsted.gov.uk/inspection-reports/find-inspection-report/provider/ELS/129571 ","Ofsted School Webpage")</f>
        <v>Ofsted School Webpage</v>
      </c>
      <c r="B817" s="246">
        <v>129571</v>
      </c>
      <c r="C817" s="246">
        <v>8886089</v>
      </c>
      <c r="D817" s="246" t="s">
        <v>547</v>
      </c>
      <c r="E817" s="246" t="s">
        <v>248</v>
      </c>
      <c r="F817" s="246" t="s">
        <v>93</v>
      </c>
      <c r="G817" s="246" t="s">
        <v>93</v>
      </c>
      <c r="H817" s="246" t="s">
        <v>93</v>
      </c>
      <c r="I817" s="246" t="s">
        <v>90</v>
      </c>
      <c r="J817" s="246" t="s">
        <v>1490</v>
      </c>
      <c r="K817" s="246" t="s">
        <v>486</v>
      </c>
      <c r="L817" s="246" t="s">
        <v>487</v>
      </c>
      <c r="M817" s="246" t="s">
        <v>495</v>
      </c>
      <c r="N817" s="246" t="s">
        <v>495</v>
      </c>
      <c r="O817" s="246" t="s">
        <v>534</v>
      </c>
      <c r="P817" s="246" t="s">
        <v>548</v>
      </c>
      <c r="Q817" s="247">
        <v>10053725</v>
      </c>
      <c r="R817" s="248">
        <v>43368</v>
      </c>
      <c r="S817" s="248">
        <v>43370</v>
      </c>
      <c r="T817" s="248">
        <v>43391</v>
      </c>
      <c r="U817" s="246" t="s">
        <v>488</v>
      </c>
      <c r="V817" s="246">
        <v>2</v>
      </c>
      <c r="W817" s="246" t="s">
        <v>219</v>
      </c>
      <c r="X817" s="246">
        <v>2</v>
      </c>
      <c r="Y817" s="246">
        <v>2</v>
      </c>
      <c r="Z817" s="246">
        <v>2</v>
      </c>
      <c r="AA817" s="246">
        <v>2</v>
      </c>
      <c r="AB817" s="246" t="s">
        <v>486</v>
      </c>
      <c r="AC817" s="246" t="s">
        <v>486</v>
      </c>
      <c r="AD817" s="246" t="s">
        <v>490</v>
      </c>
      <c r="AE817" s="246" t="s">
        <v>486</v>
      </c>
      <c r="AF817" s="246" t="s">
        <v>486</v>
      </c>
      <c r="AG817" s="246" t="s">
        <v>486</v>
      </c>
      <c r="AH817" s="246" t="s">
        <v>486</v>
      </c>
      <c r="AI817" s="246" t="s">
        <v>486</v>
      </c>
      <c r="AJ817" s="246" t="s">
        <v>486</v>
      </c>
      <c r="AK817" s="246" t="s">
        <v>486</v>
      </c>
      <c r="AL817" s="246" t="s">
        <v>491</v>
      </c>
      <c r="AM817" s="246" t="s">
        <v>486</v>
      </c>
      <c r="AN817" s="246" t="s">
        <v>486</v>
      </c>
      <c r="AO817" s="248" t="s">
        <v>486</v>
      </c>
      <c r="AP817" s="247" t="s">
        <v>486</v>
      </c>
      <c r="AQ817" s="249" t="s">
        <v>486</v>
      </c>
      <c r="AR817" s="246" t="s">
        <v>486</v>
      </c>
    </row>
    <row r="818" spans="1:44" ht="15" x14ac:dyDescent="0.25">
      <c r="A818" s="250" t="str">
        <f>HYPERLINK("http://www.ofsted.gov.uk/inspection-reports/find-inspection-report/provider/ELS/130391 ","Ofsted School Webpage")</f>
        <v>Ofsted School Webpage</v>
      </c>
      <c r="B818" s="251">
        <v>130391</v>
      </c>
      <c r="C818" s="251">
        <v>8016130</v>
      </c>
      <c r="D818" s="251" t="s">
        <v>563</v>
      </c>
      <c r="E818" s="251" t="s">
        <v>247</v>
      </c>
      <c r="F818" s="251" t="s">
        <v>83</v>
      </c>
      <c r="G818" s="251" t="s">
        <v>84</v>
      </c>
      <c r="H818" s="251" t="s">
        <v>83</v>
      </c>
      <c r="I818" s="251" t="s">
        <v>84</v>
      </c>
      <c r="J818" s="251" t="s">
        <v>1490</v>
      </c>
      <c r="K818" s="251" t="s">
        <v>486</v>
      </c>
      <c r="L818" s="251" t="s">
        <v>487</v>
      </c>
      <c r="M818" s="251" t="s">
        <v>483</v>
      </c>
      <c r="N818" s="251" t="s">
        <v>483</v>
      </c>
      <c r="O818" s="251" t="s">
        <v>564</v>
      </c>
      <c r="P818" s="251" t="s">
        <v>565</v>
      </c>
      <c r="Q818" s="252">
        <v>10055843</v>
      </c>
      <c r="R818" s="253">
        <v>43368</v>
      </c>
      <c r="S818" s="253">
        <v>43370</v>
      </c>
      <c r="T818" s="253">
        <v>43397</v>
      </c>
      <c r="U818" s="251" t="s">
        <v>488</v>
      </c>
      <c r="V818" s="251">
        <v>3</v>
      </c>
      <c r="W818" s="251" t="s">
        <v>219</v>
      </c>
      <c r="X818" s="251">
        <v>3</v>
      </c>
      <c r="Y818" s="251">
        <v>3</v>
      </c>
      <c r="Z818" s="251">
        <v>3</v>
      </c>
      <c r="AA818" s="251">
        <v>3</v>
      </c>
      <c r="AB818" s="251">
        <v>3</v>
      </c>
      <c r="AC818" s="251" t="s">
        <v>486</v>
      </c>
      <c r="AD818" s="251" t="s">
        <v>490</v>
      </c>
      <c r="AE818" s="251" t="s">
        <v>486</v>
      </c>
      <c r="AF818" s="251" t="s">
        <v>486</v>
      </c>
      <c r="AG818" s="251" t="s">
        <v>486</v>
      </c>
      <c r="AH818" s="251" t="s">
        <v>486</v>
      </c>
      <c r="AI818" s="251" t="s">
        <v>486</v>
      </c>
      <c r="AJ818" s="251" t="s">
        <v>486</v>
      </c>
      <c r="AK818" s="251" t="s">
        <v>486</v>
      </c>
      <c r="AL818" s="251" t="s">
        <v>491</v>
      </c>
      <c r="AM818" s="251" t="s">
        <v>486</v>
      </c>
      <c r="AN818" s="251" t="s">
        <v>486</v>
      </c>
      <c r="AO818" s="253" t="s">
        <v>486</v>
      </c>
      <c r="AP818" s="252" t="s">
        <v>486</v>
      </c>
      <c r="AQ818" s="254" t="s">
        <v>486</v>
      </c>
      <c r="AR818" s="251" t="s">
        <v>486</v>
      </c>
    </row>
    <row r="819" spans="1:44" ht="15" x14ac:dyDescent="0.25">
      <c r="A819" s="245" t="str">
        <f>HYPERLINK("http://www.ofsted.gov.uk/inspection-reports/find-inspection-report/provider/ELS/133385 ","Ofsted School Webpage")</f>
        <v>Ofsted School Webpage</v>
      </c>
      <c r="B819" s="246">
        <v>133385</v>
      </c>
      <c r="C819" s="246">
        <v>3046079</v>
      </c>
      <c r="D819" s="246" t="s">
        <v>566</v>
      </c>
      <c r="E819" s="246" t="s">
        <v>247</v>
      </c>
      <c r="F819" s="246" t="s">
        <v>93</v>
      </c>
      <c r="G819" s="246" t="s">
        <v>84</v>
      </c>
      <c r="H819" s="246" t="s">
        <v>84</v>
      </c>
      <c r="I819" s="246" t="s">
        <v>84</v>
      </c>
      <c r="J819" s="246" t="s">
        <v>1490</v>
      </c>
      <c r="K819" s="246" t="s">
        <v>486</v>
      </c>
      <c r="L819" s="246" t="s">
        <v>487</v>
      </c>
      <c r="M819" s="246" t="s">
        <v>506</v>
      </c>
      <c r="N819" s="246" t="s">
        <v>506</v>
      </c>
      <c r="O819" s="246" t="s">
        <v>543</v>
      </c>
      <c r="P819" s="246" t="s">
        <v>567</v>
      </c>
      <c r="Q819" s="247">
        <v>10054290</v>
      </c>
      <c r="R819" s="248">
        <v>43368</v>
      </c>
      <c r="S819" s="248">
        <v>43370</v>
      </c>
      <c r="T819" s="248">
        <v>43419</v>
      </c>
      <c r="U819" s="246" t="s">
        <v>488</v>
      </c>
      <c r="V819" s="246">
        <v>4</v>
      </c>
      <c r="W819" s="246" t="s">
        <v>220</v>
      </c>
      <c r="X819" s="246">
        <v>4</v>
      </c>
      <c r="Y819" s="246">
        <v>3</v>
      </c>
      <c r="Z819" s="246">
        <v>4</v>
      </c>
      <c r="AA819" s="246">
        <v>4</v>
      </c>
      <c r="AB819" s="246" t="s">
        <v>486</v>
      </c>
      <c r="AC819" s="246" t="s">
        <v>486</v>
      </c>
      <c r="AD819" s="246" t="s">
        <v>512</v>
      </c>
      <c r="AE819" s="246" t="s">
        <v>486</v>
      </c>
      <c r="AF819" s="246" t="s">
        <v>486</v>
      </c>
      <c r="AG819" s="246" t="s">
        <v>486</v>
      </c>
      <c r="AH819" s="246" t="s">
        <v>490</v>
      </c>
      <c r="AI819" s="246" t="s">
        <v>486</v>
      </c>
      <c r="AJ819" s="246" t="s">
        <v>486</v>
      </c>
      <c r="AK819" s="246" t="s">
        <v>486</v>
      </c>
      <c r="AL819" s="246" t="s">
        <v>545</v>
      </c>
      <c r="AM819" s="246" t="s">
        <v>486</v>
      </c>
      <c r="AN819" s="246" t="s">
        <v>486</v>
      </c>
      <c r="AO819" s="248" t="s">
        <v>486</v>
      </c>
      <c r="AP819" s="247" t="s">
        <v>486</v>
      </c>
      <c r="AQ819" s="249" t="s">
        <v>486</v>
      </c>
      <c r="AR819" s="246" t="s">
        <v>486</v>
      </c>
    </row>
    <row r="820" spans="1:44" ht="15" x14ac:dyDescent="0.25">
      <c r="A820" s="250" t="str">
        <f>HYPERLINK("http://www.ofsted.gov.uk/inspection-reports/find-inspection-report/provider/ELS/135219 ","Ofsted School Webpage")</f>
        <v>Ofsted School Webpage</v>
      </c>
      <c r="B820" s="251">
        <v>135219</v>
      </c>
      <c r="C820" s="251">
        <v>8886097</v>
      </c>
      <c r="D820" s="251" t="s">
        <v>533</v>
      </c>
      <c r="E820" s="251" t="s">
        <v>247</v>
      </c>
      <c r="F820" s="251" t="s">
        <v>93</v>
      </c>
      <c r="G820" s="251" t="s">
        <v>84</v>
      </c>
      <c r="H820" s="251" t="s">
        <v>84</v>
      </c>
      <c r="I820" s="251" t="s">
        <v>84</v>
      </c>
      <c r="J820" s="251" t="s">
        <v>1490</v>
      </c>
      <c r="K820" s="251" t="s">
        <v>486</v>
      </c>
      <c r="L820" s="251" t="s">
        <v>487</v>
      </c>
      <c r="M820" s="251" t="s">
        <v>495</v>
      </c>
      <c r="N820" s="251" t="s">
        <v>495</v>
      </c>
      <c r="O820" s="251" t="s">
        <v>534</v>
      </c>
      <c r="P820" s="251" t="s">
        <v>535</v>
      </c>
      <c r="Q820" s="252">
        <v>10048593</v>
      </c>
      <c r="R820" s="253">
        <v>43368</v>
      </c>
      <c r="S820" s="253">
        <v>43370</v>
      </c>
      <c r="T820" s="253">
        <v>43395</v>
      </c>
      <c r="U820" s="251" t="s">
        <v>488</v>
      </c>
      <c r="V820" s="251">
        <v>2</v>
      </c>
      <c r="W820" s="251" t="s">
        <v>219</v>
      </c>
      <c r="X820" s="251">
        <v>2</v>
      </c>
      <c r="Y820" s="251">
        <v>1</v>
      </c>
      <c r="Z820" s="251">
        <v>2</v>
      </c>
      <c r="AA820" s="251">
        <v>2</v>
      </c>
      <c r="AB820" s="251">
        <v>2</v>
      </c>
      <c r="AC820" s="251" t="s">
        <v>486</v>
      </c>
      <c r="AD820" s="251" t="s">
        <v>490</v>
      </c>
      <c r="AE820" s="251" t="s">
        <v>486</v>
      </c>
      <c r="AF820" s="251" t="s">
        <v>486</v>
      </c>
      <c r="AG820" s="251" t="s">
        <v>486</v>
      </c>
      <c r="AH820" s="251" t="s">
        <v>486</v>
      </c>
      <c r="AI820" s="251" t="s">
        <v>486</v>
      </c>
      <c r="AJ820" s="251" t="s">
        <v>486</v>
      </c>
      <c r="AK820" s="251" t="s">
        <v>486</v>
      </c>
      <c r="AL820" s="251" t="s">
        <v>491</v>
      </c>
      <c r="AM820" s="251" t="s">
        <v>486</v>
      </c>
      <c r="AN820" s="251" t="s">
        <v>486</v>
      </c>
      <c r="AO820" s="253" t="s">
        <v>486</v>
      </c>
      <c r="AP820" s="252" t="s">
        <v>486</v>
      </c>
      <c r="AQ820" s="254" t="s">
        <v>486</v>
      </c>
      <c r="AR820" s="251" t="s">
        <v>486</v>
      </c>
    </row>
    <row r="821" spans="1:44" ht="15" x14ac:dyDescent="0.25">
      <c r="A821" s="245" t="str">
        <f>HYPERLINK("http://www.ofsted.gov.uk/inspection-reports/find-inspection-report/provider/ELS/136752 ","Ofsted School Webpage")</f>
        <v>Ofsted School Webpage</v>
      </c>
      <c r="B821" s="246">
        <v>136752</v>
      </c>
      <c r="C821" s="246">
        <v>3406001</v>
      </c>
      <c r="D821" s="246" t="s">
        <v>558</v>
      </c>
      <c r="E821" s="246" t="s">
        <v>248</v>
      </c>
      <c r="F821" s="246" t="s">
        <v>93</v>
      </c>
      <c r="G821" s="246" t="s">
        <v>93</v>
      </c>
      <c r="H821" s="246" t="s">
        <v>93</v>
      </c>
      <c r="I821" s="246" t="s">
        <v>90</v>
      </c>
      <c r="J821" s="246" t="s">
        <v>1490</v>
      </c>
      <c r="K821" s="246" t="s">
        <v>486</v>
      </c>
      <c r="L821" s="246" t="s">
        <v>487</v>
      </c>
      <c r="M821" s="246" t="s">
        <v>495</v>
      </c>
      <c r="N821" s="246" t="s">
        <v>495</v>
      </c>
      <c r="O821" s="246" t="s">
        <v>559</v>
      </c>
      <c r="P821" s="246" t="s">
        <v>560</v>
      </c>
      <c r="Q821" s="247">
        <v>10053733</v>
      </c>
      <c r="R821" s="248">
        <v>43368</v>
      </c>
      <c r="S821" s="248">
        <v>43370</v>
      </c>
      <c r="T821" s="248">
        <v>43411</v>
      </c>
      <c r="U821" s="246" t="s">
        <v>2930</v>
      </c>
      <c r="V821" s="246">
        <v>2</v>
      </c>
      <c r="W821" s="246" t="s">
        <v>219</v>
      </c>
      <c r="X821" s="246">
        <v>2</v>
      </c>
      <c r="Y821" s="246">
        <v>2</v>
      </c>
      <c r="Z821" s="246">
        <v>2</v>
      </c>
      <c r="AA821" s="246">
        <v>2</v>
      </c>
      <c r="AB821" s="246" t="s">
        <v>486</v>
      </c>
      <c r="AC821" s="246" t="s">
        <v>486</v>
      </c>
      <c r="AD821" s="246" t="s">
        <v>490</v>
      </c>
      <c r="AE821" s="246" t="s">
        <v>486</v>
      </c>
      <c r="AF821" s="246" t="s">
        <v>486</v>
      </c>
      <c r="AG821" s="246" t="s">
        <v>486</v>
      </c>
      <c r="AH821" s="246" t="s">
        <v>486</v>
      </c>
      <c r="AI821" s="246" t="s">
        <v>486</v>
      </c>
      <c r="AJ821" s="246" t="s">
        <v>486</v>
      </c>
      <c r="AK821" s="246" t="s">
        <v>486</v>
      </c>
      <c r="AL821" s="246" t="s">
        <v>491</v>
      </c>
      <c r="AM821" s="246" t="s">
        <v>486</v>
      </c>
      <c r="AN821" s="246" t="s">
        <v>486</v>
      </c>
      <c r="AO821" s="248" t="s">
        <v>486</v>
      </c>
      <c r="AP821" s="247" t="s">
        <v>486</v>
      </c>
      <c r="AQ821" s="249" t="s">
        <v>486</v>
      </c>
      <c r="AR821" s="246" t="s">
        <v>486</v>
      </c>
    </row>
    <row r="822" spans="1:44" ht="15" x14ac:dyDescent="0.25">
      <c r="A822" s="250" t="str">
        <f>HYPERLINK("http://www.ofsted.gov.uk/inspection-reports/find-inspection-report/provider/ELS/140479 ","Ofsted School Webpage")</f>
        <v>Ofsted School Webpage</v>
      </c>
      <c r="B822" s="251">
        <v>140479</v>
      </c>
      <c r="C822" s="251">
        <v>3736004</v>
      </c>
      <c r="D822" s="251" t="s">
        <v>552</v>
      </c>
      <c r="E822" s="251" t="s">
        <v>247</v>
      </c>
      <c r="F822" s="251" t="s">
        <v>93</v>
      </c>
      <c r="G822" s="251" t="s">
        <v>84</v>
      </c>
      <c r="H822" s="251" t="s">
        <v>84</v>
      </c>
      <c r="I822" s="251" t="s">
        <v>84</v>
      </c>
      <c r="J822" s="251" t="s">
        <v>1490</v>
      </c>
      <c r="K822" s="251" t="s">
        <v>486</v>
      </c>
      <c r="L822" s="251" t="s">
        <v>487</v>
      </c>
      <c r="M822" s="251" t="s">
        <v>523</v>
      </c>
      <c r="N822" s="251" t="s">
        <v>524</v>
      </c>
      <c r="O822" s="251" t="s">
        <v>553</v>
      </c>
      <c r="P822" s="251" t="s">
        <v>554</v>
      </c>
      <c r="Q822" s="252">
        <v>10040145</v>
      </c>
      <c r="R822" s="253">
        <v>43368</v>
      </c>
      <c r="S822" s="253">
        <v>43370</v>
      </c>
      <c r="T822" s="253">
        <v>43415</v>
      </c>
      <c r="U822" s="251" t="s">
        <v>488</v>
      </c>
      <c r="V822" s="251">
        <v>2</v>
      </c>
      <c r="W822" s="251" t="s">
        <v>219</v>
      </c>
      <c r="X822" s="251">
        <v>2</v>
      </c>
      <c r="Y822" s="251">
        <v>2</v>
      </c>
      <c r="Z822" s="251">
        <v>2</v>
      </c>
      <c r="AA822" s="251">
        <v>2</v>
      </c>
      <c r="AB822" s="251" t="s">
        <v>486</v>
      </c>
      <c r="AC822" s="251" t="s">
        <v>486</v>
      </c>
      <c r="AD822" s="251" t="s">
        <v>490</v>
      </c>
      <c r="AE822" s="251" t="s">
        <v>486</v>
      </c>
      <c r="AF822" s="251" t="s">
        <v>486</v>
      </c>
      <c r="AG822" s="251" t="s">
        <v>486</v>
      </c>
      <c r="AH822" s="251" t="s">
        <v>486</v>
      </c>
      <c r="AI822" s="251" t="s">
        <v>486</v>
      </c>
      <c r="AJ822" s="251" t="s">
        <v>486</v>
      </c>
      <c r="AK822" s="251" t="s">
        <v>486</v>
      </c>
      <c r="AL822" s="251" t="s">
        <v>491</v>
      </c>
      <c r="AM822" s="251" t="s">
        <v>486</v>
      </c>
      <c r="AN822" s="251" t="s">
        <v>486</v>
      </c>
      <c r="AO822" s="253" t="s">
        <v>486</v>
      </c>
      <c r="AP822" s="252" t="s">
        <v>486</v>
      </c>
      <c r="AQ822" s="254" t="s">
        <v>486</v>
      </c>
      <c r="AR822" s="251" t="s">
        <v>486</v>
      </c>
    </row>
    <row r="823" spans="1:44" ht="15" x14ac:dyDescent="0.25">
      <c r="A823" s="245" t="str">
        <f>HYPERLINK("http://www.ofsted.gov.uk/inspection-reports/find-inspection-report/provider/ELS/145059 ","Ofsted School Webpage")</f>
        <v>Ofsted School Webpage</v>
      </c>
      <c r="B823" s="246">
        <v>145059</v>
      </c>
      <c r="C823" s="246">
        <v>3366005</v>
      </c>
      <c r="D823" s="246" t="s">
        <v>568</v>
      </c>
      <c r="E823" s="246" t="s">
        <v>248</v>
      </c>
      <c r="F823" s="246" t="s">
        <v>93</v>
      </c>
      <c r="G823" s="246" t="s">
        <v>93</v>
      </c>
      <c r="H823" s="246" t="s">
        <v>93</v>
      </c>
      <c r="I823" s="246" t="s">
        <v>90</v>
      </c>
      <c r="J823" s="246" t="s">
        <v>1490</v>
      </c>
      <c r="K823" s="246" t="s">
        <v>486</v>
      </c>
      <c r="L823" s="246" t="s">
        <v>487</v>
      </c>
      <c r="M823" s="246" t="s">
        <v>502</v>
      </c>
      <c r="N823" s="246" t="s">
        <v>502</v>
      </c>
      <c r="O823" s="246" t="s">
        <v>569</v>
      </c>
      <c r="P823" s="246" t="s">
        <v>570</v>
      </c>
      <c r="Q823" s="247">
        <v>10052719</v>
      </c>
      <c r="R823" s="248">
        <v>43368</v>
      </c>
      <c r="S823" s="248">
        <v>43370</v>
      </c>
      <c r="T823" s="248">
        <v>43397</v>
      </c>
      <c r="U823" s="246" t="s">
        <v>499</v>
      </c>
      <c r="V823" s="246">
        <v>2</v>
      </c>
      <c r="W823" s="246" t="s">
        <v>219</v>
      </c>
      <c r="X823" s="246">
        <v>2</v>
      </c>
      <c r="Y823" s="246">
        <v>2</v>
      </c>
      <c r="Z823" s="246">
        <v>2</v>
      </c>
      <c r="AA823" s="246">
        <v>2</v>
      </c>
      <c r="AB823" s="246" t="s">
        <v>486</v>
      </c>
      <c r="AC823" s="246" t="s">
        <v>486</v>
      </c>
      <c r="AD823" s="246" t="s">
        <v>490</v>
      </c>
      <c r="AE823" s="246" t="s">
        <v>486</v>
      </c>
      <c r="AF823" s="246" t="s">
        <v>486</v>
      </c>
      <c r="AG823" s="246" t="s">
        <v>486</v>
      </c>
      <c r="AH823" s="246" t="s">
        <v>486</v>
      </c>
      <c r="AI823" s="246" t="s">
        <v>486</v>
      </c>
      <c r="AJ823" s="246" t="s">
        <v>486</v>
      </c>
      <c r="AK823" s="246" t="s">
        <v>486</v>
      </c>
      <c r="AL823" s="246" t="s">
        <v>491</v>
      </c>
      <c r="AM823" s="246" t="s">
        <v>486</v>
      </c>
      <c r="AN823" s="246" t="s">
        <v>486</v>
      </c>
      <c r="AO823" s="248" t="s">
        <v>486</v>
      </c>
      <c r="AP823" s="247" t="s">
        <v>486</v>
      </c>
      <c r="AQ823" s="249" t="s">
        <v>486</v>
      </c>
      <c r="AR823" s="246" t="s">
        <v>486</v>
      </c>
    </row>
    <row r="824" spans="1:44" ht="15" x14ac:dyDescent="0.25">
      <c r="A824" s="250" t="str">
        <f>HYPERLINK("http://www.ofsted.gov.uk/inspection-reports/find-inspection-report/provider/ELS/145127 ","Ofsted School Webpage")</f>
        <v>Ofsted School Webpage</v>
      </c>
      <c r="B824" s="251">
        <v>145127</v>
      </c>
      <c r="C824" s="251">
        <v>8416008</v>
      </c>
      <c r="D824" s="251" t="s">
        <v>538</v>
      </c>
      <c r="E824" s="251" t="s">
        <v>248</v>
      </c>
      <c r="F824" s="251" t="s">
        <v>93</v>
      </c>
      <c r="G824" s="251" t="s">
        <v>93</v>
      </c>
      <c r="H824" s="251" t="s">
        <v>93</v>
      </c>
      <c r="I824" s="251" t="s">
        <v>90</v>
      </c>
      <c r="J824" s="251" t="s">
        <v>1490</v>
      </c>
      <c r="K824" s="251" t="s">
        <v>486</v>
      </c>
      <c r="L824" s="251" t="s">
        <v>487</v>
      </c>
      <c r="M824" s="251" t="s">
        <v>523</v>
      </c>
      <c r="N824" s="251" t="s">
        <v>539</v>
      </c>
      <c r="O824" s="251" t="s">
        <v>540</v>
      </c>
      <c r="P824" s="251" t="s">
        <v>541</v>
      </c>
      <c r="Q824" s="252">
        <v>10053840</v>
      </c>
      <c r="R824" s="253">
        <v>43368</v>
      </c>
      <c r="S824" s="253">
        <v>43370</v>
      </c>
      <c r="T824" s="253">
        <v>43415</v>
      </c>
      <c r="U824" s="251" t="s">
        <v>499</v>
      </c>
      <c r="V824" s="251">
        <v>2</v>
      </c>
      <c r="W824" s="251" t="s">
        <v>219</v>
      </c>
      <c r="X824" s="251">
        <v>2</v>
      </c>
      <c r="Y824" s="251">
        <v>2</v>
      </c>
      <c r="Z824" s="251">
        <v>2</v>
      </c>
      <c r="AA824" s="251">
        <v>2</v>
      </c>
      <c r="AB824" s="251" t="s">
        <v>486</v>
      </c>
      <c r="AC824" s="251" t="s">
        <v>486</v>
      </c>
      <c r="AD824" s="251" t="s">
        <v>490</v>
      </c>
      <c r="AE824" s="251" t="s">
        <v>486</v>
      </c>
      <c r="AF824" s="251" t="s">
        <v>486</v>
      </c>
      <c r="AG824" s="251" t="s">
        <v>486</v>
      </c>
      <c r="AH824" s="251" t="s">
        <v>486</v>
      </c>
      <c r="AI824" s="251" t="s">
        <v>486</v>
      </c>
      <c r="AJ824" s="251" t="s">
        <v>486</v>
      </c>
      <c r="AK824" s="251" t="s">
        <v>486</v>
      </c>
      <c r="AL824" s="251" t="s">
        <v>491</v>
      </c>
      <c r="AM824" s="251" t="s">
        <v>486</v>
      </c>
      <c r="AN824" s="251" t="s">
        <v>486</v>
      </c>
      <c r="AO824" s="253" t="s">
        <v>486</v>
      </c>
      <c r="AP824" s="252" t="s">
        <v>486</v>
      </c>
      <c r="AQ824" s="254" t="s">
        <v>486</v>
      </c>
      <c r="AR824" s="251" t="s">
        <v>486</v>
      </c>
    </row>
    <row r="825" spans="1:44" ht="15" x14ac:dyDescent="0.25">
      <c r="A825" s="245" t="str">
        <f>HYPERLINK("http://www.ofsted.gov.uk/inspection-reports/find-inspection-report/provider/ELS/135241 ","Ofsted School Webpage")</f>
        <v>Ofsted School Webpage</v>
      </c>
      <c r="B825" s="246">
        <v>135241</v>
      </c>
      <c r="C825" s="246">
        <v>8306035</v>
      </c>
      <c r="D825" s="246" t="s">
        <v>571</v>
      </c>
      <c r="E825" s="246" t="s">
        <v>248</v>
      </c>
      <c r="F825" s="246" t="s">
        <v>93</v>
      </c>
      <c r="G825" s="246" t="s">
        <v>93</v>
      </c>
      <c r="H825" s="246" t="s">
        <v>93</v>
      </c>
      <c r="I825" s="246" t="s">
        <v>90</v>
      </c>
      <c r="J825" s="246" t="s">
        <v>1490</v>
      </c>
      <c r="K825" s="246" t="s">
        <v>486</v>
      </c>
      <c r="L825" s="246" t="s">
        <v>487</v>
      </c>
      <c r="M825" s="246" t="s">
        <v>572</v>
      </c>
      <c r="N825" s="246" t="s">
        <v>572</v>
      </c>
      <c r="O825" s="246" t="s">
        <v>573</v>
      </c>
      <c r="P825" s="246" t="s">
        <v>574</v>
      </c>
      <c r="Q825" s="247">
        <v>10053978</v>
      </c>
      <c r="R825" s="248">
        <v>43375</v>
      </c>
      <c r="S825" s="248">
        <v>43376</v>
      </c>
      <c r="T825" s="248">
        <v>43415</v>
      </c>
      <c r="U825" s="246" t="s">
        <v>488</v>
      </c>
      <c r="V825" s="246">
        <v>1</v>
      </c>
      <c r="W825" s="246" t="s">
        <v>219</v>
      </c>
      <c r="X825" s="246">
        <v>1</v>
      </c>
      <c r="Y825" s="246">
        <v>1</v>
      </c>
      <c r="Z825" s="246">
        <v>1</v>
      </c>
      <c r="AA825" s="246">
        <v>1</v>
      </c>
      <c r="AB825" s="246" t="s">
        <v>486</v>
      </c>
      <c r="AC825" s="246" t="s">
        <v>486</v>
      </c>
      <c r="AD825" s="246" t="s">
        <v>490</v>
      </c>
      <c r="AE825" s="246" t="s">
        <v>486</v>
      </c>
      <c r="AF825" s="246" t="s">
        <v>486</v>
      </c>
      <c r="AG825" s="246" t="s">
        <v>486</v>
      </c>
      <c r="AH825" s="246" t="s">
        <v>486</v>
      </c>
      <c r="AI825" s="246" t="s">
        <v>486</v>
      </c>
      <c r="AJ825" s="246" t="s">
        <v>486</v>
      </c>
      <c r="AK825" s="246" t="s">
        <v>486</v>
      </c>
      <c r="AL825" s="246" t="s">
        <v>491</v>
      </c>
      <c r="AM825" s="246" t="s">
        <v>486</v>
      </c>
      <c r="AN825" s="246" t="s">
        <v>486</v>
      </c>
      <c r="AO825" s="248" t="s">
        <v>486</v>
      </c>
      <c r="AP825" s="247" t="s">
        <v>486</v>
      </c>
      <c r="AQ825" s="249" t="s">
        <v>486</v>
      </c>
      <c r="AR825" s="246" t="s">
        <v>486</v>
      </c>
    </row>
    <row r="826" spans="1:44" ht="15" x14ac:dyDescent="0.25">
      <c r="A826" s="250" t="str">
        <f>HYPERLINK("http://www.ofsted.gov.uk/inspection-reports/find-inspection-report/provider/ELS/145184 ","Ofsted School Webpage")</f>
        <v>Ofsted School Webpage</v>
      </c>
      <c r="B826" s="251">
        <v>145184</v>
      </c>
      <c r="C826" s="251">
        <v>9296004</v>
      </c>
      <c r="D826" s="251" t="s">
        <v>575</v>
      </c>
      <c r="E826" s="251" t="s">
        <v>248</v>
      </c>
      <c r="F826" s="251" t="s">
        <v>93</v>
      </c>
      <c r="G826" s="251" t="s">
        <v>93</v>
      </c>
      <c r="H826" s="251" t="s">
        <v>93</v>
      </c>
      <c r="I826" s="251" t="s">
        <v>90</v>
      </c>
      <c r="J826" s="251" t="s">
        <v>1490</v>
      </c>
      <c r="K826" s="251" t="s">
        <v>486</v>
      </c>
      <c r="L826" s="251" t="s">
        <v>487</v>
      </c>
      <c r="M826" s="251" t="s">
        <v>523</v>
      </c>
      <c r="N826" s="251" t="s">
        <v>539</v>
      </c>
      <c r="O826" s="251" t="s">
        <v>576</v>
      </c>
      <c r="P826" s="251" t="s">
        <v>577</v>
      </c>
      <c r="Q826" s="252">
        <v>10053842</v>
      </c>
      <c r="R826" s="253">
        <v>43375</v>
      </c>
      <c r="S826" s="253">
        <v>43376</v>
      </c>
      <c r="T826" s="253">
        <v>43432</v>
      </c>
      <c r="U826" s="251" t="s">
        <v>499</v>
      </c>
      <c r="V826" s="251">
        <v>3</v>
      </c>
      <c r="W826" s="251" t="s">
        <v>219</v>
      </c>
      <c r="X826" s="251">
        <v>3</v>
      </c>
      <c r="Y826" s="251">
        <v>3</v>
      </c>
      <c r="Z826" s="251">
        <v>3</v>
      </c>
      <c r="AA826" s="251">
        <v>3</v>
      </c>
      <c r="AB826" s="251" t="s">
        <v>486</v>
      </c>
      <c r="AC826" s="251" t="s">
        <v>486</v>
      </c>
      <c r="AD826" s="251" t="s">
        <v>490</v>
      </c>
      <c r="AE826" s="251" t="s">
        <v>486</v>
      </c>
      <c r="AF826" s="251" t="s">
        <v>486</v>
      </c>
      <c r="AG826" s="251" t="s">
        <v>486</v>
      </c>
      <c r="AH826" s="251" t="s">
        <v>486</v>
      </c>
      <c r="AI826" s="251" t="s">
        <v>486</v>
      </c>
      <c r="AJ826" s="251" t="s">
        <v>486</v>
      </c>
      <c r="AK826" s="251" t="s">
        <v>486</v>
      </c>
      <c r="AL826" s="251" t="s">
        <v>545</v>
      </c>
      <c r="AM826" s="251" t="s">
        <v>486</v>
      </c>
      <c r="AN826" s="251" t="s">
        <v>486</v>
      </c>
      <c r="AO826" s="253" t="s">
        <v>486</v>
      </c>
      <c r="AP826" s="252" t="s">
        <v>486</v>
      </c>
      <c r="AQ826" s="254" t="s">
        <v>486</v>
      </c>
      <c r="AR826" s="251" t="s">
        <v>486</v>
      </c>
    </row>
    <row r="827" spans="1:44" ht="15" x14ac:dyDescent="0.25">
      <c r="A827" s="245" t="str">
        <f>HYPERLINK("http://www.ofsted.gov.uk/inspection-reports/find-inspection-report/provider/ELS/102168 ","Ofsted School Webpage")</f>
        <v>Ofsted School Webpage</v>
      </c>
      <c r="B827" s="246">
        <v>102168</v>
      </c>
      <c r="C827" s="246">
        <v>3096066</v>
      </c>
      <c r="D827" s="246" t="s">
        <v>594</v>
      </c>
      <c r="E827" s="246" t="s">
        <v>247</v>
      </c>
      <c r="F827" s="246" t="s">
        <v>93</v>
      </c>
      <c r="G827" s="246" t="s">
        <v>93</v>
      </c>
      <c r="H827" s="246" t="s">
        <v>93</v>
      </c>
      <c r="I827" s="246" t="s">
        <v>90</v>
      </c>
      <c r="J827" s="246" t="s">
        <v>1490</v>
      </c>
      <c r="K827" s="246" t="s">
        <v>486</v>
      </c>
      <c r="L827" s="246" t="s">
        <v>487</v>
      </c>
      <c r="M827" s="246" t="s">
        <v>506</v>
      </c>
      <c r="N827" s="246" t="s">
        <v>506</v>
      </c>
      <c r="O827" s="246" t="s">
        <v>595</v>
      </c>
      <c r="P827" s="246" t="s">
        <v>596</v>
      </c>
      <c r="Q827" s="247">
        <v>10055400</v>
      </c>
      <c r="R827" s="248">
        <v>43375</v>
      </c>
      <c r="S827" s="248">
        <v>43377</v>
      </c>
      <c r="T827" s="248">
        <v>43454</v>
      </c>
      <c r="U827" s="246" t="s">
        <v>488</v>
      </c>
      <c r="V827" s="246">
        <v>4</v>
      </c>
      <c r="W827" s="246" t="s">
        <v>219</v>
      </c>
      <c r="X827" s="246">
        <v>4</v>
      </c>
      <c r="Y827" s="246">
        <v>3</v>
      </c>
      <c r="Z827" s="246">
        <v>4</v>
      </c>
      <c r="AA827" s="246">
        <v>4</v>
      </c>
      <c r="AB827" s="246">
        <v>4</v>
      </c>
      <c r="AC827" s="246" t="s">
        <v>486</v>
      </c>
      <c r="AD827" s="246" t="s">
        <v>490</v>
      </c>
      <c r="AE827" s="246" t="s">
        <v>486</v>
      </c>
      <c r="AF827" s="246" t="s">
        <v>486</v>
      </c>
      <c r="AG827" s="246" t="s">
        <v>486</v>
      </c>
      <c r="AH827" s="246" t="s">
        <v>486</v>
      </c>
      <c r="AI827" s="246" t="s">
        <v>486</v>
      </c>
      <c r="AJ827" s="246" t="s">
        <v>486</v>
      </c>
      <c r="AK827" s="246" t="s">
        <v>486</v>
      </c>
      <c r="AL827" s="246" t="s">
        <v>545</v>
      </c>
      <c r="AM827" s="246" t="s">
        <v>486</v>
      </c>
      <c r="AN827" s="246" t="s">
        <v>486</v>
      </c>
      <c r="AO827" s="248" t="s">
        <v>486</v>
      </c>
      <c r="AP827" s="247" t="s">
        <v>486</v>
      </c>
      <c r="AQ827" s="249" t="s">
        <v>486</v>
      </c>
      <c r="AR827" s="246" t="s">
        <v>486</v>
      </c>
    </row>
    <row r="828" spans="1:44" ht="15" x14ac:dyDescent="0.25">
      <c r="A828" s="250" t="str">
        <f>HYPERLINK("http://www.ofsted.gov.uk/inspection-reports/find-inspection-report/provider/ELS/107168 ","Ofsted School Webpage")</f>
        <v>Ofsted School Webpage</v>
      </c>
      <c r="B828" s="251">
        <v>107168</v>
      </c>
      <c r="C828" s="251">
        <v>3736027</v>
      </c>
      <c r="D828" s="251" t="s">
        <v>584</v>
      </c>
      <c r="E828" s="251" t="s">
        <v>247</v>
      </c>
      <c r="F828" s="251" t="s">
        <v>71</v>
      </c>
      <c r="G828" s="251" t="s">
        <v>71</v>
      </c>
      <c r="H828" s="251" t="s">
        <v>71</v>
      </c>
      <c r="I828" s="251" t="s">
        <v>71</v>
      </c>
      <c r="J828" s="251" t="s">
        <v>1490</v>
      </c>
      <c r="K828" s="251" t="s">
        <v>486</v>
      </c>
      <c r="L828" s="251" t="s">
        <v>487</v>
      </c>
      <c r="M828" s="251" t="s">
        <v>523</v>
      </c>
      <c r="N828" s="251" t="s">
        <v>524</v>
      </c>
      <c r="O828" s="251" t="s">
        <v>553</v>
      </c>
      <c r="P828" s="251" t="s">
        <v>585</v>
      </c>
      <c r="Q828" s="252">
        <v>10053825</v>
      </c>
      <c r="R828" s="253">
        <v>43375</v>
      </c>
      <c r="S828" s="253">
        <v>43377</v>
      </c>
      <c r="T828" s="253">
        <v>43415</v>
      </c>
      <c r="U828" s="251" t="s">
        <v>488</v>
      </c>
      <c r="V828" s="251">
        <v>2</v>
      </c>
      <c r="W828" s="251" t="s">
        <v>219</v>
      </c>
      <c r="X828" s="251">
        <v>2</v>
      </c>
      <c r="Y828" s="251">
        <v>2</v>
      </c>
      <c r="Z828" s="251">
        <v>2</v>
      </c>
      <c r="AA828" s="251">
        <v>2</v>
      </c>
      <c r="AB828" s="251">
        <v>2</v>
      </c>
      <c r="AC828" s="251" t="s">
        <v>486</v>
      </c>
      <c r="AD828" s="251" t="s">
        <v>490</v>
      </c>
      <c r="AE828" s="251" t="s">
        <v>486</v>
      </c>
      <c r="AF828" s="251" t="s">
        <v>486</v>
      </c>
      <c r="AG828" s="251" t="s">
        <v>486</v>
      </c>
      <c r="AH828" s="251" t="s">
        <v>486</v>
      </c>
      <c r="AI828" s="251" t="s">
        <v>486</v>
      </c>
      <c r="AJ828" s="251" t="s">
        <v>486</v>
      </c>
      <c r="AK828" s="251" t="s">
        <v>486</v>
      </c>
      <c r="AL828" s="251" t="s">
        <v>491</v>
      </c>
      <c r="AM828" s="251" t="s">
        <v>486</v>
      </c>
      <c r="AN828" s="251" t="s">
        <v>486</v>
      </c>
      <c r="AO828" s="253" t="s">
        <v>486</v>
      </c>
      <c r="AP828" s="252" t="s">
        <v>486</v>
      </c>
      <c r="AQ828" s="254" t="s">
        <v>486</v>
      </c>
      <c r="AR828" s="251" t="s">
        <v>486</v>
      </c>
    </row>
    <row r="829" spans="1:44" ht="15" x14ac:dyDescent="0.25">
      <c r="A829" s="245" t="str">
        <f>HYPERLINK("http://www.ofsted.gov.uk/inspection-reports/find-inspection-report/provider/ELS/116540 ","Ofsted School Webpage")</f>
        <v>Ofsted School Webpage</v>
      </c>
      <c r="B829" s="246">
        <v>116540</v>
      </c>
      <c r="C829" s="246">
        <v>8506014</v>
      </c>
      <c r="D829" s="246" t="s">
        <v>580</v>
      </c>
      <c r="E829" s="246" t="s">
        <v>247</v>
      </c>
      <c r="F829" s="246" t="s">
        <v>93</v>
      </c>
      <c r="G829" s="246" t="s">
        <v>93</v>
      </c>
      <c r="H829" s="246" t="s">
        <v>93</v>
      </c>
      <c r="I829" s="246" t="s">
        <v>90</v>
      </c>
      <c r="J829" s="246" t="s">
        <v>1490</v>
      </c>
      <c r="K829" s="246" t="s">
        <v>486</v>
      </c>
      <c r="L829" s="246" t="s">
        <v>487</v>
      </c>
      <c r="M829" s="246" t="s">
        <v>581</v>
      </c>
      <c r="N829" s="246" t="s">
        <v>581</v>
      </c>
      <c r="O829" s="246" t="s">
        <v>582</v>
      </c>
      <c r="P829" s="246" t="s">
        <v>583</v>
      </c>
      <c r="Q829" s="247">
        <v>10054075</v>
      </c>
      <c r="R829" s="248">
        <v>43375</v>
      </c>
      <c r="S829" s="248">
        <v>43377</v>
      </c>
      <c r="T829" s="248">
        <v>43420</v>
      </c>
      <c r="U829" s="246" t="s">
        <v>488</v>
      </c>
      <c r="V829" s="246">
        <v>4</v>
      </c>
      <c r="W829" s="246" t="s">
        <v>219</v>
      </c>
      <c r="X829" s="246">
        <v>4</v>
      </c>
      <c r="Y829" s="246">
        <v>2</v>
      </c>
      <c r="Z829" s="246">
        <v>3</v>
      </c>
      <c r="AA829" s="246">
        <v>3</v>
      </c>
      <c r="AB829" s="246">
        <v>2</v>
      </c>
      <c r="AC829" s="246" t="s">
        <v>486</v>
      </c>
      <c r="AD829" s="246" t="s">
        <v>512</v>
      </c>
      <c r="AE829" s="246" t="s">
        <v>486</v>
      </c>
      <c r="AF829" s="246" t="s">
        <v>486</v>
      </c>
      <c r="AG829" s="246" t="s">
        <v>490</v>
      </c>
      <c r="AH829" s="246" t="s">
        <v>486</v>
      </c>
      <c r="AI829" s="246" t="s">
        <v>486</v>
      </c>
      <c r="AJ829" s="246" t="s">
        <v>486</v>
      </c>
      <c r="AK829" s="246" t="s">
        <v>486</v>
      </c>
      <c r="AL829" s="246" t="s">
        <v>545</v>
      </c>
      <c r="AM829" s="246" t="s">
        <v>486</v>
      </c>
      <c r="AN829" s="246" t="s">
        <v>486</v>
      </c>
      <c r="AO829" s="248" t="s">
        <v>486</v>
      </c>
      <c r="AP829" s="247" t="s">
        <v>486</v>
      </c>
      <c r="AQ829" s="249" t="s">
        <v>486</v>
      </c>
      <c r="AR829" s="246" t="s">
        <v>486</v>
      </c>
    </row>
    <row r="830" spans="1:44" ht="15" x14ac:dyDescent="0.25">
      <c r="A830" s="250" t="str">
        <f>HYPERLINK("http://www.ofsted.gov.uk/inspection-reports/find-inspection-report/provider/ELS/135858 ","Ofsted School Webpage")</f>
        <v>Ofsted School Webpage</v>
      </c>
      <c r="B830" s="251">
        <v>135858</v>
      </c>
      <c r="C830" s="251">
        <v>8566022</v>
      </c>
      <c r="D830" s="251" t="s">
        <v>588</v>
      </c>
      <c r="E830" s="251" t="s">
        <v>247</v>
      </c>
      <c r="F830" s="251" t="s">
        <v>93</v>
      </c>
      <c r="G830" s="251" t="s">
        <v>84</v>
      </c>
      <c r="H830" s="251" t="s">
        <v>84</v>
      </c>
      <c r="I830" s="251" t="s">
        <v>84</v>
      </c>
      <c r="J830" s="251" t="s">
        <v>1490</v>
      </c>
      <c r="K830" s="251" t="s">
        <v>486</v>
      </c>
      <c r="L830" s="251" t="s">
        <v>487</v>
      </c>
      <c r="M830" s="251" t="s">
        <v>572</v>
      </c>
      <c r="N830" s="251" t="s">
        <v>572</v>
      </c>
      <c r="O830" s="251" t="s">
        <v>589</v>
      </c>
      <c r="P830" s="251" t="s">
        <v>590</v>
      </c>
      <c r="Q830" s="252">
        <v>10053979</v>
      </c>
      <c r="R830" s="253">
        <v>43375</v>
      </c>
      <c r="S830" s="253">
        <v>43377</v>
      </c>
      <c r="T830" s="253">
        <v>43415</v>
      </c>
      <c r="U830" s="251" t="s">
        <v>488</v>
      </c>
      <c r="V830" s="251">
        <v>2</v>
      </c>
      <c r="W830" s="251" t="s">
        <v>219</v>
      </c>
      <c r="X830" s="251">
        <v>2</v>
      </c>
      <c r="Y830" s="251">
        <v>1</v>
      </c>
      <c r="Z830" s="251">
        <v>2</v>
      </c>
      <c r="AA830" s="251">
        <v>2</v>
      </c>
      <c r="AB830" s="251">
        <v>2</v>
      </c>
      <c r="AC830" s="251" t="s">
        <v>486</v>
      </c>
      <c r="AD830" s="251" t="s">
        <v>490</v>
      </c>
      <c r="AE830" s="251" t="s">
        <v>486</v>
      </c>
      <c r="AF830" s="251" t="s">
        <v>486</v>
      </c>
      <c r="AG830" s="251" t="s">
        <v>486</v>
      </c>
      <c r="AH830" s="251" t="s">
        <v>486</v>
      </c>
      <c r="AI830" s="251" t="s">
        <v>486</v>
      </c>
      <c r="AJ830" s="251" t="s">
        <v>486</v>
      </c>
      <c r="AK830" s="251" t="s">
        <v>486</v>
      </c>
      <c r="AL830" s="251" t="s">
        <v>491</v>
      </c>
      <c r="AM830" s="251" t="s">
        <v>486</v>
      </c>
      <c r="AN830" s="251" t="s">
        <v>486</v>
      </c>
      <c r="AO830" s="253" t="s">
        <v>486</v>
      </c>
      <c r="AP830" s="252" t="s">
        <v>486</v>
      </c>
      <c r="AQ830" s="254" t="s">
        <v>486</v>
      </c>
      <c r="AR830" s="251" t="s">
        <v>486</v>
      </c>
    </row>
    <row r="831" spans="1:44" ht="15" x14ac:dyDescent="0.25">
      <c r="A831" s="245" t="str">
        <f>HYPERLINK("http://www.ofsted.gov.uk/inspection-reports/find-inspection-report/provider/ELS/138779 ","Ofsted School Webpage")</f>
        <v>Ofsted School Webpage</v>
      </c>
      <c r="B831" s="246">
        <v>138779</v>
      </c>
      <c r="C831" s="246">
        <v>9266006</v>
      </c>
      <c r="D831" s="246" t="s">
        <v>586</v>
      </c>
      <c r="E831" s="246" t="s">
        <v>248</v>
      </c>
      <c r="F831" s="246" t="s">
        <v>93</v>
      </c>
      <c r="G831" s="246" t="s">
        <v>93</v>
      </c>
      <c r="H831" s="246" t="s">
        <v>93</v>
      </c>
      <c r="I831" s="246" t="s">
        <v>90</v>
      </c>
      <c r="J831" s="246" t="s">
        <v>1490</v>
      </c>
      <c r="K831" s="246" t="s">
        <v>486</v>
      </c>
      <c r="L831" s="246" t="s">
        <v>487</v>
      </c>
      <c r="M831" s="246" t="s">
        <v>516</v>
      </c>
      <c r="N831" s="246" t="s">
        <v>516</v>
      </c>
      <c r="O831" s="246" t="s">
        <v>528</v>
      </c>
      <c r="P831" s="246" t="s">
        <v>587</v>
      </c>
      <c r="Q831" s="247">
        <v>10054011</v>
      </c>
      <c r="R831" s="248">
        <v>43375</v>
      </c>
      <c r="S831" s="248">
        <v>43377</v>
      </c>
      <c r="T831" s="248">
        <v>43410</v>
      </c>
      <c r="U831" s="246" t="s">
        <v>488</v>
      </c>
      <c r="V831" s="246">
        <v>2</v>
      </c>
      <c r="W831" s="246" t="s">
        <v>219</v>
      </c>
      <c r="X831" s="246">
        <v>2</v>
      </c>
      <c r="Y831" s="246">
        <v>2</v>
      </c>
      <c r="Z831" s="246">
        <v>2</v>
      </c>
      <c r="AA831" s="246">
        <v>2</v>
      </c>
      <c r="AB831" s="246" t="s">
        <v>486</v>
      </c>
      <c r="AC831" s="246" t="s">
        <v>486</v>
      </c>
      <c r="AD831" s="246" t="s">
        <v>490</v>
      </c>
      <c r="AE831" s="246" t="s">
        <v>486</v>
      </c>
      <c r="AF831" s="246" t="s">
        <v>486</v>
      </c>
      <c r="AG831" s="246" t="s">
        <v>486</v>
      </c>
      <c r="AH831" s="246" t="s">
        <v>486</v>
      </c>
      <c r="AI831" s="246" t="s">
        <v>486</v>
      </c>
      <c r="AJ831" s="246" t="s">
        <v>486</v>
      </c>
      <c r="AK831" s="246" t="s">
        <v>486</v>
      </c>
      <c r="AL831" s="246" t="s">
        <v>491</v>
      </c>
      <c r="AM831" s="246" t="s">
        <v>486</v>
      </c>
      <c r="AN831" s="246" t="s">
        <v>486</v>
      </c>
      <c r="AO831" s="248" t="s">
        <v>486</v>
      </c>
      <c r="AP831" s="247" t="s">
        <v>486</v>
      </c>
      <c r="AQ831" s="249" t="s">
        <v>486</v>
      </c>
      <c r="AR831" s="246" t="s">
        <v>486</v>
      </c>
    </row>
    <row r="832" spans="1:44" ht="15" x14ac:dyDescent="0.25">
      <c r="A832" s="250" t="str">
        <f>HYPERLINK("http://www.ofsted.gov.uk/inspection-reports/find-inspection-report/provider/ELS/144774 ","Ofsted School Webpage")</f>
        <v>Ofsted School Webpage</v>
      </c>
      <c r="B832" s="251">
        <v>144774</v>
      </c>
      <c r="C832" s="251">
        <v>3196000</v>
      </c>
      <c r="D832" s="251" t="s">
        <v>591</v>
      </c>
      <c r="E832" s="251" t="s">
        <v>248</v>
      </c>
      <c r="F832" s="251" t="s">
        <v>93</v>
      </c>
      <c r="G832" s="251" t="s">
        <v>93</v>
      </c>
      <c r="H832" s="251" t="s">
        <v>93</v>
      </c>
      <c r="I832" s="251" t="s">
        <v>90</v>
      </c>
      <c r="J832" s="251" t="s">
        <v>1490</v>
      </c>
      <c r="K832" s="251" t="s">
        <v>486</v>
      </c>
      <c r="L832" s="251" t="s">
        <v>487</v>
      </c>
      <c r="M832" s="251" t="s">
        <v>506</v>
      </c>
      <c r="N832" s="251" t="s">
        <v>506</v>
      </c>
      <c r="O832" s="251" t="s">
        <v>592</v>
      </c>
      <c r="P832" s="251" t="s">
        <v>593</v>
      </c>
      <c r="Q832" s="252">
        <v>10054306</v>
      </c>
      <c r="R832" s="253">
        <v>43375</v>
      </c>
      <c r="S832" s="253">
        <v>43377</v>
      </c>
      <c r="T832" s="253">
        <v>43411</v>
      </c>
      <c r="U832" s="251" t="s">
        <v>499</v>
      </c>
      <c r="V832" s="251">
        <v>2</v>
      </c>
      <c r="W832" s="251" t="s">
        <v>219</v>
      </c>
      <c r="X832" s="251">
        <v>1</v>
      </c>
      <c r="Y832" s="251">
        <v>1</v>
      </c>
      <c r="Z832" s="251">
        <v>2</v>
      </c>
      <c r="AA832" s="251">
        <v>2</v>
      </c>
      <c r="AB832" s="251" t="s">
        <v>486</v>
      </c>
      <c r="AC832" s="251" t="s">
        <v>486</v>
      </c>
      <c r="AD832" s="251" t="s">
        <v>490</v>
      </c>
      <c r="AE832" s="251" t="s">
        <v>486</v>
      </c>
      <c r="AF832" s="251" t="s">
        <v>486</v>
      </c>
      <c r="AG832" s="251" t="s">
        <v>486</v>
      </c>
      <c r="AH832" s="251" t="s">
        <v>486</v>
      </c>
      <c r="AI832" s="251" t="s">
        <v>486</v>
      </c>
      <c r="AJ832" s="251" t="s">
        <v>486</v>
      </c>
      <c r="AK832" s="251" t="s">
        <v>486</v>
      </c>
      <c r="AL832" s="251" t="s">
        <v>491</v>
      </c>
      <c r="AM832" s="251" t="s">
        <v>486</v>
      </c>
      <c r="AN832" s="251" t="s">
        <v>486</v>
      </c>
      <c r="AO832" s="253" t="s">
        <v>486</v>
      </c>
      <c r="AP832" s="252" t="s">
        <v>486</v>
      </c>
      <c r="AQ832" s="254" t="s">
        <v>486</v>
      </c>
      <c r="AR832" s="251" t="s">
        <v>486</v>
      </c>
    </row>
    <row r="833" spans="1:44" ht="15" x14ac:dyDescent="0.25">
      <c r="A833" s="245" t="str">
        <f>HYPERLINK("http://www.ofsted.gov.uk/inspection-reports/find-inspection-report/provider/ELS/145470 ","Ofsted School Webpage")</f>
        <v>Ofsted School Webpage</v>
      </c>
      <c r="B833" s="246">
        <v>145470</v>
      </c>
      <c r="C833" s="246">
        <v>9376015</v>
      </c>
      <c r="D833" s="246" t="s">
        <v>578</v>
      </c>
      <c r="E833" s="246" t="s">
        <v>248</v>
      </c>
      <c r="F833" s="246" t="s">
        <v>93</v>
      </c>
      <c r="G833" s="246" t="s">
        <v>93</v>
      </c>
      <c r="H833" s="246" t="s">
        <v>93</v>
      </c>
      <c r="I833" s="246" t="s">
        <v>90</v>
      </c>
      <c r="J833" s="246" t="s">
        <v>1490</v>
      </c>
      <c r="K833" s="246" t="s">
        <v>486</v>
      </c>
      <c r="L833" s="246" t="s">
        <v>487</v>
      </c>
      <c r="M833" s="246" t="s">
        <v>502</v>
      </c>
      <c r="N833" s="246" t="s">
        <v>502</v>
      </c>
      <c r="O833" s="246" t="s">
        <v>503</v>
      </c>
      <c r="P833" s="246" t="s">
        <v>579</v>
      </c>
      <c r="Q833" s="247">
        <v>10053929</v>
      </c>
      <c r="R833" s="248">
        <v>43375</v>
      </c>
      <c r="S833" s="248">
        <v>43377</v>
      </c>
      <c r="T833" s="248">
        <v>43422</v>
      </c>
      <c r="U833" s="246" t="s">
        <v>499</v>
      </c>
      <c r="V833" s="246">
        <v>1</v>
      </c>
      <c r="W833" s="246" t="s">
        <v>219</v>
      </c>
      <c r="X833" s="246">
        <v>1</v>
      </c>
      <c r="Y833" s="246">
        <v>1</v>
      </c>
      <c r="Z833" s="246">
        <v>1</v>
      </c>
      <c r="AA833" s="246">
        <v>1</v>
      </c>
      <c r="AB833" s="246" t="s">
        <v>486</v>
      </c>
      <c r="AC833" s="246" t="s">
        <v>486</v>
      </c>
      <c r="AD833" s="246" t="s">
        <v>490</v>
      </c>
      <c r="AE833" s="246" t="s">
        <v>486</v>
      </c>
      <c r="AF833" s="246" t="s">
        <v>486</v>
      </c>
      <c r="AG833" s="246" t="s">
        <v>486</v>
      </c>
      <c r="AH833" s="246" t="s">
        <v>486</v>
      </c>
      <c r="AI833" s="246" t="s">
        <v>486</v>
      </c>
      <c r="AJ833" s="246" t="s">
        <v>486</v>
      </c>
      <c r="AK833" s="246" t="s">
        <v>486</v>
      </c>
      <c r="AL833" s="246" t="s">
        <v>491</v>
      </c>
      <c r="AM833" s="246" t="s">
        <v>486</v>
      </c>
      <c r="AN833" s="246" t="s">
        <v>486</v>
      </c>
      <c r="AO833" s="248" t="s">
        <v>486</v>
      </c>
      <c r="AP833" s="247" t="s">
        <v>486</v>
      </c>
      <c r="AQ833" s="249" t="s">
        <v>486</v>
      </c>
      <c r="AR833" s="246" t="s">
        <v>486</v>
      </c>
    </row>
    <row r="834" spans="1:44" ht="15" x14ac:dyDescent="0.25">
      <c r="A834" s="250" t="str">
        <f>HYPERLINK("http://www.ofsted.gov.uk/inspection-reports/find-inspection-report/provider/ELS/145479 ","Ofsted School Webpage")</f>
        <v>Ofsted School Webpage</v>
      </c>
      <c r="B834" s="251">
        <v>145479</v>
      </c>
      <c r="C834" s="251">
        <v>8506094</v>
      </c>
      <c r="D834" s="251" t="s">
        <v>598</v>
      </c>
      <c r="E834" s="251" t="s">
        <v>248</v>
      </c>
      <c r="F834" s="251" t="s">
        <v>93</v>
      </c>
      <c r="G834" s="251" t="s">
        <v>93</v>
      </c>
      <c r="H834" s="251" t="s">
        <v>93</v>
      </c>
      <c r="I834" s="251" t="s">
        <v>90</v>
      </c>
      <c r="J834" s="251" t="s">
        <v>1490</v>
      </c>
      <c r="K834" s="251" t="s">
        <v>486</v>
      </c>
      <c r="L834" s="251" t="s">
        <v>487</v>
      </c>
      <c r="M834" s="251" t="s">
        <v>581</v>
      </c>
      <c r="N834" s="251" t="s">
        <v>581</v>
      </c>
      <c r="O834" s="251" t="s">
        <v>582</v>
      </c>
      <c r="P834" s="251" t="s">
        <v>599</v>
      </c>
      <c r="Q834" s="252">
        <v>10054088</v>
      </c>
      <c r="R834" s="253">
        <v>43376</v>
      </c>
      <c r="S834" s="253">
        <v>43378</v>
      </c>
      <c r="T834" s="253">
        <v>43415</v>
      </c>
      <c r="U834" s="251" t="s">
        <v>499</v>
      </c>
      <c r="V834" s="251">
        <v>1</v>
      </c>
      <c r="W834" s="251" t="s">
        <v>219</v>
      </c>
      <c r="X834" s="251">
        <v>1</v>
      </c>
      <c r="Y834" s="251">
        <v>1</v>
      </c>
      <c r="Z834" s="251">
        <v>1</v>
      </c>
      <c r="AA834" s="251">
        <v>1</v>
      </c>
      <c r="AB834" s="251" t="s">
        <v>486</v>
      </c>
      <c r="AC834" s="251" t="s">
        <v>486</v>
      </c>
      <c r="AD834" s="251" t="s">
        <v>490</v>
      </c>
      <c r="AE834" s="251" t="s">
        <v>486</v>
      </c>
      <c r="AF834" s="251" t="s">
        <v>486</v>
      </c>
      <c r="AG834" s="251" t="s">
        <v>486</v>
      </c>
      <c r="AH834" s="251" t="s">
        <v>486</v>
      </c>
      <c r="AI834" s="251" t="s">
        <v>486</v>
      </c>
      <c r="AJ834" s="251" t="s">
        <v>486</v>
      </c>
      <c r="AK834" s="251" t="s">
        <v>486</v>
      </c>
      <c r="AL834" s="251" t="s">
        <v>491</v>
      </c>
      <c r="AM834" s="251" t="s">
        <v>486</v>
      </c>
      <c r="AN834" s="251" t="s">
        <v>486</v>
      </c>
      <c r="AO834" s="253" t="s">
        <v>486</v>
      </c>
      <c r="AP834" s="252" t="s">
        <v>486</v>
      </c>
      <c r="AQ834" s="254" t="s">
        <v>486</v>
      </c>
      <c r="AR834" s="251" t="s">
        <v>486</v>
      </c>
    </row>
    <row r="835" spans="1:44" ht="15" x14ac:dyDescent="0.25">
      <c r="A835" s="245" t="str">
        <f>HYPERLINK("http://www.ofsted.gov.uk/inspection-reports/find-inspection-report/provider/ELS/140491 ","Ofsted School Webpage")</f>
        <v>Ofsted School Webpage</v>
      </c>
      <c r="B835" s="246">
        <v>140491</v>
      </c>
      <c r="C835" s="246">
        <v>3556001</v>
      </c>
      <c r="D835" s="246" t="s">
        <v>600</v>
      </c>
      <c r="E835" s="246" t="s">
        <v>247</v>
      </c>
      <c r="F835" s="246" t="s">
        <v>93</v>
      </c>
      <c r="G835" s="246" t="s">
        <v>81</v>
      </c>
      <c r="H835" s="246" t="s">
        <v>81</v>
      </c>
      <c r="I835" s="246" t="s">
        <v>81</v>
      </c>
      <c r="J835" s="246" t="s">
        <v>1490</v>
      </c>
      <c r="K835" s="246" t="s">
        <v>486</v>
      </c>
      <c r="L835" s="246" t="s">
        <v>487</v>
      </c>
      <c r="M835" s="246" t="s">
        <v>495</v>
      </c>
      <c r="N835" s="246" t="s">
        <v>495</v>
      </c>
      <c r="O835" s="246" t="s">
        <v>601</v>
      </c>
      <c r="P835" s="246" t="s">
        <v>602</v>
      </c>
      <c r="Q835" s="247">
        <v>10056405</v>
      </c>
      <c r="R835" s="248">
        <v>43381</v>
      </c>
      <c r="S835" s="248">
        <v>43383</v>
      </c>
      <c r="T835" s="248">
        <v>43423</v>
      </c>
      <c r="U835" s="246" t="s">
        <v>488</v>
      </c>
      <c r="V835" s="246">
        <v>2</v>
      </c>
      <c r="W835" s="246" t="s">
        <v>219</v>
      </c>
      <c r="X835" s="246">
        <v>2</v>
      </c>
      <c r="Y835" s="246">
        <v>2</v>
      </c>
      <c r="Z835" s="246">
        <v>2</v>
      </c>
      <c r="AA835" s="246">
        <v>2</v>
      </c>
      <c r="AB835" s="246">
        <v>2</v>
      </c>
      <c r="AC835" s="246" t="s">
        <v>486</v>
      </c>
      <c r="AD835" s="246" t="s">
        <v>512</v>
      </c>
      <c r="AE835" s="246" t="s">
        <v>486</v>
      </c>
      <c r="AF835" s="246" t="s">
        <v>490</v>
      </c>
      <c r="AG835" s="246" t="s">
        <v>490</v>
      </c>
      <c r="AH835" s="246" t="s">
        <v>490</v>
      </c>
      <c r="AI835" s="246" t="s">
        <v>486</v>
      </c>
      <c r="AJ835" s="246" t="s">
        <v>486</v>
      </c>
      <c r="AK835" s="246" t="s">
        <v>486</v>
      </c>
      <c r="AL835" s="246" t="s">
        <v>491</v>
      </c>
      <c r="AM835" s="246" t="s">
        <v>486</v>
      </c>
      <c r="AN835" s="246" t="s">
        <v>486</v>
      </c>
      <c r="AO835" s="248" t="s">
        <v>486</v>
      </c>
      <c r="AP835" s="247" t="s">
        <v>486</v>
      </c>
      <c r="AQ835" s="249" t="s">
        <v>486</v>
      </c>
      <c r="AR835" s="246" t="s">
        <v>486</v>
      </c>
    </row>
    <row r="836" spans="1:44" ht="15" x14ac:dyDescent="0.25">
      <c r="A836" s="250" t="str">
        <f>HYPERLINK("http://www.ofsted.gov.uk/inspection-reports/find-inspection-report/provider/ELS/145170 ","Ofsted School Webpage")</f>
        <v>Ofsted School Webpage</v>
      </c>
      <c r="B836" s="251">
        <v>145170</v>
      </c>
      <c r="C836" s="251">
        <v>3546038</v>
      </c>
      <c r="D836" s="251" t="s">
        <v>603</v>
      </c>
      <c r="E836" s="251" t="s">
        <v>247</v>
      </c>
      <c r="F836" s="251" t="s">
        <v>93</v>
      </c>
      <c r="G836" s="251" t="s">
        <v>93</v>
      </c>
      <c r="H836" s="251" t="s">
        <v>93</v>
      </c>
      <c r="I836" s="251" t="s">
        <v>90</v>
      </c>
      <c r="J836" s="251" t="s">
        <v>1490</v>
      </c>
      <c r="K836" s="251" t="s">
        <v>486</v>
      </c>
      <c r="L836" s="251" t="s">
        <v>487</v>
      </c>
      <c r="M836" s="251" t="s">
        <v>495</v>
      </c>
      <c r="N836" s="251" t="s">
        <v>495</v>
      </c>
      <c r="O836" s="251" t="s">
        <v>604</v>
      </c>
      <c r="P836" s="251" t="s">
        <v>605</v>
      </c>
      <c r="Q836" s="252">
        <v>10053739</v>
      </c>
      <c r="R836" s="253">
        <v>43382</v>
      </c>
      <c r="S836" s="253">
        <v>43383</v>
      </c>
      <c r="T836" s="253">
        <v>43410</v>
      </c>
      <c r="U836" s="251" t="s">
        <v>499</v>
      </c>
      <c r="V836" s="251">
        <v>2</v>
      </c>
      <c r="W836" s="251" t="s">
        <v>219</v>
      </c>
      <c r="X836" s="251">
        <v>2</v>
      </c>
      <c r="Y836" s="251">
        <v>2</v>
      </c>
      <c r="Z836" s="251">
        <v>2</v>
      </c>
      <c r="AA836" s="251">
        <v>2</v>
      </c>
      <c r="AB836" s="251" t="s">
        <v>486</v>
      </c>
      <c r="AC836" s="251" t="s">
        <v>486</v>
      </c>
      <c r="AD836" s="251" t="s">
        <v>490</v>
      </c>
      <c r="AE836" s="251" t="s">
        <v>486</v>
      </c>
      <c r="AF836" s="251" t="s">
        <v>486</v>
      </c>
      <c r="AG836" s="251" t="s">
        <v>486</v>
      </c>
      <c r="AH836" s="251" t="s">
        <v>486</v>
      </c>
      <c r="AI836" s="251" t="s">
        <v>486</v>
      </c>
      <c r="AJ836" s="251" t="s">
        <v>486</v>
      </c>
      <c r="AK836" s="251" t="s">
        <v>486</v>
      </c>
      <c r="AL836" s="251" t="s">
        <v>491</v>
      </c>
      <c r="AM836" s="251" t="s">
        <v>486</v>
      </c>
      <c r="AN836" s="251" t="s">
        <v>486</v>
      </c>
      <c r="AO836" s="253" t="s">
        <v>486</v>
      </c>
      <c r="AP836" s="252" t="s">
        <v>486</v>
      </c>
      <c r="AQ836" s="254" t="s">
        <v>486</v>
      </c>
      <c r="AR836" s="251" t="s">
        <v>486</v>
      </c>
    </row>
    <row r="837" spans="1:44" ht="15" x14ac:dyDescent="0.25">
      <c r="A837" s="245" t="str">
        <f>HYPERLINK("http://www.ofsted.gov.uk/inspection-reports/find-inspection-report/provider/ELS/101388 ","Ofsted School Webpage")</f>
        <v>Ofsted School Webpage</v>
      </c>
      <c r="B837" s="246">
        <v>101388</v>
      </c>
      <c r="C837" s="246">
        <v>3026092</v>
      </c>
      <c r="D837" s="246" t="s">
        <v>625</v>
      </c>
      <c r="E837" s="246" t="s">
        <v>247</v>
      </c>
      <c r="F837" s="246" t="s">
        <v>93</v>
      </c>
      <c r="G837" s="246" t="s">
        <v>81</v>
      </c>
      <c r="H837" s="246" t="s">
        <v>81</v>
      </c>
      <c r="I837" s="246" t="s">
        <v>81</v>
      </c>
      <c r="J837" s="246" t="s">
        <v>1490</v>
      </c>
      <c r="K837" s="246" t="s">
        <v>486</v>
      </c>
      <c r="L837" s="246" t="s">
        <v>487</v>
      </c>
      <c r="M837" s="246" t="s">
        <v>506</v>
      </c>
      <c r="N837" s="246" t="s">
        <v>506</v>
      </c>
      <c r="O837" s="246" t="s">
        <v>614</v>
      </c>
      <c r="P837" s="246" t="s">
        <v>626</v>
      </c>
      <c r="Q837" s="247">
        <v>10054284</v>
      </c>
      <c r="R837" s="248">
        <v>43382</v>
      </c>
      <c r="S837" s="248">
        <v>43384</v>
      </c>
      <c r="T837" s="248">
        <v>43410</v>
      </c>
      <c r="U837" s="246" t="s">
        <v>488</v>
      </c>
      <c r="V837" s="246">
        <v>2</v>
      </c>
      <c r="W837" s="246" t="s">
        <v>219</v>
      </c>
      <c r="X837" s="246">
        <v>2</v>
      </c>
      <c r="Y837" s="246">
        <v>2</v>
      </c>
      <c r="Z837" s="246">
        <v>2</v>
      </c>
      <c r="AA837" s="246">
        <v>2</v>
      </c>
      <c r="AB837" s="246" t="s">
        <v>486</v>
      </c>
      <c r="AC837" s="246" t="s">
        <v>486</v>
      </c>
      <c r="AD837" s="246" t="s">
        <v>490</v>
      </c>
      <c r="AE837" s="246" t="s">
        <v>486</v>
      </c>
      <c r="AF837" s="246" t="s">
        <v>486</v>
      </c>
      <c r="AG837" s="246" t="s">
        <v>486</v>
      </c>
      <c r="AH837" s="246" t="s">
        <v>486</v>
      </c>
      <c r="AI837" s="246" t="s">
        <v>486</v>
      </c>
      <c r="AJ837" s="246" t="s">
        <v>486</v>
      </c>
      <c r="AK837" s="246" t="s">
        <v>486</v>
      </c>
      <c r="AL837" s="246" t="s">
        <v>491</v>
      </c>
      <c r="AM837" s="246" t="s">
        <v>486</v>
      </c>
      <c r="AN837" s="246" t="s">
        <v>486</v>
      </c>
      <c r="AO837" s="248" t="s">
        <v>486</v>
      </c>
      <c r="AP837" s="247" t="s">
        <v>486</v>
      </c>
      <c r="AQ837" s="249" t="s">
        <v>486</v>
      </c>
      <c r="AR837" s="246" t="s">
        <v>486</v>
      </c>
    </row>
    <row r="838" spans="1:44" ht="15" x14ac:dyDescent="0.25">
      <c r="A838" s="250" t="str">
        <f>HYPERLINK("http://www.ofsted.gov.uk/inspection-reports/find-inspection-report/provider/ELS/119856 ","Ofsted School Webpage")</f>
        <v>Ofsted School Webpage</v>
      </c>
      <c r="B838" s="251">
        <v>119856</v>
      </c>
      <c r="C838" s="251">
        <v>8896004</v>
      </c>
      <c r="D838" s="251" t="s">
        <v>608</v>
      </c>
      <c r="E838" s="251" t="s">
        <v>247</v>
      </c>
      <c r="F838" s="251" t="s">
        <v>83</v>
      </c>
      <c r="G838" s="251" t="s">
        <v>84</v>
      </c>
      <c r="H838" s="251" t="s">
        <v>83</v>
      </c>
      <c r="I838" s="251" t="s">
        <v>84</v>
      </c>
      <c r="J838" s="251" t="s">
        <v>1490</v>
      </c>
      <c r="K838" s="251" t="s">
        <v>486</v>
      </c>
      <c r="L838" s="251" t="s">
        <v>487</v>
      </c>
      <c r="M838" s="251" t="s">
        <v>495</v>
      </c>
      <c r="N838" s="251" t="s">
        <v>495</v>
      </c>
      <c r="O838" s="251" t="s">
        <v>609</v>
      </c>
      <c r="P838" s="251" t="s">
        <v>610</v>
      </c>
      <c r="Q838" s="252">
        <v>10053724</v>
      </c>
      <c r="R838" s="253">
        <v>43382</v>
      </c>
      <c r="S838" s="253">
        <v>43384</v>
      </c>
      <c r="T838" s="253">
        <v>43408</v>
      </c>
      <c r="U838" s="251" t="s">
        <v>488</v>
      </c>
      <c r="V838" s="251">
        <v>3</v>
      </c>
      <c r="W838" s="251" t="s">
        <v>219</v>
      </c>
      <c r="X838" s="251">
        <v>2</v>
      </c>
      <c r="Y838" s="251">
        <v>2</v>
      </c>
      <c r="Z838" s="251">
        <v>3</v>
      </c>
      <c r="AA838" s="251">
        <v>3</v>
      </c>
      <c r="AB838" s="251" t="s">
        <v>486</v>
      </c>
      <c r="AC838" s="251" t="s">
        <v>486</v>
      </c>
      <c r="AD838" s="251" t="s">
        <v>490</v>
      </c>
      <c r="AE838" s="251" t="s">
        <v>486</v>
      </c>
      <c r="AF838" s="251" t="s">
        <v>486</v>
      </c>
      <c r="AG838" s="251" t="s">
        <v>486</v>
      </c>
      <c r="AH838" s="251" t="s">
        <v>486</v>
      </c>
      <c r="AI838" s="251" t="s">
        <v>486</v>
      </c>
      <c r="AJ838" s="251" t="s">
        <v>486</v>
      </c>
      <c r="AK838" s="251" t="s">
        <v>486</v>
      </c>
      <c r="AL838" s="251" t="s">
        <v>491</v>
      </c>
      <c r="AM838" s="251" t="s">
        <v>486</v>
      </c>
      <c r="AN838" s="251" t="s">
        <v>486</v>
      </c>
      <c r="AO838" s="253" t="s">
        <v>486</v>
      </c>
      <c r="AP838" s="252" t="s">
        <v>486</v>
      </c>
      <c r="AQ838" s="254" t="s">
        <v>486</v>
      </c>
      <c r="AR838" s="251" t="s">
        <v>486</v>
      </c>
    </row>
    <row r="839" spans="1:44" ht="15" x14ac:dyDescent="0.25">
      <c r="A839" s="245" t="str">
        <f>HYPERLINK("http://www.ofsted.gov.uk/inspection-reports/find-inspection-report/provider/ELS/133553 ","Ofsted School Webpage")</f>
        <v>Ofsted School Webpage</v>
      </c>
      <c r="B839" s="246">
        <v>133553</v>
      </c>
      <c r="C839" s="246">
        <v>3026115</v>
      </c>
      <c r="D839" s="246" t="s">
        <v>613</v>
      </c>
      <c r="E839" s="246" t="s">
        <v>247</v>
      </c>
      <c r="F839" s="246" t="s">
        <v>93</v>
      </c>
      <c r="G839" s="246" t="s">
        <v>81</v>
      </c>
      <c r="H839" s="246" t="s">
        <v>81</v>
      </c>
      <c r="I839" s="246" t="s">
        <v>81</v>
      </c>
      <c r="J839" s="246" t="s">
        <v>1490</v>
      </c>
      <c r="K839" s="246" t="s">
        <v>486</v>
      </c>
      <c r="L839" s="246" t="s">
        <v>487</v>
      </c>
      <c r="M839" s="246" t="s">
        <v>506</v>
      </c>
      <c r="N839" s="246" t="s">
        <v>506</v>
      </c>
      <c r="O839" s="246" t="s">
        <v>614</v>
      </c>
      <c r="P839" s="246" t="s">
        <v>615</v>
      </c>
      <c r="Q839" s="247">
        <v>10054291</v>
      </c>
      <c r="R839" s="248">
        <v>43382</v>
      </c>
      <c r="S839" s="248">
        <v>43384</v>
      </c>
      <c r="T839" s="248">
        <v>43412</v>
      </c>
      <c r="U839" s="246" t="s">
        <v>488</v>
      </c>
      <c r="V839" s="246">
        <v>2</v>
      </c>
      <c r="W839" s="246" t="s">
        <v>219</v>
      </c>
      <c r="X839" s="246">
        <v>2</v>
      </c>
      <c r="Y839" s="246">
        <v>2</v>
      </c>
      <c r="Z839" s="246">
        <v>2</v>
      </c>
      <c r="AA839" s="246">
        <v>2</v>
      </c>
      <c r="AB839" s="246">
        <v>1</v>
      </c>
      <c r="AC839" s="246" t="s">
        <v>486</v>
      </c>
      <c r="AD839" s="246" t="s">
        <v>490</v>
      </c>
      <c r="AE839" s="246" t="s">
        <v>486</v>
      </c>
      <c r="AF839" s="246" t="s">
        <v>486</v>
      </c>
      <c r="AG839" s="246" t="s">
        <v>486</v>
      </c>
      <c r="AH839" s="246" t="s">
        <v>486</v>
      </c>
      <c r="AI839" s="246" t="s">
        <v>486</v>
      </c>
      <c r="AJ839" s="246" t="s">
        <v>486</v>
      </c>
      <c r="AK839" s="246" t="s">
        <v>486</v>
      </c>
      <c r="AL839" s="246" t="s">
        <v>491</v>
      </c>
      <c r="AM839" s="246" t="s">
        <v>486</v>
      </c>
      <c r="AN839" s="246" t="s">
        <v>486</v>
      </c>
      <c r="AO839" s="248" t="s">
        <v>486</v>
      </c>
      <c r="AP839" s="247" t="s">
        <v>486</v>
      </c>
      <c r="AQ839" s="249" t="s">
        <v>486</v>
      </c>
      <c r="AR839" s="246" t="s">
        <v>486</v>
      </c>
    </row>
    <row r="840" spans="1:44" ht="15" x14ac:dyDescent="0.25">
      <c r="A840" s="250" t="str">
        <f>HYPERLINK("http://www.ofsted.gov.uk/inspection-reports/find-inspection-report/provider/ELS/137568 ","Ofsted School Webpage")</f>
        <v>Ofsted School Webpage</v>
      </c>
      <c r="B840" s="251">
        <v>137568</v>
      </c>
      <c r="C840" s="251">
        <v>3736003</v>
      </c>
      <c r="D840" s="251" t="s">
        <v>627</v>
      </c>
      <c r="E840" s="251" t="s">
        <v>247</v>
      </c>
      <c r="F840" s="251" t="s">
        <v>93</v>
      </c>
      <c r="G840" s="251" t="s">
        <v>84</v>
      </c>
      <c r="H840" s="251" t="s">
        <v>84</v>
      </c>
      <c r="I840" s="251" t="s">
        <v>84</v>
      </c>
      <c r="J840" s="251" t="s">
        <v>1490</v>
      </c>
      <c r="K840" s="251" t="s">
        <v>486</v>
      </c>
      <c r="L840" s="251" t="s">
        <v>487</v>
      </c>
      <c r="M840" s="251" t="s">
        <v>523</v>
      </c>
      <c r="N840" s="251" t="s">
        <v>524</v>
      </c>
      <c r="O840" s="251" t="s">
        <v>553</v>
      </c>
      <c r="P840" s="251" t="s">
        <v>628</v>
      </c>
      <c r="Q840" s="252">
        <v>10053833</v>
      </c>
      <c r="R840" s="253">
        <v>43382</v>
      </c>
      <c r="S840" s="253">
        <v>43384</v>
      </c>
      <c r="T840" s="253">
        <v>43418</v>
      </c>
      <c r="U840" s="251" t="s">
        <v>488</v>
      </c>
      <c r="V840" s="251">
        <v>4</v>
      </c>
      <c r="W840" s="251" t="s">
        <v>220</v>
      </c>
      <c r="X840" s="251">
        <v>4</v>
      </c>
      <c r="Y840" s="251">
        <v>4</v>
      </c>
      <c r="Z840" s="251">
        <v>3</v>
      </c>
      <c r="AA840" s="251">
        <v>3</v>
      </c>
      <c r="AB840" s="251" t="s">
        <v>486</v>
      </c>
      <c r="AC840" s="251" t="s">
        <v>486</v>
      </c>
      <c r="AD840" s="251" t="s">
        <v>490</v>
      </c>
      <c r="AE840" s="251" t="s">
        <v>486</v>
      </c>
      <c r="AF840" s="251" t="s">
        <v>486</v>
      </c>
      <c r="AG840" s="251" t="s">
        <v>486</v>
      </c>
      <c r="AH840" s="251" t="s">
        <v>486</v>
      </c>
      <c r="AI840" s="251" t="s">
        <v>486</v>
      </c>
      <c r="AJ840" s="251" t="s">
        <v>486</v>
      </c>
      <c r="AK840" s="251" t="s">
        <v>486</v>
      </c>
      <c r="AL840" s="251" t="s">
        <v>545</v>
      </c>
      <c r="AM840" s="251" t="s">
        <v>486</v>
      </c>
      <c r="AN840" s="251" t="s">
        <v>486</v>
      </c>
      <c r="AO840" s="253" t="s">
        <v>486</v>
      </c>
      <c r="AP840" s="252" t="s">
        <v>486</v>
      </c>
      <c r="AQ840" s="254" t="s">
        <v>486</v>
      </c>
      <c r="AR840" s="251" t="s">
        <v>486</v>
      </c>
    </row>
    <row r="841" spans="1:44" ht="15" x14ac:dyDescent="0.25">
      <c r="A841" s="245" t="str">
        <f>HYPERLINK("http://www.ofsted.gov.uk/inspection-reports/find-inspection-report/provider/ELS/137808 ","Ofsted School Webpage")</f>
        <v>Ofsted School Webpage</v>
      </c>
      <c r="B841" s="246">
        <v>137808</v>
      </c>
      <c r="C841" s="246">
        <v>2046003</v>
      </c>
      <c r="D841" s="246" t="s">
        <v>616</v>
      </c>
      <c r="E841" s="246" t="s">
        <v>248</v>
      </c>
      <c r="F841" s="246" t="s">
        <v>93</v>
      </c>
      <c r="G841" s="246" t="s">
        <v>93</v>
      </c>
      <c r="H841" s="246" t="s">
        <v>93</v>
      </c>
      <c r="I841" s="246" t="s">
        <v>90</v>
      </c>
      <c r="J841" s="246" t="s">
        <v>1490</v>
      </c>
      <c r="K841" s="246" t="s">
        <v>486</v>
      </c>
      <c r="L841" s="246" t="s">
        <v>487</v>
      </c>
      <c r="M841" s="246" t="s">
        <v>506</v>
      </c>
      <c r="N841" s="246" t="s">
        <v>506</v>
      </c>
      <c r="O841" s="246" t="s">
        <v>617</v>
      </c>
      <c r="P841" s="246" t="s">
        <v>618</v>
      </c>
      <c r="Q841" s="247">
        <v>10054302</v>
      </c>
      <c r="R841" s="248">
        <v>43382</v>
      </c>
      <c r="S841" s="248">
        <v>43384</v>
      </c>
      <c r="T841" s="248">
        <v>43411</v>
      </c>
      <c r="U841" s="246" t="s">
        <v>488</v>
      </c>
      <c r="V841" s="246">
        <v>2</v>
      </c>
      <c r="W841" s="246" t="s">
        <v>219</v>
      </c>
      <c r="X841" s="246">
        <v>2</v>
      </c>
      <c r="Y841" s="246">
        <v>2</v>
      </c>
      <c r="Z841" s="246">
        <v>2</v>
      </c>
      <c r="AA841" s="246">
        <v>2</v>
      </c>
      <c r="AB841" s="246" t="s">
        <v>486</v>
      </c>
      <c r="AC841" s="246" t="s">
        <v>486</v>
      </c>
      <c r="AD841" s="246" t="s">
        <v>490</v>
      </c>
      <c r="AE841" s="246" t="s">
        <v>486</v>
      </c>
      <c r="AF841" s="246" t="s">
        <v>486</v>
      </c>
      <c r="AG841" s="246" t="s">
        <v>486</v>
      </c>
      <c r="AH841" s="246" t="s">
        <v>486</v>
      </c>
      <c r="AI841" s="246" t="s">
        <v>486</v>
      </c>
      <c r="AJ841" s="246" t="s">
        <v>486</v>
      </c>
      <c r="AK841" s="246" t="s">
        <v>486</v>
      </c>
      <c r="AL841" s="246" t="s">
        <v>491</v>
      </c>
      <c r="AM841" s="246" t="s">
        <v>486</v>
      </c>
      <c r="AN841" s="246" t="s">
        <v>486</v>
      </c>
      <c r="AO841" s="248" t="s">
        <v>486</v>
      </c>
      <c r="AP841" s="247" t="s">
        <v>486</v>
      </c>
      <c r="AQ841" s="249" t="s">
        <v>486</v>
      </c>
      <c r="AR841" s="246" t="s">
        <v>486</v>
      </c>
    </row>
    <row r="842" spans="1:44" ht="15" x14ac:dyDescent="0.25">
      <c r="A842" s="250" t="str">
        <f>HYPERLINK("http://www.ofsted.gov.uk/inspection-reports/find-inspection-report/provider/ELS/138333 ","Ofsted School Webpage")</f>
        <v>Ofsted School Webpage</v>
      </c>
      <c r="B842" s="251">
        <v>138333</v>
      </c>
      <c r="C842" s="251">
        <v>8376009</v>
      </c>
      <c r="D842" s="251" t="s">
        <v>622</v>
      </c>
      <c r="E842" s="251" t="s">
        <v>247</v>
      </c>
      <c r="F842" s="251" t="s">
        <v>93</v>
      </c>
      <c r="G842" s="251" t="s">
        <v>93</v>
      </c>
      <c r="H842" s="251" t="s">
        <v>93</v>
      </c>
      <c r="I842" s="251" t="s">
        <v>90</v>
      </c>
      <c r="J842" s="251" t="s">
        <v>1490</v>
      </c>
      <c r="K842" s="251" t="s">
        <v>486</v>
      </c>
      <c r="L842" s="251" t="s">
        <v>487</v>
      </c>
      <c r="M842" s="251" t="s">
        <v>483</v>
      </c>
      <c r="N842" s="251" t="s">
        <v>483</v>
      </c>
      <c r="O842" s="251" t="s">
        <v>484</v>
      </c>
      <c r="P842" s="251" t="s">
        <v>623</v>
      </c>
      <c r="Q842" s="252">
        <v>10053791</v>
      </c>
      <c r="R842" s="253">
        <v>43382</v>
      </c>
      <c r="S842" s="253">
        <v>43384</v>
      </c>
      <c r="T842" s="253">
        <v>43422</v>
      </c>
      <c r="U842" s="251" t="s">
        <v>624</v>
      </c>
      <c r="V842" s="251">
        <v>2</v>
      </c>
      <c r="W842" s="251" t="s">
        <v>219</v>
      </c>
      <c r="X842" s="251">
        <v>2</v>
      </c>
      <c r="Y842" s="251">
        <v>2</v>
      </c>
      <c r="Z842" s="251">
        <v>2</v>
      </c>
      <c r="AA842" s="251">
        <v>2</v>
      </c>
      <c r="AB842" s="251" t="s">
        <v>486</v>
      </c>
      <c r="AC842" s="251" t="s">
        <v>486</v>
      </c>
      <c r="AD842" s="251" t="s">
        <v>490</v>
      </c>
      <c r="AE842" s="251" t="s">
        <v>486</v>
      </c>
      <c r="AF842" s="251" t="s">
        <v>486</v>
      </c>
      <c r="AG842" s="251" t="s">
        <v>486</v>
      </c>
      <c r="AH842" s="251" t="s">
        <v>486</v>
      </c>
      <c r="AI842" s="251" t="s">
        <v>486</v>
      </c>
      <c r="AJ842" s="251" t="s">
        <v>486</v>
      </c>
      <c r="AK842" s="251" t="s">
        <v>486</v>
      </c>
      <c r="AL842" s="251" t="s">
        <v>491</v>
      </c>
      <c r="AM842" s="251" t="s">
        <v>486</v>
      </c>
      <c r="AN842" s="251" t="s">
        <v>486</v>
      </c>
      <c r="AO842" s="253" t="s">
        <v>486</v>
      </c>
      <c r="AP842" s="252" t="s">
        <v>486</v>
      </c>
      <c r="AQ842" s="254" t="s">
        <v>486</v>
      </c>
      <c r="AR842" s="251" t="s">
        <v>486</v>
      </c>
    </row>
    <row r="843" spans="1:44" ht="15" x14ac:dyDescent="0.25">
      <c r="A843" s="245" t="str">
        <f>HYPERLINK("http://www.ofsted.gov.uk/inspection-reports/find-inspection-report/provider/ELS/141225 ","Ofsted School Webpage")</f>
        <v>Ofsted School Webpage</v>
      </c>
      <c r="B843" s="246">
        <v>141225</v>
      </c>
      <c r="C843" s="246">
        <v>8686022</v>
      </c>
      <c r="D843" s="246" t="s">
        <v>619</v>
      </c>
      <c r="E843" s="246" t="s">
        <v>247</v>
      </c>
      <c r="F843" s="246" t="s">
        <v>93</v>
      </c>
      <c r="G843" s="246" t="s">
        <v>93</v>
      </c>
      <c r="H843" s="246" t="s">
        <v>93</v>
      </c>
      <c r="I843" s="246" t="s">
        <v>90</v>
      </c>
      <c r="J843" s="246" t="s">
        <v>1490</v>
      </c>
      <c r="K843" s="246" t="s">
        <v>486</v>
      </c>
      <c r="L843" s="246" t="s">
        <v>487</v>
      </c>
      <c r="M843" s="246" t="s">
        <v>581</v>
      </c>
      <c r="N843" s="246" t="s">
        <v>581</v>
      </c>
      <c r="O843" s="246" t="s">
        <v>620</v>
      </c>
      <c r="P843" s="246" t="s">
        <v>621</v>
      </c>
      <c r="Q843" s="247">
        <v>10054081</v>
      </c>
      <c r="R843" s="248">
        <v>43382</v>
      </c>
      <c r="S843" s="248">
        <v>43384</v>
      </c>
      <c r="T843" s="248">
        <v>43420</v>
      </c>
      <c r="U843" s="246" t="s">
        <v>488</v>
      </c>
      <c r="V843" s="246">
        <v>1</v>
      </c>
      <c r="W843" s="246" t="s">
        <v>219</v>
      </c>
      <c r="X843" s="246">
        <v>1</v>
      </c>
      <c r="Y843" s="246">
        <v>1</v>
      </c>
      <c r="Z843" s="246">
        <v>1</v>
      </c>
      <c r="AA843" s="246">
        <v>1</v>
      </c>
      <c r="AB843" s="246" t="s">
        <v>486</v>
      </c>
      <c r="AC843" s="246">
        <v>1</v>
      </c>
      <c r="AD843" s="246" t="s">
        <v>512</v>
      </c>
      <c r="AE843" s="246" t="s">
        <v>486</v>
      </c>
      <c r="AF843" s="246" t="s">
        <v>486</v>
      </c>
      <c r="AG843" s="246" t="s">
        <v>490</v>
      </c>
      <c r="AH843" s="246" t="s">
        <v>486</v>
      </c>
      <c r="AI843" s="246" t="s">
        <v>486</v>
      </c>
      <c r="AJ843" s="246" t="s">
        <v>486</v>
      </c>
      <c r="AK843" s="246" t="s">
        <v>486</v>
      </c>
      <c r="AL843" s="246" t="s">
        <v>491</v>
      </c>
      <c r="AM843" s="246" t="s">
        <v>486</v>
      </c>
      <c r="AN843" s="246" t="s">
        <v>486</v>
      </c>
      <c r="AO843" s="248" t="s">
        <v>486</v>
      </c>
      <c r="AP843" s="247" t="s">
        <v>486</v>
      </c>
      <c r="AQ843" s="249" t="s">
        <v>486</v>
      </c>
      <c r="AR843" s="246" t="s">
        <v>486</v>
      </c>
    </row>
    <row r="844" spans="1:44" ht="15" x14ac:dyDescent="0.25">
      <c r="A844" s="250" t="str">
        <f>HYPERLINK("http://www.ofsted.gov.uk/inspection-reports/find-inspection-report/provider/ELS/144817 ","Ofsted School Webpage")</f>
        <v>Ofsted School Webpage</v>
      </c>
      <c r="B844" s="251">
        <v>144817</v>
      </c>
      <c r="C844" s="251">
        <v>9266014</v>
      </c>
      <c r="D844" s="251" t="s">
        <v>611</v>
      </c>
      <c r="E844" s="251" t="s">
        <v>247</v>
      </c>
      <c r="F844" s="251" t="s">
        <v>93</v>
      </c>
      <c r="G844" s="251" t="s">
        <v>93</v>
      </c>
      <c r="H844" s="251" t="s">
        <v>93</v>
      </c>
      <c r="I844" s="251" t="s">
        <v>90</v>
      </c>
      <c r="J844" s="251" t="s">
        <v>1490</v>
      </c>
      <c r="K844" s="251" t="s">
        <v>486</v>
      </c>
      <c r="L844" s="251" t="s">
        <v>487</v>
      </c>
      <c r="M844" s="251" t="s">
        <v>516</v>
      </c>
      <c r="N844" s="251" t="s">
        <v>516</v>
      </c>
      <c r="O844" s="251" t="s">
        <v>528</v>
      </c>
      <c r="P844" s="251" t="s">
        <v>612</v>
      </c>
      <c r="Q844" s="252">
        <v>10056167</v>
      </c>
      <c r="R844" s="253">
        <v>43382</v>
      </c>
      <c r="S844" s="253">
        <v>43384</v>
      </c>
      <c r="T844" s="253">
        <v>43432</v>
      </c>
      <c r="U844" s="251" t="s">
        <v>499</v>
      </c>
      <c r="V844" s="251">
        <v>4</v>
      </c>
      <c r="W844" s="251" t="s">
        <v>220</v>
      </c>
      <c r="X844" s="251">
        <v>4</v>
      </c>
      <c r="Y844" s="251">
        <v>4</v>
      </c>
      <c r="Z844" s="251">
        <v>4</v>
      </c>
      <c r="AA844" s="251">
        <v>4</v>
      </c>
      <c r="AB844" s="251" t="s">
        <v>486</v>
      </c>
      <c r="AC844" s="251" t="s">
        <v>486</v>
      </c>
      <c r="AD844" s="251" t="s">
        <v>490</v>
      </c>
      <c r="AE844" s="251" t="s">
        <v>486</v>
      </c>
      <c r="AF844" s="251" t="s">
        <v>486</v>
      </c>
      <c r="AG844" s="251" t="s">
        <v>486</v>
      </c>
      <c r="AH844" s="251" t="s">
        <v>486</v>
      </c>
      <c r="AI844" s="251" t="s">
        <v>486</v>
      </c>
      <c r="AJ844" s="251" t="s">
        <v>486</v>
      </c>
      <c r="AK844" s="251" t="s">
        <v>486</v>
      </c>
      <c r="AL844" s="251" t="s">
        <v>545</v>
      </c>
      <c r="AM844" s="251" t="s">
        <v>486</v>
      </c>
      <c r="AN844" s="251" t="s">
        <v>486</v>
      </c>
      <c r="AO844" s="253" t="s">
        <v>486</v>
      </c>
      <c r="AP844" s="252" t="s">
        <v>486</v>
      </c>
      <c r="AQ844" s="254" t="s">
        <v>486</v>
      </c>
      <c r="AR844" s="251" t="s">
        <v>486</v>
      </c>
    </row>
    <row r="845" spans="1:44" ht="15" x14ac:dyDescent="0.25">
      <c r="A845" s="245" t="str">
        <f>HYPERLINK("http://www.ofsted.gov.uk/inspection-reports/find-inspection-report/provider/ELS/145293 ","Ofsted School Webpage")</f>
        <v>Ofsted School Webpage</v>
      </c>
      <c r="B845" s="246">
        <v>145293</v>
      </c>
      <c r="C845" s="246">
        <v>9336008</v>
      </c>
      <c r="D845" s="246" t="s">
        <v>606</v>
      </c>
      <c r="E845" s="246" t="s">
        <v>248</v>
      </c>
      <c r="F845" s="246" t="s">
        <v>93</v>
      </c>
      <c r="G845" s="246" t="s">
        <v>93</v>
      </c>
      <c r="H845" s="246" t="s">
        <v>93</v>
      </c>
      <c r="I845" s="246" t="s">
        <v>90</v>
      </c>
      <c r="J845" s="246" t="s">
        <v>1490</v>
      </c>
      <c r="K845" s="246" t="s">
        <v>486</v>
      </c>
      <c r="L845" s="246" t="s">
        <v>487</v>
      </c>
      <c r="M845" s="246" t="s">
        <v>483</v>
      </c>
      <c r="N845" s="246" t="s">
        <v>483</v>
      </c>
      <c r="O845" s="246" t="s">
        <v>531</v>
      </c>
      <c r="P845" s="246" t="s">
        <v>607</v>
      </c>
      <c r="Q845" s="247">
        <v>10053795</v>
      </c>
      <c r="R845" s="248">
        <v>43382</v>
      </c>
      <c r="S845" s="248">
        <v>43384</v>
      </c>
      <c r="T845" s="248">
        <v>43411</v>
      </c>
      <c r="U845" s="246" t="s">
        <v>499</v>
      </c>
      <c r="V845" s="246">
        <v>2</v>
      </c>
      <c r="W845" s="246" t="s">
        <v>219</v>
      </c>
      <c r="X845" s="246">
        <v>2</v>
      </c>
      <c r="Y845" s="246">
        <v>2</v>
      </c>
      <c r="Z845" s="246">
        <v>2</v>
      </c>
      <c r="AA845" s="246">
        <v>2</v>
      </c>
      <c r="AB845" s="246" t="s">
        <v>486</v>
      </c>
      <c r="AC845" s="246" t="s">
        <v>486</v>
      </c>
      <c r="AD845" s="246" t="s">
        <v>490</v>
      </c>
      <c r="AE845" s="246" t="s">
        <v>486</v>
      </c>
      <c r="AF845" s="246" t="s">
        <v>486</v>
      </c>
      <c r="AG845" s="246" t="s">
        <v>486</v>
      </c>
      <c r="AH845" s="246" t="s">
        <v>486</v>
      </c>
      <c r="AI845" s="246" t="s">
        <v>486</v>
      </c>
      <c r="AJ845" s="246" t="s">
        <v>486</v>
      </c>
      <c r="AK845" s="246" t="s">
        <v>486</v>
      </c>
      <c r="AL845" s="246" t="s">
        <v>491</v>
      </c>
      <c r="AM845" s="246" t="s">
        <v>486</v>
      </c>
      <c r="AN845" s="246" t="s">
        <v>486</v>
      </c>
      <c r="AO845" s="248" t="s">
        <v>486</v>
      </c>
      <c r="AP845" s="247" t="s">
        <v>486</v>
      </c>
      <c r="AQ845" s="249" t="s">
        <v>486</v>
      </c>
      <c r="AR845" s="246" t="s">
        <v>486</v>
      </c>
    </row>
    <row r="846" spans="1:44" ht="15" x14ac:dyDescent="0.25">
      <c r="A846" s="250" t="str">
        <f>HYPERLINK("http://www.ofsted.gov.uk/inspection-reports/find-inspection-report/provider/ELS/145296 ","Ofsted School Webpage")</f>
        <v>Ofsted School Webpage</v>
      </c>
      <c r="B846" s="251">
        <v>145296</v>
      </c>
      <c r="C846" s="251">
        <v>8886079</v>
      </c>
      <c r="D846" s="251" t="s">
        <v>629</v>
      </c>
      <c r="E846" s="251" t="s">
        <v>247</v>
      </c>
      <c r="F846" s="251" t="s">
        <v>93</v>
      </c>
      <c r="G846" s="251" t="s">
        <v>93</v>
      </c>
      <c r="H846" s="251" t="s">
        <v>93</v>
      </c>
      <c r="I846" s="251" t="s">
        <v>90</v>
      </c>
      <c r="J846" s="251" t="s">
        <v>1490</v>
      </c>
      <c r="K846" s="251" t="s">
        <v>486</v>
      </c>
      <c r="L846" s="251" t="s">
        <v>487</v>
      </c>
      <c r="M846" s="251" t="s">
        <v>495</v>
      </c>
      <c r="N846" s="251" t="s">
        <v>495</v>
      </c>
      <c r="O846" s="251" t="s">
        <v>534</v>
      </c>
      <c r="P846" s="251" t="s">
        <v>630</v>
      </c>
      <c r="Q846" s="252">
        <v>10056435</v>
      </c>
      <c r="R846" s="253">
        <v>43389</v>
      </c>
      <c r="S846" s="253">
        <v>43390</v>
      </c>
      <c r="T846" s="253">
        <v>43416</v>
      </c>
      <c r="U846" s="251" t="s">
        <v>499</v>
      </c>
      <c r="V846" s="251">
        <v>2</v>
      </c>
      <c r="W846" s="251" t="s">
        <v>219</v>
      </c>
      <c r="X846" s="251">
        <v>2</v>
      </c>
      <c r="Y846" s="251">
        <v>1</v>
      </c>
      <c r="Z846" s="251">
        <v>2</v>
      </c>
      <c r="AA846" s="251">
        <v>2</v>
      </c>
      <c r="AB846" s="251" t="s">
        <v>486</v>
      </c>
      <c r="AC846" s="251" t="s">
        <v>486</v>
      </c>
      <c r="AD846" s="251" t="s">
        <v>512</v>
      </c>
      <c r="AE846" s="251" t="s">
        <v>490</v>
      </c>
      <c r="AF846" s="251" t="s">
        <v>486</v>
      </c>
      <c r="AG846" s="251" t="s">
        <v>486</v>
      </c>
      <c r="AH846" s="251" t="s">
        <v>486</v>
      </c>
      <c r="AI846" s="251" t="s">
        <v>486</v>
      </c>
      <c r="AJ846" s="251" t="s">
        <v>486</v>
      </c>
      <c r="AK846" s="251" t="s">
        <v>486</v>
      </c>
      <c r="AL846" s="251" t="s">
        <v>491</v>
      </c>
      <c r="AM846" s="251" t="s">
        <v>486</v>
      </c>
      <c r="AN846" s="251" t="s">
        <v>486</v>
      </c>
      <c r="AO846" s="253" t="s">
        <v>486</v>
      </c>
      <c r="AP846" s="252" t="s">
        <v>486</v>
      </c>
      <c r="AQ846" s="254" t="s">
        <v>486</v>
      </c>
      <c r="AR846" s="251" t="s">
        <v>486</v>
      </c>
    </row>
    <row r="847" spans="1:44" ht="15" x14ac:dyDescent="0.25">
      <c r="A847" s="245" t="str">
        <f>HYPERLINK("http://www.ofsted.gov.uk/inspection-reports/find-inspection-report/provider/ELS/131004 ","Ofsted School Webpage")</f>
        <v>Ofsted School Webpage</v>
      </c>
      <c r="B847" s="246">
        <v>131004</v>
      </c>
      <c r="C847" s="246">
        <v>8606029</v>
      </c>
      <c r="D847" s="246" t="s">
        <v>651</v>
      </c>
      <c r="E847" s="246" t="s">
        <v>248</v>
      </c>
      <c r="F847" s="246" t="s">
        <v>93</v>
      </c>
      <c r="G847" s="246" t="s">
        <v>93</v>
      </c>
      <c r="H847" s="246" t="s">
        <v>93</v>
      </c>
      <c r="I847" s="246" t="s">
        <v>90</v>
      </c>
      <c r="J847" s="246" t="s">
        <v>1490</v>
      </c>
      <c r="K847" s="246" t="s">
        <v>486</v>
      </c>
      <c r="L847" s="246" t="s">
        <v>487</v>
      </c>
      <c r="M847" s="246" t="s">
        <v>502</v>
      </c>
      <c r="N847" s="246" t="s">
        <v>502</v>
      </c>
      <c r="O847" s="246" t="s">
        <v>652</v>
      </c>
      <c r="P847" s="246" t="s">
        <v>653</v>
      </c>
      <c r="Q847" s="247">
        <v>10041364</v>
      </c>
      <c r="R847" s="248">
        <v>43389</v>
      </c>
      <c r="S847" s="248">
        <v>43391</v>
      </c>
      <c r="T847" s="248">
        <v>43420</v>
      </c>
      <c r="U847" s="246" t="s">
        <v>488</v>
      </c>
      <c r="V847" s="246">
        <v>1</v>
      </c>
      <c r="W847" s="246" t="s">
        <v>219</v>
      </c>
      <c r="X847" s="246">
        <v>1</v>
      </c>
      <c r="Y847" s="246">
        <v>1</v>
      </c>
      <c r="Z847" s="246">
        <v>1</v>
      </c>
      <c r="AA847" s="246">
        <v>1</v>
      </c>
      <c r="AB847" s="246" t="s">
        <v>486</v>
      </c>
      <c r="AC847" s="246">
        <v>1</v>
      </c>
      <c r="AD847" s="246" t="s">
        <v>490</v>
      </c>
      <c r="AE847" s="246" t="s">
        <v>486</v>
      </c>
      <c r="AF847" s="246" t="s">
        <v>486</v>
      </c>
      <c r="AG847" s="246" t="s">
        <v>486</v>
      </c>
      <c r="AH847" s="246" t="s">
        <v>486</v>
      </c>
      <c r="AI847" s="246" t="s">
        <v>486</v>
      </c>
      <c r="AJ847" s="246" t="s">
        <v>486</v>
      </c>
      <c r="AK847" s="246" t="s">
        <v>486</v>
      </c>
      <c r="AL847" s="246" t="s">
        <v>491</v>
      </c>
      <c r="AM847" s="246" t="s">
        <v>486</v>
      </c>
      <c r="AN847" s="246" t="s">
        <v>486</v>
      </c>
      <c r="AO847" s="248" t="s">
        <v>486</v>
      </c>
      <c r="AP847" s="247" t="s">
        <v>486</v>
      </c>
      <c r="AQ847" s="249" t="s">
        <v>486</v>
      </c>
      <c r="AR847" s="246" t="s">
        <v>486</v>
      </c>
    </row>
    <row r="848" spans="1:44" ht="15" x14ac:dyDescent="0.25">
      <c r="A848" s="250" t="str">
        <f>HYPERLINK("http://www.ofsted.gov.uk/inspection-reports/find-inspection-report/provider/ELS/136747 ","Ofsted School Webpage")</f>
        <v>Ofsted School Webpage</v>
      </c>
      <c r="B848" s="251">
        <v>136747</v>
      </c>
      <c r="C848" s="251">
        <v>2076000</v>
      </c>
      <c r="D848" s="251" t="s">
        <v>639</v>
      </c>
      <c r="E848" s="251" t="s">
        <v>247</v>
      </c>
      <c r="F848" s="251" t="s">
        <v>93</v>
      </c>
      <c r="G848" s="251" t="s">
        <v>93</v>
      </c>
      <c r="H848" s="251" t="s">
        <v>93</v>
      </c>
      <c r="I848" s="251" t="s">
        <v>90</v>
      </c>
      <c r="J848" s="251" t="s">
        <v>1490</v>
      </c>
      <c r="K848" s="251" t="s">
        <v>486</v>
      </c>
      <c r="L848" s="251" t="s">
        <v>487</v>
      </c>
      <c r="M848" s="251" t="s">
        <v>506</v>
      </c>
      <c r="N848" s="251" t="s">
        <v>506</v>
      </c>
      <c r="O848" s="251" t="s">
        <v>640</v>
      </c>
      <c r="P848" s="251" t="s">
        <v>641</v>
      </c>
      <c r="Q848" s="252">
        <v>10054297</v>
      </c>
      <c r="R848" s="253">
        <v>43389</v>
      </c>
      <c r="S848" s="253">
        <v>43391</v>
      </c>
      <c r="T848" s="253">
        <v>43422</v>
      </c>
      <c r="U848" s="251" t="s">
        <v>488</v>
      </c>
      <c r="V848" s="251">
        <v>2</v>
      </c>
      <c r="W848" s="251" t="s">
        <v>219</v>
      </c>
      <c r="X848" s="251">
        <v>2</v>
      </c>
      <c r="Y848" s="251">
        <v>1</v>
      </c>
      <c r="Z848" s="251">
        <v>1</v>
      </c>
      <c r="AA848" s="251">
        <v>1</v>
      </c>
      <c r="AB848" s="251">
        <v>2</v>
      </c>
      <c r="AC848" s="251" t="s">
        <v>486</v>
      </c>
      <c r="AD848" s="251" t="s">
        <v>490</v>
      </c>
      <c r="AE848" s="251" t="s">
        <v>486</v>
      </c>
      <c r="AF848" s="251" t="s">
        <v>486</v>
      </c>
      <c r="AG848" s="251" t="s">
        <v>486</v>
      </c>
      <c r="AH848" s="251" t="s">
        <v>486</v>
      </c>
      <c r="AI848" s="251" t="s">
        <v>486</v>
      </c>
      <c r="AJ848" s="251" t="s">
        <v>486</v>
      </c>
      <c r="AK848" s="251" t="s">
        <v>486</v>
      </c>
      <c r="AL848" s="251" t="s">
        <v>545</v>
      </c>
      <c r="AM848" s="251" t="s">
        <v>486</v>
      </c>
      <c r="AN848" s="251" t="s">
        <v>486</v>
      </c>
      <c r="AO848" s="253" t="s">
        <v>486</v>
      </c>
      <c r="AP848" s="252" t="s">
        <v>486</v>
      </c>
      <c r="AQ848" s="254" t="s">
        <v>486</v>
      </c>
      <c r="AR848" s="251" t="s">
        <v>486</v>
      </c>
    </row>
    <row r="849" spans="1:44" ht="15" x14ac:dyDescent="0.25">
      <c r="A849" s="245" t="str">
        <f>HYPERLINK("http://www.ofsted.gov.uk/inspection-reports/find-inspection-report/provider/ELS/136748 ","Ofsted School Webpage")</f>
        <v>Ofsted School Webpage</v>
      </c>
      <c r="B849" s="246">
        <v>136748</v>
      </c>
      <c r="C849" s="246">
        <v>8406012</v>
      </c>
      <c r="D849" s="246" t="s">
        <v>648</v>
      </c>
      <c r="E849" s="246" t="s">
        <v>248</v>
      </c>
      <c r="F849" s="246" t="s">
        <v>93</v>
      </c>
      <c r="G849" s="246" t="s">
        <v>93</v>
      </c>
      <c r="H849" s="246" t="s">
        <v>93</v>
      </c>
      <c r="I849" s="246" t="s">
        <v>90</v>
      </c>
      <c r="J849" s="246" t="s">
        <v>1490</v>
      </c>
      <c r="K849" s="246" t="s">
        <v>486</v>
      </c>
      <c r="L849" s="246" t="s">
        <v>487</v>
      </c>
      <c r="M849" s="246" t="s">
        <v>523</v>
      </c>
      <c r="N849" s="246" t="s">
        <v>539</v>
      </c>
      <c r="O849" s="246" t="s">
        <v>649</v>
      </c>
      <c r="P849" s="246" t="s">
        <v>650</v>
      </c>
      <c r="Q849" s="247">
        <v>10053830</v>
      </c>
      <c r="R849" s="248">
        <v>43389</v>
      </c>
      <c r="S849" s="248">
        <v>43391</v>
      </c>
      <c r="T849" s="248">
        <v>43424</v>
      </c>
      <c r="U849" s="246" t="s">
        <v>2930</v>
      </c>
      <c r="V849" s="246">
        <v>2</v>
      </c>
      <c r="W849" s="246" t="s">
        <v>219</v>
      </c>
      <c r="X849" s="246">
        <v>2</v>
      </c>
      <c r="Y849" s="246">
        <v>2</v>
      </c>
      <c r="Z849" s="246">
        <v>2</v>
      </c>
      <c r="AA849" s="246">
        <v>2</v>
      </c>
      <c r="AB849" s="246" t="s">
        <v>486</v>
      </c>
      <c r="AC849" s="246" t="s">
        <v>486</v>
      </c>
      <c r="AD849" s="246" t="s">
        <v>490</v>
      </c>
      <c r="AE849" s="246" t="s">
        <v>486</v>
      </c>
      <c r="AF849" s="246" t="s">
        <v>486</v>
      </c>
      <c r="AG849" s="246" t="s">
        <v>486</v>
      </c>
      <c r="AH849" s="246" t="s">
        <v>486</v>
      </c>
      <c r="AI849" s="246" t="s">
        <v>486</v>
      </c>
      <c r="AJ849" s="246" t="s">
        <v>486</v>
      </c>
      <c r="AK849" s="246" t="s">
        <v>486</v>
      </c>
      <c r="AL849" s="246" t="s">
        <v>491</v>
      </c>
      <c r="AM849" s="246" t="s">
        <v>486</v>
      </c>
      <c r="AN849" s="246" t="s">
        <v>486</v>
      </c>
      <c r="AO849" s="248" t="s">
        <v>486</v>
      </c>
      <c r="AP849" s="247" t="s">
        <v>486</v>
      </c>
      <c r="AQ849" s="249" t="s">
        <v>486</v>
      </c>
      <c r="AR849" s="246" t="s">
        <v>486</v>
      </c>
    </row>
    <row r="850" spans="1:44" ht="15" x14ac:dyDescent="0.25">
      <c r="A850" s="250" t="str">
        <f>HYPERLINK("http://www.ofsted.gov.uk/inspection-reports/find-inspection-report/provider/ELS/139071 ","Ofsted School Webpage")</f>
        <v>Ofsted School Webpage</v>
      </c>
      <c r="B850" s="251">
        <v>139071</v>
      </c>
      <c r="C850" s="251">
        <v>8616008</v>
      </c>
      <c r="D850" s="251" t="s">
        <v>654</v>
      </c>
      <c r="E850" s="251" t="s">
        <v>247</v>
      </c>
      <c r="F850" s="251" t="s">
        <v>83</v>
      </c>
      <c r="G850" s="251" t="s">
        <v>84</v>
      </c>
      <c r="H850" s="251" t="s">
        <v>83</v>
      </c>
      <c r="I850" s="251" t="s">
        <v>84</v>
      </c>
      <c r="J850" s="251" t="s">
        <v>1490</v>
      </c>
      <c r="K850" s="251" t="s">
        <v>486</v>
      </c>
      <c r="L850" s="251" t="s">
        <v>487</v>
      </c>
      <c r="M850" s="251" t="s">
        <v>502</v>
      </c>
      <c r="N850" s="251" t="s">
        <v>502</v>
      </c>
      <c r="O850" s="251" t="s">
        <v>655</v>
      </c>
      <c r="P850" s="251" t="s">
        <v>656</v>
      </c>
      <c r="Q850" s="252">
        <v>10020795</v>
      </c>
      <c r="R850" s="253">
        <v>43389</v>
      </c>
      <c r="S850" s="253">
        <v>43391</v>
      </c>
      <c r="T850" s="253">
        <v>43418</v>
      </c>
      <c r="U850" s="251" t="s">
        <v>488</v>
      </c>
      <c r="V850" s="251">
        <v>2</v>
      </c>
      <c r="W850" s="251" t="s">
        <v>219</v>
      </c>
      <c r="X850" s="251">
        <v>2</v>
      </c>
      <c r="Y850" s="251">
        <v>2</v>
      </c>
      <c r="Z850" s="251">
        <v>2</v>
      </c>
      <c r="AA850" s="251">
        <v>2</v>
      </c>
      <c r="AB850" s="251">
        <v>2</v>
      </c>
      <c r="AC850" s="251" t="s">
        <v>486</v>
      </c>
      <c r="AD850" s="251" t="s">
        <v>490</v>
      </c>
      <c r="AE850" s="251" t="s">
        <v>486</v>
      </c>
      <c r="AF850" s="251" t="s">
        <v>486</v>
      </c>
      <c r="AG850" s="251" t="s">
        <v>486</v>
      </c>
      <c r="AH850" s="251" t="s">
        <v>486</v>
      </c>
      <c r="AI850" s="251" t="s">
        <v>486</v>
      </c>
      <c r="AJ850" s="251" t="s">
        <v>486</v>
      </c>
      <c r="AK850" s="251" t="s">
        <v>486</v>
      </c>
      <c r="AL850" s="251" t="s">
        <v>491</v>
      </c>
      <c r="AM850" s="251" t="s">
        <v>486</v>
      </c>
      <c r="AN850" s="251" t="s">
        <v>486</v>
      </c>
      <c r="AO850" s="253" t="s">
        <v>486</v>
      </c>
      <c r="AP850" s="252" t="s">
        <v>486</v>
      </c>
      <c r="AQ850" s="254" t="s">
        <v>486</v>
      </c>
      <c r="AR850" s="251" t="s">
        <v>486</v>
      </c>
    </row>
    <row r="851" spans="1:44" ht="15" x14ac:dyDescent="0.25">
      <c r="A851" s="245" t="str">
        <f>HYPERLINK("http://www.ofsted.gov.uk/inspection-reports/find-inspection-report/provider/ELS/141138 ","Ofsted School Webpage")</f>
        <v>Ofsted School Webpage</v>
      </c>
      <c r="B851" s="246">
        <v>141138</v>
      </c>
      <c r="C851" s="246">
        <v>8356038</v>
      </c>
      <c r="D851" s="246" t="s">
        <v>642</v>
      </c>
      <c r="E851" s="246" t="s">
        <v>247</v>
      </c>
      <c r="F851" s="246" t="s">
        <v>93</v>
      </c>
      <c r="G851" s="246" t="s">
        <v>93</v>
      </c>
      <c r="H851" s="246" t="s">
        <v>93</v>
      </c>
      <c r="I851" s="246" t="s">
        <v>90</v>
      </c>
      <c r="J851" s="246" t="s">
        <v>1490</v>
      </c>
      <c r="K851" s="246" t="s">
        <v>486</v>
      </c>
      <c r="L851" s="246" t="s">
        <v>487</v>
      </c>
      <c r="M851" s="246" t="s">
        <v>483</v>
      </c>
      <c r="N851" s="246" t="s">
        <v>483</v>
      </c>
      <c r="O851" s="246" t="s">
        <v>643</v>
      </c>
      <c r="P851" s="246" t="s">
        <v>644</v>
      </c>
      <c r="Q851" s="247">
        <v>10053793</v>
      </c>
      <c r="R851" s="248">
        <v>43389</v>
      </c>
      <c r="S851" s="248">
        <v>43391</v>
      </c>
      <c r="T851" s="248">
        <v>43422</v>
      </c>
      <c r="U851" s="246" t="s">
        <v>624</v>
      </c>
      <c r="V851" s="246">
        <v>4</v>
      </c>
      <c r="W851" s="246" t="s">
        <v>220</v>
      </c>
      <c r="X851" s="246">
        <v>4</v>
      </c>
      <c r="Y851" s="246">
        <v>4</v>
      </c>
      <c r="Z851" s="246">
        <v>3</v>
      </c>
      <c r="AA851" s="246">
        <v>3</v>
      </c>
      <c r="AB851" s="246" t="s">
        <v>486</v>
      </c>
      <c r="AC851" s="246" t="s">
        <v>486</v>
      </c>
      <c r="AD851" s="246" t="s">
        <v>490</v>
      </c>
      <c r="AE851" s="246" t="s">
        <v>486</v>
      </c>
      <c r="AF851" s="246" t="s">
        <v>486</v>
      </c>
      <c r="AG851" s="246" t="s">
        <v>486</v>
      </c>
      <c r="AH851" s="246" t="s">
        <v>486</v>
      </c>
      <c r="AI851" s="246" t="s">
        <v>486</v>
      </c>
      <c r="AJ851" s="246" t="s">
        <v>486</v>
      </c>
      <c r="AK851" s="246" t="s">
        <v>486</v>
      </c>
      <c r="AL851" s="246" t="s">
        <v>545</v>
      </c>
      <c r="AM851" s="246" t="s">
        <v>486</v>
      </c>
      <c r="AN851" s="246" t="s">
        <v>486</v>
      </c>
      <c r="AO851" s="248" t="s">
        <v>486</v>
      </c>
      <c r="AP851" s="247" t="s">
        <v>486</v>
      </c>
      <c r="AQ851" s="249" t="s">
        <v>486</v>
      </c>
      <c r="AR851" s="246" t="s">
        <v>486</v>
      </c>
    </row>
    <row r="852" spans="1:44" ht="15" x14ac:dyDescent="0.25">
      <c r="A852" s="250" t="str">
        <f>HYPERLINK("http://www.ofsted.gov.uk/inspection-reports/find-inspection-report/provider/ELS/145239 ","Ofsted School Webpage")</f>
        <v>Ofsted School Webpage</v>
      </c>
      <c r="B852" s="251">
        <v>145239</v>
      </c>
      <c r="C852" s="251">
        <v>3926001</v>
      </c>
      <c r="D852" s="251" t="s">
        <v>634</v>
      </c>
      <c r="E852" s="251" t="s">
        <v>248</v>
      </c>
      <c r="F852" s="251" t="s">
        <v>93</v>
      </c>
      <c r="G852" s="251" t="s">
        <v>93</v>
      </c>
      <c r="H852" s="251" t="s">
        <v>93</v>
      </c>
      <c r="I852" s="251" t="s">
        <v>90</v>
      </c>
      <c r="J852" s="251" t="s">
        <v>1490</v>
      </c>
      <c r="K852" s="251" t="s">
        <v>486</v>
      </c>
      <c r="L852" s="251" t="s">
        <v>487</v>
      </c>
      <c r="M852" s="251" t="s">
        <v>523</v>
      </c>
      <c r="N852" s="251" t="s">
        <v>539</v>
      </c>
      <c r="O852" s="251" t="s">
        <v>635</v>
      </c>
      <c r="P852" s="251" t="s">
        <v>636</v>
      </c>
      <c r="Q852" s="252">
        <v>10053841</v>
      </c>
      <c r="R852" s="253">
        <v>43389</v>
      </c>
      <c r="S852" s="253">
        <v>43391</v>
      </c>
      <c r="T852" s="253">
        <v>43438</v>
      </c>
      <c r="U852" s="251" t="s">
        <v>499</v>
      </c>
      <c r="V852" s="251">
        <v>3</v>
      </c>
      <c r="W852" s="251" t="s">
        <v>219</v>
      </c>
      <c r="X852" s="251">
        <v>3</v>
      </c>
      <c r="Y852" s="251">
        <v>2</v>
      </c>
      <c r="Z852" s="251">
        <v>2</v>
      </c>
      <c r="AA852" s="251">
        <v>2</v>
      </c>
      <c r="AB852" s="251" t="s">
        <v>486</v>
      </c>
      <c r="AC852" s="251" t="s">
        <v>486</v>
      </c>
      <c r="AD852" s="251" t="s">
        <v>490</v>
      </c>
      <c r="AE852" s="251" t="s">
        <v>486</v>
      </c>
      <c r="AF852" s="251" t="s">
        <v>486</v>
      </c>
      <c r="AG852" s="251" t="s">
        <v>486</v>
      </c>
      <c r="AH852" s="251" t="s">
        <v>486</v>
      </c>
      <c r="AI852" s="251" t="s">
        <v>486</v>
      </c>
      <c r="AJ852" s="251" t="s">
        <v>486</v>
      </c>
      <c r="AK852" s="251" t="s">
        <v>486</v>
      </c>
      <c r="AL852" s="251" t="s">
        <v>545</v>
      </c>
      <c r="AM852" s="251" t="s">
        <v>486</v>
      </c>
      <c r="AN852" s="251" t="s">
        <v>486</v>
      </c>
      <c r="AO852" s="253" t="s">
        <v>486</v>
      </c>
      <c r="AP852" s="252" t="s">
        <v>486</v>
      </c>
      <c r="AQ852" s="254" t="s">
        <v>486</v>
      </c>
      <c r="AR852" s="251" t="s">
        <v>486</v>
      </c>
    </row>
    <row r="853" spans="1:44" ht="15" x14ac:dyDescent="0.25">
      <c r="A853" s="245" t="str">
        <f>HYPERLINK("http://www.ofsted.gov.uk/inspection-reports/find-inspection-report/provider/ELS/145292 ","Ofsted School Webpage")</f>
        <v>Ofsted School Webpage</v>
      </c>
      <c r="B853" s="246">
        <v>145292</v>
      </c>
      <c r="C853" s="246">
        <v>9096004</v>
      </c>
      <c r="D853" s="246" t="s">
        <v>662</v>
      </c>
      <c r="E853" s="246" t="s">
        <v>247</v>
      </c>
      <c r="F853" s="246" t="s">
        <v>93</v>
      </c>
      <c r="G853" s="246" t="s">
        <v>74</v>
      </c>
      <c r="H853" s="246" t="s">
        <v>74</v>
      </c>
      <c r="I853" s="246" t="s">
        <v>71</v>
      </c>
      <c r="J853" s="246" t="s">
        <v>1490</v>
      </c>
      <c r="K853" s="246" t="s">
        <v>486</v>
      </c>
      <c r="L853" s="246" t="s">
        <v>487</v>
      </c>
      <c r="M853" s="246" t="s">
        <v>495</v>
      </c>
      <c r="N853" s="246" t="s">
        <v>495</v>
      </c>
      <c r="O853" s="246" t="s">
        <v>663</v>
      </c>
      <c r="P853" s="246" t="s">
        <v>664</v>
      </c>
      <c r="Q853" s="247">
        <v>10053745</v>
      </c>
      <c r="R853" s="248">
        <v>43389</v>
      </c>
      <c r="S853" s="248">
        <v>43391</v>
      </c>
      <c r="T853" s="248">
        <v>43420</v>
      </c>
      <c r="U853" s="246" t="s">
        <v>499</v>
      </c>
      <c r="V853" s="246">
        <v>2</v>
      </c>
      <c r="W853" s="246" t="s">
        <v>219</v>
      </c>
      <c r="X853" s="246">
        <v>2</v>
      </c>
      <c r="Y853" s="246">
        <v>2</v>
      </c>
      <c r="Z853" s="246">
        <v>2</v>
      </c>
      <c r="AA853" s="246">
        <v>2</v>
      </c>
      <c r="AB853" s="246" t="s">
        <v>486</v>
      </c>
      <c r="AC853" s="246" t="s">
        <v>486</v>
      </c>
      <c r="AD853" s="246" t="s">
        <v>490</v>
      </c>
      <c r="AE853" s="246" t="s">
        <v>486</v>
      </c>
      <c r="AF853" s="246" t="s">
        <v>486</v>
      </c>
      <c r="AG853" s="246" t="s">
        <v>486</v>
      </c>
      <c r="AH853" s="246" t="s">
        <v>486</v>
      </c>
      <c r="AI853" s="246" t="s">
        <v>486</v>
      </c>
      <c r="AJ853" s="246" t="s">
        <v>486</v>
      </c>
      <c r="AK853" s="246" t="s">
        <v>486</v>
      </c>
      <c r="AL853" s="246" t="s">
        <v>491</v>
      </c>
      <c r="AM853" s="246" t="s">
        <v>486</v>
      </c>
      <c r="AN853" s="246" t="s">
        <v>486</v>
      </c>
      <c r="AO853" s="248" t="s">
        <v>486</v>
      </c>
      <c r="AP853" s="247" t="s">
        <v>486</v>
      </c>
      <c r="AQ853" s="249" t="s">
        <v>486</v>
      </c>
      <c r="AR853" s="246" t="s">
        <v>486</v>
      </c>
    </row>
    <row r="854" spans="1:44" ht="15" x14ac:dyDescent="0.25">
      <c r="A854" s="250" t="str">
        <f>HYPERLINK("http://www.ofsted.gov.uk/inspection-reports/find-inspection-report/provider/ELS/145472 ","Ofsted School Webpage")</f>
        <v>Ofsted School Webpage</v>
      </c>
      <c r="B854" s="251">
        <v>145472</v>
      </c>
      <c r="C854" s="251">
        <v>3086012</v>
      </c>
      <c r="D854" s="251" t="s">
        <v>631</v>
      </c>
      <c r="E854" s="251" t="s">
        <v>247</v>
      </c>
      <c r="F854" s="251" t="s">
        <v>93</v>
      </c>
      <c r="G854" s="251" t="s">
        <v>93</v>
      </c>
      <c r="H854" s="251" t="s">
        <v>93</v>
      </c>
      <c r="I854" s="251" t="s">
        <v>90</v>
      </c>
      <c r="J854" s="251" t="s">
        <v>1490</v>
      </c>
      <c r="K854" s="251" t="s">
        <v>486</v>
      </c>
      <c r="L854" s="251" t="s">
        <v>487</v>
      </c>
      <c r="M854" s="251" t="s">
        <v>506</v>
      </c>
      <c r="N854" s="251" t="s">
        <v>506</v>
      </c>
      <c r="O854" s="251" t="s">
        <v>632</v>
      </c>
      <c r="P854" s="251" t="s">
        <v>633</v>
      </c>
      <c r="Q854" s="252">
        <v>10080531</v>
      </c>
      <c r="R854" s="253">
        <v>43389</v>
      </c>
      <c r="S854" s="253">
        <v>43391</v>
      </c>
      <c r="T854" s="253">
        <v>43430</v>
      </c>
      <c r="U854" s="251" t="s">
        <v>499</v>
      </c>
      <c r="V854" s="251">
        <v>2</v>
      </c>
      <c r="W854" s="251" t="s">
        <v>219</v>
      </c>
      <c r="X854" s="251">
        <v>2</v>
      </c>
      <c r="Y854" s="251">
        <v>2</v>
      </c>
      <c r="Z854" s="251">
        <v>2</v>
      </c>
      <c r="AA854" s="251">
        <v>2</v>
      </c>
      <c r="AB854" s="251" t="s">
        <v>486</v>
      </c>
      <c r="AC854" s="251" t="s">
        <v>486</v>
      </c>
      <c r="AD854" s="251" t="s">
        <v>490</v>
      </c>
      <c r="AE854" s="251" t="s">
        <v>486</v>
      </c>
      <c r="AF854" s="251" t="s">
        <v>486</v>
      </c>
      <c r="AG854" s="251" t="s">
        <v>486</v>
      </c>
      <c r="AH854" s="251" t="s">
        <v>486</v>
      </c>
      <c r="AI854" s="251" t="s">
        <v>486</v>
      </c>
      <c r="AJ854" s="251" t="s">
        <v>486</v>
      </c>
      <c r="AK854" s="251" t="s">
        <v>486</v>
      </c>
      <c r="AL854" s="251" t="s">
        <v>491</v>
      </c>
      <c r="AM854" s="251" t="s">
        <v>486</v>
      </c>
      <c r="AN854" s="251" t="s">
        <v>486</v>
      </c>
      <c r="AO854" s="253" t="s">
        <v>486</v>
      </c>
      <c r="AP854" s="252" t="s">
        <v>486</v>
      </c>
      <c r="AQ854" s="254" t="s">
        <v>486</v>
      </c>
      <c r="AR854" s="251" t="s">
        <v>486</v>
      </c>
    </row>
    <row r="855" spans="1:44" ht="15" x14ac:dyDescent="0.25">
      <c r="A855" s="245" t="str">
        <f>HYPERLINK("http://www.ofsted.gov.uk/inspection-reports/find-inspection-report/provider/ELS/145478 ","Ofsted School Webpage")</f>
        <v>Ofsted School Webpage</v>
      </c>
      <c r="B855" s="246">
        <v>145478</v>
      </c>
      <c r="C855" s="246">
        <v>8936035</v>
      </c>
      <c r="D855" s="246" t="s">
        <v>665</v>
      </c>
      <c r="E855" s="246" t="s">
        <v>247</v>
      </c>
      <c r="F855" s="246" t="s">
        <v>93</v>
      </c>
      <c r="G855" s="246" t="s">
        <v>93</v>
      </c>
      <c r="H855" s="246" t="s">
        <v>93</v>
      </c>
      <c r="I855" s="246" t="s">
        <v>90</v>
      </c>
      <c r="J855" s="246" t="s">
        <v>1490</v>
      </c>
      <c r="K855" s="246" t="s">
        <v>486</v>
      </c>
      <c r="L855" s="246" t="s">
        <v>487</v>
      </c>
      <c r="M855" s="246" t="s">
        <v>502</v>
      </c>
      <c r="N855" s="246" t="s">
        <v>502</v>
      </c>
      <c r="O855" s="246" t="s">
        <v>666</v>
      </c>
      <c r="P855" s="246" t="s">
        <v>667</v>
      </c>
      <c r="Q855" s="247">
        <v>10056210</v>
      </c>
      <c r="R855" s="248">
        <v>43396</v>
      </c>
      <c r="S855" s="248">
        <v>43397</v>
      </c>
      <c r="T855" s="248">
        <v>43423</v>
      </c>
      <c r="U855" s="246" t="s">
        <v>499</v>
      </c>
      <c r="V855" s="246">
        <v>1</v>
      </c>
      <c r="W855" s="246" t="s">
        <v>219</v>
      </c>
      <c r="X855" s="246">
        <v>1</v>
      </c>
      <c r="Y855" s="246">
        <v>1</v>
      </c>
      <c r="Z855" s="246">
        <v>1</v>
      </c>
      <c r="AA855" s="246">
        <v>2</v>
      </c>
      <c r="AB855" s="246" t="s">
        <v>486</v>
      </c>
      <c r="AC855" s="246" t="s">
        <v>486</v>
      </c>
      <c r="AD855" s="246" t="s">
        <v>490</v>
      </c>
      <c r="AE855" s="246" t="s">
        <v>486</v>
      </c>
      <c r="AF855" s="246" t="s">
        <v>486</v>
      </c>
      <c r="AG855" s="246" t="s">
        <v>486</v>
      </c>
      <c r="AH855" s="246" t="s">
        <v>486</v>
      </c>
      <c r="AI855" s="246" t="s">
        <v>486</v>
      </c>
      <c r="AJ855" s="246" t="s">
        <v>486</v>
      </c>
      <c r="AK855" s="246" t="s">
        <v>486</v>
      </c>
      <c r="AL855" s="246" t="s">
        <v>491</v>
      </c>
      <c r="AM855" s="246" t="s">
        <v>486</v>
      </c>
      <c r="AN855" s="246" t="s">
        <v>486</v>
      </c>
      <c r="AO855" s="248" t="s">
        <v>486</v>
      </c>
      <c r="AP855" s="247" t="s">
        <v>486</v>
      </c>
      <c r="AQ855" s="249" t="s">
        <v>486</v>
      </c>
      <c r="AR855" s="246" t="s">
        <v>486</v>
      </c>
    </row>
    <row r="856" spans="1:44" ht="15" x14ac:dyDescent="0.25">
      <c r="A856" s="250" t="str">
        <f>HYPERLINK("http://www.ofsted.gov.uk/inspection-reports/find-inspection-report/provider/ELS/101958 ","Ofsted School Webpage")</f>
        <v>Ofsted School Webpage</v>
      </c>
      <c r="B856" s="251">
        <v>101958</v>
      </c>
      <c r="C856" s="251">
        <v>3076070</v>
      </c>
      <c r="D856" s="251" t="s">
        <v>668</v>
      </c>
      <c r="E856" s="251" t="s">
        <v>247</v>
      </c>
      <c r="F856" s="251" t="s">
        <v>93</v>
      </c>
      <c r="G856" s="251" t="s">
        <v>93</v>
      </c>
      <c r="H856" s="251" t="s">
        <v>93</v>
      </c>
      <c r="I856" s="251" t="s">
        <v>90</v>
      </c>
      <c r="J856" s="251" t="s">
        <v>1490</v>
      </c>
      <c r="K856" s="251" t="s">
        <v>486</v>
      </c>
      <c r="L856" s="251" t="s">
        <v>487</v>
      </c>
      <c r="M856" s="251" t="s">
        <v>506</v>
      </c>
      <c r="N856" s="251" t="s">
        <v>506</v>
      </c>
      <c r="O856" s="251" t="s">
        <v>507</v>
      </c>
      <c r="P856" s="251" t="s">
        <v>669</v>
      </c>
      <c r="Q856" s="252">
        <v>10055397</v>
      </c>
      <c r="R856" s="253">
        <v>43403</v>
      </c>
      <c r="S856" s="253">
        <v>43404</v>
      </c>
      <c r="T856" s="253">
        <v>43446</v>
      </c>
      <c r="U856" s="251" t="s">
        <v>488</v>
      </c>
      <c r="V856" s="251">
        <v>4</v>
      </c>
      <c r="W856" s="251" t="s">
        <v>220</v>
      </c>
      <c r="X856" s="251">
        <v>4</v>
      </c>
      <c r="Y856" s="251">
        <v>3</v>
      </c>
      <c r="Z856" s="251">
        <v>2</v>
      </c>
      <c r="AA856" s="251">
        <v>2</v>
      </c>
      <c r="AB856" s="251" t="s">
        <v>486</v>
      </c>
      <c r="AC856" s="251" t="s">
        <v>486</v>
      </c>
      <c r="AD856" s="251" t="s">
        <v>512</v>
      </c>
      <c r="AE856" s="251" t="s">
        <v>490</v>
      </c>
      <c r="AF856" s="251" t="s">
        <v>486</v>
      </c>
      <c r="AG856" s="251" t="s">
        <v>486</v>
      </c>
      <c r="AH856" s="251" t="s">
        <v>486</v>
      </c>
      <c r="AI856" s="251" t="s">
        <v>486</v>
      </c>
      <c r="AJ856" s="251" t="s">
        <v>486</v>
      </c>
      <c r="AK856" s="251" t="s">
        <v>486</v>
      </c>
      <c r="AL856" s="251" t="s">
        <v>545</v>
      </c>
      <c r="AM856" s="251" t="s">
        <v>486</v>
      </c>
      <c r="AN856" s="251" t="s">
        <v>486</v>
      </c>
      <c r="AO856" s="253" t="s">
        <v>486</v>
      </c>
      <c r="AP856" s="252" t="s">
        <v>486</v>
      </c>
      <c r="AQ856" s="254" t="s">
        <v>486</v>
      </c>
      <c r="AR856" s="251" t="s">
        <v>486</v>
      </c>
    </row>
    <row r="857" spans="1:44" ht="15" x14ac:dyDescent="0.25">
      <c r="A857" s="245" t="str">
        <f>HYPERLINK("http://www.ofsted.gov.uk/inspection-reports/find-inspection-report/provider/ELS/133449 ","Ofsted School Webpage")</f>
        <v>Ofsted School Webpage</v>
      </c>
      <c r="B857" s="246">
        <v>133449</v>
      </c>
      <c r="C857" s="246">
        <v>2046410</v>
      </c>
      <c r="D857" s="246" t="s">
        <v>676</v>
      </c>
      <c r="E857" s="246" t="s">
        <v>247</v>
      </c>
      <c r="F857" s="246" t="s">
        <v>93</v>
      </c>
      <c r="G857" s="246" t="s">
        <v>84</v>
      </c>
      <c r="H857" s="246" t="s">
        <v>84</v>
      </c>
      <c r="I857" s="246" t="s">
        <v>84</v>
      </c>
      <c r="J857" s="246" t="s">
        <v>1490</v>
      </c>
      <c r="K857" s="246" t="s">
        <v>486</v>
      </c>
      <c r="L857" s="246" t="s">
        <v>487</v>
      </c>
      <c r="M857" s="246" t="s">
        <v>506</v>
      </c>
      <c r="N857" s="246" t="s">
        <v>506</v>
      </c>
      <c r="O857" s="246" t="s">
        <v>617</v>
      </c>
      <c r="P857" s="246" t="s">
        <v>677</v>
      </c>
      <c r="Q857" s="247">
        <v>10055446</v>
      </c>
      <c r="R857" s="248">
        <v>43403</v>
      </c>
      <c r="S857" s="248">
        <v>43405</v>
      </c>
      <c r="T857" s="248">
        <v>43429</v>
      </c>
      <c r="U857" s="246" t="s">
        <v>488</v>
      </c>
      <c r="V857" s="246">
        <v>3</v>
      </c>
      <c r="W857" s="246" t="s">
        <v>219</v>
      </c>
      <c r="X857" s="246">
        <v>3</v>
      </c>
      <c r="Y857" s="246">
        <v>2</v>
      </c>
      <c r="Z857" s="246">
        <v>3</v>
      </c>
      <c r="AA857" s="246">
        <v>3</v>
      </c>
      <c r="AB857" s="246" t="s">
        <v>486</v>
      </c>
      <c r="AC857" s="246" t="s">
        <v>486</v>
      </c>
      <c r="AD857" s="246" t="s">
        <v>490</v>
      </c>
      <c r="AE857" s="246" t="s">
        <v>486</v>
      </c>
      <c r="AF857" s="246" t="s">
        <v>486</v>
      </c>
      <c r="AG857" s="246" t="s">
        <v>486</v>
      </c>
      <c r="AH857" s="246" t="s">
        <v>486</v>
      </c>
      <c r="AI857" s="246" t="s">
        <v>486</v>
      </c>
      <c r="AJ857" s="246" t="s">
        <v>486</v>
      </c>
      <c r="AK857" s="246" t="s">
        <v>486</v>
      </c>
      <c r="AL857" s="246" t="s">
        <v>491</v>
      </c>
      <c r="AM857" s="246" t="s">
        <v>486</v>
      </c>
      <c r="AN857" s="246" t="s">
        <v>486</v>
      </c>
      <c r="AO857" s="248" t="s">
        <v>486</v>
      </c>
      <c r="AP857" s="247" t="s">
        <v>486</v>
      </c>
      <c r="AQ857" s="249" t="s">
        <v>486</v>
      </c>
      <c r="AR857" s="246" t="s">
        <v>486</v>
      </c>
    </row>
    <row r="858" spans="1:44" ht="15" x14ac:dyDescent="0.25">
      <c r="A858" s="250" t="str">
        <f>HYPERLINK("http://www.ofsted.gov.uk/inspection-reports/find-inspection-report/provider/ELS/134579 ","Ofsted School Webpage")</f>
        <v>Ofsted School Webpage</v>
      </c>
      <c r="B858" s="251">
        <v>134579</v>
      </c>
      <c r="C858" s="251">
        <v>3206064</v>
      </c>
      <c r="D858" s="251" t="s">
        <v>670</v>
      </c>
      <c r="E858" s="251" t="s">
        <v>247</v>
      </c>
      <c r="F858" s="251" t="s">
        <v>93</v>
      </c>
      <c r="G858" s="251" t="s">
        <v>93</v>
      </c>
      <c r="H858" s="251" t="s">
        <v>93</v>
      </c>
      <c r="I858" s="251" t="s">
        <v>90</v>
      </c>
      <c r="J858" s="251" t="s">
        <v>1490</v>
      </c>
      <c r="K858" s="251" t="s">
        <v>486</v>
      </c>
      <c r="L858" s="251" t="s">
        <v>487</v>
      </c>
      <c r="M858" s="251" t="s">
        <v>506</v>
      </c>
      <c r="N858" s="251" t="s">
        <v>506</v>
      </c>
      <c r="O858" s="251" t="s">
        <v>671</v>
      </c>
      <c r="P858" s="251" t="s">
        <v>672</v>
      </c>
      <c r="Q858" s="252">
        <v>10055505</v>
      </c>
      <c r="R858" s="253">
        <v>43403</v>
      </c>
      <c r="S858" s="253">
        <v>43405</v>
      </c>
      <c r="T858" s="253">
        <v>43432</v>
      </c>
      <c r="U858" s="251" t="s">
        <v>488</v>
      </c>
      <c r="V858" s="251">
        <v>3</v>
      </c>
      <c r="W858" s="251" t="s">
        <v>219</v>
      </c>
      <c r="X858" s="251">
        <v>3</v>
      </c>
      <c r="Y858" s="251">
        <v>3</v>
      </c>
      <c r="Z858" s="251">
        <v>3</v>
      </c>
      <c r="AA858" s="251">
        <v>3</v>
      </c>
      <c r="AB858" s="251">
        <v>2</v>
      </c>
      <c r="AC858" s="251" t="s">
        <v>486</v>
      </c>
      <c r="AD858" s="251" t="s">
        <v>490</v>
      </c>
      <c r="AE858" s="251" t="s">
        <v>486</v>
      </c>
      <c r="AF858" s="251" t="s">
        <v>486</v>
      </c>
      <c r="AG858" s="251" t="s">
        <v>486</v>
      </c>
      <c r="AH858" s="251" t="s">
        <v>486</v>
      </c>
      <c r="AI858" s="251" t="s">
        <v>486</v>
      </c>
      <c r="AJ858" s="251" t="s">
        <v>486</v>
      </c>
      <c r="AK858" s="251" t="s">
        <v>486</v>
      </c>
      <c r="AL858" s="251" t="s">
        <v>491</v>
      </c>
      <c r="AM858" s="251" t="s">
        <v>486</v>
      </c>
      <c r="AN858" s="251" t="s">
        <v>486</v>
      </c>
      <c r="AO858" s="253" t="s">
        <v>486</v>
      </c>
      <c r="AP858" s="252" t="s">
        <v>486</v>
      </c>
      <c r="AQ858" s="254" t="s">
        <v>486</v>
      </c>
      <c r="AR858" s="251" t="s">
        <v>486</v>
      </c>
    </row>
    <row r="859" spans="1:44" ht="15" x14ac:dyDescent="0.25">
      <c r="A859" s="245" t="str">
        <f>HYPERLINK("http://www.ofsted.gov.uk/inspection-reports/find-inspection-report/provider/ELS/145168 ","Ofsted School Webpage")</f>
        <v>Ofsted School Webpage</v>
      </c>
      <c r="B859" s="246">
        <v>145168</v>
      </c>
      <c r="C859" s="246">
        <v>3806014</v>
      </c>
      <c r="D859" s="246" t="s">
        <v>673</v>
      </c>
      <c r="E859" s="246" t="s">
        <v>247</v>
      </c>
      <c r="F859" s="246" t="s">
        <v>83</v>
      </c>
      <c r="G859" s="246" t="s">
        <v>93</v>
      </c>
      <c r="H859" s="246" t="s">
        <v>83</v>
      </c>
      <c r="I859" s="246" t="s">
        <v>84</v>
      </c>
      <c r="J859" s="246" t="s">
        <v>1490</v>
      </c>
      <c r="K859" s="246" t="s">
        <v>486</v>
      </c>
      <c r="L859" s="246" t="s">
        <v>487</v>
      </c>
      <c r="M859" s="246" t="s">
        <v>523</v>
      </c>
      <c r="N859" s="246" t="s">
        <v>524</v>
      </c>
      <c r="O859" s="246" t="s">
        <v>674</v>
      </c>
      <c r="P859" s="246" t="s">
        <v>675</v>
      </c>
      <c r="Q859" s="247">
        <v>10053838</v>
      </c>
      <c r="R859" s="248">
        <v>43403</v>
      </c>
      <c r="S859" s="248">
        <v>43405</v>
      </c>
      <c r="T859" s="248">
        <v>43445</v>
      </c>
      <c r="U859" s="246" t="s">
        <v>499</v>
      </c>
      <c r="V859" s="246">
        <v>3</v>
      </c>
      <c r="W859" s="246" t="s">
        <v>219</v>
      </c>
      <c r="X859" s="246">
        <v>3</v>
      </c>
      <c r="Y859" s="246">
        <v>2</v>
      </c>
      <c r="Z859" s="246">
        <v>2</v>
      </c>
      <c r="AA859" s="246">
        <v>2</v>
      </c>
      <c r="AB859" s="246" t="s">
        <v>486</v>
      </c>
      <c r="AC859" s="246" t="s">
        <v>486</v>
      </c>
      <c r="AD859" s="246" t="s">
        <v>490</v>
      </c>
      <c r="AE859" s="246" t="s">
        <v>486</v>
      </c>
      <c r="AF859" s="246" t="s">
        <v>486</v>
      </c>
      <c r="AG859" s="246" t="s">
        <v>486</v>
      </c>
      <c r="AH859" s="246" t="s">
        <v>486</v>
      </c>
      <c r="AI859" s="246" t="s">
        <v>486</v>
      </c>
      <c r="AJ859" s="246" t="s">
        <v>486</v>
      </c>
      <c r="AK859" s="246" t="s">
        <v>486</v>
      </c>
      <c r="AL859" s="246" t="s">
        <v>545</v>
      </c>
      <c r="AM859" s="246" t="s">
        <v>486</v>
      </c>
      <c r="AN859" s="246" t="s">
        <v>486</v>
      </c>
      <c r="AO859" s="248" t="s">
        <v>486</v>
      </c>
      <c r="AP859" s="247" t="s">
        <v>486</v>
      </c>
      <c r="AQ859" s="249" t="s">
        <v>486</v>
      </c>
      <c r="AR859" s="246" t="s">
        <v>486</v>
      </c>
    </row>
    <row r="860" spans="1:44" ht="15" x14ac:dyDescent="0.25">
      <c r="A860" s="250" t="str">
        <f>HYPERLINK("http://www.ofsted.gov.uk/inspection-reports/find-inspection-report/provider/ELS/131395 ","Ofsted School Webpage")</f>
        <v>Ofsted School Webpage</v>
      </c>
      <c r="B860" s="251">
        <v>131395</v>
      </c>
      <c r="C860" s="251">
        <v>3056078</v>
      </c>
      <c r="D860" s="251" t="s">
        <v>678</v>
      </c>
      <c r="E860" s="251" t="s">
        <v>248</v>
      </c>
      <c r="F860" s="251" t="s">
        <v>93</v>
      </c>
      <c r="G860" s="251" t="s">
        <v>74</v>
      </c>
      <c r="H860" s="251" t="s">
        <v>74</v>
      </c>
      <c r="I860" s="251" t="s">
        <v>71</v>
      </c>
      <c r="J860" s="251" t="s">
        <v>1490</v>
      </c>
      <c r="K860" s="251" t="s">
        <v>486</v>
      </c>
      <c r="L860" s="251" t="s">
        <v>487</v>
      </c>
      <c r="M860" s="251" t="s">
        <v>506</v>
      </c>
      <c r="N860" s="251" t="s">
        <v>506</v>
      </c>
      <c r="O860" s="251" t="s">
        <v>679</v>
      </c>
      <c r="P860" s="251" t="s">
        <v>680</v>
      </c>
      <c r="Q860" s="252">
        <v>10055476</v>
      </c>
      <c r="R860" s="253">
        <v>43404</v>
      </c>
      <c r="S860" s="253">
        <v>43406</v>
      </c>
      <c r="T860" s="253">
        <v>43425</v>
      </c>
      <c r="U860" s="251" t="s">
        <v>488</v>
      </c>
      <c r="V860" s="251">
        <v>2</v>
      </c>
      <c r="W860" s="251" t="s">
        <v>219</v>
      </c>
      <c r="X860" s="251">
        <v>2</v>
      </c>
      <c r="Y860" s="251">
        <v>1</v>
      </c>
      <c r="Z860" s="251">
        <v>2</v>
      </c>
      <c r="AA860" s="251">
        <v>2</v>
      </c>
      <c r="AB860" s="251" t="s">
        <v>486</v>
      </c>
      <c r="AC860" s="251" t="s">
        <v>486</v>
      </c>
      <c r="AD860" s="251" t="s">
        <v>512</v>
      </c>
      <c r="AE860" s="251" t="s">
        <v>486</v>
      </c>
      <c r="AF860" s="251" t="s">
        <v>486</v>
      </c>
      <c r="AG860" s="251" t="s">
        <v>486</v>
      </c>
      <c r="AH860" s="251" t="s">
        <v>490</v>
      </c>
      <c r="AI860" s="251" t="s">
        <v>486</v>
      </c>
      <c r="AJ860" s="251" t="s">
        <v>486</v>
      </c>
      <c r="AK860" s="251" t="s">
        <v>486</v>
      </c>
      <c r="AL860" s="251" t="s">
        <v>491</v>
      </c>
      <c r="AM860" s="251" t="s">
        <v>486</v>
      </c>
      <c r="AN860" s="251" t="s">
        <v>486</v>
      </c>
      <c r="AO860" s="253" t="s">
        <v>486</v>
      </c>
      <c r="AP860" s="252" t="s">
        <v>486</v>
      </c>
      <c r="AQ860" s="254" t="s">
        <v>486</v>
      </c>
      <c r="AR860" s="251" t="s">
        <v>486</v>
      </c>
    </row>
    <row r="861" spans="1:44" ht="15" x14ac:dyDescent="0.25">
      <c r="A861" s="245" t="str">
        <f>HYPERLINK("http://www.ofsted.gov.uk/inspection-reports/find-inspection-report/provider/ELS/145468 ","Ofsted School Webpage")</f>
        <v>Ofsted School Webpage</v>
      </c>
      <c r="B861" s="246">
        <v>145468</v>
      </c>
      <c r="C861" s="246">
        <v>8936034</v>
      </c>
      <c r="D861" s="246" t="s">
        <v>681</v>
      </c>
      <c r="E861" s="246" t="s">
        <v>248</v>
      </c>
      <c r="F861" s="246" t="s">
        <v>93</v>
      </c>
      <c r="G861" s="246" t="s">
        <v>93</v>
      </c>
      <c r="H861" s="246" t="s">
        <v>93</v>
      </c>
      <c r="I861" s="246" t="s">
        <v>90</v>
      </c>
      <c r="J861" s="246" t="s">
        <v>1490</v>
      </c>
      <c r="K861" s="246" t="s">
        <v>486</v>
      </c>
      <c r="L861" s="246" t="s">
        <v>487</v>
      </c>
      <c r="M861" s="246" t="s">
        <v>502</v>
      </c>
      <c r="N861" s="246" t="s">
        <v>502</v>
      </c>
      <c r="O861" s="246" t="s">
        <v>666</v>
      </c>
      <c r="P861" s="246" t="s">
        <v>607</v>
      </c>
      <c r="Q861" s="247">
        <v>10056211</v>
      </c>
      <c r="R861" s="248">
        <v>43410</v>
      </c>
      <c r="S861" s="248">
        <v>43411</v>
      </c>
      <c r="T861" s="248">
        <v>43437</v>
      </c>
      <c r="U861" s="246" t="s">
        <v>499</v>
      </c>
      <c r="V861" s="246">
        <v>2</v>
      </c>
      <c r="W861" s="246" t="s">
        <v>219</v>
      </c>
      <c r="X861" s="246">
        <v>2</v>
      </c>
      <c r="Y861" s="246">
        <v>2</v>
      </c>
      <c r="Z861" s="246">
        <v>2</v>
      </c>
      <c r="AA861" s="246">
        <v>2</v>
      </c>
      <c r="AB861" s="246" t="s">
        <v>486</v>
      </c>
      <c r="AC861" s="246" t="s">
        <v>486</v>
      </c>
      <c r="AD861" s="246" t="s">
        <v>490</v>
      </c>
      <c r="AE861" s="246" t="s">
        <v>486</v>
      </c>
      <c r="AF861" s="246" t="s">
        <v>486</v>
      </c>
      <c r="AG861" s="246" t="s">
        <v>486</v>
      </c>
      <c r="AH861" s="246" t="s">
        <v>486</v>
      </c>
      <c r="AI861" s="246" t="s">
        <v>486</v>
      </c>
      <c r="AJ861" s="246" t="s">
        <v>486</v>
      </c>
      <c r="AK861" s="246" t="s">
        <v>486</v>
      </c>
      <c r="AL861" s="246" t="s">
        <v>491</v>
      </c>
      <c r="AM861" s="246" t="s">
        <v>486</v>
      </c>
      <c r="AN861" s="246" t="s">
        <v>486</v>
      </c>
      <c r="AO861" s="248" t="s">
        <v>486</v>
      </c>
      <c r="AP861" s="247" t="s">
        <v>486</v>
      </c>
      <c r="AQ861" s="249" t="s">
        <v>486</v>
      </c>
      <c r="AR861" s="246" t="s">
        <v>486</v>
      </c>
    </row>
    <row r="862" spans="1:44" ht="15" x14ac:dyDescent="0.25">
      <c r="A862" s="250" t="str">
        <f>HYPERLINK("http://www.ofsted.gov.uk/inspection-reports/find-inspection-report/provider/ELS/100287 ","Ofsted School Webpage")</f>
        <v>Ofsted School Webpage</v>
      </c>
      <c r="B862" s="251">
        <v>100287</v>
      </c>
      <c r="C862" s="251">
        <v>2046072</v>
      </c>
      <c r="D862" s="251" t="s">
        <v>709</v>
      </c>
      <c r="E862" s="251" t="s">
        <v>247</v>
      </c>
      <c r="F862" s="251" t="s">
        <v>93</v>
      </c>
      <c r="G862" s="251" t="s">
        <v>81</v>
      </c>
      <c r="H862" s="251" t="s">
        <v>81</v>
      </c>
      <c r="I862" s="251" t="s">
        <v>81</v>
      </c>
      <c r="J862" s="251" t="s">
        <v>1490</v>
      </c>
      <c r="K862" s="251" t="s">
        <v>486</v>
      </c>
      <c r="L862" s="251" t="s">
        <v>487</v>
      </c>
      <c r="M862" s="251" t="s">
        <v>506</v>
      </c>
      <c r="N862" s="251" t="s">
        <v>506</v>
      </c>
      <c r="O862" s="251" t="s">
        <v>617</v>
      </c>
      <c r="P862" s="251" t="s">
        <v>710</v>
      </c>
      <c r="Q862" s="252">
        <v>10055368</v>
      </c>
      <c r="R862" s="253">
        <v>43410</v>
      </c>
      <c r="S862" s="253">
        <v>43412</v>
      </c>
      <c r="T862" s="253">
        <v>43447</v>
      </c>
      <c r="U862" s="251" t="s">
        <v>488</v>
      </c>
      <c r="V862" s="251">
        <v>3</v>
      </c>
      <c r="W862" s="251" t="s">
        <v>219</v>
      </c>
      <c r="X862" s="251">
        <v>3</v>
      </c>
      <c r="Y862" s="251">
        <v>3</v>
      </c>
      <c r="Z862" s="251">
        <v>2</v>
      </c>
      <c r="AA862" s="251">
        <v>2</v>
      </c>
      <c r="AB862" s="251">
        <v>2</v>
      </c>
      <c r="AC862" s="251" t="s">
        <v>486</v>
      </c>
      <c r="AD862" s="251" t="s">
        <v>490</v>
      </c>
      <c r="AE862" s="251" t="s">
        <v>486</v>
      </c>
      <c r="AF862" s="251" t="s">
        <v>486</v>
      </c>
      <c r="AG862" s="251" t="s">
        <v>486</v>
      </c>
      <c r="AH862" s="251" t="s">
        <v>486</v>
      </c>
      <c r="AI862" s="251" t="s">
        <v>486</v>
      </c>
      <c r="AJ862" s="251" t="s">
        <v>486</v>
      </c>
      <c r="AK862" s="251" t="s">
        <v>486</v>
      </c>
      <c r="AL862" s="251" t="s">
        <v>545</v>
      </c>
      <c r="AM862" s="251" t="s">
        <v>486</v>
      </c>
      <c r="AN862" s="251" t="s">
        <v>486</v>
      </c>
      <c r="AO862" s="253" t="s">
        <v>486</v>
      </c>
      <c r="AP862" s="252" t="s">
        <v>486</v>
      </c>
      <c r="AQ862" s="254" t="s">
        <v>486</v>
      </c>
      <c r="AR862" s="251" t="s">
        <v>486</v>
      </c>
    </row>
    <row r="863" spans="1:44" ht="15" x14ac:dyDescent="0.25">
      <c r="A863" s="245" t="str">
        <f>HYPERLINK("http://www.ofsted.gov.uk/inspection-reports/find-inspection-report/provider/ELS/100293 ","Ofsted School Webpage")</f>
        <v>Ofsted School Webpage</v>
      </c>
      <c r="B863" s="246">
        <v>100293</v>
      </c>
      <c r="C863" s="246">
        <v>2046296</v>
      </c>
      <c r="D863" s="246" t="s">
        <v>704</v>
      </c>
      <c r="E863" s="246" t="s">
        <v>247</v>
      </c>
      <c r="F863" s="246" t="s">
        <v>81</v>
      </c>
      <c r="G863" s="246" t="s">
        <v>81</v>
      </c>
      <c r="H863" s="246" t="s">
        <v>81</v>
      </c>
      <c r="I863" s="246" t="s">
        <v>81</v>
      </c>
      <c r="J863" s="246" t="s">
        <v>1490</v>
      </c>
      <c r="K863" s="246" t="s">
        <v>486</v>
      </c>
      <c r="L863" s="246" t="s">
        <v>487</v>
      </c>
      <c r="M863" s="246" t="s">
        <v>506</v>
      </c>
      <c r="N863" s="246" t="s">
        <v>506</v>
      </c>
      <c r="O863" s="246" t="s">
        <v>617</v>
      </c>
      <c r="P863" s="246" t="s">
        <v>705</v>
      </c>
      <c r="Q863" s="247">
        <v>10034880</v>
      </c>
      <c r="R863" s="248">
        <v>43410</v>
      </c>
      <c r="S863" s="248">
        <v>43412</v>
      </c>
      <c r="T863" s="248">
        <v>43446</v>
      </c>
      <c r="U863" s="246" t="s">
        <v>488</v>
      </c>
      <c r="V863" s="246">
        <v>3</v>
      </c>
      <c r="W863" s="246" t="s">
        <v>219</v>
      </c>
      <c r="X863" s="246">
        <v>3</v>
      </c>
      <c r="Y863" s="246">
        <v>2</v>
      </c>
      <c r="Z863" s="246">
        <v>3</v>
      </c>
      <c r="AA863" s="246">
        <v>3</v>
      </c>
      <c r="AB863" s="246">
        <v>3</v>
      </c>
      <c r="AC863" s="246">
        <v>4</v>
      </c>
      <c r="AD863" s="246" t="s">
        <v>512</v>
      </c>
      <c r="AE863" s="246" t="s">
        <v>486</v>
      </c>
      <c r="AF863" s="246" t="s">
        <v>486</v>
      </c>
      <c r="AG863" s="246" t="s">
        <v>486</v>
      </c>
      <c r="AH863" s="246" t="s">
        <v>490</v>
      </c>
      <c r="AI863" s="246" t="s">
        <v>490</v>
      </c>
      <c r="AJ863" s="246" t="s">
        <v>486</v>
      </c>
      <c r="AK863" s="246" t="s">
        <v>486</v>
      </c>
      <c r="AL863" s="246" t="s">
        <v>545</v>
      </c>
      <c r="AM863" s="246" t="s">
        <v>486</v>
      </c>
      <c r="AN863" s="246" t="s">
        <v>486</v>
      </c>
      <c r="AO863" s="248" t="s">
        <v>486</v>
      </c>
      <c r="AP863" s="247" t="s">
        <v>486</v>
      </c>
      <c r="AQ863" s="249" t="s">
        <v>486</v>
      </c>
      <c r="AR863" s="246" t="s">
        <v>486</v>
      </c>
    </row>
    <row r="864" spans="1:44" ht="15" x14ac:dyDescent="0.25">
      <c r="A864" s="250" t="str">
        <f>HYPERLINK("http://www.ofsted.gov.uk/inspection-reports/find-inspection-report/provider/ELS/113026 ","Ofsted School Webpage")</f>
        <v>Ofsted School Webpage</v>
      </c>
      <c r="B864" s="251">
        <v>113026</v>
      </c>
      <c r="C864" s="251">
        <v>8306013</v>
      </c>
      <c r="D864" s="251" t="s">
        <v>687</v>
      </c>
      <c r="E864" s="251" t="s">
        <v>248</v>
      </c>
      <c r="F864" s="251" t="s">
        <v>93</v>
      </c>
      <c r="G864" s="251" t="s">
        <v>93</v>
      </c>
      <c r="H864" s="251" t="s">
        <v>93</v>
      </c>
      <c r="I864" s="251" t="s">
        <v>90</v>
      </c>
      <c r="J864" s="251" t="s">
        <v>1490</v>
      </c>
      <c r="K864" s="251" t="s">
        <v>486</v>
      </c>
      <c r="L864" s="251" t="s">
        <v>487</v>
      </c>
      <c r="M864" s="251" t="s">
        <v>572</v>
      </c>
      <c r="N864" s="251" t="s">
        <v>572</v>
      </c>
      <c r="O864" s="251" t="s">
        <v>573</v>
      </c>
      <c r="P864" s="251" t="s">
        <v>688</v>
      </c>
      <c r="Q864" s="252">
        <v>10053963</v>
      </c>
      <c r="R864" s="253">
        <v>43410</v>
      </c>
      <c r="S864" s="253">
        <v>43412</v>
      </c>
      <c r="T864" s="253">
        <v>43432</v>
      </c>
      <c r="U864" s="251" t="s">
        <v>488</v>
      </c>
      <c r="V864" s="251">
        <v>3</v>
      </c>
      <c r="W864" s="251" t="s">
        <v>219</v>
      </c>
      <c r="X864" s="251">
        <v>3</v>
      </c>
      <c r="Y864" s="251">
        <v>2</v>
      </c>
      <c r="Z864" s="251">
        <v>2</v>
      </c>
      <c r="AA864" s="251">
        <v>2</v>
      </c>
      <c r="AB864" s="251" t="s">
        <v>486</v>
      </c>
      <c r="AC864" s="251">
        <v>2</v>
      </c>
      <c r="AD864" s="251" t="s">
        <v>490</v>
      </c>
      <c r="AE864" s="251" t="s">
        <v>486</v>
      </c>
      <c r="AF864" s="251" t="s">
        <v>486</v>
      </c>
      <c r="AG864" s="251" t="s">
        <v>486</v>
      </c>
      <c r="AH864" s="251" t="s">
        <v>486</v>
      </c>
      <c r="AI864" s="251" t="s">
        <v>486</v>
      </c>
      <c r="AJ864" s="251" t="s">
        <v>486</v>
      </c>
      <c r="AK864" s="251" t="s">
        <v>486</v>
      </c>
      <c r="AL864" s="251" t="s">
        <v>545</v>
      </c>
      <c r="AM864" s="251" t="s">
        <v>486</v>
      </c>
      <c r="AN864" s="251" t="s">
        <v>486</v>
      </c>
      <c r="AO864" s="253" t="s">
        <v>486</v>
      </c>
      <c r="AP864" s="252" t="s">
        <v>486</v>
      </c>
      <c r="AQ864" s="254" t="s">
        <v>486</v>
      </c>
      <c r="AR864" s="251" t="s">
        <v>486</v>
      </c>
    </row>
    <row r="865" spans="1:44" ht="15" x14ac:dyDescent="0.25">
      <c r="A865" s="245" t="str">
        <f>HYPERLINK("http://www.ofsted.gov.uk/inspection-reports/find-inspection-report/provider/ELS/131567 ","Ofsted School Webpage")</f>
        <v>Ofsted School Webpage</v>
      </c>
      <c r="B865" s="246">
        <v>131567</v>
      </c>
      <c r="C865" s="246">
        <v>8866113</v>
      </c>
      <c r="D865" s="246" t="s">
        <v>696</v>
      </c>
      <c r="E865" s="246" t="s">
        <v>247</v>
      </c>
      <c r="F865" s="246" t="s">
        <v>93</v>
      </c>
      <c r="G865" s="246" t="s">
        <v>71</v>
      </c>
      <c r="H865" s="246" t="s">
        <v>71</v>
      </c>
      <c r="I865" s="246" t="s">
        <v>71</v>
      </c>
      <c r="J865" s="246" t="s">
        <v>1490</v>
      </c>
      <c r="K865" s="246" t="s">
        <v>486</v>
      </c>
      <c r="L865" s="246" t="s">
        <v>487</v>
      </c>
      <c r="M865" s="246" t="s">
        <v>581</v>
      </c>
      <c r="N865" s="246" t="s">
        <v>581</v>
      </c>
      <c r="O865" s="246" t="s">
        <v>694</v>
      </c>
      <c r="P865" s="246" t="s">
        <v>697</v>
      </c>
      <c r="Q865" s="247">
        <v>10052089</v>
      </c>
      <c r="R865" s="248">
        <v>43410</v>
      </c>
      <c r="S865" s="248">
        <v>43412</v>
      </c>
      <c r="T865" s="248">
        <v>43450</v>
      </c>
      <c r="U865" s="246" t="s">
        <v>488</v>
      </c>
      <c r="V865" s="246">
        <v>4</v>
      </c>
      <c r="W865" s="246" t="s">
        <v>220</v>
      </c>
      <c r="X865" s="246">
        <v>4</v>
      </c>
      <c r="Y865" s="246">
        <v>4</v>
      </c>
      <c r="Z865" s="246">
        <v>1</v>
      </c>
      <c r="AA865" s="246">
        <v>1</v>
      </c>
      <c r="AB865" s="246">
        <v>4</v>
      </c>
      <c r="AC865" s="246" t="s">
        <v>486</v>
      </c>
      <c r="AD865" s="246" t="s">
        <v>490</v>
      </c>
      <c r="AE865" s="246" t="s">
        <v>486</v>
      </c>
      <c r="AF865" s="246" t="s">
        <v>486</v>
      </c>
      <c r="AG865" s="246" t="s">
        <v>486</v>
      </c>
      <c r="AH865" s="246" t="s">
        <v>486</v>
      </c>
      <c r="AI865" s="246" t="s">
        <v>486</v>
      </c>
      <c r="AJ865" s="246" t="s">
        <v>486</v>
      </c>
      <c r="AK865" s="246" t="s">
        <v>486</v>
      </c>
      <c r="AL865" s="246" t="s">
        <v>545</v>
      </c>
      <c r="AM865" s="246" t="s">
        <v>486</v>
      </c>
      <c r="AN865" s="246" t="s">
        <v>486</v>
      </c>
      <c r="AO865" s="248" t="s">
        <v>486</v>
      </c>
      <c r="AP865" s="247" t="s">
        <v>486</v>
      </c>
      <c r="AQ865" s="249" t="s">
        <v>486</v>
      </c>
      <c r="AR865" s="246" t="s">
        <v>486</v>
      </c>
    </row>
    <row r="866" spans="1:44" ht="15" x14ac:dyDescent="0.25">
      <c r="A866" s="250" t="str">
        <f>HYPERLINK("http://www.ofsted.gov.uk/inspection-reports/find-inspection-report/provider/ELS/131810 ","Ofsted School Webpage")</f>
        <v>Ofsted School Webpage</v>
      </c>
      <c r="B866" s="251">
        <v>131810</v>
      </c>
      <c r="C866" s="251">
        <v>8866085</v>
      </c>
      <c r="D866" s="251" t="s">
        <v>693</v>
      </c>
      <c r="E866" s="251" t="s">
        <v>248</v>
      </c>
      <c r="F866" s="251" t="s">
        <v>93</v>
      </c>
      <c r="G866" s="251" t="s">
        <v>93</v>
      </c>
      <c r="H866" s="251" t="s">
        <v>93</v>
      </c>
      <c r="I866" s="251" t="s">
        <v>90</v>
      </c>
      <c r="J866" s="251" t="s">
        <v>1490</v>
      </c>
      <c r="K866" s="251" t="s">
        <v>486</v>
      </c>
      <c r="L866" s="251" t="s">
        <v>487</v>
      </c>
      <c r="M866" s="251" t="s">
        <v>581</v>
      </c>
      <c r="N866" s="251" t="s">
        <v>581</v>
      </c>
      <c r="O866" s="251" t="s">
        <v>694</v>
      </c>
      <c r="P866" s="251" t="s">
        <v>695</v>
      </c>
      <c r="Q866" s="252">
        <v>10054078</v>
      </c>
      <c r="R866" s="253">
        <v>43410</v>
      </c>
      <c r="S866" s="253">
        <v>43412</v>
      </c>
      <c r="T866" s="253">
        <v>43444</v>
      </c>
      <c r="U866" s="251" t="s">
        <v>2930</v>
      </c>
      <c r="V866" s="251">
        <v>2</v>
      </c>
      <c r="W866" s="251" t="s">
        <v>219</v>
      </c>
      <c r="X866" s="251">
        <v>2</v>
      </c>
      <c r="Y866" s="251">
        <v>1</v>
      </c>
      <c r="Z866" s="251">
        <v>2</v>
      </c>
      <c r="AA866" s="251">
        <v>2</v>
      </c>
      <c r="AB866" s="251" t="s">
        <v>486</v>
      </c>
      <c r="AC866" s="251" t="s">
        <v>486</v>
      </c>
      <c r="AD866" s="251" t="s">
        <v>490</v>
      </c>
      <c r="AE866" s="251" t="s">
        <v>486</v>
      </c>
      <c r="AF866" s="251" t="s">
        <v>486</v>
      </c>
      <c r="AG866" s="251" t="s">
        <v>486</v>
      </c>
      <c r="AH866" s="251" t="s">
        <v>486</v>
      </c>
      <c r="AI866" s="251" t="s">
        <v>486</v>
      </c>
      <c r="AJ866" s="251" t="s">
        <v>486</v>
      </c>
      <c r="AK866" s="251" t="s">
        <v>486</v>
      </c>
      <c r="AL866" s="251" t="s">
        <v>491</v>
      </c>
      <c r="AM866" s="251" t="s">
        <v>486</v>
      </c>
      <c r="AN866" s="251" t="s">
        <v>486</v>
      </c>
      <c r="AO866" s="253" t="s">
        <v>486</v>
      </c>
      <c r="AP866" s="252" t="s">
        <v>486</v>
      </c>
      <c r="AQ866" s="254" t="s">
        <v>486</v>
      </c>
      <c r="AR866" s="251" t="s">
        <v>486</v>
      </c>
    </row>
    <row r="867" spans="1:44" ht="15" x14ac:dyDescent="0.25">
      <c r="A867" s="245" t="str">
        <f>HYPERLINK("http://www.ofsted.gov.uk/inspection-reports/find-inspection-report/provider/ELS/135557 ","Ofsted School Webpage")</f>
        <v>Ofsted School Webpage</v>
      </c>
      <c r="B867" s="246">
        <v>135557</v>
      </c>
      <c r="C867" s="246">
        <v>3596009</v>
      </c>
      <c r="D867" s="246" t="s">
        <v>711</v>
      </c>
      <c r="E867" s="246" t="s">
        <v>248</v>
      </c>
      <c r="F867" s="246" t="s">
        <v>93</v>
      </c>
      <c r="G867" s="246" t="s">
        <v>93</v>
      </c>
      <c r="H867" s="246" t="s">
        <v>93</v>
      </c>
      <c r="I867" s="246" t="s">
        <v>90</v>
      </c>
      <c r="J867" s="246" t="s">
        <v>1490</v>
      </c>
      <c r="K867" s="246" t="s">
        <v>486</v>
      </c>
      <c r="L867" s="246" t="s">
        <v>487</v>
      </c>
      <c r="M867" s="246" t="s">
        <v>495</v>
      </c>
      <c r="N867" s="246" t="s">
        <v>495</v>
      </c>
      <c r="O867" s="246" t="s">
        <v>496</v>
      </c>
      <c r="P867" s="246" t="s">
        <v>712</v>
      </c>
      <c r="Q867" s="247">
        <v>10053729</v>
      </c>
      <c r="R867" s="248">
        <v>43410</v>
      </c>
      <c r="S867" s="248">
        <v>43412</v>
      </c>
      <c r="T867" s="248">
        <v>43436</v>
      </c>
      <c r="U867" s="246" t="s">
        <v>488</v>
      </c>
      <c r="V867" s="246">
        <v>2</v>
      </c>
      <c r="W867" s="246" t="s">
        <v>219</v>
      </c>
      <c r="X867" s="246">
        <v>2</v>
      </c>
      <c r="Y867" s="246">
        <v>1</v>
      </c>
      <c r="Z867" s="246">
        <v>2</v>
      </c>
      <c r="AA867" s="246">
        <v>2</v>
      </c>
      <c r="AB867" s="246" t="s">
        <v>486</v>
      </c>
      <c r="AC867" s="246" t="s">
        <v>486</v>
      </c>
      <c r="AD867" s="246" t="s">
        <v>490</v>
      </c>
      <c r="AE867" s="246" t="s">
        <v>486</v>
      </c>
      <c r="AF867" s="246" t="s">
        <v>486</v>
      </c>
      <c r="AG867" s="246" t="s">
        <v>486</v>
      </c>
      <c r="AH867" s="246" t="s">
        <v>486</v>
      </c>
      <c r="AI867" s="246" t="s">
        <v>486</v>
      </c>
      <c r="AJ867" s="246" t="s">
        <v>486</v>
      </c>
      <c r="AK867" s="246" t="s">
        <v>486</v>
      </c>
      <c r="AL867" s="246" t="s">
        <v>491</v>
      </c>
      <c r="AM867" s="246" t="s">
        <v>486</v>
      </c>
      <c r="AN867" s="246" t="s">
        <v>486</v>
      </c>
      <c r="AO867" s="248" t="s">
        <v>486</v>
      </c>
      <c r="AP867" s="247" t="s">
        <v>486</v>
      </c>
      <c r="AQ867" s="249" t="s">
        <v>486</v>
      </c>
      <c r="AR867" s="246" t="s">
        <v>486</v>
      </c>
    </row>
    <row r="868" spans="1:44" ht="15" x14ac:dyDescent="0.25">
      <c r="A868" s="250" t="str">
        <f>HYPERLINK("http://www.ofsted.gov.uk/inspection-reports/find-inspection-report/provider/ELS/136746 ","Ofsted School Webpage")</f>
        <v>Ofsted School Webpage</v>
      </c>
      <c r="B868" s="251">
        <v>136746</v>
      </c>
      <c r="C868" s="251">
        <v>3016003</v>
      </c>
      <c r="D868" s="251" t="s">
        <v>682</v>
      </c>
      <c r="E868" s="251" t="s">
        <v>247</v>
      </c>
      <c r="F868" s="251" t="s">
        <v>93</v>
      </c>
      <c r="G868" s="251" t="s">
        <v>84</v>
      </c>
      <c r="H868" s="251" t="s">
        <v>84</v>
      </c>
      <c r="I868" s="251" t="s">
        <v>84</v>
      </c>
      <c r="J868" s="251" t="s">
        <v>1490</v>
      </c>
      <c r="K868" s="251" t="s">
        <v>486</v>
      </c>
      <c r="L868" s="251" t="s">
        <v>487</v>
      </c>
      <c r="M868" s="251" t="s">
        <v>506</v>
      </c>
      <c r="N868" s="251" t="s">
        <v>506</v>
      </c>
      <c r="O868" s="251" t="s">
        <v>683</v>
      </c>
      <c r="P868" s="251" t="s">
        <v>684</v>
      </c>
      <c r="Q868" s="252">
        <v>10055415</v>
      </c>
      <c r="R868" s="253">
        <v>43410</v>
      </c>
      <c r="S868" s="253">
        <v>43412</v>
      </c>
      <c r="T868" s="253">
        <v>43432</v>
      </c>
      <c r="U868" s="251" t="s">
        <v>488</v>
      </c>
      <c r="V868" s="251">
        <v>2</v>
      </c>
      <c r="W868" s="251" t="s">
        <v>219</v>
      </c>
      <c r="X868" s="251">
        <v>2</v>
      </c>
      <c r="Y868" s="251">
        <v>2</v>
      </c>
      <c r="Z868" s="251">
        <v>2</v>
      </c>
      <c r="AA868" s="251">
        <v>2</v>
      </c>
      <c r="AB868" s="251" t="s">
        <v>486</v>
      </c>
      <c r="AC868" s="251" t="s">
        <v>486</v>
      </c>
      <c r="AD868" s="251" t="s">
        <v>490</v>
      </c>
      <c r="AE868" s="251" t="s">
        <v>486</v>
      </c>
      <c r="AF868" s="251" t="s">
        <v>486</v>
      </c>
      <c r="AG868" s="251" t="s">
        <v>486</v>
      </c>
      <c r="AH868" s="251" t="s">
        <v>486</v>
      </c>
      <c r="AI868" s="251" t="s">
        <v>486</v>
      </c>
      <c r="AJ868" s="251" t="s">
        <v>486</v>
      </c>
      <c r="AK868" s="251" t="s">
        <v>486</v>
      </c>
      <c r="AL868" s="251" t="s">
        <v>491</v>
      </c>
      <c r="AM868" s="251" t="s">
        <v>486</v>
      </c>
      <c r="AN868" s="251" t="s">
        <v>486</v>
      </c>
      <c r="AO868" s="253" t="s">
        <v>486</v>
      </c>
      <c r="AP868" s="252" t="s">
        <v>486</v>
      </c>
      <c r="AQ868" s="254" t="s">
        <v>486</v>
      </c>
      <c r="AR868" s="251" t="s">
        <v>486</v>
      </c>
    </row>
    <row r="869" spans="1:44" ht="15" x14ac:dyDescent="0.25">
      <c r="A869" s="245" t="str">
        <f>HYPERLINK("http://www.ofsted.gov.uk/inspection-reports/find-inspection-report/provider/ELS/137502 ","Ofsted School Webpage")</f>
        <v>Ofsted School Webpage</v>
      </c>
      <c r="B869" s="246">
        <v>137502</v>
      </c>
      <c r="C869" s="246">
        <v>3026001</v>
      </c>
      <c r="D869" s="246" t="s">
        <v>691</v>
      </c>
      <c r="E869" s="246" t="s">
        <v>247</v>
      </c>
      <c r="F869" s="246" t="s">
        <v>93</v>
      </c>
      <c r="G869" s="246" t="s">
        <v>81</v>
      </c>
      <c r="H869" s="246" t="s">
        <v>81</v>
      </c>
      <c r="I869" s="246" t="s">
        <v>81</v>
      </c>
      <c r="J869" s="246" t="s">
        <v>1490</v>
      </c>
      <c r="K869" s="246" t="s">
        <v>486</v>
      </c>
      <c r="L869" s="246" t="s">
        <v>487</v>
      </c>
      <c r="M869" s="246" t="s">
        <v>506</v>
      </c>
      <c r="N869" s="246" t="s">
        <v>506</v>
      </c>
      <c r="O869" s="246" t="s">
        <v>614</v>
      </c>
      <c r="P869" s="246" t="s">
        <v>692</v>
      </c>
      <c r="Q869" s="247">
        <v>10055403</v>
      </c>
      <c r="R869" s="248">
        <v>43410</v>
      </c>
      <c r="S869" s="248">
        <v>43412</v>
      </c>
      <c r="T869" s="248">
        <v>43438</v>
      </c>
      <c r="U869" s="246" t="s">
        <v>488</v>
      </c>
      <c r="V869" s="246">
        <v>3</v>
      </c>
      <c r="W869" s="246" t="s">
        <v>219</v>
      </c>
      <c r="X869" s="246">
        <v>3</v>
      </c>
      <c r="Y869" s="246">
        <v>2</v>
      </c>
      <c r="Z869" s="246">
        <v>3</v>
      </c>
      <c r="AA869" s="246">
        <v>3</v>
      </c>
      <c r="AB869" s="246">
        <v>2</v>
      </c>
      <c r="AC869" s="246" t="s">
        <v>486</v>
      </c>
      <c r="AD869" s="246" t="s">
        <v>490</v>
      </c>
      <c r="AE869" s="246" t="s">
        <v>486</v>
      </c>
      <c r="AF869" s="246" t="s">
        <v>486</v>
      </c>
      <c r="AG869" s="246" t="s">
        <v>486</v>
      </c>
      <c r="AH869" s="246" t="s">
        <v>486</v>
      </c>
      <c r="AI869" s="246" t="s">
        <v>486</v>
      </c>
      <c r="AJ869" s="246" t="s">
        <v>486</v>
      </c>
      <c r="AK869" s="246" t="s">
        <v>486</v>
      </c>
      <c r="AL869" s="246" t="s">
        <v>491</v>
      </c>
      <c r="AM869" s="246" t="s">
        <v>486</v>
      </c>
      <c r="AN869" s="246" t="s">
        <v>486</v>
      </c>
      <c r="AO869" s="248" t="s">
        <v>486</v>
      </c>
      <c r="AP869" s="247" t="s">
        <v>486</v>
      </c>
      <c r="AQ869" s="249" t="s">
        <v>486</v>
      </c>
      <c r="AR869" s="246" t="s">
        <v>486</v>
      </c>
    </row>
    <row r="870" spans="1:44" ht="15" x14ac:dyDescent="0.25">
      <c r="A870" s="250" t="str">
        <f>HYPERLINK("http://www.ofsted.gov.uk/inspection-reports/find-inspection-report/provider/ELS/142068 ","Ofsted School Webpage")</f>
        <v>Ofsted School Webpage</v>
      </c>
      <c r="B870" s="251">
        <v>142068</v>
      </c>
      <c r="C870" s="251">
        <v>3836003</v>
      </c>
      <c r="D870" s="251" t="s">
        <v>701</v>
      </c>
      <c r="E870" s="251" t="s">
        <v>248</v>
      </c>
      <c r="F870" s="251" t="s">
        <v>93</v>
      </c>
      <c r="G870" s="251" t="s">
        <v>93</v>
      </c>
      <c r="H870" s="251" t="s">
        <v>93</v>
      </c>
      <c r="I870" s="251" t="s">
        <v>90</v>
      </c>
      <c r="J870" s="251" t="s">
        <v>1490</v>
      </c>
      <c r="K870" s="251" t="s">
        <v>486</v>
      </c>
      <c r="L870" s="251" t="s">
        <v>487</v>
      </c>
      <c r="M870" s="251" t="s">
        <v>523</v>
      </c>
      <c r="N870" s="251" t="s">
        <v>524</v>
      </c>
      <c r="O870" s="251" t="s">
        <v>702</v>
      </c>
      <c r="P870" s="251" t="s">
        <v>703</v>
      </c>
      <c r="Q870" s="252">
        <v>10055382</v>
      </c>
      <c r="R870" s="253">
        <v>43411</v>
      </c>
      <c r="S870" s="253">
        <v>43412</v>
      </c>
      <c r="T870" s="253">
        <v>43438</v>
      </c>
      <c r="U870" s="251" t="s">
        <v>2930</v>
      </c>
      <c r="V870" s="251">
        <v>1</v>
      </c>
      <c r="W870" s="251" t="s">
        <v>219</v>
      </c>
      <c r="X870" s="251">
        <v>1</v>
      </c>
      <c r="Y870" s="251">
        <v>1</v>
      </c>
      <c r="Z870" s="251">
        <v>1</v>
      </c>
      <c r="AA870" s="251">
        <v>1</v>
      </c>
      <c r="AB870" s="251" t="s">
        <v>486</v>
      </c>
      <c r="AC870" s="251" t="s">
        <v>486</v>
      </c>
      <c r="AD870" s="251" t="s">
        <v>490</v>
      </c>
      <c r="AE870" s="251" t="s">
        <v>486</v>
      </c>
      <c r="AF870" s="251" t="s">
        <v>486</v>
      </c>
      <c r="AG870" s="251" t="s">
        <v>486</v>
      </c>
      <c r="AH870" s="251" t="s">
        <v>486</v>
      </c>
      <c r="AI870" s="251" t="s">
        <v>486</v>
      </c>
      <c r="AJ870" s="251" t="s">
        <v>486</v>
      </c>
      <c r="AK870" s="251" t="s">
        <v>486</v>
      </c>
      <c r="AL870" s="251" t="s">
        <v>491</v>
      </c>
      <c r="AM870" s="251" t="s">
        <v>486</v>
      </c>
      <c r="AN870" s="251" t="s">
        <v>486</v>
      </c>
      <c r="AO870" s="253" t="s">
        <v>486</v>
      </c>
      <c r="AP870" s="252" t="s">
        <v>486</v>
      </c>
      <c r="AQ870" s="254" t="s">
        <v>486</v>
      </c>
      <c r="AR870" s="251" t="s">
        <v>486</v>
      </c>
    </row>
    <row r="871" spans="1:44" ht="15" x14ac:dyDescent="0.25">
      <c r="A871" s="245" t="str">
        <f>HYPERLINK("http://www.ofsted.gov.uk/inspection-reports/find-inspection-report/provider/ELS/142334 ","Ofsted School Webpage")</f>
        <v>Ofsted School Webpage</v>
      </c>
      <c r="B871" s="246">
        <v>142334</v>
      </c>
      <c r="C871" s="246">
        <v>3016007</v>
      </c>
      <c r="D871" s="246" t="s">
        <v>689</v>
      </c>
      <c r="E871" s="246" t="s">
        <v>248</v>
      </c>
      <c r="F871" s="246" t="s">
        <v>93</v>
      </c>
      <c r="G871" s="246" t="s">
        <v>93</v>
      </c>
      <c r="H871" s="246" t="s">
        <v>93</v>
      </c>
      <c r="I871" s="246" t="s">
        <v>90</v>
      </c>
      <c r="J871" s="246" t="s">
        <v>1490</v>
      </c>
      <c r="K871" s="246" t="s">
        <v>486</v>
      </c>
      <c r="L871" s="246" t="s">
        <v>487</v>
      </c>
      <c r="M871" s="246" t="s">
        <v>506</v>
      </c>
      <c r="N871" s="246" t="s">
        <v>506</v>
      </c>
      <c r="O871" s="246" t="s">
        <v>683</v>
      </c>
      <c r="P871" s="246" t="s">
        <v>690</v>
      </c>
      <c r="Q871" s="247">
        <v>10055473</v>
      </c>
      <c r="R871" s="248">
        <v>43410</v>
      </c>
      <c r="S871" s="248">
        <v>43412</v>
      </c>
      <c r="T871" s="248">
        <v>43430</v>
      </c>
      <c r="U871" s="246" t="s">
        <v>488</v>
      </c>
      <c r="V871" s="246">
        <v>2</v>
      </c>
      <c r="W871" s="246" t="s">
        <v>219</v>
      </c>
      <c r="X871" s="246">
        <v>2</v>
      </c>
      <c r="Y871" s="246">
        <v>2</v>
      </c>
      <c r="Z871" s="246">
        <v>2</v>
      </c>
      <c r="AA871" s="246">
        <v>2</v>
      </c>
      <c r="AB871" s="246" t="s">
        <v>486</v>
      </c>
      <c r="AC871" s="246" t="s">
        <v>486</v>
      </c>
      <c r="AD871" s="246" t="s">
        <v>490</v>
      </c>
      <c r="AE871" s="246" t="s">
        <v>486</v>
      </c>
      <c r="AF871" s="246" t="s">
        <v>486</v>
      </c>
      <c r="AG871" s="246" t="s">
        <v>486</v>
      </c>
      <c r="AH871" s="246" t="s">
        <v>486</v>
      </c>
      <c r="AI871" s="246" t="s">
        <v>486</v>
      </c>
      <c r="AJ871" s="246" t="s">
        <v>486</v>
      </c>
      <c r="AK871" s="246" t="s">
        <v>486</v>
      </c>
      <c r="AL871" s="246" t="s">
        <v>491</v>
      </c>
      <c r="AM871" s="246" t="s">
        <v>486</v>
      </c>
      <c r="AN871" s="246" t="s">
        <v>486</v>
      </c>
      <c r="AO871" s="248" t="s">
        <v>486</v>
      </c>
      <c r="AP871" s="247" t="s">
        <v>486</v>
      </c>
      <c r="AQ871" s="249" t="s">
        <v>486</v>
      </c>
      <c r="AR871" s="246" t="s">
        <v>486</v>
      </c>
    </row>
    <row r="872" spans="1:44" ht="15" x14ac:dyDescent="0.25">
      <c r="A872" s="250" t="str">
        <f>HYPERLINK("http://www.ofsted.gov.uk/inspection-reports/find-inspection-report/provider/ELS/145298 ","Ofsted School Webpage")</f>
        <v>Ofsted School Webpage</v>
      </c>
      <c r="B872" s="251">
        <v>145298</v>
      </c>
      <c r="C872" s="251">
        <v>8256048</v>
      </c>
      <c r="D872" s="251" t="s">
        <v>713</v>
      </c>
      <c r="E872" s="251" t="s">
        <v>248</v>
      </c>
      <c r="F872" s="251" t="s">
        <v>93</v>
      </c>
      <c r="G872" s="251" t="s">
        <v>93</v>
      </c>
      <c r="H872" s="251" t="s">
        <v>93</v>
      </c>
      <c r="I872" s="251" t="s">
        <v>90</v>
      </c>
      <c r="J872" s="251" t="s">
        <v>1490</v>
      </c>
      <c r="K872" s="251" t="s">
        <v>486</v>
      </c>
      <c r="L872" s="251" t="s">
        <v>487</v>
      </c>
      <c r="M872" s="251" t="s">
        <v>581</v>
      </c>
      <c r="N872" s="251" t="s">
        <v>581</v>
      </c>
      <c r="O872" s="251" t="s">
        <v>714</v>
      </c>
      <c r="P872" s="251" t="s">
        <v>715</v>
      </c>
      <c r="Q872" s="252">
        <v>10054086</v>
      </c>
      <c r="R872" s="253">
        <v>43410</v>
      </c>
      <c r="S872" s="253">
        <v>43412</v>
      </c>
      <c r="T872" s="253">
        <v>43436</v>
      </c>
      <c r="U872" s="251" t="s">
        <v>499</v>
      </c>
      <c r="V872" s="251">
        <v>2</v>
      </c>
      <c r="W872" s="251" t="s">
        <v>219</v>
      </c>
      <c r="X872" s="251">
        <v>2</v>
      </c>
      <c r="Y872" s="251">
        <v>2</v>
      </c>
      <c r="Z872" s="251">
        <v>2</v>
      </c>
      <c r="AA872" s="251">
        <v>2</v>
      </c>
      <c r="AB872" s="251" t="s">
        <v>486</v>
      </c>
      <c r="AC872" s="251" t="s">
        <v>486</v>
      </c>
      <c r="AD872" s="251" t="s">
        <v>490</v>
      </c>
      <c r="AE872" s="251" t="s">
        <v>486</v>
      </c>
      <c r="AF872" s="251" t="s">
        <v>486</v>
      </c>
      <c r="AG872" s="251" t="s">
        <v>486</v>
      </c>
      <c r="AH872" s="251" t="s">
        <v>486</v>
      </c>
      <c r="AI872" s="251" t="s">
        <v>486</v>
      </c>
      <c r="AJ872" s="251" t="s">
        <v>486</v>
      </c>
      <c r="AK872" s="251" t="s">
        <v>486</v>
      </c>
      <c r="AL872" s="251" t="s">
        <v>491</v>
      </c>
      <c r="AM872" s="251" t="s">
        <v>486</v>
      </c>
      <c r="AN872" s="251" t="s">
        <v>486</v>
      </c>
      <c r="AO872" s="253" t="s">
        <v>486</v>
      </c>
      <c r="AP872" s="252" t="s">
        <v>486</v>
      </c>
      <c r="AQ872" s="254" t="s">
        <v>486</v>
      </c>
      <c r="AR872" s="251" t="s">
        <v>486</v>
      </c>
    </row>
    <row r="873" spans="1:44" ht="15" x14ac:dyDescent="0.25">
      <c r="A873" s="245" t="str">
        <f>HYPERLINK("http://www.ofsted.gov.uk/inspection-reports/find-inspection-report/provider/ELS/145416 ","Ofsted School Webpage")</f>
        <v>Ofsted School Webpage</v>
      </c>
      <c r="B873" s="246">
        <v>145416</v>
      </c>
      <c r="C873" s="246">
        <v>8716004</v>
      </c>
      <c r="D873" s="246" t="s">
        <v>2871</v>
      </c>
      <c r="E873" s="246" t="s">
        <v>247</v>
      </c>
      <c r="F873" s="246" t="s">
        <v>93</v>
      </c>
      <c r="G873" s="246" t="s">
        <v>83</v>
      </c>
      <c r="H873" s="246" t="s">
        <v>83</v>
      </c>
      <c r="I873" s="246" t="s">
        <v>84</v>
      </c>
      <c r="J873" s="246" t="s">
        <v>1490</v>
      </c>
      <c r="K873" s="246" t="s">
        <v>486</v>
      </c>
      <c r="L873" s="246" t="s">
        <v>487</v>
      </c>
      <c r="M873" s="246" t="s">
        <v>581</v>
      </c>
      <c r="N873" s="246" t="s">
        <v>581</v>
      </c>
      <c r="O873" s="246" t="s">
        <v>707</v>
      </c>
      <c r="P873" s="246" t="s">
        <v>708</v>
      </c>
      <c r="Q873" s="247">
        <v>10077669</v>
      </c>
      <c r="R873" s="248">
        <v>43410</v>
      </c>
      <c r="S873" s="248">
        <v>43412</v>
      </c>
      <c r="T873" s="248">
        <v>43438</v>
      </c>
      <c r="U873" s="246" t="s">
        <v>499</v>
      </c>
      <c r="V873" s="246">
        <v>2</v>
      </c>
      <c r="W873" s="246" t="s">
        <v>219</v>
      </c>
      <c r="X873" s="246">
        <v>2</v>
      </c>
      <c r="Y873" s="246">
        <v>2</v>
      </c>
      <c r="Z873" s="246">
        <v>2</v>
      </c>
      <c r="AA873" s="246">
        <v>2</v>
      </c>
      <c r="AB873" s="246" t="s">
        <v>486</v>
      </c>
      <c r="AC873" s="246" t="s">
        <v>486</v>
      </c>
      <c r="AD873" s="246" t="s">
        <v>490</v>
      </c>
      <c r="AE873" s="246" t="s">
        <v>486</v>
      </c>
      <c r="AF873" s="246" t="s">
        <v>486</v>
      </c>
      <c r="AG873" s="246" t="s">
        <v>486</v>
      </c>
      <c r="AH873" s="246" t="s">
        <v>486</v>
      </c>
      <c r="AI873" s="246" t="s">
        <v>486</v>
      </c>
      <c r="AJ873" s="246" t="s">
        <v>486</v>
      </c>
      <c r="AK873" s="246" t="s">
        <v>486</v>
      </c>
      <c r="AL873" s="246" t="s">
        <v>491</v>
      </c>
      <c r="AM873" s="246" t="s">
        <v>486</v>
      </c>
      <c r="AN873" s="246" t="s">
        <v>486</v>
      </c>
      <c r="AO873" s="248" t="s">
        <v>486</v>
      </c>
      <c r="AP873" s="247" t="s">
        <v>486</v>
      </c>
      <c r="AQ873" s="249" t="s">
        <v>486</v>
      </c>
      <c r="AR873" s="246" t="s">
        <v>486</v>
      </c>
    </row>
    <row r="874" spans="1:44" ht="15" x14ac:dyDescent="0.25">
      <c r="A874" s="250" t="str">
        <f>HYPERLINK("http://www.ofsted.gov.uk/inspection-reports/find-inspection-report/provider/ELS/145563 ","Ofsted School Webpage")</f>
        <v>Ofsted School Webpage</v>
      </c>
      <c r="B874" s="251">
        <v>145563</v>
      </c>
      <c r="C874" s="251">
        <v>3326009</v>
      </c>
      <c r="D874" s="251" t="s">
        <v>698</v>
      </c>
      <c r="E874" s="251" t="s">
        <v>248</v>
      </c>
      <c r="F874" s="251" t="s">
        <v>93</v>
      </c>
      <c r="G874" s="251" t="s">
        <v>93</v>
      </c>
      <c r="H874" s="251" t="s">
        <v>93</v>
      </c>
      <c r="I874" s="251" t="s">
        <v>90</v>
      </c>
      <c r="J874" s="251" t="s">
        <v>1490</v>
      </c>
      <c r="K874" s="251" t="s">
        <v>486</v>
      </c>
      <c r="L874" s="251" t="s">
        <v>487</v>
      </c>
      <c r="M874" s="251" t="s">
        <v>502</v>
      </c>
      <c r="N874" s="251" t="s">
        <v>502</v>
      </c>
      <c r="O874" s="251" t="s">
        <v>699</v>
      </c>
      <c r="P874" s="251" t="s">
        <v>700</v>
      </c>
      <c r="Q874" s="252">
        <v>10056212</v>
      </c>
      <c r="R874" s="253">
        <v>43410</v>
      </c>
      <c r="S874" s="253">
        <v>43412</v>
      </c>
      <c r="T874" s="253">
        <v>43445</v>
      </c>
      <c r="U874" s="251" t="s">
        <v>499</v>
      </c>
      <c r="V874" s="251">
        <v>2</v>
      </c>
      <c r="W874" s="251" t="s">
        <v>219</v>
      </c>
      <c r="X874" s="251">
        <v>2</v>
      </c>
      <c r="Y874" s="251">
        <v>1</v>
      </c>
      <c r="Z874" s="251">
        <v>2</v>
      </c>
      <c r="AA874" s="251">
        <v>2</v>
      </c>
      <c r="AB874" s="251" t="s">
        <v>486</v>
      </c>
      <c r="AC874" s="251">
        <v>0</v>
      </c>
      <c r="AD874" s="251" t="s">
        <v>512</v>
      </c>
      <c r="AE874" s="251" t="s">
        <v>490</v>
      </c>
      <c r="AF874" s="251" t="s">
        <v>486</v>
      </c>
      <c r="AG874" s="251" t="s">
        <v>486</v>
      </c>
      <c r="AH874" s="251" t="s">
        <v>486</v>
      </c>
      <c r="AI874" s="251" t="s">
        <v>486</v>
      </c>
      <c r="AJ874" s="251" t="s">
        <v>486</v>
      </c>
      <c r="AK874" s="251" t="s">
        <v>486</v>
      </c>
      <c r="AL874" s="251" t="s">
        <v>491</v>
      </c>
      <c r="AM874" s="251" t="s">
        <v>486</v>
      </c>
      <c r="AN874" s="251" t="s">
        <v>486</v>
      </c>
      <c r="AO874" s="253" t="s">
        <v>486</v>
      </c>
      <c r="AP874" s="252" t="s">
        <v>486</v>
      </c>
      <c r="AQ874" s="254" t="s">
        <v>486</v>
      </c>
      <c r="AR874" s="251" t="s">
        <v>486</v>
      </c>
    </row>
    <row r="875" spans="1:44" ht="15" x14ac:dyDescent="0.25">
      <c r="A875" s="245" t="str">
        <f>HYPERLINK("http://www.ofsted.gov.uk/inspection-reports/find-inspection-report/provider/ELS/141001 ","Ofsted School Webpage")</f>
        <v>Ofsted School Webpage</v>
      </c>
      <c r="B875" s="246">
        <v>141001</v>
      </c>
      <c r="C875" s="246">
        <v>3336006</v>
      </c>
      <c r="D875" s="246" t="s">
        <v>719</v>
      </c>
      <c r="E875" s="246" t="s">
        <v>247</v>
      </c>
      <c r="F875" s="246" t="s">
        <v>93</v>
      </c>
      <c r="G875" s="246" t="s">
        <v>84</v>
      </c>
      <c r="H875" s="246" t="s">
        <v>84</v>
      </c>
      <c r="I875" s="246" t="s">
        <v>84</v>
      </c>
      <c r="J875" s="246" t="s">
        <v>1490</v>
      </c>
      <c r="K875" s="246" t="s">
        <v>486</v>
      </c>
      <c r="L875" s="246" t="s">
        <v>487</v>
      </c>
      <c r="M875" s="246" t="s">
        <v>502</v>
      </c>
      <c r="N875" s="246" t="s">
        <v>502</v>
      </c>
      <c r="O875" s="246" t="s">
        <v>720</v>
      </c>
      <c r="P875" s="246" t="s">
        <v>721</v>
      </c>
      <c r="Q875" s="247">
        <v>10047134</v>
      </c>
      <c r="R875" s="248">
        <v>43411</v>
      </c>
      <c r="S875" s="248">
        <v>43413</v>
      </c>
      <c r="T875" s="248">
        <v>43451</v>
      </c>
      <c r="U875" s="246" t="s">
        <v>488</v>
      </c>
      <c r="V875" s="246">
        <v>4</v>
      </c>
      <c r="W875" s="246" t="s">
        <v>219</v>
      </c>
      <c r="X875" s="246">
        <v>4</v>
      </c>
      <c r="Y875" s="246">
        <v>2</v>
      </c>
      <c r="Z875" s="246">
        <v>4</v>
      </c>
      <c r="AA875" s="246">
        <v>4</v>
      </c>
      <c r="AB875" s="246">
        <v>3</v>
      </c>
      <c r="AC875" s="246" t="s">
        <v>486</v>
      </c>
      <c r="AD875" s="246" t="s">
        <v>512</v>
      </c>
      <c r="AE875" s="246" t="s">
        <v>486</v>
      </c>
      <c r="AF875" s="246" t="s">
        <v>486</v>
      </c>
      <c r="AG875" s="246" t="s">
        <v>490</v>
      </c>
      <c r="AH875" s="246" t="s">
        <v>490</v>
      </c>
      <c r="AI875" s="246" t="s">
        <v>486</v>
      </c>
      <c r="AJ875" s="246" t="s">
        <v>486</v>
      </c>
      <c r="AK875" s="246" t="s">
        <v>486</v>
      </c>
      <c r="AL875" s="246" t="s">
        <v>545</v>
      </c>
      <c r="AM875" s="246" t="s">
        <v>486</v>
      </c>
      <c r="AN875" s="246" t="s">
        <v>486</v>
      </c>
      <c r="AO875" s="248" t="s">
        <v>486</v>
      </c>
      <c r="AP875" s="247" t="s">
        <v>486</v>
      </c>
      <c r="AQ875" s="249" t="s">
        <v>486</v>
      </c>
      <c r="AR875" s="246" t="s">
        <v>486</v>
      </c>
    </row>
    <row r="876" spans="1:44" ht="15" x14ac:dyDescent="0.25">
      <c r="A876" s="250" t="str">
        <f>HYPERLINK("http://www.ofsted.gov.uk/inspection-reports/find-inspection-report/provider/ELS/145192 ","Ofsted School Webpage")</f>
        <v>Ofsted School Webpage</v>
      </c>
      <c r="B876" s="251">
        <v>145192</v>
      </c>
      <c r="C876" s="251">
        <v>3116002</v>
      </c>
      <c r="D876" s="251" t="s">
        <v>716</v>
      </c>
      <c r="E876" s="251" t="s">
        <v>247</v>
      </c>
      <c r="F876" s="251" t="s">
        <v>93</v>
      </c>
      <c r="G876" s="251" t="s">
        <v>93</v>
      </c>
      <c r="H876" s="251" t="s">
        <v>93</v>
      </c>
      <c r="I876" s="251" t="s">
        <v>90</v>
      </c>
      <c r="J876" s="251" t="s">
        <v>1490</v>
      </c>
      <c r="K876" s="251" t="s">
        <v>486</v>
      </c>
      <c r="L876" s="251" t="s">
        <v>487</v>
      </c>
      <c r="M876" s="251" t="s">
        <v>506</v>
      </c>
      <c r="N876" s="251" t="s">
        <v>506</v>
      </c>
      <c r="O876" s="251" t="s">
        <v>717</v>
      </c>
      <c r="P876" s="251" t="s">
        <v>718</v>
      </c>
      <c r="Q876" s="252">
        <v>10054305</v>
      </c>
      <c r="R876" s="253">
        <v>43411</v>
      </c>
      <c r="S876" s="253">
        <v>43413</v>
      </c>
      <c r="T876" s="253">
        <v>43445</v>
      </c>
      <c r="U876" s="251" t="s">
        <v>499</v>
      </c>
      <c r="V876" s="251">
        <v>2</v>
      </c>
      <c r="W876" s="251" t="s">
        <v>219</v>
      </c>
      <c r="X876" s="251">
        <v>2</v>
      </c>
      <c r="Y876" s="251">
        <v>2</v>
      </c>
      <c r="Z876" s="251">
        <v>2</v>
      </c>
      <c r="AA876" s="251">
        <v>2</v>
      </c>
      <c r="AB876" s="251" t="s">
        <v>486</v>
      </c>
      <c r="AC876" s="251" t="s">
        <v>486</v>
      </c>
      <c r="AD876" s="251" t="s">
        <v>490</v>
      </c>
      <c r="AE876" s="251" t="s">
        <v>486</v>
      </c>
      <c r="AF876" s="251" t="s">
        <v>486</v>
      </c>
      <c r="AG876" s="251" t="s">
        <v>486</v>
      </c>
      <c r="AH876" s="251" t="s">
        <v>486</v>
      </c>
      <c r="AI876" s="251" t="s">
        <v>486</v>
      </c>
      <c r="AJ876" s="251" t="s">
        <v>486</v>
      </c>
      <c r="AK876" s="251" t="s">
        <v>486</v>
      </c>
      <c r="AL876" s="251" t="s">
        <v>491</v>
      </c>
      <c r="AM876" s="251" t="s">
        <v>486</v>
      </c>
      <c r="AN876" s="251" t="s">
        <v>486</v>
      </c>
      <c r="AO876" s="253" t="s">
        <v>486</v>
      </c>
      <c r="AP876" s="252" t="s">
        <v>486</v>
      </c>
      <c r="AQ876" s="254" t="s">
        <v>486</v>
      </c>
      <c r="AR876" s="251" t="s">
        <v>486</v>
      </c>
    </row>
    <row r="877" spans="1:44" ht="15" x14ac:dyDescent="0.25">
      <c r="A877" s="245" t="str">
        <f>HYPERLINK("http://www.ofsted.gov.uk/inspection-reports/find-inspection-report/provider/ELS/142531 ","Ofsted School Webpage")</f>
        <v>Ofsted School Webpage</v>
      </c>
      <c r="B877" s="246">
        <v>142531</v>
      </c>
      <c r="C877" s="246">
        <v>8896014</v>
      </c>
      <c r="D877" s="246" t="s">
        <v>722</v>
      </c>
      <c r="E877" s="246" t="s">
        <v>248</v>
      </c>
      <c r="F877" s="246" t="s">
        <v>93</v>
      </c>
      <c r="G877" s="246" t="s">
        <v>93</v>
      </c>
      <c r="H877" s="246" t="s">
        <v>93</v>
      </c>
      <c r="I877" s="246" t="s">
        <v>90</v>
      </c>
      <c r="J877" s="246" t="s">
        <v>1490</v>
      </c>
      <c r="K877" s="246" t="s">
        <v>486</v>
      </c>
      <c r="L877" s="246" t="s">
        <v>487</v>
      </c>
      <c r="M877" s="246" t="s">
        <v>495</v>
      </c>
      <c r="N877" s="246" t="s">
        <v>495</v>
      </c>
      <c r="O877" s="246" t="s">
        <v>609</v>
      </c>
      <c r="P877" s="246" t="s">
        <v>723</v>
      </c>
      <c r="Q877" s="247">
        <v>10053737</v>
      </c>
      <c r="R877" s="248">
        <v>43417</v>
      </c>
      <c r="S877" s="248">
        <v>43418</v>
      </c>
      <c r="T877" s="248">
        <v>43444</v>
      </c>
      <c r="U877" s="246" t="s">
        <v>488</v>
      </c>
      <c r="V877" s="246">
        <v>2</v>
      </c>
      <c r="W877" s="246" t="s">
        <v>219</v>
      </c>
      <c r="X877" s="246">
        <v>2</v>
      </c>
      <c r="Y877" s="246">
        <v>2</v>
      </c>
      <c r="Z877" s="246">
        <v>2</v>
      </c>
      <c r="AA877" s="246">
        <v>2</v>
      </c>
      <c r="AB877" s="246" t="s">
        <v>486</v>
      </c>
      <c r="AC877" s="246" t="s">
        <v>486</v>
      </c>
      <c r="AD877" s="246" t="s">
        <v>490</v>
      </c>
      <c r="AE877" s="246" t="s">
        <v>486</v>
      </c>
      <c r="AF877" s="246" t="s">
        <v>486</v>
      </c>
      <c r="AG877" s="246" t="s">
        <v>486</v>
      </c>
      <c r="AH877" s="246" t="s">
        <v>486</v>
      </c>
      <c r="AI877" s="246" t="s">
        <v>486</v>
      </c>
      <c r="AJ877" s="246" t="s">
        <v>486</v>
      </c>
      <c r="AK877" s="246" t="s">
        <v>486</v>
      </c>
      <c r="AL877" s="246" t="s">
        <v>491</v>
      </c>
      <c r="AM877" s="246" t="s">
        <v>486</v>
      </c>
      <c r="AN877" s="246" t="s">
        <v>486</v>
      </c>
      <c r="AO877" s="248" t="s">
        <v>486</v>
      </c>
      <c r="AP877" s="247" t="s">
        <v>486</v>
      </c>
      <c r="AQ877" s="249" t="s">
        <v>486</v>
      </c>
      <c r="AR877" s="246" t="s">
        <v>486</v>
      </c>
    </row>
    <row r="878" spans="1:44" ht="15" x14ac:dyDescent="0.25">
      <c r="A878" s="250" t="str">
        <f>HYPERLINK("http://www.ofsted.gov.uk/inspection-reports/find-inspection-report/provider/ELS/107461 ","Ofsted School Webpage")</f>
        <v>Ofsted School Webpage</v>
      </c>
      <c r="B878" s="251">
        <v>107461</v>
      </c>
      <c r="C878" s="251">
        <v>3806110</v>
      </c>
      <c r="D878" s="251" t="s">
        <v>755</v>
      </c>
      <c r="E878" s="251" t="s">
        <v>247</v>
      </c>
      <c r="F878" s="251" t="s">
        <v>93</v>
      </c>
      <c r="G878" s="251" t="s">
        <v>71</v>
      </c>
      <c r="H878" s="251" t="s">
        <v>71</v>
      </c>
      <c r="I878" s="251" t="s">
        <v>71</v>
      </c>
      <c r="J878" s="251" t="s">
        <v>1490</v>
      </c>
      <c r="K878" s="251" t="s">
        <v>486</v>
      </c>
      <c r="L878" s="251" t="s">
        <v>487</v>
      </c>
      <c r="M878" s="251" t="s">
        <v>523</v>
      </c>
      <c r="N878" s="251" t="s">
        <v>524</v>
      </c>
      <c r="O878" s="251" t="s">
        <v>674</v>
      </c>
      <c r="P878" s="251" t="s">
        <v>756</v>
      </c>
      <c r="Q878" s="252">
        <v>10053826</v>
      </c>
      <c r="R878" s="253">
        <v>43417</v>
      </c>
      <c r="S878" s="253">
        <v>43419</v>
      </c>
      <c r="T878" s="253">
        <v>43438</v>
      </c>
      <c r="U878" s="251" t="s">
        <v>488</v>
      </c>
      <c r="V878" s="251">
        <v>2</v>
      </c>
      <c r="W878" s="251" t="s">
        <v>219</v>
      </c>
      <c r="X878" s="251">
        <v>2</v>
      </c>
      <c r="Y878" s="251">
        <v>2</v>
      </c>
      <c r="Z878" s="251">
        <v>2</v>
      </c>
      <c r="AA878" s="251">
        <v>2</v>
      </c>
      <c r="AB878" s="251">
        <v>2</v>
      </c>
      <c r="AC878" s="251" t="s">
        <v>486</v>
      </c>
      <c r="AD878" s="251" t="s">
        <v>490</v>
      </c>
      <c r="AE878" s="251" t="s">
        <v>486</v>
      </c>
      <c r="AF878" s="251" t="s">
        <v>486</v>
      </c>
      <c r="AG878" s="251" t="s">
        <v>486</v>
      </c>
      <c r="AH878" s="251" t="s">
        <v>486</v>
      </c>
      <c r="AI878" s="251" t="s">
        <v>486</v>
      </c>
      <c r="AJ878" s="251" t="s">
        <v>486</v>
      </c>
      <c r="AK878" s="251" t="s">
        <v>486</v>
      </c>
      <c r="AL878" s="251" t="s">
        <v>491</v>
      </c>
      <c r="AM878" s="251" t="s">
        <v>486</v>
      </c>
      <c r="AN878" s="251" t="s">
        <v>486</v>
      </c>
      <c r="AO878" s="253" t="s">
        <v>486</v>
      </c>
      <c r="AP878" s="252" t="s">
        <v>486</v>
      </c>
      <c r="AQ878" s="254" t="s">
        <v>486</v>
      </c>
      <c r="AR878" s="251" t="s">
        <v>486</v>
      </c>
    </row>
    <row r="879" spans="1:44" ht="15" x14ac:dyDescent="0.25">
      <c r="A879" s="245" t="str">
        <f>HYPERLINK("http://www.ofsted.gov.uk/inspection-reports/find-inspection-report/provider/ELS/108877 ","Ofsted School Webpage")</f>
        <v>Ofsted School Webpage</v>
      </c>
      <c r="B879" s="246">
        <v>108877</v>
      </c>
      <c r="C879" s="246">
        <v>3946015</v>
      </c>
      <c r="D879" s="246" t="s">
        <v>749</v>
      </c>
      <c r="E879" s="246" t="s">
        <v>248</v>
      </c>
      <c r="F879" s="246" t="s">
        <v>93</v>
      </c>
      <c r="G879" s="246" t="s">
        <v>93</v>
      </c>
      <c r="H879" s="246" t="s">
        <v>93</v>
      </c>
      <c r="I879" s="246" t="s">
        <v>90</v>
      </c>
      <c r="J879" s="246" t="s">
        <v>1490</v>
      </c>
      <c r="K879" s="246" t="s">
        <v>486</v>
      </c>
      <c r="L879" s="246" t="s">
        <v>487</v>
      </c>
      <c r="M879" s="246" t="s">
        <v>523</v>
      </c>
      <c r="N879" s="246" t="s">
        <v>539</v>
      </c>
      <c r="O879" s="246" t="s">
        <v>750</v>
      </c>
      <c r="P879" s="246" t="s">
        <v>751</v>
      </c>
      <c r="Q879" s="247">
        <v>10053828</v>
      </c>
      <c r="R879" s="248">
        <v>43417</v>
      </c>
      <c r="S879" s="248">
        <v>43419</v>
      </c>
      <c r="T879" s="248">
        <v>43443</v>
      </c>
      <c r="U879" s="246" t="s">
        <v>488</v>
      </c>
      <c r="V879" s="246">
        <v>2</v>
      </c>
      <c r="W879" s="246" t="s">
        <v>219</v>
      </c>
      <c r="X879" s="246">
        <v>2</v>
      </c>
      <c r="Y879" s="246">
        <v>2</v>
      </c>
      <c r="Z879" s="246">
        <v>2</v>
      </c>
      <c r="AA879" s="246">
        <v>2</v>
      </c>
      <c r="AB879" s="246" t="s">
        <v>486</v>
      </c>
      <c r="AC879" s="246">
        <v>2</v>
      </c>
      <c r="AD879" s="246" t="s">
        <v>490</v>
      </c>
      <c r="AE879" s="246" t="s">
        <v>486</v>
      </c>
      <c r="AF879" s="246" t="s">
        <v>486</v>
      </c>
      <c r="AG879" s="246" t="s">
        <v>486</v>
      </c>
      <c r="AH879" s="246" t="s">
        <v>486</v>
      </c>
      <c r="AI879" s="246" t="s">
        <v>486</v>
      </c>
      <c r="AJ879" s="246" t="s">
        <v>486</v>
      </c>
      <c r="AK879" s="246" t="s">
        <v>486</v>
      </c>
      <c r="AL879" s="246" t="s">
        <v>491</v>
      </c>
      <c r="AM879" s="246" t="s">
        <v>486</v>
      </c>
      <c r="AN879" s="246" t="s">
        <v>486</v>
      </c>
      <c r="AO879" s="248" t="s">
        <v>486</v>
      </c>
      <c r="AP879" s="247" t="s">
        <v>486</v>
      </c>
      <c r="AQ879" s="249" t="s">
        <v>486</v>
      </c>
      <c r="AR879" s="246" t="s">
        <v>486</v>
      </c>
    </row>
    <row r="880" spans="1:44" ht="15" x14ac:dyDescent="0.25">
      <c r="A880" s="250" t="str">
        <f>HYPERLINK("http://www.ofsted.gov.uk/inspection-reports/find-inspection-report/provider/ELS/131355 ","Ofsted School Webpage")</f>
        <v>Ofsted School Webpage</v>
      </c>
      <c r="B880" s="251">
        <v>131355</v>
      </c>
      <c r="C880" s="251">
        <v>8886034</v>
      </c>
      <c r="D880" s="251" t="s">
        <v>726</v>
      </c>
      <c r="E880" s="251" t="s">
        <v>247</v>
      </c>
      <c r="F880" s="251" t="s">
        <v>93</v>
      </c>
      <c r="G880" s="251" t="s">
        <v>84</v>
      </c>
      <c r="H880" s="251" t="s">
        <v>84</v>
      </c>
      <c r="I880" s="251" t="s">
        <v>84</v>
      </c>
      <c r="J880" s="251" t="s">
        <v>1490</v>
      </c>
      <c r="K880" s="251" t="s">
        <v>486</v>
      </c>
      <c r="L880" s="251" t="s">
        <v>487</v>
      </c>
      <c r="M880" s="251" t="s">
        <v>495</v>
      </c>
      <c r="N880" s="251" t="s">
        <v>495</v>
      </c>
      <c r="O880" s="251" t="s">
        <v>534</v>
      </c>
      <c r="P880" s="251" t="s">
        <v>727</v>
      </c>
      <c r="Q880" s="252">
        <v>10067890</v>
      </c>
      <c r="R880" s="253">
        <v>43417</v>
      </c>
      <c r="S880" s="253">
        <v>43419</v>
      </c>
      <c r="T880" s="253">
        <v>43444</v>
      </c>
      <c r="U880" s="251" t="s">
        <v>624</v>
      </c>
      <c r="V880" s="251">
        <v>2</v>
      </c>
      <c r="W880" s="251" t="s">
        <v>219</v>
      </c>
      <c r="X880" s="251">
        <v>2</v>
      </c>
      <c r="Y880" s="251">
        <v>1</v>
      </c>
      <c r="Z880" s="251">
        <v>2</v>
      </c>
      <c r="AA880" s="251">
        <v>2</v>
      </c>
      <c r="AB880" s="251" t="s">
        <v>486</v>
      </c>
      <c r="AC880" s="251">
        <v>2</v>
      </c>
      <c r="AD880" s="251" t="s">
        <v>512</v>
      </c>
      <c r="AE880" s="251" t="s">
        <v>486</v>
      </c>
      <c r="AF880" s="251" t="s">
        <v>486</v>
      </c>
      <c r="AG880" s="251" t="s">
        <v>490</v>
      </c>
      <c r="AH880" s="251" t="s">
        <v>486</v>
      </c>
      <c r="AI880" s="251" t="s">
        <v>486</v>
      </c>
      <c r="AJ880" s="251" t="s">
        <v>486</v>
      </c>
      <c r="AK880" s="251" t="s">
        <v>486</v>
      </c>
      <c r="AL880" s="251" t="s">
        <v>491</v>
      </c>
      <c r="AM880" s="251" t="s">
        <v>486</v>
      </c>
      <c r="AN880" s="251" t="s">
        <v>486</v>
      </c>
      <c r="AO880" s="253" t="s">
        <v>486</v>
      </c>
      <c r="AP880" s="252" t="s">
        <v>486</v>
      </c>
      <c r="AQ880" s="254" t="s">
        <v>486</v>
      </c>
      <c r="AR880" s="251" t="s">
        <v>486</v>
      </c>
    </row>
    <row r="881" spans="1:44" ht="15" x14ac:dyDescent="0.25">
      <c r="A881" s="245" t="str">
        <f>HYPERLINK("http://www.ofsted.gov.uk/inspection-reports/find-inspection-report/provider/ELS/132774 ","Ofsted School Webpage")</f>
        <v>Ofsted School Webpage</v>
      </c>
      <c r="B881" s="246">
        <v>132774</v>
      </c>
      <c r="C881" s="246">
        <v>8016021</v>
      </c>
      <c r="D881" s="246" t="s">
        <v>741</v>
      </c>
      <c r="E881" s="246" t="s">
        <v>247</v>
      </c>
      <c r="F881" s="246" t="s">
        <v>93</v>
      </c>
      <c r="G881" s="246" t="s">
        <v>71</v>
      </c>
      <c r="H881" s="246" t="s">
        <v>71</v>
      </c>
      <c r="I881" s="246" t="s">
        <v>71</v>
      </c>
      <c r="J881" s="246" t="s">
        <v>1490</v>
      </c>
      <c r="K881" s="246" t="s">
        <v>486</v>
      </c>
      <c r="L881" s="246" t="s">
        <v>487</v>
      </c>
      <c r="M881" s="246" t="s">
        <v>483</v>
      </c>
      <c r="N881" s="246" t="s">
        <v>483</v>
      </c>
      <c r="O881" s="246" t="s">
        <v>564</v>
      </c>
      <c r="P881" s="246" t="s">
        <v>742</v>
      </c>
      <c r="Q881" s="247">
        <v>10053775</v>
      </c>
      <c r="R881" s="248">
        <v>43417</v>
      </c>
      <c r="S881" s="248">
        <v>43419</v>
      </c>
      <c r="T881" s="248">
        <v>43475</v>
      </c>
      <c r="U881" s="246" t="s">
        <v>488</v>
      </c>
      <c r="V881" s="246">
        <v>4</v>
      </c>
      <c r="W881" s="246" t="s">
        <v>220</v>
      </c>
      <c r="X881" s="246">
        <v>4</v>
      </c>
      <c r="Y881" s="246">
        <v>4</v>
      </c>
      <c r="Z881" s="246">
        <v>3</v>
      </c>
      <c r="AA881" s="246">
        <v>3</v>
      </c>
      <c r="AB881" s="246" t="s">
        <v>486</v>
      </c>
      <c r="AC881" s="246" t="s">
        <v>486</v>
      </c>
      <c r="AD881" s="246" t="s">
        <v>490</v>
      </c>
      <c r="AE881" s="246" t="s">
        <v>486</v>
      </c>
      <c r="AF881" s="246" t="s">
        <v>486</v>
      </c>
      <c r="AG881" s="246" t="s">
        <v>486</v>
      </c>
      <c r="AH881" s="246" t="s">
        <v>486</v>
      </c>
      <c r="AI881" s="246" t="s">
        <v>486</v>
      </c>
      <c r="AJ881" s="246" t="s">
        <v>486</v>
      </c>
      <c r="AK881" s="246" t="s">
        <v>486</v>
      </c>
      <c r="AL881" s="246" t="s">
        <v>545</v>
      </c>
      <c r="AM881" s="246" t="s">
        <v>486</v>
      </c>
      <c r="AN881" s="246" t="s">
        <v>486</v>
      </c>
      <c r="AO881" s="248" t="s">
        <v>486</v>
      </c>
      <c r="AP881" s="247" t="s">
        <v>486</v>
      </c>
      <c r="AQ881" s="249" t="s">
        <v>486</v>
      </c>
      <c r="AR881" s="246" t="s">
        <v>486</v>
      </c>
    </row>
    <row r="882" spans="1:44" ht="15" x14ac:dyDescent="0.25">
      <c r="A882" s="250" t="str">
        <f>HYPERLINK("http://www.ofsted.gov.uk/inspection-reports/find-inspection-report/provider/ELS/133392 ","Ofsted School Webpage")</f>
        <v>Ofsted School Webpage</v>
      </c>
      <c r="B882" s="251">
        <v>133392</v>
      </c>
      <c r="C882" s="251">
        <v>8786202</v>
      </c>
      <c r="D882" s="251" t="s">
        <v>746</v>
      </c>
      <c r="E882" s="251" t="s">
        <v>248</v>
      </c>
      <c r="F882" s="251" t="s">
        <v>93</v>
      </c>
      <c r="G882" s="251" t="s">
        <v>93</v>
      </c>
      <c r="H882" s="251" t="s">
        <v>93</v>
      </c>
      <c r="I882" s="251" t="s">
        <v>90</v>
      </c>
      <c r="J882" s="251" t="s">
        <v>1490</v>
      </c>
      <c r="K882" s="251" t="s">
        <v>486</v>
      </c>
      <c r="L882" s="251" t="s">
        <v>487</v>
      </c>
      <c r="M882" s="251" t="s">
        <v>483</v>
      </c>
      <c r="N882" s="251" t="s">
        <v>483</v>
      </c>
      <c r="O882" s="251" t="s">
        <v>747</v>
      </c>
      <c r="P882" s="251" t="s">
        <v>748</v>
      </c>
      <c r="Q882" s="252">
        <v>10056310</v>
      </c>
      <c r="R882" s="253">
        <v>43417</v>
      </c>
      <c r="S882" s="253">
        <v>43419</v>
      </c>
      <c r="T882" s="253">
        <v>43447</v>
      </c>
      <c r="U882" s="251" t="s">
        <v>2930</v>
      </c>
      <c r="V882" s="251">
        <v>2</v>
      </c>
      <c r="W882" s="251" t="s">
        <v>219</v>
      </c>
      <c r="X882" s="251">
        <v>2</v>
      </c>
      <c r="Y882" s="251">
        <v>2</v>
      </c>
      <c r="Z882" s="251">
        <v>2</v>
      </c>
      <c r="AA882" s="251">
        <v>2</v>
      </c>
      <c r="AB882" s="251" t="s">
        <v>486</v>
      </c>
      <c r="AC882" s="251" t="s">
        <v>486</v>
      </c>
      <c r="AD882" s="251" t="s">
        <v>490</v>
      </c>
      <c r="AE882" s="251" t="s">
        <v>486</v>
      </c>
      <c r="AF882" s="251" t="s">
        <v>486</v>
      </c>
      <c r="AG882" s="251" t="s">
        <v>486</v>
      </c>
      <c r="AH882" s="251" t="s">
        <v>486</v>
      </c>
      <c r="AI882" s="251" t="s">
        <v>486</v>
      </c>
      <c r="AJ882" s="251" t="s">
        <v>486</v>
      </c>
      <c r="AK882" s="251" t="s">
        <v>486</v>
      </c>
      <c r="AL882" s="251" t="s">
        <v>491</v>
      </c>
      <c r="AM882" s="251" t="s">
        <v>486</v>
      </c>
      <c r="AN882" s="251" t="s">
        <v>486</v>
      </c>
      <c r="AO882" s="253" t="s">
        <v>486</v>
      </c>
      <c r="AP882" s="252" t="s">
        <v>486</v>
      </c>
      <c r="AQ882" s="254" t="s">
        <v>486</v>
      </c>
      <c r="AR882" s="251" t="s">
        <v>486</v>
      </c>
    </row>
    <row r="883" spans="1:44" ht="15" x14ac:dyDescent="0.25">
      <c r="A883" s="245" t="str">
        <f>HYPERLINK("http://www.ofsted.gov.uk/inspection-reports/find-inspection-report/provider/ELS/133447 ","Ofsted School Webpage")</f>
        <v>Ofsted School Webpage</v>
      </c>
      <c r="B883" s="246">
        <v>133447</v>
      </c>
      <c r="C883" s="246">
        <v>2096361</v>
      </c>
      <c r="D883" s="246" t="s">
        <v>738</v>
      </c>
      <c r="E883" s="246" t="s">
        <v>247</v>
      </c>
      <c r="F883" s="246" t="s">
        <v>93</v>
      </c>
      <c r="G883" s="246" t="s">
        <v>71</v>
      </c>
      <c r="H883" s="246" t="s">
        <v>71</v>
      </c>
      <c r="I883" s="246" t="s">
        <v>71</v>
      </c>
      <c r="J883" s="246" t="s">
        <v>1490</v>
      </c>
      <c r="K883" s="246" t="s">
        <v>486</v>
      </c>
      <c r="L883" s="246" t="s">
        <v>487</v>
      </c>
      <c r="M883" s="246" t="s">
        <v>506</v>
      </c>
      <c r="N883" s="246" t="s">
        <v>506</v>
      </c>
      <c r="O883" s="246" t="s">
        <v>739</v>
      </c>
      <c r="P883" s="246" t="s">
        <v>740</v>
      </c>
      <c r="Q883" s="247">
        <v>10055402</v>
      </c>
      <c r="R883" s="248">
        <v>43417</v>
      </c>
      <c r="S883" s="248">
        <v>43419</v>
      </c>
      <c r="T883" s="248">
        <v>43444</v>
      </c>
      <c r="U883" s="246" t="s">
        <v>488</v>
      </c>
      <c r="V883" s="246">
        <v>2</v>
      </c>
      <c r="W883" s="246" t="s">
        <v>219</v>
      </c>
      <c r="X883" s="246">
        <v>2</v>
      </c>
      <c r="Y883" s="246">
        <v>2</v>
      </c>
      <c r="Z883" s="246">
        <v>2</v>
      </c>
      <c r="AA883" s="246">
        <v>2</v>
      </c>
      <c r="AB883" s="246">
        <v>2</v>
      </c>
      <c r="AC883" s="246" t="s">
        <v>486</v>
      </c>
      <c r="AD883" s="246" t="s">
        <v>490</v>
      </c>
      <c r="AE883" s="246" t="s">
        <v>486</v>
      </c>
      <c r="AF883" s="246" t="s">
        <v>486</v>
      </c>
      <c r="AG883" s="246" t="s">
        <v>486</v>
      </c>
      <c r="AH883" s="246" t="s">
        <v>486</v>
      </c>
      <c r="AI883" s="246" t="s">
        <v>486</v>
      </c>
      <c r="AJ883" s="246" t="s">
        <v>486</v>
      </c>
      <c r="AK883" s="246" t="s">
        <v>486</v>
      </c>
      <c r="AL883" s="246" t="s">
        <v>491</v>
      </c>
      <c r="AM883" s="246" t="s">
        <v>486</v>
      </c>
      <c r="AN883" s="246" t="s">
        <v>486</v>
      </c>
      <c r="AO883" s="248" t="s">
        <v>486</v>
      </c>
      <c r="AP883" s="247" t="s">
        <v>486</v>
      </c>
      <c r="AQ883" s="249" t="s">
        <v>486</v>
      </c>
      <c r="AR883" s="246" t="s">
        <v>486</v>
      </c>
    </row>
    <row r="884" spans="1:44" ht="15" x14ac:dyDescent="0.25">
      <c r="A884" s="250" t="str">
        <f>HYPERLINK("http://www.ofsted.gov.uk/inspection-reports/find-inspection-report/provider/ELS/138599 ","Ofsted School Webpage")</f>
        <v>Ofsted School Webpage</v>
      </c>
      <c r="B884" s="251">
        <v>138599</v>
      </c>
      <c r="C884" s="251">
        <v>2076001</v>
      </c>
      <c r="D884" s="251" t="s">
        <v>724</v>
      </c>
      <c r="E884" s="251" t="s">
        <v>247</v>
      </c>
      <c r="F884" s="251" t="s">
        <v>93</v>
      </c>
      <c r="G884" s="251" t="s">
        <v>93</v>
      </c>
      <c r="H884" s="251" t="s">
        <v>93</v>
      </c>
      <c r="I884" s="251" t="s">
        <v>90</v>
      </c>
      <c r="J884" s="251" t="s">
        <v>1490</v>
      </c>
      <c r="K884" s="251" t="s">
        <v>486</v>
      </c>
      <c r="L884" s="251" t="s">
        <v>487</v>
      </c>
      <c r="M884" s="251" t="s">
        <v>506</v>
      </c>
      <c r="N884" s="251" t="s">
        <v>506</v>
      </c>
      <c r="O884" s="251" t="s">
        <v>640</v>
      </c>
      <c r="P884" s="251" t="s">
        <v>725</v>
      </c>
      <c r="Q884" s="252">
        <v>10055451</v>
      </c>
      <c r="R884" s="253">
        <v>43417</v>
      </c>
      <c r="S884" s="253">
        <v>43419</v>
      </c>
      <c r="T884" s="253">
        <v>43453</v>
      </c>
      <c r="U884" s="251" t="s">
        <v>488</v>
      </c>
      <c r="V884" s="251">
        <v>3</v>
      </c>
      <c r="W884" s="251" t="s">
        <v>219</v>
      </c>
      <c r="X884" s="251">
        <v>3</v>
      </c>
      <c r="Y884" s="251">
        <v>3</v>
      </c>
      <c r="Z884" s="251">
        <v>2</v>
      </c>
      <c r="AA884" s="251">
        <v>2</v>
      </c>
      <c r="AB884" s="251">
        <v>2</v>
      </c>
      <c r="AC884" s="251" t="s">
        <v>486</v>
      </c>
      <c r="AD884" s="251" t="s">
        <v>490</v>
      </c>
      <c r="AE884" s="251" t="s">
        <v>486</v>
      </c>
      <c r="AF884" s="251" t="s">
        <v>486</v>
      </c>
      <c r="AG884" s="251" t="s">
        <v>486</v>
      </c>
      <c r="AH884" s="251" t="s">
        <v>486</v>
      </c>
      <c r="AI884" s="251" t="s">
        <v>486</v>
      </c>
      <c r="AJ884" s="251" t="s">
        <v>486</v>
      </c>
      <c r="AK884" s="251" t="s">
        <v>486</v>
      </c>
      <c r="AL884" s="251" t="s">
        <v>545</v>
      </c>
      <c r="AM884" s="251" t="s">
        <v>486</v>
      </c>
      <c r="AN884" s="251" t="s">
        <v>486</v>
      </c>
      <c r="AO884" s="253" t="s">
        <v>486</v>
      </c>
      <c r="AP884" s="252" t="s">
        <v>486</v>
      </c>
      <c r="AQ884" s="254" t="s">
        <v>486</v>
      </c>
      <c r="AR884" s="251" t="s">
        <v>486</v>
      </c>
    </row>
    <row r="885" spans="1:44" ht="15" x14ac:dyDescent="0.25">
      <c r="A885" s="245" t="str">
        <f>HYPERLINK("http://www.ofsted.gov.uk/inspection-reports/find-inspection-report/provider/ELS/141680 ","Ofsted School Webpage")</f>
        <v>Ofsted School Webpage</v>
      </c>
      <c r="B885" s="246">
        <v>141680</v>
      </c>
      <c r="C885" s="246">
        <v>3526010</v>
      </c>
      <c r="D885" s="246" t="s">
        <v>743</v>
      </c>
      <c r="E885" s="246" t="s">
        <v>247</v>
      </c>
      <c r="F885" s="246" t="s">
        <v>93</v>
      </c>
      <c r="G885" s="246" t="s">
        <v>93</v>
      </c>
      <c r="H885" s="246" t="s">
        <v>93</v>
      </c>
      <c r="I885" s="246" t="s">
        <v>90</v>
      </c>
      <c r="J885" s="246" t="s">
        <v>1490</v>
      </c>
      <c r="K885" s="246" t="s">
        <v>486</v>
      </c>
      <c r="L885" s="246" t="s">
        <v>487</v>
      </c>
      <c r="M885" s="246" t="s">
        <v>495</v>
      </c>
      <c r="N885" s="246" t="s">
        <v>495</v>
      </c>
      <c r="O885" s="246" t="s">
        <v>744</v>
      </c>
      <c r="P885" s="246" t="s">
        <v>745</v>
      </c>
      <c r="Q885" s="247">
        <v>10053736</v>
      </c>
      <c r="R885" s="248">
        <v>43417</v>
      </c>
      <c r="S885" s="248">
        <v>43419</v>
      </c>
      <c r="T885" s="248">
        <v>43451</v>
      </c>
      <c r="U885" s="246" t="s">
        <v>488</v>
      </c>
      <c r="V885" s="246">
        <v>3</v>
      </c>
      <c r="W885" s="246" t="s">
        <v>219</v>
      </c>
      <c r="X885" s="246">
        <v>3</v>
      </c>
      <c r="Y885" s="246">
        <v>3</v>
      </c>
      <c r="Z885" s="246">
        <v>3</v>
      </c>
      <c r="AA885" s="246">
        <v>3</v>
      </c>
      <c r="AB885" s="246" t="s">
        <v>486</v>
      </c>
      <c r="AC885" s="246" t="s">
        <v>486</v>
      </c>
      <c r="AD885" s="246" t="s">
        <v>490</v>
      </c>
      <c r="AE885" s="246" t="s">
        <v>486</v>
      </c>
      <c r="AF885" s="246" t="s">
        <v>486</v>
      </c>
      <c r="AG885" s="246" t="s">
        <v>486</v>
      </c>
      <c r="AH885" s="246" t="s">
        <v>486</v>
      </c>
      <c r="AI885" s="246" t="s">
        <v>486</v>
      </c>
      <c r="AJ885" s="246" t="s">
        <v>486</v>
      </c>
      <c r="AK885" s="246" t="s">
        <v>486</v>
      </c>
      <c r="AL885" s="246" t="s">
        <v>545</v>
      </c>
      <c r="AM885" s="246" t="s">
        <v>486</v>
      </c>
      <c r="AN885" s="246" t="s">
        <v>486</v>
      </c>
      <c r="AO885" s="248" t="s">
        <v>486</v>
      </c>
      <c r="AP885" s="247" t="s">
        <v>486</v>
      </c>
      <c r="AQ885" s="249" t="s">
        <v>486</v>
      </c>
      <c r="AR885" s="246" t="s">
        <v>486</v>
      </c>
    </row>
    <row r="886" spans="1:44" ht="15" x14ac:dyDescent="0.25">
      <c r="A886" s="250" t="str">
        <f>HYPERLINK("http://www.ofsted.gov.uk/inspection-reports/find-inspection-report/provider/ELS/141954 ","Ofsted School Webpage")</f>
        <v>Ofsted School Webpage</v>
      </c>
      <c r="B886" s="251">
        <v>141954</v>
      </c>
      <c r="C886" s="251">
        <v>8416007</v>
      </c>
      <c r="D886" s="251" t="s">
        <v>728</v>
      </c>
      <c r="E886" s="251" t="s">
        <v>248</v>
      </c>
      <c r="F886" s="251" t="s">
        <v>93</v>
      </c>
      <c r="G886" s="251" t="s">
        <v>93</v>
      </c>
      <c r="H886" s="251" t="s">
        <v>93</v>
      </c>
      <c r="I886" s="251" t="s">
        <v>90</v>
      </c>
      <c r="J886" s="251" t="s">
        <v>1490</v>
      </c>
      <c r="K886" s="251" t="s">
        <v>486</v>
      </c>
      <c r="L886" s="251" t="s">
        <v>487</v>
      </c>
      <c r="M886" s="251" t="s">
        <v>523</v>
      </c>
      <c r="N886" s="251" t="s">
        <v>539</v>
      </c>
      <c r="O886" s="251" t="s">
        <v>540</v>
      </c>
      <c r="P886" s="251" t="s">
        <v>729</v>
      </c>
      <c r="Q886" s="252">
        <v>10055381</v>
      </c>
      <c r="R886" s="253">
        <v>43417</v>
      </c>
      <c r="S886" s="253">
        <v>43419</v>
      </c>
      <c r="T886" s="253">
        <v>43453</v>
      </c>
      <c r="U886" s="251" t="s">
        <v>2930</v>
      </c>
      <c r="V886" s="251">
        <v>1</v>
      </c>
      <c r="W886" s="251" t="s">
        <v>219</v>
      </c>
      <c r="X886" s="251">
        <v>1</v>
      </c>
      <c r="Y886" s="251">
        <v>1</v>
      </c>
      <c r="Z886" s="251">
        <v>1</v>
      </c>
      <c r="AA886" s="251">
        <v>1</v>
      </c>
      <c r="AB886" s="251" t="s">
        <v>486</v>
      </c>
      <c r="AC886" s="251" t="s">
        <v>486</v>
      </c>
      <c r="AD886" s="251" t="s">
        <v>490</v>
      </c>
      <c r="AE886" s="251" t="s">
        <v>486</v>
      </c>
      <c r="AF886" s="251" t="s">
        <v>486</v>
      </c>
      <c r="AG886" s="251" t="s">
        <v>486</v>
      </c>
      <c r="AH886" s="251" t="s">
        <v>486</v>
      </c>
      <c r="AI886" s="251" t="s">
        <v>486</v>
      </c>
      <c r="AJ886" s="251" t="s">
        <v>486</v>
      </c>
      <c r="AK886" s="251" t="s">
        <v>486</v>
      </c>
      <c r="AL886" s="251" t="s">
        <v>491</v>
      </c>
      <c r="AM886" s="251" t="s">
        <v>486</v>
      </c>
      <c r="AN886" s="251" t="s">
        <v>486</v>
      </c>
      <c r="AO886" s="253" t="s">
        <v>486</v>
      </c>
      <c r="AP886" s="252" t="s">
        <v>486</v>
      </c>
      <c r="AQ886" s="254" t="s">
        <v>486</v>
      </c>
      <c r="AR886" s="251" t="s">
        <v>486</v>
      </c>
    </row>
    <row r="887" spans="1:44" ht="15" x14ac:dyDescent="0.25">
      <c r="A887" s="245" t="str">
        <f>HYPERLINK("http://www.ofsted.gov.uk/inspection-reports/find-inspection-report/provider/ELS/145116 ","Ofsted School Webpage")</f>
        <v>Ofsted School Webpage</v>
      </c>
      <c r="B887" s="246">
        <v>145116</v>
      </c>
      <c r="C887" s="246">
        <v>8456063</v>
      </c>
      <c r="D887" s="246" t="s">
        <v>760</v>
      </c>
      <c r="E887" s="246" t="s">
        <v>248</v>
      </c>
      <c r="F887" s="246" t="s">
        <v>93</v>
      </c>
      <c r="G887" s="246" t="s">
        <v>93</v>
      </c>
      <c r="H887" s="246" t="s">
        <v>93</v>
      </c>
      <c r="I887" s="246" t="s">
        <v>90</v>
      </c>
      <c r="J887" s="246" t="s">
        <v>1490</v>
      </c>
      <c r="K887" s="246" t="s">
        <v>486</v>
      </c>
      <c r="L887" s="246" t="s">
        <v>487</v>
      </c>
      <c r="M887" s="246" t="s">
        <v>581</v>
      </c>
      <c r="N887" s="246" t="s">
        <v>581</v>
      </c>
      <c r="O887" s="246" t="s">
        <v>761</v>
      </c>
      <c r="P887" s="246" t="s">
        <v>762</v>
      </c>
      <c r="Q887" s="247">
        <v>10054084</v>
      </c>
      <c r="R887" s="248">
        <v>43417</v>
      </c>
      <c r="S887" s="248">
        <v>43419</v>
      </c>
      <c r="T887" s="248">
        <v>43446</v>
      </c>
      <c r="U887" s="246" t="s">
        <v>499</v>
      </c>
      <c r="V887" s="246">
        <v>1</v>
      </c>
      <c r="W887" s="246" t="s">
        <v>219</v>
      </c>
      <c r="X887" s="246">
        <v>1</v>
      </c>
      <c r="Y887" s="246">
        <v>1</v>
      </c>
      <c r="Z887" s="246">
        <v>1</v>
      </c>
      <c r="AA887" s="246">
        <v>1</v>
      </c>
      <c r="AB887" s="246" t="s">
        <v>486</v>
      </c>
      <c r="AC887" s="246" t="s">
        <v>486</v>
      </c>
      <c r="AD887" s="246" t="s">
        <v>490</v>
      </c>
      <c r="AE887" s="246" t="s">
        <v>486</v>
      </c>
      <c r="AF887" s="246" t="s">
        <v>486</v>
      </c>
      <c r="AG887" s="246" t="s">
        <v>486</v>
      </c>
      <c r="AH887" s="246" t="s">
        <v>486</v>
      </c>
      <c r="AI887" s="246" t="s">
        <v>486</v>
      </c>
      <c r="AJ887" s="246" t="s">
        <v>486</v>
      </c>
      <c r="AK887" s="246" t="s">
        <v>486</v>
      </c>
      <c r="AL887" s="246" t="s">
        <v>491</v>
      </c>
      <c r="AM887" s="246" t="s">
        <v>486</v>
      </c>
      <c r="AN887" s="246" t="s">
        <v>486</v>
      </c>
      <c r="AO887" s="248" t="s">
        <v>486</v>
      </c>
      <c r="AP887" s="247" t="s">
        <v>486</v>
      </c>
      <c r="AQ887" s="249" t="s">
        <v>486</v>
      </c>
      <c r="AR887" s="246" t="s">
        <v>486</v>
      </c>
    </row>
    <row r="888" spans="1:44" ht="15" x14ac:dyDescent="0.25">
      <c r="A888" s="250" t="str">
        <f>HYPERLINK("http://www.ofsted.gov.uk/inspection-reports/find-inspection-report/provider/ELS/145129 ","Ofsted School Webpage")</f>
        <v>Ofsted School Webpage</v>
      </c>
      <c r="B888" s="251">
        <v>145129</v>
      </c>
      <c r="C888" s="251">
        <v>8926024</v>
      </c>
      <c r="D888" s="251" t="s">
        <v>757</v>
      </c>
      <c r="E888" s="251" t="s">
        <v>247</v>
      </c>
      <c r="F888" s="251" t="s">
        <v>93</v>
      </c>
      <c r="G888" s="251" t="s">
        <v>93</v>
      </c>
      <c r="H888" s="251" t="s">
        <v>93</v>
      </c>
      <c r="I888" s="251" t="s">
        <v>90</v>
      </c>
      <c r="J888" s="251" t="s">
        <v>1490</v>
      </c>
      <c r="K888" s="251" t="s">
        <v>486</v>
      </c>
      <c r="L888" s="251" t="s">
        <v>487</v>
      </c>
      <c r="M888" s="251" t="s">
        <v>572</v>
      </c>
      <c r="N888" s="251" t="s">
        <v>572</v>
      </c>
      <c r="O888" s="251" t="s">
        <v>758</v>
      </c>
      <c r="P888" s="251" t="s">
        <v>759</v>
      </c>
      <c r="Q888" s="252">
        <v>10053984</v>
      </c>
      <c r="R888" s="253">
        <v>43417</v>
      </c>
      <c r="S888" s="253">
        <v>43419</v>
      </c>
      <c r="T888" s="253">
        <v>43450</v>
      </c>
      <c r="U888" s="251" t="s">
        <v>499</v>
      </c>
      <c r="V888" s="251">
        <v>3</v>
      </c>
      <c r="W888" s="251" t="s">
        <v>219</v>
      </c>
      <c r="X888" s="251">
        <v>3</v>
      </c>
      <c r="Y888" s="251">
        <v>3</v>
      </c>
      <c r="Z888" s="251">
        <v>3</v>
      </c>
      <c r="AA888" s="251">
        <v>3</v>
      </c>
      <c r="AB888" s="251" t="s">
        <v>486</v>
      </c>
      <c r="AC888" s="251" t="s">
        <v>486</v>
      </c>
      <c r="AD888" s="251" t="s">
        <v>490</v>
      </c>
      <c r="AE888" s="251" t="s">
        <v>486</v>
      </c>
      <c r="AF888" s="251" t="s">
        <v>486</v>
      </c>
      <c r="AG888" s="251" t="s">
        <v>486</v>
      </c>
      <c r="AH888" s="251" t="s">
        <v>486</v>
      </c>
      <c r="AI888" s="251" t="s">
        <v>486</v>
      </c>
      <c r="AJ888" s="251" t="s">
        <v>486</v>
      </c>
      <c r="AK888" s="251" t="s">
        <v>486</v>
      </c>
      <c r="AL888" s="251" t="s">
        <v>545</v>
      </c>
      <c r="AM888" s="251" t="s">
        <v>486</v>
      </c>
      <c r="AN888" s="251" t="s">
        <v>486</v>
      </c>
      <c r="AO888" s="253" t="s">
        <v>486</v>
      </c>
      <c r="AP888" s="252" t="s">
        <v>486</v>
      </c>
      <c r="AQ888" s="254" t="s">
        <v>486</v>
      </c>
      <c r="AR888" s="251" t="s">
        <v>486</v>
      </c>
    </row>
    <row r="889" spans="1:44" ht="15" x14ac:dyDescent="0.25">
      <c r="A889" s="245" t="str">
        <f>HYPERLINK("http://www.ofsted.gov.uk/inspection-reports/find-inspection-report/provider/ELS/145162 ","Ofsted School Webpage")</f>
        <v>Ofsted School Webpage</v>
      </c>
      <c r="B889" s="246">
        <v>145162</v>
      </c>
      <c r="C889" s="246">
        <v>8816070</v>
      </c>
      <c r="D889" s="246" t="s">
        <v>763</v>
      </c>
      <c r="E889" s="246" t="s">
        <v>247</v>
      </c>
      <c r="F889" s="246" t="s">
        <v>93</v>
      </c>
      <c r="G889" s="246" t="s">
        <v>71</v>
      </c>
      <c r="H889" s="246" t="s">
        <v>71</v>
      </c>
      <c r="I889" s="246" t="s">
        <v>71</v>
      </c>
      <c r="J889" s="246" t="s">
        <v>1490</v>
      </c>
      <c r="K889" s="246" t="s">
        <v>486</v>
      </c>
      <c r="L889" s="246" t="s">
        <v>487</v>
      </c>
      <c r="M889" s="246" t="s">
        <v>516</v>
      </c>
      <c r="N889" s="246" t="s">
        <v>516</v>
      </c>
      <c r="O889" s="246" t="s">
        <v>764</v>
      </c>
      <c r="P889" s="246" t="s">
        <v>765</v>
      </c>
      <c r="Q889" s="247">
        <v>10054013</v>
      </c>
      <c r="R889" s="248">
        <v>43417</v>
      </c>
      <c r="S889" s="248">
        <v>43419</v>
      </c>
      <c r="T889" s="248">
        <v>43447</v>
      </c>
      <c r="U889" s="246" t="s">
        <v>499</v>
      </c>
      <c r="V889" s="246">
        <v>2</v>
      </c>
      <c r="W889" s="246" t="s">
        <v>219</v>
      </c>
      <c r="X889" s="246">
        <v>2</v>
      </c>
      <c r="Y889" s="246">
        <v>2</v>
      </c>
      <c r="Z889" s="246">
        <v>2</v>
      </c>
      <c r="AA889" s="246">
        <v>2</v>
      </c>
      <c r="AB889" s="246" t="s">
        <v>486</v>
      </c>
      <c r="AC889" s="246" t="s">
        <v>486</v>
      </c>
      <c r="AD889" s="246" t="s">
        <v>490</v>
      </c>
      <c r="AE889" s="246" t="s">
        <v>486</v>
      </c>
      <c r="AF889" s="246" t="s">
        <v>486</v>
      </c>
      <c r="AG889" s="246" t="s">
        <v>486</v>
      </c>
      <c r="AH889" s="246" t="s">
        <v>486</v>
      </c>
      <c r="AI889" s="246" t="s">
        <v>486</v>
      </c>
      <c r="AJ889" s="246" t="s">
        <v>486</v>
      </c>
      <c r="AK889" s="246" t="s">
        <v>486</v>
      </c>
      <c r="AL889" s="246" t="s">
        <v>491</v>
      </c>
      <c r="AM889" s="246" t="s">
        <v>486</v>
      </c>
      <c r="AN889" s="246" t="s">
        <v>486</v>
      </c>
      <c r="AO889" s="248" t="s">
        <v>486</v>
      </c>
      <c r="AP889" s="247" t="s">
        <v>486</v>
      </c>
      <c r="AQ889" s="249" t="s">
        <v>486</v>
      </c>
      <c r="AR889" s="246" t="s">
        <v>486</v>
      </c>
    </row>
    <row r="890" spans="1:44" ht="15" x14ac:dyDescent="0.25">
      <c r="A890" s="250" t="str">
        <f>HYPERLINK("http://www.ofsted.gov.uk/inspection-reports/find-inspection-report/provider/ELS/145165 ","Ofsted School Webpage")</f>
        <v>Ofsted School Webpage</v>
      </c>
      <c r="B890" s="251">
        <v>145165</v>
      </c>
      <c r="C890" s="251">
        <v>2066003</v>
      </c>
      <c r="D890" s="251" t="s">
        <v>752</v>
      </c>
      <c r="E890" s="251" t="s">
        <v>247</v>
      </c>
      <c r="F890" s="251" t="s">
        <v>93</v>
      </c>
      <c r="G890" s="251" t="s">
        <v>93</v>
      </c>
      <c r="H890" s="251" t="s">
        <v>93</v>
      </c>
      <c r="I890" s="251" t="s">
        <v>90</v>
      </c>
      <c r="J890" s="251" t="s">
        <v>1490</v>
      </c>
      <c r="K890" s="251" t="s">
        <v>486</v>
      </c>
      <c r="L890" s="251" t="s">
        <v>487</v>
      </c>
      <c r="M890" s="251" t="s">
        <v>506</v>
      </c>
      <c r="N890" s="251" t="s">
        <v>506</v>
      </c>
      <c r="O890" s="251" t="s">
        <v>753</v>
      </c>
      <c r="P890" s="251" t="s">
        <v>754</v>
      </c>
      <c r="Q890" s="252">
        <v>10054304</v>
      </c>
      <c r="R890" s="253">
        <v>43417</v>
      </c>
      <c r="S890" s="253">
        <v>43419</v>
      </c>
      <c r="T890" s="253">
        <v>43444</v>
      </c>
      <c r="U890" s="251" t="s">
        <v>499</v>
      </c>
      <c r="V890" s="251">
        <v>2</v>
      </c>
      <c r="W890" s="251" t="s">
        <v>219</v>
      </c>
      <c r="X890" s="251">
        <v>2</v>
      </c>
      <c r="Y890" s="251">
        <v>2</v>
      </c>
      <c r="Z890" s="251">
        <v>2</v>
      </c>
      <c r="AA890" s="251">
        <v>2</v>
      </c>
      <c r="AB890" s="251" t="s">
        <v>486</v>
      </c>
      <c r="AC890" s="251" t="s">
        <v>486</v>
      </c>
      <c r="AD890" s="251" t="s">
        <v>490</v>
      </c>
      <c r="AE890" s="251" t="s">
        <v>486</v>
      </c>
      <c r="AF890" s="251" t="s">
        <v>486</v>
      </c>
      <c r="AG890" s="251" t="s">
        <v>486</v>
      </c>
      <c r="AH890" s="251" t="s">
        <v>486</v>
      </c>
      <c r="AI890" s="251" t="s">
        <v>486</v>
      </c>
      <c r="AJ890" s="251" t="s">
        <v>486</v>
      </c>
      <c r="AK890" s="251" t="s">
        <v>486</v>
      </c>
      <c r="AL890" s="251" t="s">
        <v>491</v>
      </c>
      <c r="AM890" s="251" t="s">
        <v>486</v>
      </c>
      <c r="AN890" s="251" t="s">
        <v>486</v>
      </c>
      <c r="AO890" s="253" t="s">
        <v>486</v>
      </c>
      <c r="AP890" s="252" t="s">
        <v>486</v>
      </c>
      <c r="AQ890" s="254" t="s">
        <v>486</v>
      </c>
      <c r="AR890" s="251" t="s">
        <v>486</v>
      </c>
    </row>
    <row r="891" spans="1:44" ht="15" x14ac:dyDescent="0.25">
      <c r="A891" s="245" t="str">
        <f>HYPERLINK("http://www.ofsted.gov.uk/inspection-reports/find-inspection-report/provider/ELS/145182 ","Ofsted School Webpage")</f>
        <v>Ofsted School Webpage</v>
      </c>
      <c r="B891" s="246">
        <v>145182</v>
      </c>
      <c r="C891" s="246">
        <v>3416011</v>
      </c>
      <c r="D891" s="246" t="s">
        <v>735</v>
      </c>
      <c r="E891" s="246" t="s">
        <v>248</v>
      </c>
      <c r="F891" s="246" t="s">
        <v>93</v>
      </c>
      <c r="G891" s="246" t="s">
        <v>93</v>
      </c>
      <c r="H891" s="246" t="s">
        <v>93</v>
      </c>
      <c r="I891" s="246" t="s">
        <v>90</v>
      </c>
      <c r="J891" s="246" t="s">
        <v>1490</v>
      </c>
      <c r="K891" s="246" t="s">
        <v>486</v>
      </c>
      <c r="L891" s="246" t="s">
        <v>487</v>
      </c>
      <c r="M891" s="246" t="s">
        <v>495</v>
      </c>
      <c r="N891" s="246" t="s">
        <v>495</v>
      </c>
      <c r="O891" s="246" t="s">
        <v>736</v>
      </c>
      <c r="P891" s="246" t="s">
        <v>737</v>
      </c>
      <c r="Q891" s="247">
        <v>10053742</v>
      </c>
      <c r="R891" s="248">
        <v>43417</v>
      </c>
      <c r="S891" s="248">
        <v>43419</v>
      </c>
      <c r="T891" s="248">
        <v>43452</v>
      </c>
      <c r="U891" s="246" t="s">
        <v>499</v>
      </c>
      <c r="V891" s="246">
        <v>2</v>
      </c>
      <c r="W891" s="246" t="s">
        <v>219</v>
      </c>
      <c r="X891" s="246">
        <v>2</v>
      </c>
      <c r="Y891" s="246">
        <v>2</v>
      </c>
      <c r="Z891" s="246">
        <v>2</v>
      </c>
      <c r="AA891" s="246">
        <v>2</v>
      </c>
      <c r="AB891" s="246">
        <v>2</v>
      </c>
      <c r="AC891" s="246">
        <v>2</v>
      </c>
      <c r="AD891" s="246" t="s">
        <v>490</v>
      </c>
      <c r="AE891" s="246" t="s">
        <v>486</v>
      </c>
      <c r="AF891" s="246" t="s">
        <v>486</v>
      </c>
      <c r="AG891" s="246" t="s">
        <v>486</v>
      </c>
      <c r="AH891" s="246" t="s">
        <v>486</v>
      </c>
      <c r="AI891" s="246" t="s">
        <v>486</v>
      </c>
      <c r="AJ891" s="246" t="s">
        <v>486</v>
      </c>
      <c r="AK891" s="246" t="s">
        <v>486</v>
      </c>
      <c r="AL891" s="246" t="s">
        <v>491</v>
      </c>
      <c r="AM891" s="246" t="s">
        <v>486</v>
      </c>
      <c r="AN891" s="246" t="s">
        <v>486</v>
      </c>
      <c r="AO891" s="248" t="s">
        <v>486</v>
      </c>
      <c r="AP891" s="247" t="s">
        <v>486</v>
      </c>
      <c r="AQ891" s="249" t="s">
        <v>486</v>
      </c>
      <c r="AR891" s="246" t="s">
        <v>486</v>
      </c>
    </row>
    <row r="892" spans="1:44" ht="15" x14ac:dyDescent="0.25">
      <c r="A892" s="250" t="str">
        <f>HYPERLINK("http://www.ofsted.gov.uk/inspection-reports/find-inspection-report/provider/ELS/145194 ","Ofsted School Webpage")</f>
        <v>Ofsted School Webpage</v>
      </c>
      <c r="B892" s="251">
        <v>145194</v>
      </c>
      <c r="C892" s="251">
        <v>8886074</v>
      </c>
      <c r="D892" s="251" t="s">
        <v>733</v>
      </c>
      <c r="E892" s="251" t="s">
        <v>248</v>
      </c>
      <c r="F892" s="251" t="s">
        <v>93</v>
      </c>
      <c r="G892" s="251" t="s">
        <v>93</v>
      </c>
      <c r="H892" s="251" t="s">
        <v>93</v>
      </c>
      <c r="I892" s="251" t="s">
        <v>90</v>
      </c>
      <c r="J892" s="251" t="s">
        <v>1490</v>
      </c>
      <c r="K892" s="251" t="s">
        <v>486</v>
      </c>
      <c r="L892" s="251" t="s">
        <v>487</v>
      </c>
      <c r="M892" s="251" t="s">
        <v>495</v>
      </c>
      <c r="N892" s="251" t="s">
        <v>495</v>
      </c>
      <c r="O892" s="251" t="s">
        <v>534</v>
      </c>
      <c r="P892" s="251" t="s">
        <v>734</v>
      </c>
      <c r="Q892" s="252">
        <v>10053741</v>
      </c>
      <c r="R892" s="253">
        <v>43417</v>
      </c>
      <c r="S892" s="253">
        <v>43419</v>
      </c>
      <c r="T892" s="253">
        <v>43450</v>
      </c>
      <c r="U892" s="251" t="s">
        <v>499</v>
      </c>
      <c r="V892" s="251">
        <v>2</v>
      </c>
      <c r="W892" s="251" t="s">
        <v>219</v>
      </c>
      <c r="X892" s="251">
        <v>2</v>
      </c>
      <c r="Y892" s="251">
        <v>2</v>
      </c>
      <c r="Z892" s="251">
        <v>2</v>
      </c>
      <c r="AA892" s="251">
        <v>2</v>
      </c>
      <c r="AB892" s="251" t="s">
        <v>486</v>
      </c>
      <c r="AC892" s="251" t="s">
        <v>486</v>
      </c>
      <c r="AD892" s="251" t="s">
        <v>490</v>
      </c>
      <c r="AE892" s="251" t="s">
        <v>486</v>
      </c>
      <c r="AF892" s="251" t="s">
        <v>486</v>
      </c>
      <c r="AG892" s="251" t="s">
        <v>486</v>
      </c>
      <c r="AH892" s="251" t="s">
        <v>486</v>
      </c>
      <c r="AI892" s="251" t="s">
        <v>486</v>
      </c>
      <c r="AJ892" s="251" t="s">
        <v>486</v>
      </c>
      <c r="AK892" s="251" t="s">
        <v>486</v>
      </c>
      <c r="AL892" s="251" t="s">
        <v>491</v>
      </c>
      <c r="AM892" s="251" t="s">
        <v>486</v>
      </c>
      <c r="AN892" s="251" t="s">
        <v>486</v>
      </c>
      <c r="AO892" s="253" t="s">
        <v>486</v>
      </c>
      <c r="AP892" s="252" t="s">
        <v>486</v>
      </c>
      <c r="AQ892" s="254" t="s">
        <v>486</v>
      </c>
      <c r="AR892" s="251" t="s">
        <v>486</v>
      </c>
    </row>
    <row r="893" spans="1:44" ht="15" x14ac:dyDescent="0.25">
      <c r="A893" s="245" t="str">
        <f>HYPERLINK("http://www.ofsted.gov.uk/inspection-reports/find-inspection-report/provider/ELS/145552 ","Ofsted School Webpage")</f>
        <v>Ofsted School Webpage</v>
      </c>
      <c r="B893" s="246">
        <v>145552</v>
      </c>
      <c r="C893" s="246">
        <v>3176011</v>
      </c>
      <c r="D893" s="246" t="s">
        <v>730</v>
      </c>
      <c r="E893" s="246" t="s">
        <v>247</v>
      </c>
      <c r="F893" s="246" t="s">
        <v>93</v>
      </c>
      <c r="G893" s="246" t="s">
        <v>71</v>
      </c>
      <c r="H893" s="246" t="s">
        <v>71</v>
      </c>
      <c r="I893" s="246" t="s">
        <v>71</v>
      </c>
      <c r="J893" s="246" t="s">
        <v>1490</v>
      </c>
      <c r="K893" s="246" t="s">
        <v>486</v>
      </c>
      <c r="L893" s="246" t="s">
        <v>487</v>
      </c>
      <c r="M893" s="246" t="s">
        <v>506</v>
      </c>
      <c r="N893" s="246" t="s">
        <v>506</v>
      </c>
      <c r="O893" s="246" t="s">
        <v>731</v>
      </c>
      <c r="P893" s="246" t="s">
        <v>732</v>
      </c>
      <c r="Q893" s="247">
        <v>10078330</v>
      </c>
      <c r="R893" s="248">
        <v>43417</v>
      </c>
      <c r="S893" s="248">
        <v>43419</v>
      </c>
      <c r="T893" s="248">
        <v>43452</v>
      </c>
      <c r="U893" s="246" t="s">
        <v>499</v>
      </c>
      <c r="V893" s="246">
        <v>3</v>
      </c>
      <c r="W893" s="246" t="s">
        <v>219</v>
      </c>
      <c r="X893" s="246">
        <v>3</v>
      </c>
      <c r="Y893" s="246">
        <v>3</v>
      </c>
      <c r="Z893" s="246">
        <v>3</v>
      </c>
      <c r="AA893" s="246">
        <v>3</v>
      </c>
      <c r="AB893" s="246" t="s">
        <v>486</v>
      </c>
      <c r="AC893" s="246" t="s">
        <v>486</v>
      </c>
      <c r="AD893" s="246" t="s">
        <v>490</v>
      </c>
      <c r="AE893" s="246" t="s">
        <v>486</v>
      </c>
      <c r="AF893" s="246" t="s">
        <v>486</v>
      </c>
      <c r="AG893" s="246" t="s">
        <v>486</v>
      </c>
      <c r="AH893" s="246" t="s">
        <v>486</v>
      </c>
      <c r="AI893" s="246" t="s">
        <v>486</v>
      </c>
      <c r="AJ893" s="246" t="s">
        <v>486</v>
      </c>
      <c r="AK893" s="246" t="s">
        <v>486</v>
      </c>
      <c r="AL893" s="246" t="s">
        <v>491</v>
      </c>
      <c r="AM893" s="246" t="s">
        <v>486</v>
      </c>
      <c r="AN893" s="246" t="s">
        <v>486</v>
      </c>
      <c r="AO893" s="248" t="s">
        <v>486</v>
      </c>
      <c r="AP893" s="247" t="s">
        <v>486</v>
      </c>
      <c r="AQ893" s="249" t="s">
        <v>486</v>
      </c>
      <c r="AR893" s="246" t="s">
        <v>486</v>
      </c>
    </row>
    <row r="894" spans="1:44" ht="15" x14ac:dyDescent="0.25">
      <c r="A894" s="250" t="str">
        <f>HYPERLINK("http://www.ofsted.gov.uk/inspection-reports/find-inspection-report/provider/ELS/142330 ","Ofsted School Webpage")</f>
        <v>Ofsted School Webpage</v>
      </c>
      <c r="B894" s="251">
        <v>142330</v>
      </c>
      <c r="C894" s="251">
        <v>3826004</v>
      </c>
      <c r="D894" s="251" t="s">
        <v>766</v>
      </c>
      <c r="E894" s="251" t="s">
        <v>247</v>
      </c>
      <c r="F894" s="251" t="s">
        <v>93</v>
      </c>
      <c r="G894" s="251" t="s">
        <v>84</v>
      </c>
      <c r="H894" s="251" t="s">
        <v>84</v>
      </c>
      <c r="I894" s="251" t="s">
        <v>84</v>
      </c>
      <c r="J894" s="251" t="s">
        <v>1490</v>
      </c>
      <c r="K894" s="251" t="s">
        <v>486</v>
      </c>
      <c r="L894" s="251" t="s">
        <v>487</v>
      </c>
      <c r="M894" s="251" t="s">
        <v>523</v>
      </c>
      <c r="N894" s="251" t="s">
        <v>524</v>
      </c>
      <c r="O894" s="251" t="s">
        <v>767</v>
      </c>
      <c r="P894" s="251" t="s">
        <v>768</v>
      </c>
      <c r="Q894" s="252">
        <v>10053834</v>
      </c>
      <c r="R894" s="253">
        <v>43418</v>
      </c>
      <c r="S894" s="253">
        <v>43420</v>
      </c>
      <c r="T894" s="253">
        <v>43444</v>
      </c>
      <c r="U894" s="251" t="s">
        <v>488</v>
      </c>
      <c r="V894" s="251">
        <v>2</v>
      </c>
      <c r="W894" s="251" t="s">
        <v>219</v>
      </c>
      <c r="X894" s="251">
        <v>2</v>
      </c>
      <c r="Y894" s="251">
        <v>2</v>
      </c>
      <c r="Z894" s="251">
        <v>2</v>
      </c>
      <c r="AA894" s="251">
        <v>2</v>
      </c>
      <c r="AB894" s="251" t="s">
        <v>486</v>
      </c>
      <c r="AC894" s="251" t="s">
        <v>486</v>
      </c>
      <c r="AD894" s="251" t="s">
        <v>490</v>
      </c>
      <c r="AE894" s="251" t="s">
        <v>486</v>
      </c>
      <c r="AF894" s="251" t="s">
        <v>486</v>
      </c>
      <c r="AG894" s="251" t="s">
        <v>486</v>
      </c>
      <c r="AH894" s="251" t="s">
        <v>486</v>
      </c>
      <c r="AI894" s="251" t="s">
        <v>486</v>
      </c>
      <c r="AJ894" s="251" t="s">
        <v>486</v>
      </c>
      <c r="AK894" s="251" t="s">
        <v>486</v>
      </c>
      <c r="AL894" s="251" t="s">
        <v>491</v>
      </c>
      <c r="AM894" s="251" t="s">
        <v>486</v>
      </c>
      <c r="AN894" s="251" t="s">
        <v>486</v>
      </c>
      <c r="AO894" s="253" t="s">
        <v>486</v>
      </c>
      <c r="AP894" s="252" t="s">
        <v>486</v>
      </c>
      <c r="AQ894" s="254" t="s">
        <v>486</v>
      </c>
      <c r="AR894" s="251" t="s">
        <v>486</v>
      </c>
    </row>
    <row r="895" spans="1:44" ht="15" x14ac:dyDescent="0.25">
      <c r="A895" s="245" t="str">
        <f>HYPERLINK("http://www.ofsted.gov.uk/inspection-reports/find-inspection-report/provider/ELS/141501 ","Ofsted School Webpage")</f>
        <v>Ofsted School Webpage</v>
      </c>
      <c r="B895" s="246">
        <v>141501</v>
      </c>
      <c r="C895" s="246">
        <v>3336007</v>
      </c>
      <c r="D895" s="246" t="s">
        <v>771</v>
      </c>
      <c r="E895" s="246" t="s">
        <v>248</v>
      </c>
      <c r="F895" s="246" t="s">
        <v>78</v>
      </c>
      <c r="G895" s="246" t="s">
        <v>71</v>
      </c>
      <c r="H895" s="246" t="s">
        <v>78</v>
      </c>
      <c r="I895" s="246" t="s">
        <v>71</v>
      </c>
      <c r="J895" s="246" t="s">
        <v>1490</v>
      </c>
      <c r="K895" s="246" t="s">
        <v>486</v>
      </c>
      <c r="L895" s="246" t="s">
        <v>487</v>
      </c>
      <c r="M895" s="246" t="s">
        <v>502</v>
      </c>
      <c r="N895" s="246" t="s">
        <v>502</v>
      </c>
      <c r="O895" s="246" t="s">
        <v>720</v>
      </c>
      <c r="P895" s="246" t="s">
        <v>772</v>
      </c>
      <c r="Q895" s="247">
        <v>10056359</v>
      </c>
      <c r="R895" s="248">
        <v>43424</v>
      </c>
      <c r="S895" s="248">
        <v>43425</v>
      </c>
      <c r="T895" s="248">
        <v>43475</v>
      </c>
      <c r="U895" s="246" t="s">
        <v>488</v>
      </c>
      <c r="V895" s="246">
        <v>4</v>
      </c>
      <c r="W895" s="246" t="s">
        <v>220</v>
      </c>
      <c r="X895" s="246">
        <v>4</v>
      </c>
      <c r="Y895" s="246">
        <v>4</v>
      </c>
      <c r="Z895" s="246">
        <v>4</v>
      </c>
      <c r="AA895" s="246">
        <v>4</v>
      </c>
      <c r="AB895" s="246" t="s">
        <v>486</v>
      </c>
      <c r="AC895" s="246" t="s">
        <v>486</v>
      </c>
      <c r="AD895" s="246" t="s">
        <v>490</v>
      </c>
      <c r="AE895" s="246" t="s">
        <v>486</v>
      </c>
      <c r="AF895" s="246" t="s">
        <v>486</v>
      </c>
      <c r="AG895" s="246" t="s">
        <v>486</v>
      </c>
      <c r="AH895" s="246" t="s">
        <v>486</v>
      </c>
      <c r="AI895" s="246" t="s">
        <v>486</v>
      </c>
      <c r="AJ895" s="246" t="s">
        <v>486</v>
      </c>
      <c r="AK895" s="246" t="s">
        <v>486</v>
      </c>
      <c r="AL895" s="246" t="s">
        <v>545</v>
      </c>
      <c r="AM895" s="246" t="s">
        <v>486</v>
      </c>
      <c r="AN895" s="246" t="s">
        <v>486</v>
      </c>
      <c r="AO895" s="248" t="s">
        <v>486</v>
      </c>
      <c r="AP895" s="247" t="s">
        <v>486</v>
      </c>
      <c r="AQ895" s="249" t="s">
        <v>486</v>
      </c>
      <c r="AR895" s="246" t="s">
        <v>486</v>
      </c>
    </row>
    <row r="896" spans="1:44" ht="15" x14ac:dyDescent="0.25">
      <c r="A896" s="250" t="str">
        <f>HYPERLINK("http://www.ofsted.gov.uk/inspection-reports/find-inspection-report/provider/ELS/145242 ","Ofsted School Webpage")</f>
        <v>Ofsted School Webpage</v>
      </c>
      <c r="B896" s="251">
        <v>145242</v>
      </c>
      <c r="C896" s="251">
        <v>8886075</v>
      </c>
      <c r="D896" s="251" t="s">
        <v>769</v>
      </c>
      <c r="E896" s="251" t="s">
        <v>248</v>
      </c>
      <c r="F896" s="251" t="s">
        <v>93</v>
      </c>
      <c r="G896" s="251" t="s">
        <v>93</v>
      </c>
      <c r="H896" s="251" t="s">
        <v>93</v>
      </c>
      <c r="I896" s="251" t="s">
        <v>90</v>
      </c>
      <c r="J896" s="251" t="s">
        <v>1490</v>
      </c>
      <c r="K896" s="251" t="s">
        <v>486</v>
      </c>
      <c r="L896" s="251" t="s">
        <v>487</v>
      </c>
      <c r="M896" s="251" t="s">
        <v>495</v>
      </c>
      <c r="N896" s="251" t="s">
        <v>495</v>
      </c>
      <c r="O896" s="251" t="s">
        <v>534</v>
      </c>
      <c r="P896" s="251" t="s">
        <v>770</v>
      </c>
      <c r="Q896" s="252">
        <v>10053746</v>
      </c>
      <c r="R896" s="253">
        <v>43424</v>
      </c>
      <c r="S896" s="253">
        <v>43425</v>
      </c>
      <c r="T896" s="253">
        <v>43447</v>
      </c>
      <c r="U896" s="251" t="s">
        <v>499</v>
      </c>
      <c r="V896" s="251">
        <v>2</v>
      </c>
      <c r="W896" s="251" t="s">
        <v>219</v>
      </c>
      <c r="X896" s="251">
        <v>2</v>
      </c>
      <c r="Y896" s="251">
        <v>2</v>
      </c>
      <c r="Z896" s="251">
        <v>2</v>
      </c>
      <c r="AA896" s="251">
        <v>1</v>
      </c>
      <c r="AB896" s="251" t="s">
        <v>486</v>
      </c>
      <c r="AC896" s="251" t="s">
        <v>486</v>
      </c>
      <c r="AD896" s="251" t="s">
        <v>512</v>
      </c>
      <c r="AE896" s="251" t="s">
        <v>486</v>
      </c>
      <c r="AF896" s="251" t="s">
        <v>486</v>
      </c>
      <c r="AG896" s="251" t="s">
        <v>490</v>
      </c>
      <c r="AH896" s="251" t="s">
        <v>486</v>
      </c>
      <c r="AI896" s="251" t="s">
        <v>486</v>
      </c>
      <c r="AJ896" s="251" t="s">
        <v>486</v>
      </c>
      <c r="AK896" s="251" t="s">
        <v>486</v>
      </c>
      <c r="AL896" s="251" t="s">
        <v>491</v>
      </c>
      <c r="AM896" s="251" t="s">
        <v>486</v>
      </c>
      <c r="AN896" s="251" t="s">
        <v>486</v>
      </c>
      <c r="AO896" s="253" t="s">
        <v>486</v>
      </c>
      <c r="AP896" s="252" t="s">
        <v>486</v>
      </c>
      <c r="AQ896" s="254" t="s">
        <v>486</v>
      </c>
      <c r="AR896" s="251" t="s">
        <v>486</v>
      </c>
    </row>
    <row r="897" spans="1:44" ht="15" x14ac:dyDescent="0.25">
      <c r="A897" s="245" t="str">
        <f>HYPERLINK("http://www.ofsted.gov.uk/inspection-reports/find-inspection-report/provider/ELS/105585 ","Ofsted School Webpage")</f>
        <v>Ofsted School Webpage</v>
      </c>
      <c r="B897" s="246">
        <v>105585</v>
      </c>
      <c r="C897" s="246">
        <v>3526001</v>
      </c>
      <c r="D897" s="246" t="s">
        <v>781</v>
      </c>
      <c r="E897" s="246" t="s">
        <v>247</v>
      </c>
      <c r="F897" s="246" t="s">
        <v>93</v>
      </c>
      <c r="G897" s="246" t="s">
        <v>71</v>
      </c>
      <c r="H897" s="246" t="s">
        <v>71</v>
      </c>
      <c r="I897" s="246" t="s">
        <v>71</v>
      </c>
      <c r="J897" s="246" t="s">
        <v>1490</v>
      </c>
      <c r="K897" s="246" t="s">
        <v>486</v>
      </c>
      <c r="L897" s="246" t="s">
        <v>487</v>
      </c>
      <c r="M897" s="246" t="s">
        <v>495</v>
      </c>
      <c r="N897" s="246" t="s">
        <v>495</v>
      </c>
      <c r="O897" s="246" t="s">
        <v>744</v>
      </c>
      <c r="P897" s="246" t="s">
        <v>782</v>
      </c>
      <c r="Q897" s="247">
        <v>10053721</v>
      </c>
      <c r="R897" s="248">
        <v>43424</v>
      </c>
      <c r="S897" s="248">
        <v>43426</v>
      </c>
      <c r="T897" s="248">
        <v>43479</v>
      </c>
      <c r="U897" s="246" t="s">
        <v>488</v>
      </c>
      <c r="V897" s="246">
        <v>2</v>
      </c>
      <c r="W897" s="246" t="s">
        <v>219</v>
      </c>
      <c r="X897" s="246">
        <v>2</v>
      </c>
      <c r="Y897" s="246">
        <v>2</v>
      </c>
      <c r="Z897" s="246">
        <v>2</v>
      </c>
      <c r="AA897" s="246">
        <v>2</v>
      </c>
      <c r="AB897" s="246">
        <v>2</v>
      </c>
      <c r="AC897" s="246" t="s">
        <v>486</v>
      </c>
      <c r="AD897" s="246" t="s">
        <v>490</v>
      </c>
      <c r="AE897" s="246" t="s">
        <v>486</v>
      </c>
      <c r="AF897" s="246" t="s">
        <v>486</v>
      </c>
      <c r="AG897" s="246" t="s">
        <v>486</v>
      </c>
      <c r="AH897" s="246" t="s">
        <v>486</v>
      </c>
      <c r="AI897" s="246" t="s">
        <v>486</v>
      </c>
      <c r="AJ897" s="246" t="s">
        <v>486</v>
      </c>
      <c r="AK897" s="246" t="s">
        <v>486</v>
      </c>
      <c r="AL897" s="246" t="s">
        <v>491</v>
      </c>
      <c r="AM897" s="246" t="s">
        <v>486</v>
      </c>
      <c r="AN897" s="246" t="s">
        <v>486</v>
      </c>
      <c r="AO897" s="248" t="s">
        <v>486</v>
      </c>
      <c r="AP897" s="247" t="s">
        <v>486</v>
      </c>
      <c r="AQ897" s="249" t="s">
        <v>486</v>
      </c>
      <c r="AR897" s="246" t="s">
        <v>486</v>
      </c>
    </row>
    <row r="898" spans="1:44" ht="15" x14ac:dyDescent="0.25">
      <c r="A898" s="250" t="str">
        <f>HYPERLINK("http://www.ofsted.gov.uk/inspection-reports/find-inspection-report/provider/ELS/107795 ","Ofsted School Webpage")</f>
        <v>Ofsted School Webpage</v>
      </c>
      <c r="B898" s="251">
        <v>107795</v>
      </c>
      <c r="C898" s="251">
        <v>3826018</v>
      </c>
      <c r="D898" s="251" t="s">
        <v>777</v>
      </c>
      <c r="E898" s="251" t="s">
        <v>247</v>
      </c>
      <c r="F898" s="251" t="s">
        <v>71</v>
      </c>
      <c r="G898" s="251" t="s">
        <v>71</v>
      </c>
      <c r="H898" s="251" t="s">
        <v>71</v>
      </c>
      <c r="I898" s="251" t="s">
        <v>71</v>
      </c>
      <c r="J898" s="251" t="s">
        <v>1490</v>
      </c>
      <c r="K898" s="251" t="s">
        <v>486</v>
      </c>
      <c r="L898" s="251" t="s">
        <v>487</v>
      </c>
      <c r="M898" s="251" t="s">
        <v>523</v>
      </c>
      <c r="N898" s="251" t="s">
        <v>524</v>
      </c>
      <c r="O898" s="251" t="s">
        <v>767</v>
      </c>
      <c r="P898" s="251" t="s">
        <v>778</v>
      </c>
      <c r="Q898" s="252">
        <v>10055377</v>
      </c>
      <c r="R898" s="253">
        <v>43424</v>
      </c>
      <c r="S898" s="253">
        <v>43426</v>
      </c>
      <c r="T898" s="253">
        <v>43481</v>
      </c>
      <c r="U898" s="251" t="s">
        <v>488</v>
      </c>
      <c r="V898" s="251">
        <v>4</v>
      </c>
      <c r="W898" s="251" t="s">
        <v>220</v>
      </c>
      <c r="X898" s="251">
        <v>4</v>
      </c>
      <c r="Y898" s="251">
        <v>4</v>
      </c>
      <c r="Z898" s="251">
        <v>3</v>
      </c>
      <c r="AA898" s="251">
        <v>3</v>
      </c>
      <c r="AB898" s="251" t="s">
        <v>486</v>
      </c>
      <c r="AC898" s="251" t="s">
        <v>486</v>
      </c>
      <c r="AD898" s="251" t="s">
        <v>490</v>
      </c>
      <c r="AE898" s="251" t="s">
        <v>486</v>
      </c>
      <c r="AF898" s="251" t="s">
        <v>486</v>
      </c>
      <c r="AG898" s="251" t="s">
        <v>486</v>
      </c>
      <c r="AH898" s="251" t="s">
        <v>486</v>
      </c>
      <c r="AI898" s="251" t="s">
        <v>486</v>
      </c>
      <c r="AJ898" s="251" t="s">
        <v>486</v>
      </c>
      <c r="AK898" s="251" t="s">
        <v>486</v>
      </c>
      <c r="AL898" s="251" t="s">
        <v>545</v>
      </c>
      <c r="AM898" s="251" t="s">
        <v>486</v>
      </c>
      <c r="AN898" s="251" t="s">
        <v>486</v>
      </c>
      <c r="AO898" s="253" t="s">
        <v>486</v>
      </c>
      <c r="AP898" s="252" t="s">
        <v>486</v>
      </c>
      <c r="AQ898" s="254" t="s">
        <v>486</v>
      </c>
      <c r="AR898" s="251" t="s">
        <v>486</v>
      </c>
    </row>
    <row r="899" spans="1:44" ht="15" x14ac:dyDescent="0.25">
      <c r="A899" s="245" t="str">
        <f>HYPERLINK("http://www.ofsted.gov.uk/inspection-reports/find-inspection-report/provider/ELS/119819 ","Ofsted School Webpage")</f>
        <v>Ofsted School Webpage</v>
      </c>
      <c r="B899" s="246">
        <v>119819</v>
      </c>
      <c r="C899" s="246">
        <v>8886001</v>
      </c>
      <c r="D899" s="246" t="s">
        <v>779</v>
      </c>
      <c r="E899" s="246" t="s">
        <v>247</v>
      </c>
      <c r="F899" s="246" t="s">
        <v>93</v>
      </c>
      <c r="G899" s="246" t="s">
        <v>93</v>
      </c>
      <c r="H899" s="246" t="s">
        <v>93</v>
      </c>
      <c r="I899" s="246" t="s">
        <v>90</v>
      </c>
      <c r="J899" s="246" t="s">
        <v>1490</v>
      </c>
      <c r="K899" s="246" t="s">
        <v>486</v>
      </c>
      <c r="L899" s="246" t="s">
        <v>487</v>
      </c>
      <c r="M899" s="246" t="s">
        <v>495</v>
      </c>
      <c r="N899" s="246" t="s">
        <v>495</v>
      </c>
      <c r="O899" s="246" t="s">
        <v>534</v>
      </c>
      <c r="P899" s="246" t="s">
        <v>780</v>
      </c>
      <c r="Q899" s="247">
        <v>10053723</v>
      </c>
      <c r="R899" s="248">
        <v>43424</v>
      </c>
      <c r="S899" s="248">
        <v>43426</v>
      </c>
      <c r="T899" s="248">
        <v>43447</v>
      </c>
      <c r="U899" s="246" t="s">
        <v>488</v>
      </c>
      <c r="V899" s="246">
        <v>2</v>
      </c>
      <c r="W899" s="246" t="s">
        <v>219</v>
      </c>
      <c r="X899" s="246">
        <v>2</v>
      </c>
      <c r="Y899" s="246">
        <v>1</v>
      </c>
      <c r="Z899" s="246">
        <v>2</v>
      </c>
      <c r="AA899" s="246">
        <v>2</v>
      </c>
      <c r="AB899" s="246">
        <v>2</v>
      </c>
      <c r="AC899" s="246">
        <v>2</v>
      </c>
      <c r="AD899" s="246" t="s">
        <v>490</v>
      </c>
      <c r="AE899" s="246" t="s">
        <v>486</v>
      </c>
      <c r="AF899" s="246" t="s">
        <v>486</v>
      </c>
      <c r="AG899" s="246" t="s">
        <v>486</v>
      </c>
      <c r="AH899" s="246" t="s">
        <v>486</v>
      </c>
      <c r="AI899" s="246" t="s">
        <v>486</v>
      </c>
      <c r="AJ899" s="246" t="s">
        <v>486</v>
      </c>
      <c r="AK899" s="246" t="s">
        <v>486</v>
      </c>
      <c r="AL899" s="246" t="s">
        <v>491</v>
      </c>
      <c r="AM899" s="246" t="s">
        <v>486</v>
      </c>
      <c r="AN899" s="246" t="s">
        <v>486</v>
      </c>
      <c r="AO899" s="248" t="s">
        <v>486</v>
      </c>
      <c r="AP899" s="247" t="s">
        <v>486</v>
      </c>
      <c r="AQ899" s="249" t="s">
        <v>486</v>
      </c>
      <c r="AR899" s="246" t="s">
        <v>486</v>
      </c>
    </row>
    <row r="900" spans="1:44" ht="15" x14ac:dyDescent="0.25">
      <c r="A900" s="250" t="str">
        <f>HYPERLINK("http://www.ofsted.gov.uk/inspection-reports/find-inspection-report/provider/ELS/135027 ","Ofsted School Webpage")</f>
        <v>Ofsted School Webpage</v>
      </c>
      <c r="B900" s="251">
        <v>135027</v>
      </c>
      <c r="C900" s="251">
        <v>3526062</v>
      </c>
      <c r="D900" s="251" t="s">
        <v>775</v>
      </c>
      <c r="E900" s="251" t="s">
        <v>248</v>
      </c>
      <c r="F900" s="251" t="s">
        <v>93</v>
      </c>
      <c r="G900" s="251" t="s">
        <v>81</v>
      </c>
      <c r="H900" s="251" t="s">
        <v>81</v>
      </c>
      <c r="I900" s="251" t="s">
        <v>81</v>
      </c>
      <c r="J900" s="251" t="s">
        <v>1490</v>
      </c>
      <c r="K900" s="251" t="s">
        <v>486</v>
      </c>
      <c r="L900" s="251" t="s">
        <v>487</v>
      </c>
      <c r="M900" s="251" t="s">
        <v>495</v>
      </c>
      <c r="N900" s="251" t="s">
        <v>495</v>
      </c>
      <c r="O900" s="251" t="s">
        <v>744</v>
      </c>
      <c r="P900" s="251" t="s">
        <v>776</v>
      </c>
      <c r="Q900" s="252">
        <v>10053727</v>
      </c>
      <c r="R900" s="253">
        <v>43424</v>
      </c>
      <c r="S900" s="253">
        <v>43426</v>
      </c>
      <c r="T900" s="253">
        <v>43457</v>
      </c>
      <c r="U900" s="251" t="s">
        <v>488</v>
      </c>
      <c r="V900" s="251">
        <v>2</v>
      </c>
      <c r="W900" s="251" t="s">
        <v>219</v>
      </c>
      <c r="X900" s="251">
        <v>2</v>
      </c>
      <c r="Y900" s="251">
        <v>1</v>
      </c>
      <c r="Z900" s="251">
        <v>2</v>
      </c>
      <c r="AA900" s="251">
        <v>2</v>
      </c>
      <c r="AB900" s="251" t="s">
        <v>486</v>
      </c>
      <c r="AC900" s="251" t="s">
        <v>486</v>
      </c>
      <c r="AD900" s="251" t="s">
        <v>490</v>
      </c>
      <c r="AE900" s="251" t="s">
        <v>486</v>
      </c>
      <c r="AF900" s="251" t="s">
        <v>486</v>
      </c>
      <c r="AG900" s="251" t="s">
        <v>486</v>
      </c>
      <c r="AH900" s="251" t="s">
        <v>486</v>
      </c>
      <c r="AI900" s="251" t="s">
        <v>486</v>
      </c>
      <c r="AJ900" s="251" t="s">
        <v>486</v>
      </c>
      <c r="AK900" s="251" t="s">
        <v>486</v>
      </c>
      <c r="AL900" s="251" t="s">
        <v>491</v>
      </c>
      <c r="AM900" s="251" t="s">
        <v>486</v>
      </c>
      <c r="AN900" s="251" t="s">
        <v>486</v>
      </c>
      <c r="AO900" s="253" t="s">
        <v>486</v>
      </c>
      <c r="AP900" s="252" t="s">
        <v>486</v>
      </c>
      <c r="AQ900" s="254" t="s">
        <v>486</v>
      </c>
      <c r="AR900" s="251" t="s">
        <v>486</v>
      </c>
    </row>
    <row r="901" spans="1:44" ht="15" x14ac:dyDescent="0.25">
      <c r="A901" s="245" t="str">
        <f>HYPERLINK("http://www.ofsted.gov.uk/inspection-reports/find-inspection-report/provider/ELS/137318 ","Ofsted School Webpage")</f>
        <v>Ofsted School Webpage</v>
      </c>
      <c r="B901" s="246">
        <v>137318</v>
      </c>
      <c r="C901" s="246">
        <v>2046001</v>
      </c>
      <c r="D901" s="246" t="s">
        <v>773</v>
      </c>
      <c r="E901" s="246" t="s">
        <v>247</v>
      </c>
      <c r="F901" s="246" t="s">
        <v>93</v>
      </c>
      <c r="G901" s="246" t="s">
        <v>81</v>
      </c>
      <c r="H901" s="246" t="s">
        <v>81</v>
      </c>
      <c r="I901" s="246" t="s">
        <v>81</v>
      </c>
      <c r="J901" s="246" t="s">
        <v>1490</v>
      </c>
      <c r="K901" s="246" t="s">
        <v>486</v>
      </c>
      <c r="L901" s="246" t="s">
        <v>487</v>
      </c>
      <c r="M901" s="246" t="s">
        <v>506</v>
      </c>
      <c r="N901" s="246" t="s">
        <v>506</v>
      </c>
      <c r="O901" s="246" t="s">
        <v>617</v>
      </c>
      <c r="P901" s="246" t="s">
        <v>774</v>
      </c>
      <c r="Q901" s="247">
        <v>10054300</v>
      </c>
      <c r="R901" s="248">
        <v>43424</v>
      </c>
      <c r="S901" s="248">
        <v>43426</v>
      </c>
      <c r="T901" s="248">
        <v>43501</v>
      </c>
      <c r="U901" s="246" t="s">
        <v>488</v>
      </c>
      <c r="V901" s="246">
        <v>4</v>
      </c>
      <c r="W901" s="246" t="s">
        <v>219</v>
      </c>
      <c r="X901" s="246">
        <v>4</v>
      </c>
      <c r="Y901" s="246">
        <v>3</v>
      </c>
      <c r="Z901" s="246">
        <v>4</v>
      </c>
      <c r="AA901" s="246">
        <v>4</v>
      </c>
      <c r="AB901" s="246">
        <v>4</v>
      </c>
      <c r="AC901" s="246" t="s">
        <v>486</v>
      </c>
      <c r="AD901" s="246" t="s">
        <v>512</v>
      </c>
      <c r="AE901" s="246" t="s">
        <v>486</v>
      </c>
      <c r="AF901" s="246" t="s">
        <v>486</v>
      </c>
      <c r="AG901" s="246" t="s">
        <v>490</v>
      </c>
      <c r="AH901" s="246" t="s">
        <v>490</v>
      </c>
      <c r="AI901" s="246" t="s">
        <v>486</v>
      </c>
      <c r="AJ901" s="246" t="s">
        <v>486</v>
      </c>
      <c r="AK901" s="246" t="s">
        <v>486</v>
      </c>
      <c r="AL901" s="246" t="s">
        <v>545</v>
      </c>
      <c r="AM901" s="246" t="s">
        <v>486</v>
      </c>
      <c r="AN901" s="246" t="s">
        <v>486</v>
      </c>
      <c r="AO901" s="248" t="s">
        <v>486</v>
      </c>
      <c r="AP901" s="247" t="s">
        <v>486</v>
      </c>
      <c r="AQ901" s="249" t="s">
        <v>486</v>
      </c>
      <c r="AR901" s="246" t="s">
        <v>486</v>
      </c>
    </row>
    <row r="902" spans="1:44" ht="15" x14ac:dyDescent="0.25">
      <c r="A902" s="250" t="str">
        <f>HYPERLINK("http://www.ofsted.gov.uk/inspection-reports/find-inspection-report/provider/ELS/137511 ","Ofsted School Webpage")</f>
        <v>Ofsted School Webpage</v>
      </c>
      <c r="B902" s="251">
        <v>137511</v>
      </c>
      <c r="C902" s="251">
        <v>8416006</v>
      </c>
      <c r="D902" s="251" t="s">
        <v>783</v>
      </c>
      <c r="E902" s="251" t="s">
        <v>248</v>
      </c>
      <c r="F902" s="251" t="s">
        <v>93</v>
      </c>
      <c r="G902" s="251" t="s">
        <v>93</v>
      </c>
      <c r="H902" s="251" t="s">
        <v>93</v>
      </c>
      <c r="I902" s="251" t="s">
        <v>90</v>
      </c>
      <c r="J902" s="251" t="s">
        <v>1490</v>
      </c>
      <c r="K902" s="251" t="s">
        <v>486</v>
      </c>
      <c r="L902" s="251" t="s">
        <v>487</v>
      </c>
      <c r="M902" s="251" t="s">
        <v>523</v>
      </c>
      <c r="N902" s="251" t="s">
        <v>539</v>
      </c>
      <c r="O902" s="251" t="s">
        <v>540</v>
      </c>
      <c r="P902" s="251" t="s">
        <v>784</v>
      </c>
      <c r="Q902" s="252">
        <v>10053831</v>
      </c>
      <c r="R902" s="253">
        <v>43424</v>
      </c>
      <c r="S902" s="253">
        <v>43426</v>
      </c>
      <c r="T902" s="253">
        <v>43452</v>
      </c>
      <c r="U902" s="251" t="s">
        <v>488</v>
      </c>
      <c r="V902" s="251">
        <v>2</v>
      </c>
      <c r="W902" s="251" t="s">
        <v>219</v>
      </c>
      <c r="X902" s="251">
        <v>2</v>
      </c>
      <c r="Y902" s="251">
        <v>2</v>
      </c>
      <c r="Z902" s="251">
        <v>2</v>
      </c>
      <c r="AA902" s="251">
        <v>2</v>
      </c>
      <c r="AB902" s="251" t="s">
        <v>486</v>
      </c>
      <c r="AC902" s="251" t="s">
        <v>486</v>
      </c>
      <c r="AD902" s="251" t="s">
        <v>490</v>
      </c>
      <c r="AE902" s="251" t="s">
        <v>486</v>
      </c>
      <c r="AF902" s="251" t="s">
        <v>486</v>
      </c>
      <c r="AG902" s="251" t="s">
        <v>486</v>
      </c>
      <c r="AH902" s="251" t="s">
        <v>486</v>
      </c>
      <c r="AI902" s="251" t="s">
        <v>486</v>
      </c>
      <c r="AJ902" s="251" t="s">
        <v>486</v>
      </c>
      <c r="AK902" s="251" t="s">
        <v>486</v>
      </c>
      <c r="AL902" s="251" t="s">
        <v>491</v>
      </c>
      <c r="AM902" s="251" t="s">
        <v>486</v>
      </c>
      <c r="AN902" s="251" t="s">
        <v>486</v>
      </c>
      <c r="AO902" s="253" t="s">
        <v>486</v>
      </c>
      <c r="AP902" s="252" t="s">
        <v>486</v>
      </c>
      <c r="AQ902" s="254" t="s">
        <v>486</v>
      </c>
      <c r="AR902" s="251" t="s">
        <v>486</v>
      </c>
    </row>
    <row r="903" spans="1:44" ht="15" x14ac:dyDescent="0.25">
      <c r="A903" s="245" t="str">
        <f>HYPERLINK("http://www.ofsted.gov.uk/inspection-reports/find-inspection-report/provider/ELS/145402 ","Ofsted School Webpage")</f>
        <v>Ofsted School Webpage</v>
      </c>
      <c r="B903" s="246">
        <v>145402</v>
      </c>
      <c r="C903" s="246">
        <v>9096007</v>
      </c>
      <c r="D903" s="246" t="s">
        <v>785</v>
      </c>
      <c r="E903" s="246" t="s">
        <v>248</v>
      </c>
      <c r="F903" s="246" t="s">
        <v>93</v>
      </c>
      <c r="G903" s="246" t="s">
        <v>93</v>
      </c>
      <c r="H903" s="246" t="s">
        <v>93</v>
      </c>
      <c r="I903" s="246" t="s">
        <v>90</v>
      </c>
      <c r="J903" s="246" t="s">
        <v>1490</v>
      </c>
      <c r="K903" s="246" t="s">
        <v>486</v>
      </c>
      <c r="L903" s="246" t="s">
        <v>487</v>
      </c>
      <c r="M903" s="246" t="s">
        <v>495</v>
      </c>
      <c r="N903" s="246" t="s">
        <v>495</v>
      </c>
      <c r="O903" s="246" t="s">
        <v>663</v>
      </c>
      <c r="P903" s="246" t="s">
        <v>786</v>
      </c>
      <c r="Q903" s="247">
        <v>10053744</v>
      </c>
      <c r="R903" s="248">
        <v>43424</v>
      </c>
      <c r="S903" s="248">
        <v>43426</v>
      </c>
      <c r="T903" s="248">
        <v>43452</v>
      </c>
      <c r="U903" s="246" t="s">
        <v>499</v>
      </c>
      <c r="V903" s="246">
        <v>2</v>
      </c>
      <c r="W903" s="246" t="s">
        <v>219</v>
      </c>
      <c r="X903" s="246">
        <v>2</v>
      </c>
      <c r="Y903" s="246">
        <v>2</v>
      </c>
      <c r="Z903" s="246">
        <v>2</v>
      </c>
      <c r="AA903" s="246">
        <v>2</v>
      </c>
      <c r="AB903" s="246" t="s">
        <v>486</v>
      </c>
      <c r="AC903" s="246" t="s">
        <v>486</v>
      </c>
      <c r="AD903" s="246" t="s">
        <v>490</v>
      </c>
      <c r="AE903" s="246" t="s">
        <v>486</v>
      </c>
      <c r="AF903" s="246" t="s">
        <v>486</v>
      </c>
      <c r="AG903" s="246" t="s">
        <v>486</v>
      </c>
      <c r="AH903" s="246" t="s">
        <v>486</v>
      </c>
      <c r="AI903" s="246" t="s">
        <v>486</v>
      </c>
      <c r="AJ903" s="246" t="s">
        <v>486</v>
      </c>
      <c r="AK903" s="246" t="s">
        <v>486</v>
      </c>
      <c r="AL903" s="246" t="s">
        <v>491</v>
      </c>
      <c r="AM903" s="246" t="s">
        <v>486</v>
      </c>
      <c r="AN903" s="246" t="s">
        <v>486</v>
      </c>
      <c r="AO903" s="248" t="s">
        <v>486</v>
      </c>
      <c r="AP903" s="247" t="s">
        <v>486</v>
      </c>
      <c r="AQ903" s="249" t="s">
        <v>486</v>
      </c>
      <c r="AR903" s="246" t="s">
        <v>486</v>
      </c>
    </row>
    <row r="904" spans="1:44" ht="15" x14ac:dyDescent="0.25">
      <c r="A904" s="250" t="str">
        <f>HYPERLINK("http://www.ofsted.gov.uk/inspection-reports/find-inspection-report/provider/ELS/135577 ","Ofsted School Webpage")</f>
        <v>Ofsted School Webpage</v>
      </c>
      <c r="B904" s="251">
        <v>135577</v>
      </c>
      <c r="C904" s="251">
        <v>9366593</v>
      </c>
      <c r="D904" s="251" t="s">
        <v>787</v>
      </c>
      <c r="E904" s="251" t="s">
        <v>248</v>
      </c>
      <c r="F904" s="251" t="s">
        <v>93</v>
      </c>
      <c r="G904" s="251" t="s">
        <v>93</v>
      </c>
      <c r="H904" s="251" t="s">
        <v>93</v>
      </c>
      <c r="I904" s="251" t="s">
        <v>90</v>
      </c>
      <c r="J904" s="251" t="s">
        <v>1490</v>
      </c>
      <c r="K904" s="251" t="s">
        <v>486</v>
      </c>
      <c r="L904" s="251" t="s">
        <v>487</v>
      </c>
      <c r="M904" s="251" t="s">
        <v>581</v>
      </c>
      <c r="N904" s="251" t="s">
        <v>581</v>
      </c>
      <c r="O904" s="251" t="s">
        <v>788</v>
      </c>
      <c r="P904" s="251" t="s">
        <v>789</v>
      </c>
      <c r="Q904" s="252">
        <v>10068081</v>
      </c>
      <c r="R904" s="253">
        <v>43425</v>
      </c>
      <c r="S904" s="253">
        <v>43427</v>
      </c>
      <c r="T904" s="253">
        <v>43447</v>
      </c>
      <c r="U904" s="251" t="s">
        <v>488</v>
      </c>
      <c r="V904" s="251">
        <v>2</v>
      </c>
      <c r="W904" s="251" t="s">
        <v>219</v>
      </c>
      <c r="X904" s="251">
        <v>2</v>
      </c>
      <c r="Y904" s="251">
        <v>2</v>
      </c>
      <c r="Z904" s="251">
        <v>2</v>
      </c>
      <c r="AA904" s="251">
        <v>2</v>
      </c>
      <c r="AB904" s="251" t="s">
        <v>486</v>
      </c>
      <c r="AC904" s="251">
        <v>2</v>
      </c>
      <c r="AD904" s="251" t="s">
        <v>490</v>
      </c>
      <c r="AE904" s="251" t="s">
        <v>486</v>
      </c>
      <c r="AF904" s="251" t="s">
        <v>486</v>
      </c>
      <c r="AG904" s="251" t="s">
        <v>486</v>
      </c>
      <c r="AH904" s="251" t="s">
        <v>486</v>
      </c>
      <c r="AI904" s="251" t="s">
        <v>486</v>
      </c>
      <c r="AJ904" s="251" t="s">
        <v>486</v>
      </c>
      <c r="AK904" s="251" t="s">
        <v>486</v>
      </c>
      <c r="AL904" s="251" t="s">
        <v>491</v>
      </c>
      <c r="AM904" s="251" t="s">
        <v>486</v>
      </c>
      <c r="AN904" s="251" t="s">
        <v>486</v>
      </c>
      <c r="AO904" s="253" t="s">
        <v>486</v>
      </c>
      <c r="AP904" s="252" t="s">
        <v>486</v>
      </c>
      <c r="AQ904" s="254" t="s">
        <v>486</v>
      </c>
      <c r="AR904" s="251" t="s">
        <v>486</v>
      </c>
    </row>
    <row r="905" spans="1:44" ht="15" x14ac:dyDescent="0.25">
      <c r="A905" s="245" t="str">
        <f>HYPERLINK("http://www.ofsted.gov.uk/inspection-reports/find-inspection-report/provider/ELS/101073 ","Ofsted School Webpage")</f>
        <v>Ofsted School Webpage</v>
      </c>
      <c r="B905" s="246">
        <v>101073</v>
      </c>
      <c r="C905" s="246">
        <v>2086344</v>
      </c>
      <c r="D905" s="246" t="s">
        <v>819</v>
      </c>
      <c r="E905" s="246" t="s">
        <v>247</v>
      </c>
      <c r="F905" s="246" t="s">
        <v>93</v>
      </c>
      <c r="G905" s="246" t="s">
        <v>93</v>
      </c>
      <c r="H905" s="246" t="s">
        <v>93</v>
      </c>
      <c r="I905" s="246" t="s">
        <v>90</v>
      </c>
      <c r="J905" s="246" t="s">
        <v>1490</v>
      </c>
      <c r="K905" s="246" t="s">
        <v>486</v>
      </c>
      <c r="L905" s="246" t="s">
        <v>487</v>
      </c>
      <c r="M905" s="246" t="s">
        <v>506</v>
      </c>
      <c r="N905" s="246" t="s">
        <v>506</v>
      </c>
      <c r="O905" s="246" t="s">
        <v>820</v>
      </c>
      <c r="P905" s="246" t="s">
        <v>821</v>
      </c>
      <c r="Q905" s="247">
        <v>10085318</v>
      </c>
      <c r="R905" s="248">
        <v>43431</v>
      </c>
      <c r="S905" s="248">
        <v>43433</v>
      </c>
      <c r="T905" s="248">
        <v>43494</v>
      </c>
      <c r="U905" s="246" t="s">
        <v>488</v>
      </c>
      <c r="V905" s="246">
        <v>4</v>
      </c>
      <c r="W905" s="246" t="s">
        <v>220</v>
      </c>
      <c r="X905" s="246">
        <v>4</v>
      </c>
      <c r="Y905" s="246">
        <v>4</v>
      </c>
      <c r="Z905" s="246">
        <v>4</v>
      </c>
      <c r="AA905" s="246">
        <v>4</v>
      </c>
      <c r="AB905" s="246">
        <v>4</v>
      </c>
      <c r="AC905" s="246" t="s">
        <v>486</v>
      </c>
      <c r="AD905" s="246" t="s">
        <v>490</v>
      </c>
      <c r="AE905" s="246" t="s">
        <v>486</v>
      </c>
      <c r="AF905" s="246" t="s">
        <v>486</v>
      </c>
      <c r="AG905" s="246" t="s">
        <v>486</v>
      </c>
      <c r="AH905" s="246" t="s">
        <v>486</v>
      </c>
      <c r="AI905" s="246" t="s">
        <v>486</v>
      </c>
      <c r="AJ905" s="246" t="s">
        <v>486</v>
      </c>
      <c r="AK905" s="246" t="s">
        <v>486</v>
      </c>
      <c r="AL905" s="246" t="s">
        <v>545</v>
      </c>
      <c r="AM905" s="246" t="s">
        <v>486</v>
      </c>
      <c r="AN905" s="246" t="s">
        <v>486</v>
      </c>
      <c r="AO905" s="248" t="s">
        <v>486</v>
      </c>
      <c r="AP905" s="247" t="s">
        <v>486</v>
      </c>
      <c r="AQ905" s="249" t="s">
        <v>486</v>
      </c>
      <c r="AR905" s="246" t="s">
        <v>486</v>
      </c>
    </row>
    <row r="906" spans="1:44" ht="15" x14ac:dyDescent="0.25">
      <c r="A906" s="250" t="str">
        <f>HYPERLINK("http://www.ofsted.gov.uk/inspection-reports/find-inspection-report/provider/ELS/103111 ","Ofsted School Webpage")</f>
        <v>Ofsted School Webpage</v>
      </c>
      <c r="B906" s="251">
        <v>103111</v>
      </c>
      <c r="C906" s="251">
        <v>3096005</v>
      </c>
      <c r="D906" s="251" t="s">
        <v>815</v>
      </c>
      <c r="E906" s="251" t="s">
        <v>247</v>
      </c>
      <c r="F906" s="251" t="s">
        <v>93</v>
      </c>
      <c r="G906" s="251" t="s">
        <v>78</v>
      </c>
      <c r="H906" s="251" t="s">
        <v>78</v>
      </c>
      <c r="I906" s="251" t="s">
        <v>71</v>
      </c>
      <c r="J906" s="251" t="s">
        <v>1490</v>
      </c>
      <c r="K906" s="251" t="s">
        <v>486</v>
      </c>
      <c r="L906" s="251" t="s">
        <v>487</v>
      </c>
      <c r="M906" s="251" t="s">
        <v>506</v>
      </c>
      <c r="N906" s="251" t="s">
        <v>506</v>
      </c>
      <c r="O906" s="251" t="s">
        <v>595</v>
      </c>
      <c r="P906" s="251" t="s">
        <v>816</v>
      </c>
      <c r="Q906" s="252">
        <v>10067128</v>
      </c>
      <c r="R906" s="253">
        <v>43431</v>
      </c>
      <c r="S906" s="253">
        <v>43433</v>
      </c>
      <c r="T906" s="253">
        <v>43454</v>
      </c>
      <c r="U906" s="251" t="s">
        <v>488</v>
      </c>
      <c r="V906" s="251">
        <v>2</v>
      </c>
      <c r="W906" s="251" t="s">
        <v>219</v>
      </c>
      <c r="X906" s="251">
        <v>2</v>
      </c>
      <c r="Y906" s="251">
        <v>2</v>
      </c>
      <c r="Z906" s="251">
        <v>2</v>
      </c>
      <c r="AA906" s="251">
        <v>2</v>
      </c>
      <c r="AB906" s="251">
        <v>1</v>
      </c>
      <c r="AC906" s="251" t="s">
        <v>486</v>
      </c>
      <c r="AD906" s="251" t="s">
        <v>490</v>
      </c>
      <c r="AE906" s="251" t="s">
        <v>486</v>
      </c>
      <c r="AF906" s="251" t="s">
        <v>486</v>
      </c>
      <c r="AG906" s="251" t="s">
        <v>486</v>
      </c>
      <c r="AH906" s="251" t="s">
        <v>486</v>
      </c>
      <c r="AI906" s="251" t="s">
        <v>486</v>
      </c>
      <c r="AJ906" s="251" t="s">
        <v>486</v>
      </c>
      <c r="AK906" s="251" t="s">
        <v>486</v>
      </c>
      <c r="AL906" s="251" t="s">
        <v>491</v>
      </c>
      <c r="AM906" s="251" t="s">
        <v>486</v>
      </c>
      <c r="AN906" s="251" t="s">
        <v>486</v>
      </c>
      <c r="AO906" s="253" t="s">
        <v>486</v>
      </c>
      <c r="AP906" s="252" t="s">
        <v>486</v>
      </c>
      <c r="AQ906" s="254" t="s">
        <v>486</v>
      </c>
      <c r="AR906" s="251" t="s">
        <v>486</v>
      </c>
    </row>
    <row r="907" spans="1:44" ht="15" x14ac:dyDescent="0.25">
      <c r="A907" s="245" t="str">
        <f>HYPERLINK("http://www.ofsted.gov.uk/inspection-reports/find-inspection-report/provider/ELS/106817 ","Ofsted School Webpage")</f>
        <v>Ofsted School Webpage</v>
      </c>
      <c r="B907" s="246">
        <v>106817</v>
      </c>
      <c r="C907" s="246">
        <v>3716011</v>
      </c>
      <c r="D907" s="246" t="s">
        <v>807</v>
      </c>
      <c r="E907" s="246" t="s">
        <v>248</v>
      </c>
      <c r="F907" s="246" t="s">
        <v>93</v>
      </c>
      <c r="G907" s="246" t="s">
        <v>93</v>
      </c>
      <c r="H907" s="246" t="s">
        <v>93</v>
      </c>
      <c r="I907" s="246" t="s">
        <v>90</v>
      </c>
      <c r="J907" s="246" t="s">
        <v>1490</v>
      </c>
      <c r="K907" s="246" t="s">
        <v>486</v>
      </c>
      <c r="L907" s="246" t="s">
        <v>487</v>
      </c>
      <c r="M907" s="246" t="s">
        <v>523</v>
      </c>
      <c r="N907" s="246" t="s">
        <v>524</v>
      </c>
      <c r="O907" s="246" t="s">
        <v>808</v>
      </c>
      <c r="P907" s="246" t="s">
        <v>809</v>
      </c>
      <c r="Q907" s="247">
        <v>10053824</v>
      </c>
      <c r="R907" s="248">
        <v>43431</v>
      </c>
      <c r="S907" s="248">
        <v>43433</v>
      </c>
      <c r="T907" s="248">
        <v>43464</v>
      </c>
      <c r="U907" s="246" t="s">
        <v>2930</v>
      </c>
      <c r="V907" s="246">
        <v>2</v>
      </c>
      <c r="W907" s="246" t="s">
        <v>219</v>
      </c>
      <c r="X907" s="246">
        <v>2</v>
      </c>
      <c r="Y907" s="246">
        <v>2</v>
      </c>
      <c r="Z907" s="246">
        <v>2</v>
      </c>
      <c r="AA907" s="246">
        <v>2</v>
      </c>
      <c r="AB907" s="246" t="s">
        <v>486</v>
      </c>
      <c r="AC907" s="246" t="s">
        <v>486</v>
      </c>
      <c r="AD907" s="246" t="s">
        <v>490</v>
      </c>
      <c r="AE907" s="246" t="s">
        <v>486</v>
      </c>
      <c r="AF907" s="246" t="s">
        <v>486</v>
      </c>
      <c r="AG907" s="246" t="s">
        <v>486</v>
      </c>
      <c r="AH907" s="246" t="s">
        <v>486</v>
      </c>
      <c r="AI907" s="246" t="s">
        <v>486</v>
      </c>
      <c r="AJ907" s="246" t="s">
        <v>486</v>
      </c>
      <c r="AK907" s="246" t="s">
        <v>486</v>
      </c>
      <c r="AL907" s="246" t="s">
        <v>491</v>
      </c>
      <c r="AM907" s="246" t="s">
        <v>486</v>
      </c>
      <c r="AN907" s="246" t="s">
        <v>486</v>
      </c>
      <c r="AO907" s="248" t="s">
        <v>486</v>
      </c>
      <c r="AP907" s="247" t="s">
        <v>486</v>
      </c>
      <c r="AQ907" s="249" t="s">
        <v>486</v>
      </c>
      <c r="AR907" s="246" t="s">
        <v>486</v>
      </c>
    </row>
    <row r="908" spans="1:44" ht="15" x14ac:dyDescent="0.25">
      <c r="A908" s="250" t="str">
        <f>HYPERLINK("http://www.ofsted.gov.uk/inspection-reports/find-inspection-report/provider/ELS/126542 ","Ofsted School Webpage")</f>
        <v>Ofsted School Webpage</v>
      </c>
      <c r="B908" s="251">
        <v>126542</v>
      </c>
      <c r="C908" s="251">
        <v>8656024</v>
      </c>
      <c r="D908" s="251" t="s">
        <v>790</v>
      </c>
      <c r="E908" s="251" t="s">
        <v>248</v>
      </c>
      <c r="F908" s="251" t="s">
        <v>93</v>
      </c>
      <c r="G908" s="251" t="s">
        <v>93</v>
      </c>
      <c r="H908" s="251" t="s">
        <v>93</v>
      </c>
      <c r="I908" s="251" t="s">
        <v>90</v>
      </c>
      <c r="J908" s="251" t="s">
        <v>1490</v>
      </c>
      <c r="K908" s="251" t="s">
        <v>486</v>
      </c>
      <c r="L908" s="251" t="s">
        <v>487</v>
      </c>
      <c r="M908" s="251" t="s">
        <v>483</v>
      </c>
      <c r="N908" s="251" t="s">
        <v>483</v>
      </c>
      <c r="O908" s="251" t="s">
        <v>791</v>
      </c>
      <c r="P908" s="251" t="s">
        <v>792</v>
      </c>
      <c r="Q908" s="252">
        <v>10053773</v>
      </c>
      <c r="R908" s="253">
        <v>43431</v>
      </c>
      <c r="S908" s="253">
        <v>43433</v>
      </c>
      <c r="T908" s="253">
        <v>43485</v>
      </c>
      <c r="U908" s="251" t="s">
        <v>488</v>
      </c>
      <c r="V908" s="251">
        <v>1</v>
      </c>
      <c r="W908" s="251" t="s">
        <v>219</v>
      </c>
      <c r="X908" s="251">
        <v>1</v>
      </c>
      <c r="Y908" s="251">
        <v>1</v>
      </c>
      <c r="Z908" s="251">
        <v>1</v>
      </c>
      <c r="AA908" s="251">
        <v>1</v>
      </c>
      <c r="AB908" s="251" t="s">
        <v>486</v>
      </c>
      <c r="AC908" s="251" t="s">
        <v>486</v>
      </c>
      <c r="AD908" s="251" t="s">
        <v>490</v>
      </c>
      <c r="AE908" s="251" t="s">
        <v>486</v>
      </c>
      <c r="AF908" s="251" t="s">
        <v>486</v>
      </c>
      <c r="AG908" s="251" t="s">
        <v>486</v>
      </c>
      <c r="AH908" s="251" t="s">
        <v>486</v>
      </c>
      <c r="AI908" s="251" t="s">
        <v>486</v>
      </c>
      <c r="AJ908" s="251" t="s">
        <v>486</v>
      </c>
      <c r="AK908" s="251" t="s">
        <v>486</v>
      </c>
      <c r="AL908" s="251" t="s">
        <v>491</v>
      </c>
      <c r="AM908" s="251" t="s">
        <v>486</v>
      </c>
      <c r="AN908" s="251" t="s">
        <v>486</v>
      </c>
      <c r="AO908" s="253" t="s">
        <v>486</v>
      </c>
      <c r="AP908" s="252" t="s">
        <v>486</v>
      </c>
      <c r="AQ908" s="254" t="s">
        <v>486</v>
      </c>
      <c r="AR908" s="251" t="s">
        <v>486</v>
      </c>
    </row>
    <row r="909" spans="1:44" ht="15" x14ac:dyDescent="0.25">
      <c r="A909" s="245" t="str">
        <f>HYPERLINK("http://www.ofsted.gov.uk/inspection-reports/find-inspection-report/provider/ELS/132066 ","Ofsted School Webpage")</f>
        <v>Ofsted School Webpage</v>
      </c>
      <c r="B909" s="246">
        <v>132066</v>
      </c>
      <c r="C909" s="246">
        <v>2036299</v>
      </c>
      <c r="D909" s="246" t="s">
        <v>822</v>
      </c>
      <c r="E909" s="246" t="s">
        <v>247</v>
      </c>
      <c r="F909" s="246" t="s">
        <v>93</v>
      </c>
      <c r="G909" s="246" t="s">
        <v>93</v>
      </c>
      <c r="H909" s="246" t="s">
        <v>93</v>
      </c>
      <c r="I909" s="246" t="s">
        <v>90</v>
      </c>
      <c r="J909" s="246" t="s">
        <v>1490</v>
      </c>
      <c r="K909" s="246" t="s">
        <v>486</v>
      </c>
      <c r="L909" s="246" t="s">
        <v>487</v>
      </c>
      <c r="M909" s="246" t="s">
        <v>506</v>
      </c>
      <c r="N909" s="246" t="s">
        <v>506</v>
      </c>
      <c r="O909" s="246" t="s">
        <v>823</v>
      </c>
      <c r="P909" s="246" t="s">
        <v>824</v>
      </c>
      <c r="Q909" s="247">
        <v>10085335</v>
      </c>
      <c r="R909" s="248">
        <v>43431</v>
      </c>
      <c r="S909" s="248">
        <v>43433</v>
      </c>
      <c r="T909" s="248">
        <v>43494</v>
      </c>
      <c r="U909" s="246" t="s">
        <v>488</v>
      </c>
      <c r="V909" s="246">
        <v>3</v>
      </c>
      <c r="W909" s="246" t="s">
        <v>219</v>
      </c>
      <c r="X909" s="246">
        <v>2</v>
      </c>
      <c r="Y909" s="246">
        <v>2</v>
      </c>
      <c r="Z909" s="246">
        <v>3</v>
      </c>
      <c r="AA909" s="246">
        <v>3</v>
      </c>
      <c r="AB909" s="246">
        <v>1</v>
      </c>
      <c r="AC909" s="246" t="s">
        <v>486</v>
      </c>
      <c r="AD909" s="246" t="s">
        <v>490</v>
      </c>
      <c r="AE909" s="246" t="s">
        <v>486</v>
      </c>
      <c r="AF909" s="246" t="s">
        <v>486</v>
      </c>
      <c r="AG909" s="246" t="s">
        <v>486</v>
      </c>
      <c r="AH909" s="246" t="s">
        <v>486</v>
      </c>
      <c r="AI909" s="246" t="s">
        <v>486</v>
      </c>
      <c r="AJ909" s="246" t="s">
        <v>486</v>
      </c>
      <c r="AK909" s="246" t="s">
        <v>486</v>
      </c>
      <c r="AL909" s="246" t="s">
        <v>491</v>
      </c>
      <c r="AM909" s="246" t="s">
        <v>486</v>
      </c>
      <c r="AN909" s="246" t="s">
        <v>486</v>
      </c>
      <c r="AO909" s="248" t="s">
        <v>486</v>
      </c>
      <c r="AP909" s="247" t="s">
        <v>486</v>
      </c>
      <c r="AQ909" s="249" t="s">
        <v>486</v>
      </c>
      <c r="AR909" s="246" t="s">
        <v>486</v>
      </c>
    </row>
    <row r="910" spans="1:44" ht="15" x14ac:dyDescent="0.25">
      <c r="A910" s="250" t="str">
        <f>HYPERLINK("http://www.ofsted.gov.uk/inspection-reports/find-inspection-report/provider/ELS/134400 ","Ofsted School Webpage")</f>
        <v>Ofsted School Webpage</v>
      </c>
      <c r="B910" s="251">
        <v>134400</v>
      </c>
      <c r="C910" s="251">
        <v>2096363</v>
      </c>
      <c r="D910" s="251" t="s">
        <v>801</v>
      </c>
      <c r="E910" s="251" t="s">
        <v>247</v>
      </c>
      <c r="F910" s="251" t="s">
        <v>83</v>
      </c>
      <c r="G910" s="251" t="s">
        <v>84</v>
      </c>
      <c r="H910" s="251" t="s">
        <v>83</v>
      </c>
      <c r="I910" s="251" t="s">
        <v>84</v>
      </c>
      <c r="J910" s="251" t="s">
        <v>1490</v>
      </c>
      <c r="K910" s="251" t="s">
        <v>486</v>
      </c>
      <c r="L910" s="251" t="s">
        <v>487</v>
      </c>
      <c r="M910" s="251" t="s">
        <v>506</v>
      </c>
      <c r="N910" s="251" t="s">
        <v>506</v>
      </c>
      <c r="O910" s="251" t="s">
        <v>739</v>
      </c>
      <c r="P910" s="251" t="s">
        <v>802</v>
      </c>
      <c r="Q910" s="252">
        <v>10067171</v>
      </c>
      <c r="R910" s="253">
        <v>43431</v>
      </c>
      <c r="S910" s="253">
        <v>43433</v>
      </c>
      <c r="T910" s="253">
        <v>43503</v>
      </c>
      <c r="U910" s="251" t="s">
        <v>488</v>
      </c>
      <c r="V910" s="251">
        <v>4</v>
      </c>
      <c r="W910" s="251" t="s">
        <v>220</v>
      </c>
      <c r="X910" s="251">
        <v>4</v>
      </c>
      <c r="Y910" s="251">
        <v>4</v>
      </c>
      <c r="Z910" s="251">
        <v>2</v>
      </c>
      <c r="AA910" s="251">
        <v>2</v>
      </c>
      <c r="AB910" s="251">
        <v>4</v>
      </c>
      <c r="AC910" s="251" t="s">
        <v>486</v>
      </c>
      <c r="AD910" s="251" t="s">
        <v>512</v>
      </c>
      <c r="AE910" s="251" t="s">
        <v>486</v>
      </c>
      <c r="AF910" s="251" t="s">
        <v>486</v>
      </c>
      <c r="AG910" s="251" t="s">
        <v>486</v>
      </c>
      <c r="AH910" s="251" t="s">
        <v>490</v>
      </c>
      <c r="AI910" s="251" t="s">
        <v>486</v>
      </c>
      <c r="AJ910" s="251" t="s">
        <v>486</v>
      </c>
      <c r="AK910" s="251" t="s">
        <v>486</v>
      </c>
      <c r="AL910" s="251" t="s">
        <v>545</v>
      </c>
      <c r="AM910" s="251" t="s">
        <v>486</v>
      </c>
      <c r="AN910" s="251" t="s">
        <v>486</v>
      </c>
      <c r="AO910" s="253" t="s">
        <v>486</v>
      </c>
      <c r="AP910" s="252" t="s">
        <v>486</v>
      </c>
      <c r="AQ910" s="254" t="s">
        <v>486</v>
      </c>
      <c r="AR910" s="251" t="s">
        <v>486</v>
      </c>
    </row>
    <row r="911" spans="1:44" ht="15" x14ac:dyDescent="0.25">
      <c r="A911" s="245" t="str">
        <f>HYPERLINK("http://www.ofsted.gov.uk/inspection-reports/find-inspection-report/provider/ELS/134591 ","Ofsted School Webpage")</f>
        <v>Ofsted School Webpage</v>
      </c>
      <c r="B911" s="246">
        <v>134591</v>
      </c>
      <c r="C911" s="246">
        <v>3166065</v>
      </c>
      <c r="D911" s="246" t="s">
        <v>798</v>
      </c>
      <c r="E911" s="246" t="s">
        <v>247</v>
      </c>
      <c r="F911" s="246" t="s">
        <v>93</v>
      </c>
      <c r="G911" s="246" t="s">
        <v>84</v>
      </c>
      <c r="H911" s="246" t="s">
        <v>84</v>
      </c>
      <c r="I911" s="246" t="s">
        <v>84</v>
      </c>
      <c r="J911" s="246" t="s">
        <v>1490</v>
      </c>
      <c r="K911" s="246" t="s">
        <v>486</v>
      </c>
      <c r="L911" s="246" t="s">
        <v>487</v>
      </c>
      <c r="M911" s="246" t="s">
        <v>506</v>
      </c>
      <c r="N911" s="246" t="s">
        <v>506</v>
      </c>
      <c r="O911" s="246" t="s">
        <v>799</v>
      </c>
      <c r="P911" s="246" t="s">
        <v>800</v>
      </c>
      <c r="Q911" s="247">
        <v>10054293</v>
      </c>
      <c r="R911" s="248">
        <v>43431</v>
      </c>
      <c r="S911" s="248">
        <v>43433</v>
      </c>
      <c r="T911" s="248">
        <v>43481</v>
      </c>
      <c r="U911" s="246" t="s">
        <v>488</v>
      </c>
      <c r="V911" s="246">
        <v>2</v>
      </c>
      <c r="W911" s="246" t="s">
        <v>219</v>
      </c>
      <c r="X911" s="246">
        <v>1</v>
      </c>
      <c r="Y911" s="246">
        <v>2</v>
      </c>
      <c r="Z911" s="246">
        <v>2</v>
      </c>
      <c r="AA911" s="246">
        <v>2</v>
      </c>
      <c r="AB911" s="246" t="s">
        <v>486</v>
      </c>
      <c r="AC911" s="246" t="s">
        <v>486</v>
      </c>
      <c r="AD911" s="246" t="s">
        <v>490</v>
      </c>
      <c r="AE911" s="246" t="s">
        <v>486</v>
      </c>
      <c r="AF911" s="246" t="s">
        <v>486</v>
      </c>
      <c r="AG911" s="246" t="s">
        <v>486</v>
      </c>
      <c r="AH911" s="246" t="s">
        <v>486</v>
      </c>
      <c r="AI911" s="246" t="s">
        <v>486</v>
      </c>
      <c r="AJ911" s="246" t="s">
        <v>486</v>
      </c>
      <c r="AK911" s="246" t="s">
        <v>486</v>
      </c>
      <c r="AL911" s="246" t="s">
        <v>491</v>
      </c>
      <c r="AM911" s="246" t="s">
        <v>486</v>
      </c>
      <c r="AN911" s="246" t="s">
        <v>486</v>
      </c>
      <c r="AO911" s="248" t="s">
        <v>486</v>
      </c>
      <c r="AP911" s="247" t="s">
        <v>486</v>
      </c>
      <c r="AQ911" s="249" t="s">
        <v>486</v>
      </c>
      <c r="AR911" s="246" t="s">
        <v>486</v>
      </c>
    </row>
    <row r="912" spans="1:44" ht="15" x14ac:dyDescent="0.25">
      <c r="A912" s="250" t="str">
        <f>HYPERLINK("http://www.ofsted.gov.uk/inspection-reports/find-inspection-report/provider/ELS/135090 ","Ofsted School Webpage")</f>
        <v>Ofsted School Webpage</v>
      </c>
      <c r="B912" s="251">
        <v>135090</v>
      </c>
      <c r="C912" s="251">
        <v>3136081</v>
      </c>
      <c r="D912" s="251" t="s">
        <v>812</v>
      </c>
      <c r="E912" s="251" t="s">
        <v>247</v>
      </c>
      <c r="F912" s="251" t="s">
        <v>93</v>
      </c>
      <c r="G912" s="251" t="s">
        <v>93</v>
      </c>
      <c r="H912" s="251" t="s">
        <v>93</v>
      </c>
      <c r="I912" s="251" t="s">
        <v>90</v>
      </c>
      <c r="J912" s="251" t="s">
        <v>1490</v>
      </c>
      <c r="K912" s="251" t="s">
        <v>486</v>
      </c>
      <c r="L912" s="251" t="s">
        <v>487</v>
      </c>
      <c r="M912" s="251" t="s">
        <v>506</v>
      </c>
      <c r="N912" s="251" t="s">
        <v>506</v>
      </c>
      <c r="O912" s="251" t="s">
        <v>813</v>
      </c>
      <c r="P912" s="251" t="s">
        <v>814</v>
      </c>
      <c r="Q912" s="252">
        <v>10055429</v>
      </c>
      <c r="R912" s="253">
        <v>43431</v>
      </c>
      <c r="S912" s="253">
        <v>43433</v>
      </c>
      <c r="T912" s="253">
        <v>43450</v>
      </c>
      <c r="U912" s="251" t="s">
        <v>488</v>
      </c>
      <c r="V912" s="251">
        <v>2</v>
      </c>
      <c r="W912" s="251" t="s">
        <v>219</v>
      </c>
      <c r="X912" s="251">
        <v>2</v>
      </c>
      <c r="Y912" s="251">
        <v>2</v>
      </c>
      <c r="Z912" s="251">
        <v>2</v>
      </c>
      <c r="AA912" s="251">
        <v>2</v>
      </c>
      <c r="AB912" s="251" t="s">
        <v>486</v>
      </c>
      <c r="AC912" s="251" t="s">
        <v>486</v>
      </c>
      <c r="AD912" s="251" t="s">
        <v>490</v>
      </c>
      <c r="AE912" s="251" t="s">
        <v>486</v>
      </c>
      <c r="AF912" s="251" t="s">
        <v>486</v>
      </c>
      <c r="AG912" s="251" t="s">
        <v>486</v>
      </c>
      <c r="AH912" s="251" t="s">
        <v>486</v>
      </c>
      <c r="AI912" s="251" t="s">
        <v>486</v>
      </c>
      <c r="AJ912" s="251" t="s">
        <v>486</v>
      </c>
      <c r="AK912" s="251" t="s">
        <v>486</v>
      </c>
      <c r="AL912" s="251" t="s">
        <v>491</v>
      </c>
      <c r="AM912" s="251" t="s">
        <v>486</v>
      </c>
      <c r="AN912" s="251" t="s">
        <v>486</v>
      </c>
      <c r="AO912" s="253" t="s">
        <v>486</v>
      </c>
      <c r="AP912" s="252" t="s">
        <v>486</v>
      </c>
      <c r="AQ912" s="254" t="s">
        <v>486</v>
      </c>
      <c r="AR912" s="251" t="s">
        <v>486</v>
      </c>
    </row>
    <row r="913" spans="1:44" ht="15" x14ac:dyDescent="0.25">
      <c r="A913" s="245" t="str">
        <f>HYPERLINK("http://www.ofsted.gov.uk/inspection-reports/find-inspection-report/provider/ELS/135623 ","Ofsted School Webpage")</f>
        <v>Ofsted School Webpage</v>
      </c>
      <c r="B913" s="246">
        <v>135623</v>
      </c>
      <c r="C913" s="246">
        <v>8866132</v>
      </c>
      <c r="D913" s="246" t="s">
        <v>796</v>
      </c>
      <c r="E913" s="246" t="s">
        <v>248</v>
      </c>
      <c r="F913" s="246" t="s">
        <v>93</v>
      </c>
      <c r="G913" s="246" t="s">
        <v>93</v>
      </c>
      <c r="H913" s="246" t="s">
        <v>93</v>
      </c>
      <c r="I913" s="246" t="s">
        <v>90</v>
      </c>
      <c r="J913" s="246" t="s">
        <v>1490</v>
      </c>
      <c r="K913" s="246" t="s">
        <v>486</v>
      </c>
      <c r="L913" s="246" t="s">
        <v>487</v>
      </c>
      <c r="M913" s="246" t="s">
        <v>581</v>
      </c>
      <c r="N913" s="246" t="s">
        <v>581</v>
      </c>
      <c r="O913" s="246" t="s">
        <v>694</v>
      </c>
      <c r="P913" s="246" t="s">
        <v>797</v>
      </c>
      <c r="Q913" s="247">
        <v>10054079</v>
      </c>
      <c r="R913" s="248">
        <v>43431</v>
      </c>
      <c r="S913" s="248">
        <v>43433</v>
      </c>
      <c r="T913" s="248">
        <v>43480</v>
      </c>
      <c r="U913" s="246" t="s">
        <v>2930</v>
      </c>
      <c r="V913" s="246">
        <v>2</v>
      </c>
      <c r="W913" s="246" t="s">
        <v>219</v>
      </c>
      <c r="X913" s="246">
        <v>2</v>
      </c>
      <c r="Y913" s="246">
        <v>2</v>
      </c>
      <c r="Z913" s="246">
        <v>2</v>
      </c>
      <c r="AA913" s="246">
        <v>2</v>
      </c>
      <c r="AB913" s="246" t="s">
        <v>486</v>
      </c>
      <c r="AC913" s="246" t="s">
        <v>486</v>
      </c>
      <c r="AD913" s="246" t="s">
        <v>490</v>
      </c>
      <c r="AE913" s="246" t="s">
        <v>486</v>
      </c>
      <c r="AF913" s="246" t="s">
        <v>486</v>
      </c>
      <c r="AG913" s="246" t="s">
        <v>486</v>
      </c>
      <c r="AH913" s="246" t="s">
        <v>486</v>
      </c>
      <c r="AI913" s="246" t="s">
        <v>486</v>
      </c>
      <c r="AJ913" s="246" t="s">
        <v>486</v>
      </c>
      <c r="AK913" s="246" t="s">
        <v>486</v>
      </c>
      <c r="AL913" s="246" t="s">
        <v>491</v>
      </c>
      <c r="AM913" s="246" t="s">
        <v>486</v>
      </c>
      <c r="AN913" s="246" t="s">
        <v>486</v>
      </c>
      <c r="AO913" s="248" t="s">
        <v>486</v>
      </c>
      <c r="AP913" s="247" t="s">
        <v>486</v>
      </c>
      <c r="AQ913" s="249" t="s">
        <v>486</v>
      </c>
      <c r="AR913" s="246" t="s">
        <v>486</v>
      </c>
    </row>
    <row r="914" spans="1:44" ht="15" x14ac:dyDescent="0.25">
      <c r="A914" s="250" t="str">
        <f>HYPERLINK("http://www.ofsted.gov.uk/inspection-reports/find-inspection-report/provider/ELS/136954 ","Ofsted School Webpage")</f>
        <v>Ofsted School Webpage</v>
      </c>
      <c r="B914" s="251">
        <v>136954</v>
      </c>
      <c r="C914" s="251">
        <v>8306003</v>
      </c>
      <c r="D914" s="251" t="s">
        <v>803</v>
      </c>
      <c r="E914" s="251" t="s">
        <v>248</v>
      </c>
      <c r="F914" s="251" t="s">
        <v>93</v>
      </c>
      <c r="G914" s="251" t="s">
        <v>93</v>
      </c>
      <c r="H914" s="251" t="s">
        <v>93</v>
      </c>
      <c r="I914" s="251" t="s">
        <v>90</v>
      </c>
      <c r="J914" s="251" t="s">
        <v>1490</v>
      </c>
      <c r="K914" s="251" t="s">
        <v>486</v>
      </c>
      <c r="L914" s="251" t="s">
        <v>487</v>
      </c>
      <c r="M914" s="251" t="s">
        <v>572</v>
      </c>
      <c r="N914" s="251" t="s">
        <v>572</v>
      </c>
      <c r="O914" s="251" t="s">
        <v>573</v>
      </c>
      <c r="P914" s="251" t="s">
        <v>804</v>
      </c>
      <c r="Q914" s="252">
        <v>10053983</v>
      </c>
      <c r="R914" s="253">
        <v>43431</v>
      </c>
      <c r="S914" s="253">
        <v>43433</v>
      </c>
      <c r="T914" s="253">
        <v>43446</v>
      </c>
      <c r="U914" s="251" t="s">
        <v>488</v>
      </c>
      <c r="V914" s="251">
        <v>2</v>
      </c>
      <c r="W914" s="251" t="s">
        <v>219</v>
      </c>
      <c r="X914" s="251">
        <v>2</v>
      </c>
      <c r="Y914" s="251">
        <v>1</v>
      </c>
      <c r="Z914" s="251">
        <v>2</v>
      </c>
      <c r="AA914" s="251">
        <v>2</v>
      </c>
      <c r="AB914" s="251" t="s">
        <v>486</v>
      </c>
      <c r="AC914" s="251">
        <v>2</v>
      </c>
      <c r="AD914" s="251" t="s">
        <v>490</v>
      </c>
      <c r="AE914" s="251" t="s">
        <v>486</v>
      </c>
      <c r="AF914" s="251" t="s">
        <v>486</v>
      </c>
      <c r="AG914" s="251" t="s">
        <v>486</v>
      </c>
      <c r="AH914" s="251" t="s">
        <v>486</v>
      </c>
      <c r="AI914" s="251" t="s">
        <v>486</v>
      </c>
      <c r="AJ914" s="251" t="s">
        <v>486</v>
      </c>
      <c r="AK914" s="251" t="s">
        <v>486</v>
      </c>
      <c r="AL914" s="251" t="s">
        <v>491</v>
      </c>
      <c r="AM914" s="251" t="s">
        <v>486</v>
      </c>
      <c r="AN914" s="251" t="s">
        <v>486</v>
      </c>
      <c r="AO914" s="253" t="s">
        <v>486</v>
      </c>
      <c r="AP914" s="252" t="s">
        <v>486</v>
      </c>
      <c r="AQ914" s="254" t="s">
        <v>486</v>
      </c>
      <c r="AR914" s="251" t="s">
        <v>486</v>
      </c>
    </row>
    <row r="915" spans="1:44" ht="15" x14ac:dyDescent="0.25">
      <c r="A915" s="245" t="str">
        <f>HYPERLINK("http://www.ofsted.gov.uk/inspection-reports/find-inspection-report/provider/ELS/137567 ","Ofsted School Webpage")</f>
        <v>Ofsted School Webpage</v>
      </c>
      <c r="B915" s="246">
        <v>137567</v>
      </c>
      <c r="C915" s="246">
        <v>3066000</v>
      </c>
      <c r="D915" s="246" t="s">
        <v>825</v>
      </c>
      <c r="E915" s="246" t="s">
        <v>247</v>
      </c>
      <c r="F915" s="246" t="s">
        <v>93</v>
      </c>
      <c r="G915" s="246" t="s">
        <v>93</v>
      </c>
      <c r="H915" s="246" t="s">
        <v>93</v>
      </c>
      <c r="I915" s="246" t="s">
        <v>90</v>
      </c>
      <c r="J915" s="246" t="s">
        <v>1490</v>
      </c>
      <c r="K915" s="246" t="s">
        <v>486</v>
      </c>
      <c r="L915" s="246" t="s">
        <v>487</v>
      </c>
      <c r="M915" s="246" t="s">
        <v>506</v>
      </c>
      <c r="N915" s="246" t="s">
        <v>506</v>
      </c>
      <c r="O915" s="246" t="s">
        <v>826</v>
      </c>
      <c r="P915" s="246" t="s">
        <v>827</v>
      </c>
      <c r="Q915" s="247">
        <v>10054301</v>
      </c>
      <c r="R915" s="248">
        <v>43431</v>
      </c>
      <c r="S915" s="248">
        <v>43433</v>
      </c>
      <c r="T915" s="248">
        <v>43472</v>
      </c>
      <c r="U915" s="246" t="s">
        <v>488</v>
      </c>
      <c r="V915" s="246">
        <v>2</v>
      </c>
      <c r="W915" s="246" t="s">
        <v>219</v>
      </c>
      <c r="X915" s="246">
        <v>2</v>
      </c>
      <c r="Y915" s="246">
        <v>2</v>
      </c>
      <c r="Z915" s="246">
        <v>2</v>
      </c>
      <c r="AA915" s="246">
        <v>2</v>
      </c>
      <c r="AB915" s="246" t="s">
        <v>486</v>
      </c>
      <c r="AC915" s="246">
        <v>2</v>
      </c>
      <c r="AD915" s="246" t="s">
        <v>490</v>
      </c>
      <c r="AE915" s="246" t="s">
        <v>486</v>
      </c>
      <c r="AF915" s="246" t="s">
        <v>486</v>
      </c>
      <c r="AG915" s="246" t="s">
        <v>486</v>
      </c>
      <c r="AH915" s="246" t="s">
        <v>486</v>
      </c>
      <c r="AI915" s="246" t="s">
        <v>486</v>
      </c>
      <c r="AJ915" s="246" t="s">
        <v>486</v>
      </c>
      <c r="AK915" s="246" t="s">
        <v>486</v>
      </c>
      <c r="AL915" s="246" t="s">
        <v>491</v>
      </c>
      <c r="AM915" s="246" t="s">
        <v>486</v>
      </c>
      <c r="AN915" s="246" t="s">
        <v>486</v>
      </c>
      <c r="AO915" s="248" t="s">
        <v>486</v>
      </c>
      <c r="AP915" s="247" t="s">
        <v>486</v>
      </c>
      <c r="AQ915" s="249" t="s">
        <v>486</v>
      </c>
      <c r="AR915" s="246" t="s">
        <v>486</v>
      </c>
    </row>
    <row r="916" spans="1:44" ht="15" x14ac:dyDescent="0.25">
      <c r="A916" s="250" t="str">
        <f>HYPERLINK("http://www.ofsted.gov.uk/inspection-reports/find-inspection-report/provider/ELS/138878 ","Ofsted School Webpage")</f>
        <v>Ofsted School Webpage</v>
      </c>
      <c r="B916" s="251">
        <v>138878</v>
      </c>
      <c r="C916" s="251">
        <v>3416003</v>
      </c>
      <c r="D916" s="251" t="s">
        <v>817</v>
      </c>
      <c r="E916" s="251" t="s">
        <v>247</v>
      </c>
      <c r="F916" s="251" t="s">
        <v>93</v>
      </c>
      <c r="G916" s="251" t="s">
        <v>93</v>
      </c>
      <c r="H916" s="251" t="s">
        <v>93</v>
      </c>
      <c r="I916" s="251" t="s">
        <v>90</v>
      </c>
      <c r="J916" s="251" t="s">
        <v>1490</v>
      </c>
      <c r="K916" s="251" t="s">
        <v>486</v>
      </c>
      <c r="L916" s="251" t="s">
        <v>487</v>
      </c>
      <c r="M916" s="251" t="s">
        <v>495</v>
      </c>
      <c r="N916" s="251" t="s">
        <v>495</v>
      </c>
      <c r="O916" s="251" t="s">
        <v>736</v>
      </c>
      <c r="P916" s="251" t="s">
        <v>818</v>
      </c>
      <c r="Q916" s="252">
        <v>10053735</v>
      </c>
      <c r="R916" s="253">
        <v>43431</v>
      </c>
      <c r="S916" s="253">
        <v>43433</v>
      </c>
      <c r="T916" s="253">
        <v>43453</v>
      </c>
      <c r="U916" s="251" t="s">
        <v>488</v>
      </c>
      <c r="V916" s="251">
        <v>2</v>
      </c>
      <c r="W916" s="251" t="s">
        <v>219</v>
      </c>
      <c r="X916" s="251">
        <v>2</v>
      </c>
      <c r="Y916" s="251">
        <v>2</v>
      </c>
      <c r="Z916" s="251">
        <v>2</v>
      </c>
      <c r="AA916" s="251">
        <v>2</v>
      </c>
      <c r="AB916" s="251" t="s">
        <v>486</v>
      </c>
      <c r="AC916" s="251" t="s">
        <v>486</v>
      </c>
      <c r="AD916" s="251" t="s">
        <v>490</v>
      </c>
      <c r="AE916" s="251" t="s">
        <v>486</v>
      </c>
      <c r="AF916" s="251" t="s">
        <v>486</v>
      </c>
      <c r="AG916" s="251" t="s">
        <v>486</v>
      </c>
      <c r="AH916" s="251" t="s">
        <v>486</v>
      </c>
      <c r="AI916" s="251" t="s">
        <v>486</v>
      </c>
      <c r="AJ916" s="251" t="s">
        <v>486</v>
      </c>
      <c r="AK916" s="251" t="s">
        <v>486</v>
      </c>
      <c r="AL916" s="251" t="s">
        <v>491</v>
      </c>
      <c r="AM916" s="251" t="s">
        <v>486</v>
      </c>
      <c r="AN916" s="251" t="s">
        <v>486</v>
      </c>
      <c r="AO916" s="253" t="s">
        <v>486</v>
      </c>
      <c r="AP916" s="252" t="s">
        <v>486</v>
      </c>
      <c r="AQ916" s="254" t="s">
        <v>486</v>
      </c>
      <c r="AR916" s="251" t="s">
        <v>486</v>
      </c>
    </row>
    <row r="917" spans="1:44" ht="15" x14ac:dyDescent="0.25">
      <c r="A917" s="245" t="str">
        <f>HYPERLINK("http://www.ofsted.gov.uk/inspection-reports/find-inspection-report/provider/ELS/142413 ","Ofsted School Webpage")</f>
        <v>Ofsted School Webpage</v>
      </c>
      <c r="B917" s="246">
        <v>142413</v>
      </c>
      <c r="C917" s="246">
        <v>9196001</v>
      </c>
      <c r="D917" s="246" t="s">
        <v>805</v>
      </c>
      <c r="E917" s="246" t="s">
        <v>247</v>
      </c>
      <c r="F917" s="246" t="s">
        <v>93</v>
      </c>
      <c r="G917" s="246" t="s">
        <v>93</v>
      </c>
      <c r="H917" s="246" t="s">
        <v>93</v>
      </c>
      <c r="I917" s="246" t="s">
        <v>90</v>
      </c>
      <c r="J917" s="246" t="s">
        <v>1490</v>
      </c>
      <c r="K917" s="246" t="s">
        <v>486</v>
      </c>
      <c r="L917" s="246" t="s">
        <v>487</v>
      </c>
      <c r="M917" s="246" t="s">
        <v>516</v>
      </c>
      <c r="N917" s="246" t="s">
        <v>516</v>
      </c>
      <c r="O917" s="246" t="s">
        <v>556</v>
      </c>
      <c r="P917" s="246" t="s">
        <v>806</v>
      </c>
      <c r="Q917" s="247">
        <v>10056572</v>
      </c>
      <c r="R917" s="248">
        <v>43431</v>
      </c>
      <c r="S917" s="248">
        <v>43433</v>
      </c>
      <c r="T917" s="248">
        <v>43485</v>
      </c>
      <c r="U917" s="246" t="s">
        <v>488</v>
      </c>
      <c r="V917" s="246">
        <v>2</v>
      </c>
      <c r="W917" s="246" t="s">
        <v>219</v>
      </c>
      <c r="X917" s="246">
        <v>2</v>
      </c>
      <c r="Y917" s="246">
        <v>2</v>
      </c>
      <c r="Z917" s="246">
        <v>2</v>
      </c>
      <c r="AA917" s="246">
        <v>2</v>
      </c>
      <c r="AB917" s="246">
        <v>2</v>
      </c>
      <c r="AC917" s="246" t="s">
        <v>486</v>
      </c>
      <c r="AD917" s="246" t="s">
        <v>490</v>
      </c>
      <c r="AE917" s="246" t="s">
        <v>486</v>
      </c>
      <c r="AF917" s="246" t="s">
        <v>486</v>
      </c>
      <c r="AG917" s="246" t="s">
        <v>486</v>
      </c>
      <c r="AH917" s="246" t="s">
        <v>486</v>
      </c>
      <c r="AI917" s="246" t="s">
        <v>486</v>
      </c>
      <c r="AJ917" s="246" t="s">
        <v>486</v>
      </c>
      <c r="AK917" s="246" t="s">
        <v>486</v>
      </c>
      <c r="AL917" s="246" t="s">
        <v>491</v>
      </c>
      <c r="AM917" s="246" t="s">
        <v>486</v>
      </c>
      <c r="AN917" s="246" t="s">
        <v>486</v>
      </c>
      <c r="AO917" s="248" t="s">
        <v>486</v>
      </c>
      <c r="AP917" s="247" t="s">
        <v>486</v>
      </c>
      <c r="AQ917" s="249" t="s">
        <v>486</v>
      </c>
      <c r="AR917" s="246" t="s">
        <v>486</v>
      </c>
    </row>
    <row r="918" spans="1:44" ht="15" x14ac:dyDescent="0.25">
      <c r="A918" s="250" t="str">
        <f>HYPERLINK("http://www.ofsted.gov.uk/inspection-reports/find-inspection-report/provider/ELS/142474 ","Ofsted School Webpage")</f>
        <v>Ofsted School Webpage</v>
      </c>
      <c r="B918" s="251">
        <v>142474</v>
      </c>
      <c r="C918" s="251">
        <v>8406014</v>
      </c>
      <c r="D918" s="251" t="s">
        <v>810</v>
      </c>
      <c r="E918" s="251" t="s">
        <v>247</v>
      </c>
      <c r="F918" s="251" t="s">
        <v>93</v>
      </c>
      <c r="G918" s="251" t="s">
        <v>93</v>
      </c>
      <c r="H918" s="251" t="s">
        <v>93</v>
      </c>
      <c r="I918" s="251" t="s">
        <v>90</v>
      </c>
      <c r="J918" s="251" t="s">
        <v>1490</v>
      </c>
      <c r="K918" s="251" t="s">
        <v>486</v>
      </c>
      <c r="L918" s="251" t="s">
        <v>487</v>
      </c>
      <c r="M918" s="251" t="s">
        <v>523</v>
      </c>
      <c r="N918" s="251" t="s">
        <v>539</v>
      </c>
      <c r="O918" s="251" t="s">
        <v>649</v>
      </c>
      <c r="P918" s="251" t="s">
        <v>811</v>
      </c>
      <c r="Q918" s="252">
        <v>10053835</v>
      </c>
      <c r="R918" s="253">
        <v>43431</v>
      </c>
      <c r="S918" s="253">
        <v>43433</v>
      </c>
      <c r="T918" s="253">
        <v>43494</v>
      </c>
      <c r="U918" s="251" t="s">
        <v>488</v>
      </c>
      <c r="V918" s="251">
        <v>4</v>
      </c>
      <c r="W918" s="251" t="s">
        <v>219</v>
      </c>
      <c r="X918" s="251">
        <v>4</v>
      </c>
      <c r="Y918" s="251">
        <v>3</v>
      </c>
      <c r="Z918" s="251">
        <v>4</v>
      </c>
      <c r="AA918" s="251">
        <v>4</v>
      </c>
      <c r="AB918" s="251" t="s">
        <v>486</v>
      </c>
      <c r="AC918" s="251" t="s">
        <v>486</v>
      </c>
      <c r="AD918" s="251" t="s">
        <v>490</v>
      </c>
      <c r="AE918" s="251" t="s">
        <v>486</v>
      </c>
      <c r="AF918" s="251" t="s">
        <v>486</v>
      </c>
      <c r="AG918" s="251" t="s">
        <v>486</v>
      </c>
      <c r="AH918" s="251" t="s">
        <v>486</v>
      </c>
      <c r="AI918" s="251" t="s">
        <v>486</v>
      </c>
      <c r="AJ918" s="251" t="s">
        <v>486</v>
      </c>
      <c r="AK918" s="251" t="s">
        <v>486</v>
      </c>
      <c r="AL918" s="251" t="s">
        <v>545</v>
      </c>
      <c r="AM918" s="251" t="s">
        <v>486</v>
      </c>
      <c r="AN918" s="251" t="s">
        <v>486</v>
      </c>
      <c r="AO918" s="253" t="s">
        <v>486</v>
      </c>
      <c r="AP918" s="252" t="s">
        <v>486</v>
      </c>
      <c r="AQ918" s="254" t="s">
        <v>486</v>
      </c>
      <c r="AR918" s="251" t="s">
        <v>486</v>
      </c>
    </row>
    <row r="919" spans="1:44" ht="15" x14ac:dyDescent="0.25">
      <c r="A919" s="245" t="str">
        <f>HYPERLINK("http://www.ofsted.gov.uk/inspection-reports/find-inspection-report/provider/ELS/145231 ","Ofsted School Webpage")</f>
        <v>Ofsted School Webpage</v>
      </c>
      <c r="B919" s="246">
        <v>145231</v>
      </c>
      <c r="C919" s="246">
        <v>8876011</v>
      </c>
      <c r="D919" s="246" t="s">
        <v>793</v>
      </c>
      <c r="E919" s="246" t="s">
        <v>248</v>
      </c>
      <c r="F919" s="246" t="s">
        <v>93</v>
      </c>
      <c r="G919" s="246" t="s">
        <v>93</v>
      </c>
      <c r="H919" s="246" t="s">
        <v>93</v>
      </c>
      <c r="I919" s="246" t="s">
        <v>90</v>
      </c>
      <c r="J919" s="246" t="s">
        <v>1490</v>
      </c>
      <c r="K919" s="246" t="s">
        <v>486</v>
      </c>
      <c r="L919" s="246" t="s">
        <v>487</v>
      </c>
      <c r="M919" s="246" t="s">
        <v>581</v>
      </c>
      <c r="N919" s="246" t="s">
        <v>581</v>
      </c>
      <c r="O919" s="246" t="s">
        <v>794</v>
      </c>
      <c r="P919" s="246" t="s">
        <v>795</v>
      </c>
      <c r="Q919" s="247">
        <v>10054087</v>
      </c>
      <c r="R919" s="248">
        <v>43431</v>
      </c>
      <c r="S919" s="248">
        <v>43433</v>
      </c>
      <c r="T919" s="248">
        <v>43488</v>
      </c>
      <c r="U919" s="246" t="s">
        <v>499</v>
      </c>
      <c r="V919" s="246">
        <v>4</v>
      </c>
      <c r="W919" s="246" t="s">
        <v>220</v>
      </c>
      <c r="X919" s="246">
        <v>4</v>
      </c>
      <c r="Y919" s="246">
        <v>4</v>
      </c>
      <c r="Z919" s="246">
        <v>4</v>
      </c>
      <c r="AA919" s="246">
        <v>4</v>
      </c>
      <c r="AB919" s="246" t="s">
        <v>486</v>
      </c>
      <c r="AC919" s="246" t="s">
        <v>486</v>
      </c>
      <c r="AD919" s="246" t="s">
        <v>490</v>
      </c>
      <c r="AE919" s="246" t="s">
        <v>486</v>
      </c>
      <c r="AF919" s="246" t="s">
        <v>486</v>
      </c>
      <c r="AG919" s="246" t="s">
        <v>486</v>
      </c>
      <c r="AH919" s="246" t="s">
        <v>486</v>
      </c>
      <c r="AI919" s="246" t="s">
        <v>486</v>
      </c>
      <c r="AJ919" s="246" t="s">
        <v>486</v>
      </c>
      <c r="AK919" s="246" t="s">
        <v>486</v>
      </c>
      <c r="AL919" s="246" t="s">
        <v>545</v>
      </c>
      <c r="AM919" s="246" t="s">
        <v>486</v>
      </c>
      <c r="AN919" s="246" t="s">
        <v>486</v>
      </c>
      <c r="AO919" s="248" t="s">
        <v>486</v>
      </c>
      <c r="AP919" s="247" t="s">
        <v>486</v>
      </c>
      <c r="AQ919" s="249" t="s">
        <v>486</v>
      </c>
      <c r="AR919" s="246" t="s">
        <v>486</v>
      </c>
    </row>
    <row r="920" spans="1:44" ht="15" x14ac:dyDescent="0.25">
      <c r="A920" s="250" t="str">
        <f>HYPERLINK("http://www.ofsted.gov.uk/inspection-reports/find-inspection-report/provider/ELS/126139 ","Ofsted School Webpage")</f>
        <v>Ofsted School Webpage</v>
      </c>
      <c r="B920" s="251">
        <v>126139</v>
      </c>
      <c r="C920" s="251">
        <v>9386217</v>
      </c>
      <c r="D920" s="251" t="s">
        <v>828</v>
      </c>
      <c r="E920" s="251" t="s">
        <v>248</v>
      </c>
      <c r="F920" s="251" t="s">
        <v>93</v>
      </c>
      <c r="G920" s="251" t="s">
        <v>93</v>
      </c>
      <c r="H920" s="251" t="s">
        <v>93</v>
      </c>
      <c r="I920" s="251" t="s">
        <v>90</v>
      </c>
      <c r="J920" s="251" t="s">
        <v>1490</v>
      </c>
      <c r="K920" s="251" t="s">
        <v>486</v>
      </c>
      <c r="L920" s="251" t="s">
        <v>487</v>
      </c>
      <c r="M920" s="251" t="s">
        <v>581</v>
      </c>
      <c r="N920" s="251" t="s">
        <v>581</v>
      </c>
      <c r="O920" s="251" t="s">
        <v>829</v>
      </c>
      <c r="P920" s="251" t="s">
        <v>830</v>
      </c>
      <c r="Q920" s="252">
        <v>10054076</v>
      </c>
      <c r="R920" s="253">
        <v>43437</v>
      </c>
      <c r="S920" s="253">
        <v>43439</v>
      </c>
      <c r="T920" s="253">
        <v>43478</v>
      </c>
      <c r="U920" s="251" t="s">
        <v>624</v>
      </c>
      <c r="V920" s="251">
        <v>3</v>
      </c>
      <c r="W920" s="251" t="s">
        <v>219</v>
      </c>
      <c r="X920" s="251">
        <v>3</v>
      </c>
      <c r="Y920" s="251">
        <v>2</v>
      </c>
      <c r="Z920" s="251">
        <v>2</v>
      </c>
      <c r="AA920" s="251">
        <v>2</v>
      </c>
      <c r="AB920" s="251" t="s">
        <v>486</v>
      </c>
      <c r="AC920" s="251">
        <v>2</v>
      </c>
      <c r="AD920" s="251" t="s">
        <v>490</v>
      </c>
      <c r="AE920" s="251" t="s">
        <v>486</v>
      </c>
      <c r="AF920" s="251" t="s">
        <v>486</v>
      </c>
      <c r="AG920" s="251" t="s">
        <v>486</v>
      </c>
      <c r="AH920" s="251" t="s">
        <v>486</v>
      </c>
      <c r="AI920" s="251" t="s">
        <v>486</v>
      </c>
      <c r="AJ920" s="251" t="s">
        <v>486</v>
      </c>
      <c r="AK920" s="251" t="s">
        <v>486</v>
      </c>
      <c r="AL920" s="251" t="s">
        <v>545</v>
      </c>
      <c r="AM920" s="251" t="s">
        <v>486</v>
      </c>
      <c r="AN920" s="251" t="s">
        <v>486</v>
      </c>
      <c r="AO920" s="253" t="s">
        <v>486</v>
      </c>
      <c r="AP920" s="252" t="s">
        <v>486</v>
      </c>
      <c r="AQ920" s="254" t="s">
        <v>486</v>
      </c>
      <c r="AR920" s="251" t="s">
        <v>486</v>
      </c>
    </row>
    <row r="921" spans="1:44" ht="15" x14ac:dyDescent="0.25">
      <c r="A921" s="245" t="str">
        <f>HYPERLINK("http://www.ofsted.gov.uk/inspection-reports/find-inspection-report/provider/ELS/113014 ","Ofsted School Webpage")</f>
        <v>Ofsted School Webpage</v>
      </c>
      <c r="B921" s="246">
        <v>113014</v>
      </c>
      <c r="C921" s="246">
        <v>8306010</v>
      </c>
      <c r="D921" s="246" t="s">
        <v>859</v>
      </c>
      <c r="E921" s="246" t="s">
        <v>247</v>
      </c>
      <c r="F921" s="246" t="s">
        <v>93</v>
      </c>
      <c r="G921" s="246" t="s">
        <v>93</v>
      </c>
      <c r="H921" s="246" t="s">
        <v>93</v>
      </c>
      <c r="I921" s="246" t="s">
        <v>90</v>
      </c>
      <c r="J921" s="246" t="s">
        <v>1490</v>
      </c>
      <c r="K921" s="246" t="s">
        <v>486</v>
      </c>
      <c r="L921" s="246" t="s">
        <v>487</v>
      </c>
      <c r="M921" s="246" t="s">
        <v>572</v>
      </c>
      <c r="N921" s="246" t="s">
        <v>572</v>
      </c>
      <c r="O921" s="246" t="s">
        <v>573</v>
      </c>
      <c r="P921" s="246" t="s">
        <v>860</v>
      </c>
      <c r="Q921" s="247">
        <v>10085186</v>
      </c>
      <c r="R921" s="248">
        <v>43438</v>
      </c>
      <c r="S921" s="248">
        <v>43440</v>
      </c>
      <c r="T921" s="248">
        <v>43507</v>
      </c>
      <c r="U921" s="246" t="s">
        <v>488</v>
      </c>
      <c r="V921" s="246">
        <v>4</v>
      </c>
      <c r="W921" s="246" t="s">
        <v>220</v>
      </c>
      <c r="X921" s="246">
        <v>4</v>
      </c>
      <c r="Y921" s="246">
        <v>4</v>
      </c>
      <c r="Z921" s="246">
        <v>4</v>
      </c>
      <c r="AA921" s="246">
        <v>4</v>
      </c>
      <c r="AB921" s="246">
        <v>4</v>
      </c>
      <c r="AC921" s="246" t="s">
        <v>486</v>
      </c>
      <c r="AD921" s="246" t="s">
        <v>490</v>
      </c>
      <c r="AE921" s="246" t="s">
        <v>486</v>
      </c>
      <c r="AF921" s="246" t="s">
        <v>486</v>
      </c>
      <c r="AG921" s="246" t="s">
        <v>486</v>
      </c>
      <c r="AH921" s="246" t="s">
        <v>486</v>
      </c>
      <c r="AI921" s="246" t="s">
        <v>486</v>
      </c>
      <c r="AJ921" s="246" t="s">
        <v>486</v>
      </c>
      <c r="AK921" s="246" t="s">
        <v>486</v>
      </c>
      <c r="AL921" s="246" t="s">
        <v>545</v>
      </c>
      <c r="AM921" s="246" t="s">
        <v>486</v>
      </c>
      <c r="AN921" s="246" t="s">
        <v>486</v>
      </c>
      <c r="AO921" s="248" t="s">
        <v>486</v>
      </c>
      <c r="AP921" s="247" t="s">
        <v>486</v>
      </c>
      <c r="AQ921" s="249" t="s">
        <v>486</v>
      </c>
      <c r="AR921" s="246" t="s">
        <v>486</v>
      </c>
    </row>
    <row r="922" spans="1:44" ht="15" x14ac:dyDescent="0.25">
      <c r="A922" s="250" t="str">
        <f>HYPERLINK("http://www.ofsted.gov.uk/inspection-reports/find-inspection-report/provider/ELS/121753 ","Ofsted School Webpage")</f>
        <v>Ofsted School Webpage</v>
      </c>
      <c r="B922" s="251">
        <v>121753</v>
      </c>
      <c r="C922" s="251">
        <v>8156023</v>
      </c>
      <c r="D922" s="251" t="s">
        <v>845</v>
      </c>
      <c r="E922" s="251" t="s">
        <v>247</v>
      </c>
      <c r="F922" s="251" t="s">
        <v>93</v>
      </c>
      <c r="G922" s="251" t="s">
        <v>93</v>
      </c>
      <c r="H922" s="251" t="s">
        <v>93</v>
      </c>
      <c r="I922" s="251" t="s">
        <v>90</v>
      </c>
      <c r="J922" s="251" t="s">
        <v>1490</v>
      </c>
      <c r="K922" s="251" t="s">
        <v>486</v>
      </c>
      <c r="L922" s="251" t="s">
        <v>487</v>
      </c>
      <c r="M922" s="251" t="s">
        <v>523</v>
      </c>
      <c r="N922" s="251" t="s">
        <v>524</v>
      </c>
      <c r="O922" s="251" t="s">
        <v>846</v>
      </c>
      <c r="P922" s="251" t="s">
        <v>847</v>
      </c>
      <c r="Q922" s="252">
        <v>10085373</v>
      </c>
      <c r="R922" s="253">
        <v>43438</v>
      </c>
      <c r="S922" s="253">
        <v>43440</v>
      </c>
      <c r="T922" s="253">
        <v>43495</v>
      </c>
      <c r="U922" s="251" t="s">
        <v>488</v>
      </c>
      <c r="V922" s="251">
        <v>3</v>
      </c>
      <c r="W922" s="251" t="s">
        <v>219</v>
      </c>
      <c r="X922" s="251">
        <v>3</v>
      </c>
      <c r="Y922" s="251">
        <v>3</v>
      </c>
      <c r="Z922" s="251">
        <v>3</v>
      </c>
      <c r="AA922" s="251">
        <v>3</v>
      </c>
      <c r="AB922" s="251">
        <v>3</v>
      </c>
      <c r="AC922" s="251" t="s">
        <v>486</v>
      </c>
      <c r="AD922" s="251" t="s">
        <v>490</v>
      </c>
      <c r="AE922" s="251" t="s">
        <v>486</v>
      </c>
      <c r="AF922" s="251" t="s">
        <v>486</v>
      </c>
      <c r="AG922" s="251" t="s">
        <v>486</v>
      </c>
      <c r="AH922" s="251" t="s">
        <v>486</v>
      </c>
      <c r="AI922" s="251" t="s">
        <v>486</v>
      </c>
      <c r="AJ922" s="251" t="s">
        <v>486</v>
      </c>
      <c r="AK922" s="251" t="s">
        <v>486</v>
      </c>
      <c r="AL922" s="251" t="s">
        <v>545</v>
      </c>
      <c r="AM922" s="251" t="s">
        <v>486</v>
      </c>
      <c r="AN922" s="251" t="s">
        <v>486</v>
      </c>
      <c r="AO922" s="253" t="s">
        <v>486</v>
      </c>
      <c r="AP922" s="252" t="s">
        <v>486</v>
      </c>
      <c r="AQ922" s="254" t="s">
        <v>486</v>
      </c>
      <c r="AR922" s="251" t="s">
        <v>486</v>
      </c>
    </row>
    <row r="923" spans="1:44" ht="15" x14ac:dyDescent="0.25">
      <c r="A923" s="245" t="str">
        <f>HYPERLINK("http://www.ofsted.gov.uk/inspection-reports/find-inspection-report/provider/ELS/122941 ","Ofsted School Webpage")</f>
        <v>Ofsted School Webpage</v>
      </c>
      <c r="B923" s="246">
        <v>122941</v>
      </c>
      <c r="C923" s="246">
        <v>8926010</v>
      </c>
      <c r="D923" s="246" t="s">
        <v>831</v>
      </c>
      <c r="E923" s="246" t="s">
        <v>247</v>
      </c>
      <c r="F923" s="246" t="s">
        <v>93</v>
      </c>
      <c r="G923" s="246" t="s">
        <v>93</v>
      </c>
      <c r="H923" s="246" t="s">
        <v>93</v>
      </c>
      <c r="I923" s="246" t="s">
        <v>90</v>
      </c>
      <c r="J923" s="246" t="s">
        <v>1490</v>
      </c>
      <c r="K923" s="246" t="s">
        <v>486</v>
      </c>
      <c r="L923" s="246" t="s">
        <v>487</v>
      </c>
      <c r="M923" s="246" t="s">
        <v>572</v>
      </c>
      <c r="N923" s="246" t="s">
        <v>572</v>
      </c>
      <c r="O923" s="246" t="s">
        <v>758</v>
      </c>
      <c r="P923" s="246" t="s">
        <v>832</v>
      </c>
      <c r="Q923" s="247">
        <v>10085193</v>
      </c>
      <c r="R923" s="248">
        <v>43438</v>
      </c>
      <c r="S923" s="248">
        <v>43440</v>
      </c>
      <c r="T923" s="248">
        <v>43487</v>
      </c>
      <c r="U923" s="246" t="s">
        <v>488</v>
      </c>
      <c r="V923" s="246">
        <v>3</v>
      </c>
      <c r="W923" s="246" t="s">
        <v>219</v>
      </c>
      <c r="X923" s="246">
        <v>3</v>
      </c>
      <c r="Y923" s="246">
        <v>2</v>
      </c>
      <c r="Z923" s="246">
        <v>3</v>
      </c>
      <c r="AA923" s="246">
        <v>3</v>
      </c>
      <c r="AB923" s="246">
        <v>3</v>
      </c>
      <c r="AC923" s="246" t="s">
        <v>486</v>
      </c>
      <c r="AD923" s="246" t="s">
        <v>490</v>
      </c>
      <c r="AE923" s="246" t="s">
        <v>486</v>
      </c>
      <c r="AF923" s="246" t="s">
        <v>486</v>
      </c>
      <c r="AG923" s="246" t="s">
        <v>486</v>
      </c>
      <c r="AH923" s="246" t="s">
        <v>486</v>
      </c>
      <c r="AI923" s="246" t="s">
        <v>486</v>
      </c>
      <c r="AJ923" s="246" t="s">
        <v>486</v>
      </c>
      <c r="AK923" s="246" t="s">
        <v>486</v>
      </c>
      <c r="AL923" s="246" t="s">
        <v>545</v>
      </c>
      <c r="AM923" s="246" t="s">
        <v>486</v>
      </c>
      <c r="AN923" s="246" t="s">
        <v>486</v>
      </c>
      <c r="AO923" s="248" t="s">
        <v>486</v>
      </c>
      <c r="AP923" s="247" t="s">
        <v>486</v>
      </c>
      <c r="AQ923" s="249" t="s">
        <v>486</v>
      </c>
      <c r="AR923" s="246" t="s">
        <v>486</v>
      </c>
    </row>
    <row r="924" spans="1:44" ht="15" x14ac:dyDescent="0.25">
      <c r="A924" s="250" t="str">
        <f>HYPERLINK("http://www.ofsted.gov.uk/inspection-reports/find-inspection-report/provider/ELS/131119 ","Ofsted School Webpage")</f>
        <v>Ofsted School Webpage</v>
      </c>
      <c r="B924" s="251">
        <v>131119</v>
      </c>
      <c r="C924" s="251">
        <v>8926012</v>
      </c>
      <c r="D924" s="251" t="s">
        <v>839</v>
      </c>
      <c r="E924" s="251" t="s">
        <v>247</v>
      </c>
      <c r="F924" s="251" t="s">
        <v>93</v>
      </c>
      <c r="G924" s="251" t="s">
        <v>84</v>
      </c>
      <c r="H924" s="251" t="s">
        <v>84</v>
      </c>
      <c r="I924" s="251" t="s">
        <v>84</v>
      </c>
      <c r="J924" s="251" t="s">
        <v>1490</v>
      </c>
      <c r="K924" s="251" t="s">
        <v>486</v>
      </c>
      <c r="L924" s="251" t="s">
        <v>487</v>
      </c>
      <c r="M924" s="251" t="s">
        <v>572</v>
      </c>
      <c r="N924" s="251" t="s">
        <v>572</v>
      </c>
      <c r="O924" s="251" t="s">
        <v>758</v>
      </c>
      <c r="P924" s="251" t="s">
        <v>840</v>
      </c>
      <c r="Q924" s="252">
        <v>10081294</v>
      </c>
      <c r="R924" s="253">
        <v>43438</v>
      </c>
      <c r="S924" s="253">
        <v>43440</v>
      </c>
      <c r="T924" s="253">
        <v>43494</v>
      </c>
      <c r="U924" s="251" t="s">
        <v>488</v>
      </c>
      <c r="V924" s="251">
        <v>4</v>
      </c>
      <c r="W924" s="251" t="s">
        <v>220</v>
      </c>
      <c r="X924" s="251">
        <v>4</v>
      </c>
      <c r="Y924" s="251">
        <v>4</v>
      </c>
      <c r="Z924" s="251">
        <v>2</v>
      </c>
      <c r="AA924" s="251">
        <v>2</v>
      </c>
      <c r="AB924" s="251" t="s">
        <v>486</v>
      </c>
      <c r="AC924" s="251">
        <v>4</v>
      </c>
      <c r="AD924" s="251" t="s">
        <v>490</v>
      </c>
      <c r="AE924" s="251" t="s">
        <v>486</v>
      </c>
      <c r="AF924" s="251" t="s">
        <v>486</v>
      </c>
      <c r="AG924" s="251" t="s">
        <v>486</v>
      </c>
      <c r="AH924" s="251" t="s">
        <v>486</v>
      </c>
      <c r="AI924" s="251" t="s">
        <v>486</v>
      </c>
      <c r="AJ924" s="251" t="s">
        <v>486</v>
      </c>
      <c r="AK924" s="251" t="s">
        <v>486</v>
      </c>
      <c r="AL924" s="251" t="s">
        <v>545</v>
      </c>
      <c r="AM924" s="251" t="s">
        <v>486</v>
      </c>
      <c r="AN924" s="251" t="s">
        <v>486</v>
      </c>
      <c r="AO924" s="253" t="s">
        <v>486</v>
      </c>
      <c r="AP924" s="252" t="s">
        <v>486</v>
      </c>
      <c r="AQ924" s="254" t="s">
        <v>486</v>
      </c>
      <c r="AR924" s="251" t="s">
        <v>486</v>
      </c>
    </row>
    <row r="925" spans="1:44" ht="15" x14ac:dyDescent="0.25">
      <c r="A925" s="245" t="str">
        <f>HYPERLINK("http://www.ofsted.gov.uk/inspection-reports/find-inspection-report/provider/ELS/133307 ","Ofsted School Webpage")</f>
        <v>Ofsted School Webpage</v>
      </c>
      <c r="B925" s="246">
        <v>133307</v>
      </c>
      <c r="C925" s="246">
        <v>2116391</v>
      </c>
      <c r="D925" s="246" t="s">
        <v>848</v>
      </c>
      <c r="E925" s="246" t="s">
        <v>247</v>
      </c>
      <c r="F925" s="246" t="s">
        <v>93</v>
      </c>
      <c r="G925" s="246" t="s">
        <v>83</v>
      </c>
      <c r="H925" s="246" t="s">
        <v>83</v>
      </c>
      <c r="I925" s="246" t="s">
        <v>84</v>
      </c>
      <c r="J925" s="246" t="s">
        <v>1490</v>
      </c>
      <c r="K925" s="246" t="s">
        <v>486</v>
      </c>
      <c r="L925" s="246" t="s">
        <v>487</v>
      </c>
      <c r="M925" s="246" t="s">
        <v>506</v>
      </c>
      <c r="N925" s="246" t="s">
        <v>506</v>
      </c>
      <c r="O925" s="246" t="s">
        <v>849</v>
      </c>
      <c r="P925" s="246" t="s">
        <v>850</v>
      </c>
      <c r="Q925" s="247">
        <v>10055530</v>
      </c>
      <c r="R925" s="248">
        <v>43438</v>
      </c>
      <c r="S925" s="248">
        <v>43440</v>
      </c>
      <c r="T925" s="248">
        <v>43488</v>
      </c>
      <c r="U925" s="246" t="s">
        <v>488</v>
      </c>
      <c r="V925" s="246">
        <v>3</v>
      </c>
      <c r="W925" s="246" t="s">
        <v>219</v>
      </c>
      <c r="X925" s="246">
        <v>3</v>
      </c>
      <c r="Y925" s="246">
        <v>3</v>
      </c>
      <c r="Z925" s="246">
        <v>3</v>
      </c>
      <c r="AA925" s="246">
        <v>3</v>
      </c>
      <c r="AB925" s="246" t="s">
        <v>486</v>
      </c>
      <c r="AC925" s="246" t="s">
        <v>486</v>
      </c>
      <c r="AD925" s="246" t="s">
        <v>490</v>
      </c>
      <c r="AE925" s="246" t="s">
        <v>486</v>
      </c>
      <c r="AF925" s="246" t="s">
        <v>486</v>
      </c>
      <c r="AG925" s="246" t="s">
        <v>486</v>
      </c>
      <c r="AH925" s="246" t="s">
        <v>486</v>
      </c>
      <c r="AI925" s="246" t="s">
        <v>486</v>
      </c>
      <c r="AJ925" s="246" t="s">
        <v>486</v>
      </c>
      <c r="AK925" s="246" t="s">
        <v>486</v>
      </c>
      <c r="AL925" s="246" t="s">
        <v>491</v>
      </c>
      <c r="AM925" s="246" t="s">
        <v>486</v>
      </c>
      <c r="AN925" s="246" t="s">
        <v>486</v>
      </c>
      <c r="AO925" s="248" t="s">
        <v>486</v>
      </c>
      <c r="AP925" s="247" t="s">
        <v>486</v>
      </c>
      <c r="AQ925" s="249" t="s">
        <v>486</v>
      </c>
      <c r="AR925" s="246" t="s">
        <v>486</v>
      </c>
    </row>
    <row r="926" spans="1:44" ht="15" x14ac:dyDescent="0.25">
      <c r="A926" s="250" t="str">
        <f>HYPERLINK("http://www.ofsted.gov.uk/inspection-reports/find-inspection-report/provider/ELS/134145 ","Ofsted School Webpage")</f>
        <v>Ofsted School Webpage</v>
      </c>
      <c r="B926" s="251">
        <v>134145</v>
      </c>
      <c r="C926" s="251">
        <v>2126405</v>
      </c>
      <c r="D926" s="251" t="s">
        <v>836</v>
      </c>
      <c r="E926" s="251" t="s">
        <v>248</v>
      </c>
      <c r="F926" s="251" t="s">
        <v>93</v>
      </c>
      <c r="G926" s="251" t="s">
        <v>93</v>
      </c>
      <c r="H926" s="251" t="s">
        <v>93</v>
      </c>
      <c r="I926" s="251" t="s">
        <v>90</v>
      </c>
      <c r="J926" s="251" t="s">
        <v>1490</v>
      </c>
      <c r="K926" s="251" t="s">
        <v>486</v>
      </c>
      <c r="L926" s="251" t="s">
        <v>487</v>
      </c>
      <c r="M926" s="251" t="s">
        <v>506</v>
      </c>
      <c r="N926" s="251" t="s">
        <v>506</v>
      </c>
      <c r="O926" s="251" t="s">
        <v>837</v>
      </c>
      <c r="P926" s="251" t="s">
        <v>838</v>
      </c>
      <c r="Q926" s="252">
        <v>10055475</v>
      </c>
      <c r="R926" s="253">
        <v>43438</v>
      </c>
      <c r="S926" s="253">
        <v>43440</v>
      </c>
      <c r="T926" s="253">
        <v>43453</v>
      </c>
      <c r="U926" s="251" t="s">
        <v>488</v>
      </c>
      <c r="V926" s="251">
        <v>1</v>
      </c>
      <c r="W926" s="251" t="s">
        <v>219</v>
      </c>
      <c r="X926" s="251">
        <v>1</v>
      </c>
      <c r="Y926" s="251">
        <v>1</v>
      </c>
      <c r="Z926" s="251">
        <v>1</v>
      </c>
      <c r="AA926" s="251">
        <v>1</v>
      </c>
      <c r="AB926" s="251" t="s">
        <v>486</v>
      </c>
      <c r="AC926" s="251" t="s">
        <v>486</v>
      </c>
      <c r="AD926" s="251" t="s">
        <v>490</v>
      </c>
      <c r="AE926" s="251" t="s">
        <v>486</v>
      </c>
      <c r="AF926" s="251" t="s">
        <v>486</v>
      </c>
      <c r="AG926" s="251" t="s">
        <v>486</v>
      </c>
      <c r="AH926" s="251" t="s">
        <v>486</v>
      </c>
      <c r="AI926" s="251" t="s">
        <v>486</v>
      </c>
      <c r="AJ926" s="251" t="s">
        <v>486</v>
      </c>
      <c r="AK926" s="251" t="s">
        <v>486</v>
      </c>
      <c r="AL926" s="251" t="s">
        <v>491</v>
      </c>
      <c r="AM926" s="251" t="s">
        <v>486</v>
      </c>
      <c r="AN926" s="251" t="s">
        <v>486</v>
      </c>
      <c r="AO926" s="253" t="s">
        <v>486</v>
      </c>
      <c r="AP926" s="252" t="s">
        <v>486</v>
      </c>
      <c r="AQ926" s="254" t="s">
        <v>486</v>
      </c>
      <c r="AR926" s="251" t="s">
        <v>486</v>
      </c>
    </row>
    <row r="927" spans="1:44" ht="15" x14ac:dyDescent="0.25">
      <c r="A927" s="245" t="str">
        <f>HYPERLINK("http://www.ofsted.gov.uk/inspection-reports/find-inspection-report/provider/ELS/135543 ","Ofsted School Webpage")</f>
        <v>Ofsted School Webpage</v>
      </c>
      <c r="B927" s="246">
        <v>135543</v>
      </c>
      <c r="C927" s="246">
        <v>8886041</v>
      </c>
      <c r="D927" s="246" t="s">
        <v>843</v>
      </c>
      <c r="E927" s="246" t="s">
        <v>248</v>
      </c>
      <c r="F927" s="246" t="s">
        <v>93</v>
      </c>
      <c r="G927" s="246" t="s">
        <v>93</v>
      </c>
      <c r="H927" s="246" t="s">
        <v>93</v>
      </c>
      <c r="I927" s="246" t="s">
        <v>90</v>
      </c>
      <c r="J927" s="246" t="s">
        <v>1490</v>
      </c>
      <c r="K927" s="246" t="s">
        <v>486</v>
      </c>
      <c r="L927" s="246" t="s">
        <v>487</v>
      </c>
      <c r="M927" s="246" t="s">
        <v>495</v>
      </c>
      <c r="N927" s="246" t="s">
        <v>495</v>
      </c>
      <c r="O927" s="246" t="s">
        <v>534</v>
      </c>
      <c r="P927" s="246" t="s">
        <v>844</v>
      </c>
      <c r="Q927" s="247">
        <v>10067899</v>
      </c>
      <c r="R927" s="248">
        <v>43438</v>
      </c>
      <c r="S927" s="248">
        <v>43440</v>
      </c>
      <c r="T927" s="248">
        <v>43460</v>
      </c>
      <c r="U927" s="246" t="s">
        <v>488</v>
      </c>
      <c r="V927" s="246">
        <v>1</v>
      </c>
      <c r="W927" s="246" t="s">
        <v>219</v>
      </c>
      <c r="X927" s="246">
        <v>1</v>
      </c>
      <c r="Y927" s="246">
        <v>1</v>
      </c>
      <c r="Z927" s="246">
        <v>1</v>
      </c>
      <c r="AA927" s="246">
        <v>1</v>
      </c>
      <c r="AB927" s="246" t="s">
        <v>486</v>
      </c>
      <c r="AC927" s="246" t="s">
        <v>486</v>
      </c>
      <c r="AD927" s="246" t="s">
        <v>490</v>
      </c>
      <c r="AE927" s="246" t="s">
        <v>486</v>
      </c>
      <c r="AF927" s="246" t="s">
        <v>486</v>
      </c>
      <c r="AG927" s="246" t="s">
        <v>486</v>
      </c>
      <c r="AH927" s="246" t="s">
        <v>486</v>
      </c>
      <c r="AI927" s="246" t="s">
        <v>486</v>
      </c>
      <c r="AJ927" s="246" t="s">
        <v>486</v>
      </c>
      <c r="AK927" s="246" t="s">
        <v>486</v>
      </c>
      <c r="AL927" s="246" t="s">
        <v>491</v>
      </c>
      <c r="AM927" s="246" t="s">
        <v>486</v>
      </c>
      <c r="AN927" s="246" t="s">
        <v>486</v>
      </c>
      <c r="AO927" s="248" t="s">
        <v>486</v>
      </c>
      <c r="AP927" s="247" t="s">
        <v>486</v>
      </c>
      <c r="AQ927" s="249" t="s">
        <v>486</v>
      </c>
      <c r="AR927" s="246" t="s">
        <v>486</v>
      </c>
    </row>
    <row r="928" spans="1:44" ht="15" x14ac:dyDescent="0.25">
      <c r="A928" s="250" t="str">
        <f>HYPERLINK("http://www.ofsted.gov.uk/inspection-reports/find-inspection-report/provider/ELS/142322 ","Ofsted School Webpage")</f>
        <v>Ofsted School Webpage</v>
      </c>
      <c r="B928" s="251">
        <v>142322</v>
      </c>
      <c r="C928" s="251">
        <v>8266015</v>
      </c>
      <c r="D928" s="251" t="s">
        <v>854</v>
      </c>
      <c r="E928" s="251" t="s">
        <v>248</v>
      </c>
      <c r="F928" s="251" t="s">
        <v>93</v>
      </c>
      <c r="G928" s="251" t="s">
        <v>93</v>
      </c>
      <c r="H928" s="251" t="s">
        <v>93</v>
      </c>
      <c r="I928" s="251" t="s">
        <v>90</v>
      </c>
      <c r="J928" s="251" t="s">
        <v>1490</v>
      </c>
      <c r="K928" s="251" t="s">
        <v>486</v>
      </c>
      <c r="L928" s="251" t="s">
        <v>487</v>
      </c>
      <c r="M928" s="251" t="s">
        <v>581</v>
      </c>
      <c r="N928" s="251" t="s">
        <v>581</v>
      </c>
      <c r="O928" s="251" t="s">
        <v>855</v>
      </c>
      <c r="P928" s="251" t="s">
        <v>856</v>
      </c>
      <c r="Q928" s="252">
        <v>10055031</v>
      </c>
      <c r="R928" s="253">
        <v>43438</v>
      </c>
      <c r="S928" s="253">
        <v>43440</v>
      </c>
      <c r="T928" s="253">
        <v>43486</v>
      </c>
      <c r="U928" s="251" t="s">
        <v>488</v>
      </c>
      <c r="V928" s="251">
        <v>4</v>
      </c>
      <c r="W928" s="251" t="s">
        <v>220</v>
      </c>
      <c r="X928" s="251">
        <v>4</v>
      </c>
      <c r="Y928" s="251">
        <v>4</v>
      </c>
      <c r="Z928" s="251">
        <v>2</v>
      </c>
      <c r="AA928" s="251">
        <v>2</v>
      </c>
      <c r="AB928" s="251" t="s">
        <v>486</v>
      </c>
      <c r="AC928" s="251">
        <v>4</v>
      </c>
      <c r="AD928" s="251" t="s">
        <v>490</v>
      </c>
      <c r="AE928" s="251" t="s">
        <v>486</v>
      </c>
      <c r="AF928" s="251" t="s">
        <v>486</v>
      </c>
      <c r="AG928" s="251" t="s">
        <v>486</v>
      </c>
      <c r="AH928" s="251" t="s">
        <v>486</v>
      </c>
      <c r="AI928" s="251" t="s">
        <v>486</v>
      </c>
      <c r="AJ928" s="251" t="s">
        <v>486</v>
      </c>
      <c r="AK928" s="251" t="s">
        <v>486</v>
      </c>
      <c r="AL928" s="251" t="s">
        <v>545</v>
      </c>
      <c r="AM928" s="251" t="s">
        <v>486</v>
      </c>
      <c r="AN928" s="251" t="s">
        <v>486</v>
      </c>
      <c r="AO928" s="253" t="s">
        <v>486</v>
      </c>
      <c r="AP928" s="252" t="s">
        <v>486</v>
      </c>
      <c r="AQ928" s="254" t="s">
        <v>486</v>
      </c>
      <c r="AR928" s="251" t="s">
        <v>486</v>
      </c>
    </row>
    <row r="929" spans="1:44" ht="15" x14ac:dyDescent="0.25">
      <c r="A929" s="245" t="str">
        <f>HYPERLINK("http://www.ofsted.gov.uk/inspection-reports/find-inspection-report/provider/ELS/142534 ","Ofsted School Webpage")</f>
        <v>Ofsted School Webpage</v>
      </c>
      <c r="B929" s="246">
        <v>142534</v>
      </c>
      <c r="C929" s="246">
        <v>3086005</v>
      </c>
      <c r="D929" s="246" t="s">
        <v>857</v>
      </c>
      <c r="E929" s="246" t="s">
        <v>247</v>
      </c>
      <c r="F929" s="246" t="s">
        <v>93</v>
      </c>
      <c r="G929" s="246" t="s">
        <v>93</v>
      </c>
      <c r="H929" s="246" t="s">
        <v>93</v>
      </c>
      <c r="I929" s="246" t="s">
        <v>90</v>
      </c>
      <c r="J929" s="246" t="s">
        <v>1490</v>
      </c>
      <c r="K929" s="246" t="s">
        <v>486</v>
      </c>
      <c r="L929" s="246" t="s">
        <v>487</v>
      </c>
      <c r="M929" s="246" t="s">
        <v>506</v>
      </c>
      <c r="N929" s="246" t="s">
        <v>506</v>
      </c>
      <c r="O929" s="246" t="s">
        <v>632</v>
      </c>
      <c r="P929" s="246" t="s">
        <v>858</v>
      </c>
      <c r="Q929" s="247">
        <v>10055481</v>
      </c>
      <c r="R929" s="248">
        <v>43438</v>
      </c>
      <c r="S929" s="248">
        <v>43440</v>
      </c>
      <c r="T929" s="248">
        <v>43478</v>
      </c>
      <c r="U929" s="246" t="s">
        <v>488</v>
      </c>
      <c r="V929" s="246">
        <v>1</v>
      </c>
      <c r="W929" s="246" t="s">
        <v>219</v>
      </c>
      <c r="X929" s="246">
        <v>1</v>
      </c>
      <c r="Y929" s="246">
        <v>1</v>
      </c>
      <c r="Z929" s="246">
        <v>1</v>
      </c>
      <c r="AA929" s="246">
        <v>1</v>
      </c>
      <c r="AB929" s="246" t="s">
        <v>486</v>
      </c>
      <c r="AC929" s="246">
        <v>1</v>
      </c>
      <c r="AD929" s="246" t="s">
        <v>490</v>
      </c>
      <c r="AE929" s="246" t="s">
        <v>486</v>
      </c>
      <c r="AF929" s="246" t="s">
        <v>486</v>
      </c>
      <c r="AG929" s="246" t="s">
        <v>486</v>
      </c>
      <c r="AH929" s="246" t="s">
        <v>486</v>
      </c>
      <c r="AI929" s="246" t="s">
        <v>486</v>
      </c>
      <c r="AJ929" s="246" t="s">
        <v>486</v>
      </c>
      <c r="AK929" s="246" t="s">
        <v>486</v>
      </c>
      <c r="AL929" s="246" t="s">
        <v>491</v>
      </c>
      <c r="AM929" s="246" t="s">
        <v>486</v>
      </c>
      <c r="AN929" s="246" t="s">
        <v>486</v>
      </c>
      <c r="AO929" s="248" t="s">
        <v>486</v>
      </c>
      <c r="AP929" s="247" t="s">
        <v>486</v>
      </c>
      <c r="AQ929" s="249" t="s">
        <v>486</v>
      </c>
      <c r="AR929" s="246" t="s">
        <v>486</v>
      </c>
    </row>
    <row r="930" spans="1:44" ht="15" x14ac:dyDescent="0.25">
      <c r="A930" s="250" t="str">
        <f>HYPERLINK("http://www.ofsted.gov.uk/inspection-reports/find-inspection-report/provider/ELS/145290 ","Ofsted School Webpage")</f>
        <v>Ofsted School Webpage</v>
      </c>
      <c r="B930" s="251">
        <v>145290</v>
      </c>
      <c r="C930" s="251">
        <v>3576005</v>
      </c>
      <c r="D930" s="251" t="s">
        <v>833</v>
      </c>
      <c r="E930" s="251" t="s">
        <v>248</v>
      </c>
      <c r="F930" s="251" t="s">
        <v>93</v>
      </c>
      <c r="G930" s="251" t="s">
        <v>93</v>
      </c>
      <c r="H930" s="251" t="s">
        <v>93</v>
      </c>
      <c r="I930" s="251" t="s">
        <v>90</v>
      </c>
      <c r="J930" s="251" t="s">
        <v>1490</v>
      </c>
      <c r="K930" s="251" t="s">
        <v>486</v>
      </c>
      <c r="L930" s="251" t="s">
        <v>487</v>
      </c>
      <c r="M930" s="251" t="s">
        <v>495</v>
      </c>
      <c r="N930" s="251" t="s">
        <v>495</v>
      </c>
      <c r="O930" s="251" t="s">
        <v>834</v>
      </c>
      <c r="P930" s="251" t="s">
        <v>835</v>
      </c>
      <c r="Q930" s="252">
        <v>10053743</v>
      </c>
      <c r="R930" s="253">
        <v>43438</v>
      </c>
      <c r="S930" s="253">
        <v>43440</v>
      </c>
      <c r="T930" s="253">
        <v>43488</v>
      </c>
      <c r="U930" s="251" t="s">
        <v>499</v>
      </c>
      <c r="V930" s="251">
        <v>3</v>
      </c>
      <c r="W930" s="251" t="s">
        <v>219</v>
      </c>
      <c r="X930" s="251">
        <v>3</v>
      </c>
      <c r="Y930" s="251">
        <v>3</v>
      </c>
      <c r="Z930" s="251">
        <v>3</v>
      </c>
      <c r="AA930" s="251">
        <v>3</v>
      </c>
      <c r="AB930" s="251" t="s">
        <v>486</v>
      </c>
      <c r="AC930" s="251" t="s">
        <v>486</v>
      </c>
      <c r="AD930" s="251" t="s">
        <v>490</v>
      </c>
      <c r="AE930" s="251" t="s">
        <v>486</v>
      </c>
      <c r="AF930" s="251" t="s">
        <v>486</v>
      </c>
      <c r="AG930" s="251" t="s">
        <v>486</v>
      </c>
      <c r="AH930" s="251" t="s">
        <v>486</v>
      </c>
      <c r="AI930" s="251" t="s">
        <v>486</v>
      </c>
      <c r="AJ930" s="251" t="s">
        <v>486</v>
      </c>
      <c r="AK930" s="251" t="s">
        <v>486</v>
      </c>
      <c r="AL930" s="251" t="s">
        <v>491</v>
      </c>
      <c r="AM930" s="251" t="s">
        <v>486</v>
      </c>
      <c r="AN930" s="251" t="s">
        <v>486</v>
      </c>
      <c r="AO930" s="253" t="s">
        <v>486</v>
      </c>
      <c r="AP930" s="252" t="s">
        <v>486</v>
      </c>
      <c r="AQ930" s="254" t="s">
        <v>486</v>
      </c>
      <c r="AR930" s="251" t="s">
        <v>486</v>
      </c>
    </row>
    <row r="931" spans="1:44" ht="15" x14ac:dyDescent="0.25">
      <c r="A931" s="245" t="str">
        <f>HYPERLINK("http://www.ofsted.gov.uk/inspection-reports/find-inspection-report/provider/ELS/145463 ","Ofsted School Webpage")</f>
        <v>Ofsted School Webpage</v>
      </c>
      <c r="B931" s="246">
        <v>145463</v>
      </c>
      <c r="C931" s="246">
        <v>3416013</v>
      </c>
      <c r="D931" s="246" t="s">
        <v>841</v>
      </c>
      <c r="E931" s="246" t="s">
        <v>247</v>
      </c>
      <c r="F931" s="246" t="s">
        <v>93</v>
      </c>
      <c r="G931" s="246" t="s">
        <v>93</v>
      </c>
      <c r="H931" s="246" t="s">
        <v>93</v>
      </c>
      <c r="I931" s="246" t="s">
        <v>90</v>
      </c>
      <c r="J931" s="246" t="s">
        <v>1490</v>
      </c>
      <c r="K931" s="246" t="s">
        <v>486</v>
      </c>
      <c r="L931" s="246" t="s">
        <v>487</v>
      </c>
      <c r="M931" s="246" t="s">
        <v>495</v>
      </c>
      <c r="N931" s="246" t="s">
        <v>495</v>
      </c>
      <c r="O931" s="246" t="s">
        <v>736</v>
      </c>
      <c r="P931" s="246" t="s">
        <v>842</v>
      </c>
      <c r="Q931" s="247">
        <v>10056436</v>
      </c>
      <c r="R931" s="248">
        <v>43438</v>
      </c>
      <c r="S931" s="248">
        <v>43440</v>
      </c>
      <c r="T931" s="248">
        <v>43480</v>
      </c>
      <c r="U931" s="246" t="s">
        <v>499</v>
      </c>
      <c r="V931" s="246">
        <v>2</v>
      </c>
      <c r="W931" s="246" t="s">
        <v>219</v>
      </c>
      <c r="X931" s="246">
        <v>2</v>
      </c>
      <c r="Y931" s="246">
        <v>2</v>
      </c>
      <c r="Z931" s="246">
        <v>2</v>
      </c>
      <c r="AA931" s="246">
        <v>2</v>
      </c>
      <c r="AB931" s="246" t="s">
        <v>486</v>
      </c>
      <c r="AC931" s="246" t="s">
        <v>486</v>
      </c>
      <c r="AD931" s="246" t="s">
        <v>490</v>
      </c>
      <c r="AE931" s="246" t="s">
        <v>486</v>
      </c>
      <c r="AF931" s="246" t="s">
        <v>486</v>
      </c>
      <c r="AG931" s="246" t="s">
        <v>486</v>
      </c>
      <c r="AH931" s="246" t="s">
        <v>486</v>
      </c>
      <c r="AI931" s="246" t="s">
        <v>486</v>
      </c>
      <c r="AJ931" s="246" t="s">
        <v>486</v>
      </c>
      <c r="AK931" s="246" t="s">
        <v>486</v>
      </c>
      <c r="AL931" s="246" t="s">
        <v>491</v>
      </c>
      <c r="AM931" s="246" t="s">
        <v>486</v>
      </c>
      <c r="AN931" s="246" t="s">
        <v>486</v>
      </c>
      <c r="AO931" s="248" t="s">
        <v>486</v>
      </c>
      <c r="AP931" s="247" t="s">
        <v>486</v>
      </c>
      <c r="AQ931" s="249" t="s">
        <v>486</v>
      </c>
      <c r="AR931" s="246" t="s">
        <v>486</v>
      </c>
    </row>
    <row r="932" spans="1:44" ht="15" x14ac:dyDescent="0.25">
      <c r="A932" s="250" t="str">
        <f>HYPERLINK("http://www.ofsted.gov.uk/inspection-reports/find-inspection-report/provider/ELS/145546 ","Ofsted School Webpage")</f>
        <v>Ofsted School Webpage</v>
      </c>
      <c r="B932" s="251">
        <v>145546</v>
      </c>
      <c r="C932" s="251">
        <v>8916038</v>
      </c>
      <c r="D932" s="251" t="s">
        <v>851</v>
      </c>
      <c r="E932" s="251" t="s">
        <v>248</v>
      </c>
      <c r="F932" s="251" t="s">
        <v>93</v>
      </c>
      <c r="G932" s="251" t="s">
        <v>93</v>
      </c>
      <c r="H932" s="251" t="s">
        <v>93</v>
      </c>
      <c r="I932" s="251" t="s">
        <v>90</v>
      </c>
      <c r="J932" s="251" t="s">
        <v>1490</v>
      </c>
      <c r="K932" s="251" t="s">
        <v>486</v>
      </c>
      <c r="L932" s="251" t="s">
        <v>487</v>
      </c>
      <c r="M932" s="251" t="s">
        <v>572</v>
      </c>
      <c r="N932" s="251" t="s">
        <v>572</v>
      </c>
      <c r="O932" s="251" t="s">
        <v>852</v>
      </c>
      <c r="P932" s="251" t="s">
        <v>853</v>
      </c>
      <c r="Q932" s="252">
        <v>10077992</v>
      </c>
      <c r="R932" s="253">
        <v>43438</v>
      </c>
      <c r="S932" s="253">
        <v>43440</v>
      </c>
      <c r="T932" s="253">
        <v>43485</v>
      </c>
      <c r="U932" s="251" t="s">
        <v>499</v>
      </c>
      <c r="V932" s="251">
        <v>2</v>
      </c>
      <c r="W932" s="251" t="s">
        <v>219</v>
      </c>
      <c r="X932" s="251">
        <v>2</v>
      </c>
      <c r="Y932" s="251">
        <v>2</v>
      </c>
      <c r="Z932" s="251">
        <v>2</v>
      </c>
      <c r="AA932" s="251">
        <v>2</v>
      </c>
      <c r="AB932" s="251" t="s">
        <v>486</v>
      </c>
      <c r="AC932" s="251" t="s">
        <v>486</v>
      </c>
      <c r="AD932" s="251" t="s">
        <v>490</v>
      </c>
      <c r="AE932" s="251" t="s">
        <v>486</v>
      </c>
      <c r="AF932" s="251" t="s">
        <v>486</v>
      </c>
      <c r="AG932" s="251" t="s">
        <v>486</v>
      </c>
      <c r="AH932" s="251" t="s">
        <v>486</v>
      </c>
      <c r="AI932" s="251" t="s">
        <v>486</v>
      </c>
      <c r="AJ932" s="251" t="s">
        <v>486</v>
      </c>
      <c r="AK932" s="251" t="s">
        <v>486</v>
      </c>
      <c r="AL932" s="251" t="s">
        <v>491</v>
      </c>
      <c r="AM932" s="251" t="s">
        <v>486</v>
      </c>
      <c r="AN932" s="251" t="s">
        <v>486</v>
      </c>
      <c r="AO932" s="253" t="s">
        <v>486</v>
      </c>
      <c r="AP932" s="252" t="s">
        <v>486</v>
      </c>
      <c r="AQ932" s="254" t="s">
        <v>486</v>
      </c>
      <c r="AR932" s="251" t="s">
        <v>486</v>
      </c>
    </row>
    <row r="933" spans="1:44" ht="15" x14ac:dyDescent="0.25">
      <c r="A933" s="245" t="str">
        <f>HYPERLINK("http://www.ofsted.gov.uk/inspection-reports/find-inspection-report/provider/ELS/100376 ","Ofsted School Webpage")</f>
        <v>Ofsted School Webpage</v>
      </c>
      <c r="B933" s="246">
        <v>100376</v>
      </c>
      <c r="C933" s="246">
        <v>2056387</v>
      </c>
      <c r="D933" s="246" t="s">
        <v>861</v>
      </c>
      <c r="E933" s="246" t="s">
        <v>247</v>
      </c>
      <c r="F933" s="246" t="s">
        <v>93</v>
      </c>
      <c r="G933" s="246" t="s">
        <v>93</v>
      </c>
      <c r="H933" s="246" t="s">
        <v>93</v>
      </c>
      <c r="I933" s="246" t="s">
        <v>90</v>
      </c>
      <c r="J933" s="246" t="s">
        <v>1490</v>
      </c>
      <c r="K933" s="246" t="s">
        <v>486</v>
      </c>
      <c r="L933" s="246" t="s">
        <v>487</v>
      </c>
      <c r="M933" s="246" t="s">
        <v>506</v>
      </c>
      <c r="N933" s="246" t="s">
        <v>506</v>
      </c>
      <c r="O933" s="246" t="s">
        <v>862</v>
      </c>
      <c r="P933" s="246" t="s">
        <v>863</v>
      </c>
      <c r="Q933" s="247">
        <v>10055373</v>
      </c>
      <c r="R933" s="248">
        <v>43445</v>
      </c>
      <c r="S933" s="248">
        <v>43447</v>
      </c>
      <c r="T933" s="248">
        <v>43482</v>
      </c>
      <c r="U933" s="246" t="s">
        <v>488</v>
      </c>
      <c r="V933" s="246">
        <v>2</v>
      </c>
      <c r="W933" s="246" t="s">
        <v>219</v>
      </c>
      <c r="X933" s="246">
        <v>2</v>
      </c>
      <c r="Y933" s="246">
        <v>2</v>
      </c>
      <c r="Z933" s="246">
        <v>2</v>
      </c>
      <c r="AA933" s="246">
        <v>2</v>
      </c>
      <c r="AB933" s="246">
        <v>2</v>
      </c>
      <c r="AC933" s="246" t="s">
        <v>486</v>
      </c>
      <c r="AD933" s="246" t="s">
        <v>490</v>
      </c>
      <c r="AE933" s="246" t="s">
        <v>486</v>
      </c>
      <c r="AF933" s="246" t="s">
        <v>486</v>
      </c>
      <c r="AG933" s="246" t="s">
        <v>486</v>
      </c>
      <c r="AH933" s="246" t="s">
        <v>486</v>
      </c>
      <c r="AI933" s="246" t="s">
        <v>486</v>
      </c>
      <c r="AJ933" s="246" t="s">
        <v>486</v>
      </c>
      <c r="AK933" s="246" t="s">
        <v>486</v>
      </c>
      <c r="AL933" s="246" t="s">
        <v>491</v>
      </c>
      <c r="AM933" s="246" t="s">
        <v>486</v>
      </c>
      <c r="AN933" s="246" t="s">
        <v>486</v>
      </c>
      <c r="AO933" s="248" t="s">
        <v>486</v>
      </c>
      <c r="AP933" s="247" t="s">
        <v>486</v>
      </c>
      <c r="AQ933" s="249" t="s">
        <v>486</v>
      </c>
      <c r="AR933" s="246" t="s">
        <v>486</v>
      </c>
    </row>
    <row r="934" spans="1:44" ht="15" x14ac:dyDescent="0.25">
      <c r="A934" s="250" t="str">
        <f>HYPERLINK("http://www.ofsted.gov.uk/inspection-reports/find-inspection-report/provider/ELS/105748 ","Ofsted School Webpage")</f>
        <v>Ofsted School Webpage</v>
      </c>
      <c r="B934" s="251">
        <v>105748</v>
      </c>
      <c r="C934" s="251">
        <v>3536015</v>
      </c>
      <c r="D934" s="251" t="s">
        <v>879</v>
      </c>
      <c r="E934" s="251" t="s">
        <v>248</v>
      </c>
      <c r="F934" s="251" t="s">
        <v>93</v>
      </c>
      <c r="G934" s="251" t="s">
        <v>93</v>
      </c>
      <c r="H934" s="251" t="s">
        <v>93</v>
      </c>
      <c r="I934" s="251" t="s">
        <v>90</v>
      </c>
      <c r="J934" s="251" t="s">
        <v>1490</v>
      </c>
      <c r="K934" s="251" t="s">
        <v>486</v>
      </c>
      <c r="L934" s="251" t="s">
        <v>487</v>
      </c>
      <c r="M934" s="251" t="s">
        <v>495</v>
      </c>
      <c r="N934" s="251" t="s">
        <v>495</v>
      </c>
      <c r="O934" s="251" t="s">
        <v>880</v>
      </c>
      <c r="P934" s="251" t="s">
        <v>881</v>
      </c>
      <c r="Q934" s="252">
        <v>10086947</v>
      </c>
      <c r="R934" s="253">
        <v>43445</v>
      </c>
      <c r="S934" s="253">
        <v>43447</v>
      </c>
      <c r="T934" s="253">
        <v>43486</v>
      </c>
      <c r="U934" s="251" t="s">
        <v>488</v>
      </c>
      <c r="V934" s="251">
        <v>2</v>
      </c>
      <c r="W934" s="251" t="s">
        <v>219</v>
      </c>
      <c r="X934" s="251">
        <v>2</v>
      </c>
      <c r="Y934" s="251">
        <v>2</v>
      </c>
      <c r="Z934" s="251">
        <v>2</v>
      </c>
      <c r="AA934" s="251">
        <v>2</v>
      </c>
      <c r="AB934" s="251" t="s">
        <v>486</v>
      </c>
      <c r="AC934" s="251" t="s">
        <v>486</v>
      </c>
      <c r="AD934" s="251" t="s">
        <v>512</v>
      </c>
      <c r="AE934" s="251" t="s">
        <v>486</v>
      </c>
      <c r="AF934" s="251" t="s">
        <v>486</v>
      </c>
      <c r="AG934" s="251" t="s">
        <v>490</v>
      </c>
      <c r="AH934" s="251" t="s">
        <v>486</v>
      </c>
      <c r="AI934" s="251" t="s">
        <v>486</v>
      </c>
      <c r="AJ934" s="251" t="s">
        <v>486</v>
      </c>
      <c r="AK934" s="251" t="s">
        <v>486</v>
      </c>
      <c r="AL934" s="251" t="s">
        <v>491</v>
      </c>
      <c r="AM934" s="251" t="s">
        <v>486</v>
      </c>
      <c r="AN934" s="251" t="s">
        <v>486</v>
      </c>
      <c r="AO934" s="253" t="s">
        <v>486</v>
      </c>
      <c r="AP934" s="252" t="s">
        <v>486</v>
      </c>
      <c r="AQ934" s="254" t="s">
        <v>486</v>
      </c>
      <c r="AR934" s="251" t="s">
        <v>486</v>
      </c>
    </row>
    <row r="935" spans="1:44" ht="15" x14ac:dyDescent="0.25">
      <c r="A935" s="245" t="str">
        <f>HYPERLINK("http://www.ofsted.gov.uk/inspection-reports/find-inspection-report/provider/ELS/106814 ","Ofsted School Webpage")</f>
        <v>Ofsted School Webpage</v>
      </c>
      <c r="B935" s="246">
        <v>106814</v>
      </c>
      <c r="C935" s="246">
        <v>3716005</v>
      </c>
      <c r="D935" s="246" t="s">
        <v>864</v>
      </c>
      <c r="E935" s="246" t="s">
        <v>248</v>
      </c>
      <c r="F935" s="246" t="s">
        <v>93</v>
      </c>
      <c r="G935" s="246" t="s">
        <v>93</v>
      </c>
      <c r="H935" s="246" t="s">
        <v>93</v>
      </c>
      <c r="I935" s="246" t="s">
        <v>90</v>
      </c>
      <c r="J935" s="246" t="s">
        <v>1490</v>
      </c>
      <c r="K935" s="246" t="s">
        <v>486</v>
      </c>
      <c r="L935" s="246" t="s">
        <v>487</v>
      </c>
      <c r="M935" s="246" t="s">
        <v>523</v>
      </c>
      <c r="N935" s="246" t="s">
        <v>524</v>
      </c>
      <c r="O935" s="246" t="s">
        <v>808</v>
      </c>
      <c r="P935" s="246" t="s">
        <v>865</v>
      </c>
      <c r="Q935" s="247">
        <v>10053819</v>
      </c>
      <c r="R935" s="248">
        <v>43445</v>
      </c>
      <c r="S935" s="248">
        <v>43447</v>
      </c>
      <c r="T935" s="248">
        <v>43489</v>
      </c>
      <c r="U935" s="246" t="s">
        <v>2930</v>
      </c>
      <c r="V935" s="246">
        <v>2</v>
      </c>
      <c r="W935" s="246" t="s">
        <v>219</v>
      </c>
      <c r="X935" s="246">
        <v>2</v>
      </c>
      <c r="Y935" s="246">
        <v>1</v>
      </c>
      <c r="Z935" s="246">
        <v>2</v>
      </c>
      <c r="AA935" s="246">
        <v>2</v>
      </c>
      <c r="AB935" s="246" t="s">
        <v>486</v>
      </c>
      <c r="AC935" s="246">
        <v>2</v>
      </c>
      <c r="AD935" s="246" t="s">
        <v>490</v>
      </c>
      <c r="AE935" s="246" t="s">
        <v>486</v>
      </c>
      <c r="AF935" s="246" t="s">
        <v>486</v>
      </c>
      <c r="AG935" s="246" t="s">
        <v>486</v>
      </c>
      <c r="AH935" s="246" t="s">
        <v>486</v>
      </c>
      <c r="AI935" s="246" t="s">
        <v>486</v>
      </c>
      <c r="AJ935" s="246" t="s">
        <v>486</v>
      </c>
      <c r="AK935" s="246" t="s">
        <v>486</v>
      </c>
      <c r="AL935" s="246" t="s">
        <v>491</v>
      </c>
      <c r="AM935" s="246" t="s">
        <v>486</v>
      </c>
      <c r="AN935" s="246" t="s">
        <v>486</v>
      </c>
      <c r="AO935" s="248" t="s">
        <v>486</v>
      </c>
      <c r="AP935" s="247" t="s">
        <v>486</v>
      </c>
      <c r="AQ935" s="249" t="s">
        <v>486</v>
      </c>
      <c r="AR935" s="246" t="s">
        <v>486</v>
      </c>
    </row>
    <row r="936" spans="1:44" ht="15" x14ac:dyDescent="0.25">
      <c r="A936" s="250" t="str">
        <f>HYPERLINK("http://www.ofsted.gov.uk/inspection-reports/find-inspection-report/provider/ELS/108419 ","Ofsted School Webpage")</f>
        <v>Ofsted School Webpage</v>
      </c>
      <c r="B936" s="251">
        <v>108419</v>
      </c>
      <c r="C936" s="251">
        <v>3906007</v>
      </c>
      <c r="D936" s="251" t="s">
        <v>882</v>
      </c>
      <c r="E936" s="251" t="s">
        <v>247</v>
      </c>
      <c r="F936" s="251" t="s">
        <v>93</v>
      </c>
      <c r="G936" s="251" t="s">
        <v>81</v>
      </c>
      <c r="H936" s="251" t="s">
        <v>81</v>
      </c>
      <c r="I936" s="251" t="s">
        <v>81</v>
      </c>
      <c r="J936" s="251" t="s">
        <v>1490</v>
      </c>
      <c r="K936" s="251" t="s">
        <v>486</v>
      </c>
      <c r="L936" s="251" t="s">
        <v>487</v>
      </c>
      <c r="M936" s="251" t="s">
        <v>523</v>
      </c>
      <c r="N936" s="251" t="s">
        <v>539</v>
      </c>
      <c r="O936" s="251" t="s">
        <v>883</v>
      </c>
      <c r="P936" s="251" t="s">
        <v>884</v>
      </c>
      <c r="Q936" s="252">
        <v>10039497</v>
      </c>
      <c r="R936" s="253">
        <v>43445</v>
      </c>
      <c r="S936" s="253">
        <v>43447</v>
      </c>
      <c r="T936" s="253">
        <v>43531</v>
      </c>
      <c r="U936" s="251" t="s">
        <v>488</v>
      </c>
      <c r="V936" s="251">
        <v>4</v>
      </c>
      <c r="W936" s="251" t="s">
        <v>219</v>
      </c>
      <c r="X936" s="251">
        <v>4</v>
      </c>
      <c r="Y936" s="251">
        <v>4</v>
      </c>
      <c r="Z936" s="251">
        <v>3</v>
      </c>
      <c r="AA936" s="251">
        <v>3</v>
      </c>
      <c r="AB936" s="251" t="s">
        <v>486</v>
      </c>
      <c r="AC936" s="251" t="s">
        <v>486</v>
      </c>
      <c r="AD936" s="251" t="s">
        <v>490</v>
      </c>
      <c r="AE936" s="251" t="s">
        <v>486</v>
      </c>
      <c r="AF936" s="251" t="s">
        <v>486</v>
      </c>
      <c r="AG936" s="251" t="s">
        <v>486</v>
      </c>
      <c r="AH936" s="251" t="s">
        <v>486</v>
      </c>
      <c r="AI936" s="251" t="s">
        <v>486</v>
      </c>
      <c r="AJ936" s="251" t="s">
        <v>486</v>
      </c>
      <c r="AK936" s="251" t="s">
        <v>486</v>
      </c>
      <c r="AL936" s="251" t="s">
        <v>545</v>
      </c>
      <c r="AM936" s="251" t="s">
        <v>486</v>
      </c>
      <c r="AN936" s="251" t="s">
        <v>486</v>
      </c>
      <c r="AO936" s="253" t="s">
        <v>486</v>
      </c>
      <c r="AP936" s="252" t="s">
        <v>486</v>
      </c>
      <c r="AQ936" s="254" t="s">
        <v>486</v>
      </c>
      <c r="AR936" s="251" t="s">
        <v>486</v>
      </c>
    </row>
    <row r="937" spans="1:44" ht="15" x14ac:dyDescent="0.25">
      <c r="A937" s="245" t="str">
        <f>HYPERLINK("http://www.ofsted.gov.uk/inspection-reports/find-inspection-report/provider/ELS/109342 ","Ofsted School Webpage")</f>
        <v>Ofsted School Webpage</v>
      </c>
      <c r="B937" s="246">
        <v>109342</v>
      </c>
      <c r="C937" s="246">
        <v>8016008</v>
      </c>
      <c r="D937" s="246" t="s">
        <v>877</v>
      </c>
      <c r="E937" s="246" t="s">
        <v>248</v>
      </c>
      <c r="F937" s="246" t="s">
        <v>93</v>
      </c>
      <c r="G937" s="246" t="s">
        <v>93</v>
      </c>
      <c r="H937" s="246" t="s">
        <v>93</v>
      </c>
      <c r="I937" s="246" t="s">
        <v>90</v>
      </c>
      <c r="J937" s="246" t="s">
        <v>1490</v>
      </c>
      <c r="K937" s="246" t="s">
        <v>486</v>
      </c>
      <c r="L937" s="246" t="s">
        <v>487</v>
      </c>
      <c r="M937" s="246" t="s">
        <v>483</v>
      </c>
      <c r="N937" s="246" t="s">
        <v>483</v>
      </c>
      <c r="O937" s="246" t="s">
        <v>564</v>
      </c>
      <c r="P937" s="246" t="s">
        <v>878</v>
      </c>
      <c r="Q937" s="247">
        <v>10056301</v>
      </c>
      <c r="R937" s="248">
        <v>43445</v>
      </c>
      <c r="S937" s="248">
        <v>43447</v>
      </c>
      <c r="T937" s="248">
        <v>43488</v>
      </c>
      <c r="U937" s="246" t="s">
        <v>2930</v>
      </c>
      <c r="V937" s="246">
        <v>3</v>
      </c>
      <c r="W937" s="246" t="s">
        <v>219</v>
      </c>
      <c r="X937" s="246">
        <v>3</v>
      </c>
      <c r="Y937" s="246">
        <v>3</v>
      </c>
      <c r="Z937" s="246">
        <v>3</v>
      </c>
      <c r="AA937" s="246">
        <v>3</v>
      </c>
      <c r="AB937" s="246" t="s">
        <v>486</v>
      </c>
      <c r="AC937" s="246">
        <v>3</v>
      </c>
      <c r="AD937" s="246" t="s">
        <v>512</v>
      </c>
      <c r="AE937" s="246" t="s">
        <v>490</v>
      </c>
      <c r="AF937" s="246" t="s">
        <v>486</v>
      </c>
      <c r="AG937" s="246" t="s">
        <v>486</v>
      </c>
      <c r="AH937" s="246" t="s">
        <v>486</v>
      </c>
      <c r="AI937" s="246" t="s">
        <v>486</v>
      </c>
      <c r="AJ937" s="246" t="s">
        <v>486</v>
      </c>
      <c r="AK937" s="246" t="s">
        <v>486</v>
      </c>
      <c r="AL937" s="246" t="s">
        <v>491</v>
      </c>
      <c r="AM937" s="246" t="s">
        <v>486</v>
      </c>
      <c r="AN937" s="246" t="s">
        <v>486</v>
      </c>
      <c r="AO937" s="248" t="s">
        <v>486</v>
      </c>
      <c r="AP937" s="247" t="s">
        <v>486</v>
      </c>
      <c r="AQ937" s="249" t="s">
        <v>486</v>
      </c>
      <c r="AR937" s="246" t="s">
        <v>486</v>
      </c>
    </row>
    <row r="938" spans="1:44" ht="15" x14ac:dyDescent="0.25">
      <c r="A938" s="250" t="str">
        <f>HYPERLINK("http://www.ofsted.gov.uk/inspection-reports/find-inspection-report/provider/ELS/131016 ","Ofsted School Webpage")</f>
        <v>Ofsted School Webpage</v>
      </c>
      <c r="B938" s="251">
        <v>131016</v>
      </c>
      <c r="C938" s="251">
        <v>9336195</v>
      </c>
      <c r="D938" s="251" t="s">
        <v>871</v>
      </c>
      <c r="E938" s="251" t="s">
        <v>248</v>
      </c>
      <c r="F938" s="251" t="s">
        <v>93</v>
      </c>
      <c r="G938" s="251" t="s">
        <v>93</v>
      </c>
      <c r="H938" s="251" t="s">
        <v>93</v>
      </c>
      <c r="I938" s="251" t="s">
        <v>90</v>
      </c>
      <c r="J938" s="251" t="s">
        <v>1490</v>
      </c>
      <c r="K938" s="251" t="s">
        <v>486</v>
      </c>
      <c r="L938" s="251" t="s">
        <v>487</v>
      </c>
      <c r="M938" s="251" t="s">
        <v>483</v>
      </c>
      <c r="N938" s="251" t="s">
        <v>483</v>
      </c>
      <c r="O938" s="251" t="s">
        <v>531</v>
      </c>
      <c r="P938" s="251" t="s">
        <v>872</v>
      </c>
      <c r="Q938" s="252">
        <v>10053774</v>
      </c>
      <c r="R938" s="253">
        <v>43445</v>
      </c>
      <c r="S938" s="253">
        <v>43447</v>
      </c>
      <c r="T938" s="253">
        <v>43488</v>
      </c>
      <c r="U938" s="251" t="s">
        <v>624</v>
      </c>
      <c r="V938" s="251">
        <v>2</v>
      </c>
      <c r="W938" s="251" t="s">
        <v>219</v>
      </c>
      <c r="X938" s="251">
        <v>2</v>
      </c>
      <c r="Y938" s="251">
        <v>2</v>
      </c>
      <c r="Z938" s="251">
        <v>2</v>
      </c>
      <c r="AA938" s="251">
        <v>2</v>
      </c>
      <c r="AB938" s="251" t="s">
        <v>486</v>
      </c>
      <c r="AC938" s="251">
        <v>2</v>
      </c>
      <c r="AD938" s="251" t="s">
        <v>490</v>
      </c>
      <c r="AE938" s="251" t="s">
        <v>486</v>
      </c>
      <c r="AF938" s="251" t="s">
        <v>486</v>
      </c>
      <c r="AG938" s="251" t="s">
        <v>486</v>
      </c>
      <c r="AH938" s="251" t="s">
        <v>486</v>
      </c>
      <c r="AI938" s="251" t="s">
        <v>486</v>
      </c>
      <c r="AJ938" s="251" t="s">
        <v>486</v>
      </c>
      <c r="AK938" s="251" t="s">
        <v>486</v>
      </c>
      <c r="AL938" s="251" t="s">
        <v>491</v>
      </c>
      <c r="AM938" s="251" t="s">
        <v>486</v>
      </c>
      <c r="AN938" s="251" t="s">
        <v>486</v>
      </c>
      <c r="AO938" s="253" t="s">
        <v>486</v>
      </c>
      <c r="AP938" s="252" t="s">
        <v>486</v>
      </c>
      <c r="AQ938" s="254" t="s">
        <v>486</v>
      </c>
      <c r="AR938" s="251" t="s">
        <v>486</v>
      </c>
    </row>
    <row r="939" spans="1:44" ht="15" x14ac:dyDescent="0.25">
      <c r="A939" s="245" t="str">
        <f>HYPERLINK("http://www.ofsted.gov.uk/inspection-reports/find-inspection-report/provider/ELS/132099 ","Ofsted School Webpage")</f>
        <v>Ofsted School Webpage</v>
      </c>
      <c r="B939" s="246">
        <v>132099</v>
      </c>
      <c r="C939" s="246">
        <v>3826021</v>
      </c>
      <c r="D939" s="246" t="s">
        <v>873</v>
      </c>
      <c r="E939" s="246" t="s">
        <v>247</v>
      </c>
      <c r="F939" s="246" t="s">
        <v>93</v>
      </c>
      <c r="G939" s="246" t="s">
        <v>84</v>
      </c>
      <c r="H939" s="246" t="s">
        <v>84</v>
      </c>
      <c r="I939" s="246" t="s">
        <v>84</v>
      </c>
      <c r="J939" s="246" t="s">
        <v>1490</v>
      </c>
      <c r="K939" s="246" t="s">
        <v>486</v>
      </c>
      <c r="L939" s="246" t="s">
        <v>487</v>
      </c>
      <c r="M939" s="246" t="s">
        <v>523</v>
      </c>
      <c r="N939" s="246" t="s">
        <v>524</v>
      </c>
      <c r="O939" s="246" t="s">
        <v>767</v>
      </c>
      <c r="P939" s="246" t="s">
        <v>874</v>
      </c>
      <c r="Q939" s="247">
        <v>10055378</v>
      </c>
      <c r="R939" s="248">
        <v>43445</v>
      </c>
      <c r="S939" s="248">
        <v>43447</v>
      </c>
      <c r="T939" s="248">
        <v>43515</v>
      </c>
      <c r="U939" s="246" t="s">
        <v>488</v>
      </c>
      <c r="V939" s="246">
        <v>4</v>
      </c>
      <c r="W939" s="246" t="s">
        <v>220</v>
      </c>
      <c r="X939" s="246">
        <v>4</v>
      </c>
      <c r="Y939" s="246">
        <v>4</v>
      </c>
      <c r="Z939" s="246">
        <v>1</v>
      </c>
      <c r="AA939" s="246">
        <v>1</v>
      </c>
      <c r="AB939" s="246">
        <v>4</v>
      </c>
      <c r="AC939" s="246" t="s">
        <v>486</v>
      </c>
      <c r="AD939" s="246" t="s">
        <v>490</v>
      </c>
      <c r="AE939" s="246" t="s">
        <v>486</v>
      </c>
      <c r="AF939" s="246" t="s">
        <v>486</v>
      </c>
      <c r="AG939" s="246" t="s">
        <v>486</v>
      </c>
      <c r="AH939" s="246" t="s">
        <v>486</v>
      </c>
      <c r="AI939" s="246" t="s">
        <v>486</v>
      </c>
      <c r="AJ939" s="246" t="s">
        <v>486</v>
      </c>
      <c r="AK939" s="246" t="s">
        <v>486</v>
      </c>
      <c r="AL939" s="246" t="s">
        <v>545</v>
      </c>
      <c r="AM939" s="246" t="s">
        <v>486</v>
      </c>
      <c r="AN939" s="246" t="s">
        <v>486</v>
      </c>
      <c r="AO939" s="248" t="s">
        <v>486</v>
      </c>
      <c r="AP939" s="247" t="s">
        <v>486</v>
      </c>
      <c r="AQ939" s="249" t="s">
        <v>486</v>
      </c>
      <c r="AR939" s="246" t="s">
        <v>486</v>
      </c>
    </row>
    <row r="940" spans="1:44" ht="15" x14ac:dyDescent="0.25">
      <c r="A940" s="250" t="str">
        <f>HYPERLINK("http://www.ofsted.gov.uk/inspection-reports/find-inspection-report/provider/ELS/133570 ","Ofsted School Webpage")</f>
        <v>Ofsted School Webpage</v>
      </c>
      <c r="B940" s="251">
        <v>133570</v>
      </c>
      <c r="C940" s="251">
        <v>8736041</v>
      </c>
      <c r="D940" s="251" t="s">
        <v>866</v>
      </c>
      <c r="E940" s="251" t="s">
        <v>248</v>
      </c>
      <c r="F940" s="251" t="s">
        <v>93</v>
      </c>
      <c r="G940" s="251" t="s">
        <v>93</v>
      </c>
      <c r="H940" s="251" t="s">
        <v>93</v>
      </c>
      <c r="I940" s="251" t="s">
        <v>90</v>
      </c>
      <c r="J940" s="251" t="s">
        <v>1490</v>
      </c>
      <c r="K940" s="251" t="s">
        <v>486</v>
      </c>
      <c r="L940" s="251" t="s">
        <v>487</v>
      </c>
      <c r="M940" s="251" t="s">
        <v>516</v>
      </c>
      <c r="N940" s="251" t="s">
        <v>516</v>
      </c>
      <c r="O940" s="251" t="s">
        <v>867</v>
      </c>
      <c r="P940" s="251" t="s">
        <v>868</v>
      </c>
      <c r="Q940" s="252">
        <v>10056562</v>
      </c>
      <c r="R940" s="253">
        <v>43445</v>
      </c>
      <c r="S940" s="253">
        <v>43447</v>
      </c>
      <c r="T940" s="253">
        <v>43488</v>
      </c>
      <c r="U940" s="251" t="s">
        <v>488</v>
      </c>
      <c r="V940" s="251">
        <v>2</v>
      </c>
      <c r="W940" s="251" t="s">
        <v>219</v>
      </c>
      <c r="X940" s="251">
        <v>2</v>
      </c>
      <c r="Y940" s="251">
        <v>2</v>
      </c>
      <c r="Z940" s="251">
        <v>2</v>
      </c>
      <c r="AA940" s="251">
        <v>2</v>
      </c>
      <c r="AB940" s="251" t="s">
        <v>486</v>
      </c>
      <c r="AC940" s="251" t="s">
        <v>486</v>
      </c>
      <c r="AD940" s="251" t="s">
        <v>490</v>
      </c>
      <c r="AE940" s="251" t="s">
        <v>486</v>
      </c>
      <c r="AF940" s="251" t="s">
        <v>486</v>
      </c>
      <c r="AG940" s="251" t="s">
        <v>486</v>
      </c>
      <c r="AH940" s="251" t="s">
        <v>486</v>
      </c>
      <c r="AI940" s="251" t="s">
        <v>486</v>
      </c>
      <c r="AJ940" s="251" t="s">
        <v>486</v>
      </c>
      <c r="AK940" s="251" t="s">
        <v>486</v>
      </c>
      <c r="AL940" s="251" t="s">
        <v>491</v>
      </c>
      <c r="AM940" s="251" t="s">
        <v>486</v>
      </c>
      <c r="AN940" s="251" t="s">
        <v>486</v>
      </c>
      <c r="AO940" s="253" t="s">
        <v>486</v>
      </c>
      <c r="AP940" s="252" t="s">
        <v>486</v>
      </c>
      <c r="AQ940" s="254" t="s">
        <v>486</v>
      </c>
      <c r="AR940" s="251" t="s">
        <v>486</v>
      </c>
    </row>
    <row r="941" spans="1:44" ht="15" x14ac:dyDescent="0.25">
      <c r="A941" s="245" t="str">
        <f>HYPERLINK("http://www.ofsted.gov.uk/inspection-reports/find-inspection-report/provider/ELS/135673 ","Ofsted School Webpage")</f>
        <v>Ofsted School Webpage</v>
      </c>
      <c r="B941" s="246">
        <v>135673</v>
      </c>
      <c r="C941" s="246">
        <v>9336216</v>
      </c>
      <c r="D941" s="246" t="s">
        <v>885</v>
      </c>
      <c r="E941" s="246" t="s">
        <v>248</v>
      </c>
      <c r="F941" s="246" t="s">
        <v>93</v>
      </c>
      <c r="G941" s="246" t="s">
        <v>93</v>
      </c>
      <c r="H941" s="246" t="s">
        <v>93</v>
      </c>
      <c r="I941" s="246" t="s">
        <v>90</v>
      </c>
      <c r="J941" s="246" t="s">
        <v>1490</v>
      </c>
      <c r="K941" s="246" t="s">
        <v>486</v>
      </c>
      <c r="L941" s="246" t="s">
        <v>487</v>
      </c>
      <c r="M941" s="246" t="s">
        <v>483</v>
      </c>
      <c r="N941" s="246" t="s">
        <v>483</v>
      </c>
      <c r="O941" s="246" t="s">
        <v>531</v>
      </c>
      <c r="P941" s="246" t="s">
        <v>886</v>
      </c>
      <c r="Q941" s="247">
        <v>10044991</v>
      </c>
      <c r="R941" s="248">
        <v>43445</v>
      </c>
      <c r="S941" s="248">
        <v>43447</v>
      </c>
      <c r="T941" s="248">
        <v>43478</v>
      </c>
      <c r="U941" s="246" t="s">
        <v>488</v>
      </c>
      <c r="V941" s="246">
        <v>3</v>
      </c>
      <c r="W941" s="246" t="s">
        <v>219</v>
      </c>
      <c r="X941" s="246">
        <v>3</v>
      </c>
      <c r="Y941" s="246">
        <v>3</v>
      </c>
      <c r="Z941" s="246">
        <v>3</v>
      </c>
      <c r="AA941" s="246">
        <v>3</v>
      </c>
      <c r="AB941" s="246" t="s">
        <v>486</v>
      </c>
      <c r="AC941" s="246" t="s">
        <v>486</v>
      </c>
      <c r="AD941" s="246" t="s">
        <v>490</v>
      </c>
      <c r="AE941" s="246" t="s">
        <v>486</v>
      </c>
      <c r="AF941" s="246" t="s">
        <v>486</v>
      </c>
      <c r="AG941" s="246" t="s">
        <v>486</v>
      </c>
      <c r="AH941" s="246" t="s">
        <v>486</v>
      </c>
      <c r="AI941" s="246" t="s">
        <v>486</v>
      </c>
      <c r="AJ941" s="246" t="s">
        <v>486</v>
      </c>
      <c r="AK941" s="246" t="s">
        <v>486</v>
      </c>
      <c r="AL941" s="246" t="s">
        <v>545</v>
      </c>
      <c r="AM941" s="246" t="s">
        <v>486</v>
      </c>
      <c r="AN941" s="246" t="s">
        <v>486</v>
      </c>
      <c r="AO941" s="248" t="s">
        <v>486</v>
      </c>
      <c r="AP941" s="247" t="s">
        <v>486</v>
      </c>
      <c r="AQ941" s="249" t="s">
        <v>486</v>
      </c>
      <c r="AR941" s="246" t="s">
        <v>486</v>
      </c>
    </row>
    <row r="942" spans="1:44" ht="15" x14ac:dyDescent="0.25">
      <c r="A942" s="250" t="str">
        <f>HYPERLINK("http://www.ofsted.gov.uk/inspection-reports/find-inspection-report/provider/ELS/135988 ","Ofsted School Webpage")</f>
        <v>Ofsted School Webpage</v>
      </c>
      <c r="B942" s="251">
        <v>135988</v>
      </c>
      <c r="C942" s="251">
        <v>3096088</v>
      </c>
      <c r="D942" s="251" t="s">
        <v>869</v>
      </c>
      <c r="E942" s="251" t="s">
        <v>247</v>
      </c>
      <c r="F942" s="251" t="s">
        <v>93</v>
      </c>
      <c r="G942" s="251" t="s">
        <v>93</v>
      </c>
      <c r="H942" s="251" t="s">
        <v>93</v>
      </c>
      <c r="I942" s="251" t="s">
        <v>90</v>
      </c>
      <c r="J942" s="251" t="s">
        <v>1490</v>
      </c>
      <c r="K942" s="251" t="s">
        <v>486</v>
      </c>
      <c r="L942" s="251" t="s">
        <v>487</v>
      </c>
      <c r="M942" s="251" t="s">
        <v>506</v>
      </c>
      <c r="N942" s="251" t="s">
        <v>506</v>
      </c>
      <c r="O942" s="251" t="s">
        <v>595</v>
      </c>
      <c r="P942" s="251" t="s">
        <v>870</v>
      </c>
      <c r="Q942" s="252">
        <v>10055510</v>
      </c>
      <c r="R942" s="253">
        <v>43445</v>
      </c>
      <c r="S942" s="253">
        <v>43447</v>
      </c>
      <c r="T942" s="253">
        <v>43524</v>
      </c>
      <c r="U942" s="251" t="s">
        <v>488</v>
      </c>
      <c r="V942" s="251">
        <v>4</v>
      </c>
      <c r="W942" s="251" t="s">
        <v>220</v>
      </c>
      <c r="X942" s="251">
        <v>4</v>
      </c>
      <c r="Y942" s="251">
        <v>3</v>
      </c>
      <c r="Z942" s="251">
        <v>4</v>
      </c>
      <c r="AA942" s="251">
        <v>4</v>
      </c>
      <c r="AB942" s="251">
        <v>4</v>
      </c>
      <c r="AC942" s="251" t="s">
        <v>486</v>
      </c>
      <c r="AD942" s="251" t="s">
        <v>512</v>
      </c>
      <c r="AE942" s="251" t="s">
        <v>486</v>
      </c>
      <c r="AF942" s="251" t="s">
        <v>486</v>
      </c>
      <c r="AG942" s="251" t="s">
        <v>490</v>
      </c>
      <c r="AH942" s="251" t="s">
        <v>486</v>
      </c>
      <c r="AI942" s="251" t="s">
        <v>486</v>
      </c>
      <c r="AJ942" s="251" t="s">
        <v>486</v>
      </c>
      <c r="AK942" s="251" t="s">
        <v>486</v>
      </c>
      <c r="AL942" s="251" t="s">
        <v>545</v>
      </c>
      <c r="AM942" s="251" t="s">
        <v>486</v>
      </c>
      <c r="AN942" s="251" t="s">
        <v>486</v>
      </c>
      <c r="AO942" s="253" t="s">
        <v>486</v>
      </c>
      <c r="AP942" s="252" t="s">
        <v>486</v>
      </c>
      <c r="AQ942" s="254" t="s">
        <v>486</v>
      </c>
      <c r="AR942" s="251" t="s">
        <v>486</v>
      </c>
    </row>
    <row r="943" spans="1:44" ht="15" x14ac:dyDescent="0.25">
      <c r="A943" s="245" t="str">
        <f>HYPERLINK("http://www.ofsted.gov.uk/inspection-reports/find-inspection-report/provider/ELS/138801 ","Ofsted School Webpage")</f>
        <v>Ofsted School Webpage</v>
      </c>
      <c r="B943" s="246">
        <v>138801</v>
      </c>
      <c r="C943" s="246">
        <v>3166002</v>
      </c>
      <c r="D943" s="246" t="s">
        <v>887</v>
      </c>
      <c r="E943" s="246" t="s">
        <v>247</v>
      </c>
      <c r="F943" s="246" t="s">
        <v>93</v>
      </c>
      <c r="G943" s="246" t="s">
        <v>84</v>
      </c>
      <c r="H943" s="246" t="s">
        <v>84</v>
      </c>
      <c r="I943" s="246" t="s">
        <v>84</v>
      </c>
      <c r="J943" s="246" t="s">
        <v>1490</v>
      </c>
      <c r="K943" s="246" t="s">
        <v>486</v>
      </c>
      <c r="L943" s="246" t="s">
        <v>487</v>
      </c>
      <c r="M943" s="246" t="s">
        <v>506</v>
      </c>
      <c r="N943" s="246" t="s">
        <v>506</v>
      </c>
      <c r="O943" s="246" t="s">
        <v>799</v>
      </c>
      <c r="P943" s="246" t="s">
        <v>888</v>
      </c>
      <c r="Q943" s="247">
        <v>10054303</v>
      </c>
      <c r="R943" s="248">
        <v>43445</v>
      </c>
      <c r="S943" s="248">
        <v>43447</v>
      </c>
      <c r="T943" s="248">
        <v>43489</v>
      </c>
      <c r="U943" s="246" t="s">
        <v>488</v>
      </c>
      <c r="V943" s="246">
        <v>4</v>
      </c>
      <c r="W943" s="246" t="s">
        <v>220</v>
      </c>
      <c r="X943" s="246">
        <v>4</v>
      </c>
      <c r="Y943" s="246">
        <v>4</v>
      </c>
      <c r="Z943" s="246">
        <v>3</v>
      </c>
      <c r="AA943" s="246">
        <v>3</v>
      </c>
      <c r="AB943" s="246" t="s">
        <v>486</v>
      </c>
      <c r="AC943" s="246" t="s">
        <v>486</v>
      </c>
      <c r="AD943" s="246" t="s">
        <v>490</v>
      </c>
      <c r="AE943" s="246" t="s">
        <v>486</v>
      </c>
      <c r="AF943" s="246" t="s">
        <v>486</v>
      </c>
      <c r="AG943" s="246" t="s">
        <v>486</v>
      </c>
      <c r="AH943" s="246" t="s">
        <v>486</v>
      </c>
      <c r="AI943" s="246" t="s">
        <v>486</v>
      </c>
      <c r="AJ943" s="246" t="s">
        <v>486</v>
      </c>
      <c r="AK943" s="246" t="s">
        <v>486</v>
      </c>
      <c r="AL943" s="246" t="s">
        <v>545</v>
      </c>
      <c r="AM943" s="246" t="s">
        <v>486</v>
      </c>
      <c r="AN943" s="246" t="s">
        <v>486</v>
      </c>
      <c r="AO943" s="248" t="s">
        <v>486</v>
      </c>
      <c r="AP943" s="247" t="s">
        <v>486</v>
      </c>
      <c r="AQ943" s="249" t="s">
        <v>486</v>
      </c>
      <c r="AR943" s="246" t="s">
        <v>486</v>
      </c>
    </row>
    <row r="944" spans="1:44" ht="15" x14ac:dyDescent="0.25">
      <c r="A944" s="250" t="str">
        <f>HYPERLINK("http://www.ofsted.gov.uk/inspection-reports/find-inspection-report/provider/ELS/145465 ","Ofsted School Webpage")</f>
        <v>Ofsted School Webpage</v>
      </c>
      <c r="B944" s="251">
        <v>145465</v>
      </c>
      <c r="C944" s="251">
        <v>9096009</v>
      </c>
      <c r="D944" s="251" t="s">
        <v>875</v>
      </c>
      <c r="E944" s="251" t="s">
        <v>247</v>
      </c>
      <c r="F944" s="251" t="s">
        <v>93</v>
      </c>
      <c r="G944" s="251" t="s">
        <v>93</v>
      </c>
      <c r="H944" s="251" t="s">
        <v>93</v>
      </c>
      <c r="I944" s="251" t="s">
        <v>90</v>
      </c>
      <c r="J944" s="251" t="s">
        <v>1490</v>
      </c>
      <c r="K944" s="251" t="s">
        <v>486</v>
      </c>
      <c r="L944" s="251" t="s">
        <v>487</v>
      </c>
      <c r="M944" s="251" t="s">
        <v>495</v>
      </c>
      <c r="N944" s="251" t="s">
        <v>495</v>
      </c>
      <c r="O944" s="251" t="s">
        <v>663</v>
      </c>
      <c r="P944" s="251" t="s">
        <v>876</v>
      </c>
      <c r="Q944" s="252">
        <v>10056437</v>
      </c>
      <c r="R944" s="253">
        <v>43445</v>
      </c>
      <c r="S944" s="253">
        <v>43447</v>
      </c>
      <c r="T944" s="253">
        <v>43481</v>
      </c>
      <c r="U944" s="251" t="s">
        <v>499</v>
      </c>
      <c r="V944" s="251">
        <v>3</v>
      </c>
      <c r="W944" s="251" t="s">
        <v>219</v>
      </c>
      <c r="X944" s="251">
        <v>3</v>
      </c>
      <c r="Y944" s="251">
        <v>2</v>
      </c>
      <c r="Z944" s="251">
        <v>3</v>
      </c>
      <c r="AA944" s="251">
        <v>3</v>
      </c>
      <c r="AB944" s="251" t="s">
        <v>486</v>
      </c>
      <c r="AC944" s="251" t="s">
        <v>486</v>
      </c>
      <c r="AD944" s="251" t="s">
        <v>490</v>
      </c>
      <c r="AE944" s="251" t="s">
        <v>486</v>
      </c>
      <c r="AF944" s="251" t="s">
        <v>486</v>
      </c>
      <c r="AG944" s="251" t="s">
        <v>486</v>
      </c>
      <c r="AH944" s="251" t="s">
        <v>486</v>
      </c>
      <c r="AI944" s="251" t="s">
        <v>486</v>
      </c>
      <c r="AJ944" s="251" t="s">
        <v>486</v>
      </c>
      <c r="AK944" s="251" t="s">
        <v>486</v>
      </c>
      <c r="AL944" s="251" t="s">
        <v>491</v>
      </c>
      <c r="AM944" s="251" t="s">
        <v>486</v>
      </c>
      <c r="AN944" s="251" t="s">
        <v>486</v>
      </c>
      <c r="AO944" s="253" t="s">
        <v>486</v>
      </c>
      <c r="AP944" s="252" t="s">
        <v>486</v>
      </c>
      <c r="AQ944" s="254" t="s">
        <v>486</v>
      </c>
      <c r="AR944" s="251" t="s">
        <v>486</v>
      </c>
    </row>
    <row r="945" spans="1:44" ht="15" x14ac:dyDescent="0.25">
      <c r="A945" s="245" t="str">
        <f>HYPERLINK("http://www.ofsted.gov.uk/inspection-reports/find-inspection-report/provider/ELS/107787 ","Ofsted School Webpage")</f>
        <v>Ofsted School Webpage</v>
      </c>
      <c r="B945" s="246">
        <v>107787</v>
      </c>
      <c r="C945" s="246">
        <v>3826006</v>
      </c>
      <c r="D945" s="246" t="s">
        <v>892</v>
      </c>
      <c r="E945" s="246" t="s">
        <v>247</v>
      </c>
      <c r="F945" s="246" t="s">
        <v>93</v>
      </c>
      <c r="G945" s="246" t="s">
        <v>93</v>
      </c>
      <c r="H945" s="246" t="s">
        <v>93</v>
      </c>
      <c r="I945" s="246" t="s">
        <v>90</v>
      </c>
      <c r="J945" s="246" t="s">
        <v>1490</v>
      </c>
      <c r="K945" s="246" t="s">
        <v>486</v>
      </c>
      <c r="L945" s="246" t="s">
        <v>487</v>
      </c>
      <c r="M945" s="246" t="s">
        <v>523</v>
      </c>
      <c r="N945" s="246" t="s">
        <v>524</v>
      </c>
      <c r="O945" s="246" t="s">
        <v>767</v>
      </c>
      <c r="P945" s="246" t="s">
        <v>893</v>
      </c>
      <c r="Q945" s="247">
        <v>10055376</v>
      </c>
      <c r="R945" s="248">
        <v>43446</v>
      </c>
      <c r="S945" s="248">
        <v>43448</v>
      </c>
      <c r="T945" s="248">
        <v>43486</v>
      </c>
      <c r="U945" s="246" t="s">
        <v>488</v>
      </c>
      <c r="V945" s="246">
        <v>2</v>
      </c>
      <c r="W945" s="246" t="s">
        <v>219</v>
      </c>
      <c r="X945" s="246">
        <v>2</v>
      </c>
      <c r="Y945" s="246">
        <v>2</v>
      </c>
      <c r="Z945" s="246">
        <v>2</v>
      </c>
      <c r="AA945" s="246">
        <v>2</v>
      </c>
      <c r="AB945" s="246">
        <v>2</v>
      </c>
      <c r="AC945" s="246" t="s">
        <v>486</v>
      </c>
      <c r="AD945" s="246" t="s">
        <v>490</v>
      </c>
      <c r="AE945" s="246" t="s">
        <v>486</v>
      </c>
      <c r="AF945" s="246" t="s">
        <v>486</v>
      </c>
      <c r="AG945" s="246" t="s">
        <v>486</v>
      </c>
      <c r="AH945" s="246" t="s">
        <v>486</v>
      </c>
      <c r="AI945" s="246" t="s">
        <v>486</v>
      </c>
      <c r="AJ945" s="246" t="s">
        <v>486</v>
      </c>
      <c r="AK945" s="246" t="s">
        <v>486</v>
      </c>
      <c r="AL945" s="246" t="s">
        <v>491</v>
      </c>
      <c r="AM945" s="246" t="s">
        <v>486</v>
      </c>
      <c r="AN945" s="246" t="s">
        <v>486</v>
      </c>
      <c r="AO945" s="248" t="s">
        <v>486</v>
      </c>
      <c r="AP945" s="247" t="s">
        <v>486</v>
      </c>
      <c r="AQ945" s="249" t="s">
        <v>486</v>
      </c>
      <c r="AR945" s="246" t="s">
        <v>486</v>
      </c>
    </row>
    <row r="946" spans="1:44" ht="15" x14ac:dyDescent="0.25">
      <c r="A946" s="250" t="str">
        <f>HYPERLINK("http://www.ofsted.gov.uk/inspection-reports/find-inspection-report/provider/ELS/133640 ","Ofsted School Webpage")</f>
        <v>Ofsted School Webpage</v>
      </c>
      <c r="B946" s="251">
        <v>133640</v>
      </c>
      <c r="C946" s="251">
        <v>8106004</v>
      </c>
      <c r="D946" s="251" t="s">
        <v>889</v>
      </c>
      <c r="E946" s="251" t="s">
        <v>248</v>
      </c>
      <c r="F946" s="251" t="s">
        <v>93</v>
      </c>
      <c r="G946" s="251" t="s">
        <v>93</v>
      </c>
      <c r="H946" s="251" t="s">
        <v>93</v>
      </c>
      <c r="I946" s="251" t="s">
        <v>90</v>
      </c>
      <c r="J946" s="251" t="s">
        <v>1490</v>
      </c>
      <c r="K946" s="251" t="s">
        <v>486</v>
      </c>
      <c r="L946" s="251" t="s">
        <v>487</v>
      </c>
      <c r="M946" s="251" t="s">
        <v>523</v>
      </c>
      <c r="N946" s="251" t="s">
        <v>524</v>
      </c>
      <c r="O946" s="251" t="s">
        <v>890</v>
      </c>
      <c r="P946" s="251" t="s">
        <v>891</v>
      </c>
      <c r="Q946" s="252">
        <v>10053829</v>
      </c>
      <c r="R946" s="253">
        <v>43446</v>
      </c>
      <c r="S946" s="253">
        <v>43448</v>
      </c>
      <c r="T946" s="253">
        <v>43485</v>
      </c>
      <c r="U946" s="251" t="s">
        <v>488</v>
      </c>
      <c r="V946" s="251">
        <v>2</v>
      </c>
      <c r="W946" s="251" t="s">
        <v>219</v>
      </c>
      <c r="X946" s="251">
        <v>2</v>
      </c>
      <c r="Y946" s="251">
        <v>2</v>
      </c>
      <c r="Z946" s="251">
        <v>2</v>
      </c>
      <c r="AA946" s="251">
        <v>2</v>
      </c>
      <c r="AB946" s="251" t="s">
        <v>486</v>
      </c>
      <c r="AC946" s="251" t="s">
        <v>486</v>
      </c>
      <c r="AD946" s="251" t="s">
        <v>490</v>
      </c>
      <c r="AE946" s="251" t="s">
        <v>486</v>
      </c>
      <c r="AF946" s="251" t="s">
        <v>486</v>
      </c>
      <c r="AG946" s="251" t="s">
        <v>486</v>
      </c>
      <c r="AH946" s="251" t="s">
        <v>486</v>
      </c>
      <c r="AI946" s="251" t="s">
        <v>486</v>
      </c>
      <c r="AJ946" s="251" t="s">
        <v>486</v>
      </c>
      <c r="AK946" s="251" t="s">
        <v>486</v>
      </c>
      <c r="AL946" s="251" t="s">
        <v>491</v>
      </c>
      <c r="AM946" s="251" t="s">
        <v>486</v>
      </c>
      <c r="AN946" s="251" t="s">
        <v>486</v>
      </c>
      <c r="AO946" s="253" t="s">
        <v>486</v>
      </c>
      <c r="AP946" s="252" t="s">
        <v>486</v>
      </c>
      <c r="AQ946" s="254" t="s">
        <v>486</v>
      </c>
      <c r="AR946" s="251" t="s">
        <v>486</v>
      </c>
    </row>
    <row r="947" spans="1:44" ht="15" x14ac:dyDescent="0.25">
      <c r="A947" s="245" t="str">
        <f>HYPERLINK("http://www.ofsted.gov.uk/inspection-reports/find-inspection-report/provider/ELS/137887 ","Ofsted School Webpage")</f>
        <v>Ofsted School Webpage</v>
      </c>
      <c r="B947" s="246">
        <v>137887</v>
      </c>
      <c r="C947" s="246">
        <v>3526006</v>
      </c>
      <c r="D947" s="246" t="s">
        <v>894</v>
      </c>
      <c r="E947" s="246" t="s">
        <v>247</v>
      </c>
      <c r="F947" s="246" t="s">
        <v>93</v>
      </c>
      <c r="G947" s="246" t="s">
        <v>93</v>
      </c>
      <c r="H947" s="246" t="s">
        <v>93</v>
      </c>
      <c r="I947" s="246" t="s">
        <v>90</v>
      </c>
      <c r="J947" s="246" t="s">
        <v>1490</v>
      </c>
      <c r="K947" s="246" t="s">
        <v>486</v>
      </c>
      <c r="L947" s="246" t="s">
        <v>487</v>
      </c>
      <c r="M947" s="246" t="s">
        <v>495</v>
      </c>
      <c r="N947" s="246" t="s">
        <v>495</v>
      </c>
      <c r="O947" s="246" t="s">
        <v>744</v>
      </c>
      <c r="P947" s="246" t="s">
        <v>895</v>
      </c>
      <c r="Q947" s="247">
        <v>10053734</v>
      </c>
      <c r="R947" s="248">
        <v>43446</v>
      </c>
      <c r="S947" s="248">
        <v>43448</v>
      </c>
      <c r="T947" s="248">
        <v>43478</v>
      </c>
      <c r="U947" s="246" t="s">
        <v>488</v>
      </c>
      <c r="V947" s="246">
        <v>2</v>
      </c>
      <c r="W947" s="246" t="s">
        <v>219</v>
      </c>
      <c r="X947" s="246">
        <v>2</v>
      </c>
      <c r="Y947" s="246">
        <v>2</v>
      </c>
      <c r="Z947" s="246">
        <v>2</v>
      </c>
      <c r="AA947" s="246">
        <v>2</v>
      </c>
      <c r="AB947" s="246" t="s">
        <v>486</v>
      </c>
      <c r="AC947" s="246" t="s">
        <v>486</v>
      </c>
      <c r="AD947" s="246" t="s">
        <v>490</v>
      </c>
      <c r="AE947" s="246" t="s">
        <v>486</v>
      </c>
      <c r="AF947" s="246" t="s">
        <v>486</v>
      </c>
      <c r="AG947" s="246" t="s">
        <v>486</v>
      </c>
      <c r="AH947" s="246" t="s">
        <v>486</v>
      </c>
      <c r="AI947" s="246" t="s">
        <v>486</v>
      </c>
      <c r="AJ947" s="246" t="s">
        <v>486</v>
      </c>
      <c r="AK947" s="246" t="s">
        <v>486</v>
      </c>
      <c r="AL947" s="246" t="s">
        <v>491</v>
      </c>
      <c r="AM947" s="246" t="s">
        <v>486</v>
      </c>
      <c r="AN947" s="246" t="s">
        <v>486</v>
      </c>
      <c r="AO947" s="248" t="s">
        <v>486</v>
      </c>
      <c r="AP947" s="247" t="s">
        <v>486</v>
      </c>
      <c r="AQ947" s="249" t="s">
        <v>486</v>
      </c>
      <c r="AR947" s="246" t="s">
        <v>486</v>
      </c>
    </row>
    <row r="948" spans="1:44" ht="15" x14ac:dyDescent="0.25">
      <c r="A948" s="250" t="str">
        <f>HYPERLINK("http://www.ofsted.gov.uk/inspection-reports/find-inspection-report/provider/ELS/105999 ","Ofsted School Webpage")</f>
        <v>Ofsted School Webpage</v>
      </c>
      <c r="B948" s="251">
        <v>105999</v>
      </c>
      <c r="C948" s="251">
        <v>3556020</v>
      </c>
      <c r="D948" s="251" t="s">
        <v>904</v>
      </c>
      <c r="E948" s="251" t="s">
        <v>247</v>
      </c>
      <c r="F948" s="251" t="s">
        <v>93</v>
      </c>
      <c r="G948" s="251" t="s">
        <v>81</v>
      </c>
      <c r="H948" s="251" t="s">
        <v>81</v>
      </c>
      <c r="I948" s="251" t="s">
        <v>81</v>
      </c>
      <c r="J948" s="251" t="s">
        <v>1490</v>
      </c>
      <c r="K948" s="251" t="s">
        <v>486</v>
      </c>
      <c r="L948" s="251" t="s">
        <v>487</v>
      </c>
      <c r="M948" s="251" t="s">
        <v>495</v>
      </c>
      <c r="N948" s="251" t="s">
        <v>495</v>
      </c>
      <c r="O948" s="251" t="s">
        <v>601</v>
      </c>
      <c r="P948" s="251" t="s">
        <v>905</v>
      </c>
      <c r="Q948" s="252">
        <v>10067879</v>
      </c>
      <c r="R948" s="253">
        <v>43473</v>
      </c>
      <c r="S948" s="253">
        <v>43475</v>
      </c>
      <c r="T948" s="253">
        <v>43515</v>
      </c>
      <c r="U948" s="251" t="s">
        <v>488</v>
      </c>
      <c r="V948" s="251">
        <v>3</v>
      </c>
      <c r="W948" s="251" t="s">
        <v>219</v>
      </c>
      <c r="X948" s="251">
        <v>3</v>
      </c>
      <c r="Y948" s="251">
        <v>2</v>
      </c>
      <c r="Z948" s="251">
        <v>2</v>
      </c>
      <c r="AA948" s="251">
        <v>2</v>
      </c>
      <c r="AB948" s="251" t="s">
        <v>486</v>
      </c>
      <c r="AC948" s="251" t="s">
        <v>486</v>
      </c>
      <c r="AD948" s="251" t="s">
        <v>490</v>
      </c>
      <c r="AE948" s="251" t="s">
        <v>486</v>
      </c>
      <c r="AF948" s="251" t="s">
        <v>486</v>
      </c>
      <c r="AG948" s="251" t="s">
        <v>486</v>
      </c>
      <c r="AH948" s="251" t="s">
        <v>486</v>
      </c>
      <c r="AI948" s="251" t="s">
        <v>486</v>
      </c>
      <c r="AJ948" s="251" t="s">
        <v>486</v>
      </c>
      <c r="AK948" s="251" t="s">
        <v>486</v>
      </c>
      <c r="AL948" s="251" t="s">
        <v>545</v>
      </c>
      <c r="AM948" s="251" t="s">
        <v>486</v>
      </c>
      <c r="AN948" s="251" t="s">
        <v>486</v>
      </c>
      <c r="AO948" s="253" t="s">
        <v>486</v>
      </c>
      <c r="AP948" s="252" t="s">
        <v>486</v>
      </c>
      <c r="AQ948" s="254" t="s">
        <v>486</v>
      </c>
      <c r="AR948" s="251" t="s">
        <v>486</v>
      </c>
    </row>
    <row r="949" spans="1:44" ht="15" x14ac:dyDescent="0.25">
      <c r="A949" s="245" t="str">
        <f>HYPERLINK("http://www.ofsted.gov.uk/inspection-reports/find-inspection-report/provider/ELS/113950 ","Ofsted School Webpage")</f>
        <v>Ofsted School Webpage</v>
      </c>
      <c r="B949" s="246">
        <v>113950</v>
      </c>
      <c r="C949" s="246">
        <v>8356016</v>
      </c>
      <c r="D949" s="246" t="s">
        <v>902</v>
      </c>
      <c r="E949" s="246" t="s">
        <v>248</v>
      </c>
      <c r="F949" s="246" t="s">
        <v>93</v>
      </c>
      <c r="G949" s="246" t="s">
        <v>93</v>
      </c>
      <c r="H949" s="246" t="s">
        <v>93</v>
      </c>
      <c r="I949" s="246" t="s">
        <v>90</v>
      </c>
      <c r="J949" s="246" t="s">
        <v>1490</v>
      </c>
      <c r="K949" s="246" t="s">
        <v>486</v>
      </c>
      <c r="L949" s="246" t="s">
        <v>487</v>
      </c>
      <c r="M949" s="246" t="s">
        <v>483</v>
      </c>
      <c r="N949" s="246" t="s">
        <v>483</v>
      </c>
      <c r="O949" s="246" t="s">
        <v>643</v>
      </c>
      <c r="P949" s="246" t="s">
        <v>903</v>
      </c>
      <c r="Q949" s="247">
        <v>10056304</v>
      </c>
      <c r="R949" s="248">
        <v>43473</v>
      </c>
      <c r="S949" s="248">
        <v>43475</v>
      </c>
      <c r="T949" s="248">
        <v>43503</v>
      </c>
      <c r="U949" s="246" t="s">
        <v>2930</v>
      </c>
      <c r="V949" s="246">
        <v>2</v>
      </c>
      <c r="W949" s="246" t="s">
        <v>219</v>
      </c>
      <c r="X949" s="246">
        <v>2</v>
      </c>
      <c r="Y949" s="246">
        <v>2</v>
      </c>
      <c r="Z949" s="246">
        <v>2</v>
      </c>
      <c r="AA949" s="246">
        <v>2</v>
      </c>
      <c r="AB949" s="246" t="s">
        <v>486</v>
      </c>
      <c r="AC949" s="246">
        <v>2</v>
      </c>
      <c r="AD949" s="246" t="s">
        <v>490</v>
      </c>
      <c r="AE949" s="246" t="s">
        <v>486</v>
      </c>
      <c r="AF949" s="246" t="s">
        <v>486</v>
      </c>
      <c r="AG949" s="246" t="s">
        <v>486</v>
      </c>
      <c r="AH949" s="246" t="s">
        <v>486</v>
      </c>
      <c r="AI949" s="246" t="s">
        <v>486</v>
      </c>
      <c r="AJ949" s="246" t="s">
        <v>486</v>
      </c>
      <c r="AK949" s="246" t="s">
        <v>486</v>
      </c>
      <c r="AL949" s="246" t="s">
        <v>491</v>
      </c>
      <c r="AM949" s="246" t="s">
        <v>486</v>
      </c>
      <c r="AN949" s="246" t="s">
        <v>486</v>
      </c>
      <c r="AO949" s="248" t="s">
        <v>486</v>
      </c>
      <c r="AP949" s="247" t="s">
        <v>486</v>
      </c>
      <c r="AQ949" s="249" t="s">
        <v>486</v>
      </c>
      <c r="AR949" s="246" t="s">
        <v>486</v>
      </c>
    </row>
    <row r="950" spans="1:44" ht="15" x14ac:dyDescent="0.25">
      <c r="A950" s="250" t="str">
        <f>HYPERLINK("http://www.ofsted.gov.uk/inspection-reports/find-inspection-report/provider/ELS/130274 ","Ofsted School Webpage")</f>
        <v>Ofsted School Webpage</v>
      </c>
      <c r="B950" s="251">
        <v>130274</v>
      </c>
      <c r="C950" s="251">
        <v>3836119</v>
      </c>
      <c r="D950" s="251" t="s">
        <v>898</v>
      </c>
      <c r="E950" s="251" t="s">
        <v>247</v>
      </c>
      <c r="F950" s="251" t="s">
        <v>93</v>
      </c>
      <c r="G950" s="251" t="s">
        <v>84</v>
      </c>
      <c r="H950" s="251" t="s">
        <v>84</v>
      </c>
      <c r="I950" s="251" t="s">
        <v>84</v>
      </c>
      <c r="J950" s="251" t="s">
        <v>1490</v>
      </c>
      <c r="K950" s="251" t="s">
        <v>486</v>
      </c>
      <c r="L950" s="251" t="s">
        <v>487</v>
      </c>
      <c r="M950" s="251" t="s">
        <v>523</v>
      </c>
      <c r="N950" s="251" t="s">
        <v>524</v>
      </c>
      <c r="O950" s="251" t="s">
        <v>702</v>
      </c>
      <c r="P950" s="251" t="s">
        <v>899</v>
      </c>
      <c r="Q950" s="252">
        <v>10061248</v>
      </c>
      <c r="R950" s="253">
        <v>43473</v>
      </c>
      <c r="S950" s="253">
        <v>43475</v>
      </c>
      <c r="T950" s="253">
        <v>43521</v>
      </c>
      <c r="U950" s="251" t="s">
        <v>488</v>
      </c>
      <c r="V950" s="251">
        <v>4</v>
      </c>
      <c r="W950" s="251" t="s">
        <v>220</v>
      </c>
      <c r="X950" s="251">
        <v>4</v>
      </c>
      <c r="Y950" s="251">
        <v>4</v>
      </c>
      <c r="Z950" s="251">
        <v>3</v>
      </c>
      <c r="AA950" s="251">
        <v>3</v>
      </c>
      <c r="AB950" s="251" t="s">
        <v>486</v>
      </c>
      <c r="AC950" s="251" t="s">
        <v>486</v>
      </c>
      <c r="AD950" s="251" t="s">
        <v>490</v>
      </c>
      <c r="AE950" s="251" t="s">
        <v>486</v>
      </c>
      <c r="AF950" s="251" t="s">
        <v>486</v>
      </c>
      <c r="AG950" s="251" t="s">
        <v>486</v>
      </c>
      <c r="AH950" s="251" t="s">
        <v>486</v>
      </c>
      <c r="AI950" s="251" t="s">
        <v>486</v>
      </c>
      <c r="AJ950" s="251" t="s">
        <v>486</v>
      </c>
      <c r="AK950" s="251" t="s">
        <v>486</v>
      </c>
      <c r="AL950" s="251" t="s">
        <v>545</v>
      </c>
      <c r="AM950" s="251" t="s">
        <v>486</v>
      </c>
      <c r="AN950" s="251" t="s">
        <v>486</v>
      </c>
      <c r="AO950" s="253" t="s">
        <v>486</v>
      </c>
      <c r="AP950" s="252" t="s">
        <v>486</v>
      </c>
      <c r="AQ950" s="254" t="s">
        <v>486</v>
      </c>
      <c r="AR950" s="251" t="s">
        <v>486</v>
      </c>
    </row>
    <row r="951" spans="1:44" ht="15" x14ac:dyDescent="0.25">
      <c r="A951" s="245" t="str">
        <f>HYPERLINK("http://www.ofsted.gov.uk/inspection-reports/find-inspection-report/provider/ELS/131825 ","Ofsted School Webpage")</f>
        <v>Ofsted School Webpage</v>
      </c>
      <c r="B951" s="246">
        <v>131825</v>
      </c>
      <c r="C951" s="246">
        <v>8216004</v>
      </c>
      <c r="D951" s="246" t="s">
        <v>896</v>
      </c>
      <c r="E951" s="246" t="s">
        <v>247</v>
      </c>
      <c r="F951" s="246" t="s">
        <v>93</v>
      </c>
      <c r="G951" s="246" t="s">
        <v>84</v>
      </c>
      <c r="H951" s="246" t="s">
        <v>84</v>
      </c>
      <c r="I951" s="246" t="s">
        <v>84</v>
      </c>
      <c r="J951" s="246" t="s">
        <v>1490</v>
      </c>
      <c r="K951" s="246" t="s">
        <v>486</v>
      </c>
      <c r="L951" s="246" t="s">
        <v>487</v>
      </c>
      <c r="M951" s="246" t="s">
        <v>516</v>
      </c>
      <c r="N951" s="246" t="s">
        <v>516</v>
      </c>
      <c r="O951" s="246" t="s">
        <v>517</v>
      </c>
      <c r="P951" s="246" t="s">
        <v>897</v>
      </c>
      <c r="Q951" s="247">
        <v>10056561</v>
      </c>
      <c r="R951" s="248">
        <v>43473</v>
      </c>
      <c r="S951" s="248">
        <v>43475</v>
      </c>
      <c r="T951" s="248">
        <v>43507</v>
      </c>
      <c r="U951" s="246" t="s">
        <v>488</v>
      </c>
      <c r="V951" s="246">
        <v>3</v>
      </c>
      <c r="W951" s="246" t="s">
        <v>219</v>
      </c>
      <c r="X951" s="246">
        <v>3</v>
      </c>
      <c r="Y951" s="246">
        <v>3</v>
      </c>
      <c r="Z951" s="246">
        <v>3</v>
      </c>
      <c r="AA951" s="246">
        <v>3</v>
      </c>
      <c r="AB951" s="246" t="s">
        <v>486</v>
      </c>
      <c r="AC951" s="246" t="s">
        <v>486</v>
      </c>
      <c r="AD951" s="246" t="s">
        <v>490</v>
      </c>
      <c r="AE951" s="246" t="s">
        <v>486</v>
      </c>
      <c r="AF951" s="246" t="s">
        <v>486</v>
      </c>
      <c r="AG951" s="246" t="s">
        <v>486</v>
      </c>
      <c r="AH951" s="246" t="s">
        <v>486</v>
      </c>
      <c r="AI951" s="246" t="s">
        <v>486</v>
      </c>
      <c r="AJ951" s="246" t="s">
        <v>486</v>
      </c>
      <c r="AK951" s="246" t="s">
        <v>486</v>
      </c>
      <c r="AL951" s="246" t="s">
        <v>545</v>
      </c>
      <c r="AM951" s="246" t="s">
        <v>486</v>
      </c>
      <c r="AN951" s="246" t="s">
        <v>486</v>
      </c>
      <c r="AO951" s="248" t="s">
        <v>486</v>
      </c>
      <c r="AP951" s="247" t="s">
        <v>486</v>
      </c>
      <c r="AQ951" s="249" t="s">
        <v>486</v>
      </c>
      <c r="AR951" s="246" t="s">
        <v>486</v>
      </c>
    </row>
    <row r="952" spans="1:44" ht="15" x14ac:dyDescent="0.25">
      <c r="A952" s="250" t="str">
        <f>HYPERLINK("http://www.ofsted.gov.uk/inspection-reports/find-inspection-report/provider/ELS/145159 ","Ofsted School Webpage")</f>
        <v>Ofsted School Webpage</v>
      </c>
      <c r="B952" s="251">
        <v>145159</v>
      </c>
      <c r="C952" s="251">
        <v>9266017</v>
      </c>
      <c r="D952" s="251" t="s">
        <v>900</v>
      </c>
      <c r="E952" s="251" t="s">
        <v>248</v>
      </c>
      <c r="F952" s="251" t="s">
        <v>93</v>
      </c>
      <c r="G952" s="251" t="s">
        <v>93</v>
      </c>
      <c r="H952" s="251" t="s">
        <v>93</v>
      </c>
      <c r="I952" s="251" t="s">
        <v>90</v>
      </c>
      <c r="J952" s="251" t="s">
        <v>1490</v>
      </c>
      <c r="K952" s="251" t="s">
        <v>486</v>
      </c>
      <c r="L952" s="251" t="s">
        <v>487</v>
      </c>
      <c r="M952" s="251" t="s">
        <v>516</v>
      </c>
      <c r="N952" s="251" t="s">
        <v>516</v>
      </c>
      <c r="O952" s="251" t="s">
        <v>528</v>
      </c>
      <c r="P952" s="251" t="s">
        <v>901</v>
      </c>
      <c r="Q952" s="252">
        <v>10054012</v>
      </c>
      <c r="R952" s="253">
        <v>43473</v>
      </c>
      <c r="S952" s="253">
        <v>43475</v>
      </c>
      <c r="T952" s="253">
        <v>43529</v>
      </c>
      <c r="U952" s="251" t="s">
        <v>499</v>
      </c>
      <c r="V952" s="251">
        <v>3</v>
      </c>
      <c r="W952" s="251" t="s">
        <v>219</v>
      </c>
      <c r="X952" s="251">
        <v>3</v>
      </c>
      <c r="Y952" s="251">
        <v>3</v>
      </c>
      <c r="Z952" s="251">
        <v>3</v>
      </c>
      <c r="AA952" s="251">
        <v>3</v>
      </c>
      <c r="AB952" s="251" t="s">
        <v>486</v>
      </c>
      <c r="AC952" s="251" t="s">
        <v>486</v>
      </c>
      <c r="AD952" s="251" t="s">
        <v>512</v>
      </c>
      <c r="AE952" s="251" t="s">
        <v>490</v>
      </c>
      <c r="AF952" s="251" t="s">
        <v>486</v>
      </c>
      <c r="AG952" s="251" t="s">
        <v>486</v>
      </c>
      <c r="AH952" s="251" t="s">
        <v>486</v>
      </c>
      <c r="AI952" s="251" t="s">
        <v>486</v>
      </c>
      <c r="AJ952" s="251" t="s">
        <v>486</v>
      </c>
      <c r="AK952" s="251" t="s">
        <v>486</v>
      </c>
      <c r="AL952" s="251" t="s">
        <v>545</v>
      </c>
      <c r="AM952" s="251" t="s">
        <v>486</v>
      </c>
      <c r="AN952" s="251" t="s">
        <v>486</v>
      </c>
      <c r="AO952" s="253" t="s">
        <v>486</v>
      </c>
      <c r="AP952" s="252" t="s">
        <v>486</v>
      </c>
      <c r="AQ952" s="254" t="s">
        <v>486</v>
      </c>
      <c r="AR952" s="251" t="s">
        <v>486</v>
      </c>
    </row>
    <row r="953" spans="1:44" ht="15" x14ac:dyDescent="0.25">
      <c r="A953" s="245" t="str">
        <f>HYPERLINK("http://www.ofsted.gov.uk/inspection-reports/find-inspection-report/provider/ELS/106150 ","Ofsted School Webpage")</f>
        <v>Ofsted School Webpage</v>
      </c>
      <c r="B953" s="246">
        <v>106150</v>
      </c>
      <c r="C953" s="246">
        <v>3566008</v>
      </c>
      <c r="D953" s="246" t="s">
        <v>933</v>
      </c>
      <c r="E953" s="246" t="s">
        <v>248</v>
      </c>
      <c r="F953" s="246" t="s">
        <v>93</v>
      </c>
      <c r="G953" s="246" t="s">
        <v>93</v>
      </c>
      <c r="H953" s="246" t="s">
        <v>93</v>
      </c>
      <c r="I953" s="246" t="s">
        <v>90</v>
      </c>
      <c r="J953" s="246" t="s">
        <v>1490</v>
      </c>
      <c r="K953" s="246" t="s">
        <v>486</v>
      </c>
      <c r="L953" s="246" t="s">
        <v>487</v>
      </c>
      <c r="M953" s="246" t="s">
        <v>495</v>
      </c>
      <c r="N953" s="246" t="s">
        <v>495</v>
      </c>
      <c r="O953" s="246" t="s">
        <v>934</v>
      </c>
      <c r="P953" s="246" t="s">
        <v>935</v>
      </c>
      <c r="Q953" s="247">
        <v>10053722</v>
      </c>
      <c r="R953" s="248">
        <v>43480</v>
      </c>
      <c r="S953" s="248">
        <v>43482</v>
      </c>
      <c r="T953" s="248">
        <v>43528</v>
      </c>
      <c r="U953" s="246" t="s">
        <v>488</v>
      </c>
      <c r="V953" s="246">
        <v>4</v>
      </c>
      <c r="W953" s="246" t="s">
        <v>219</v>
      </c>
      <c r="X953" s="246">
        <v>4</v>
      </c>
      <c r="Y953" s="246">
        <v>1</v>
      </c>
      <c r="Z953" s="246">
        <v>4</v>
      </c>
      <c r="AA953" s="246">
        <v>3</v>
      </c>
      <c r="AB953" s="246" t="s">
        <v>486</v>
      </c>
      <c r="AC953" s="246" t="s">
        <v>486</v>
      </c>
      <c r="AD953" s="246" t="s">
        <v>490</v>
      </c>
      <c r="AE953" s="246" t="s">
        <v>486</v>
      </c>
      <c r="AF953" s="246" t="s">
        <v>486</v>
      </c>
      <c r="AG953" s="246" t="s">
        <v>486</v>
      </c>
      <c r="AH953" s="246" t="s">
        <v>486</v>
      </c>
      <c r="AI953" s="246" t="s">
        <v>486</v>
      </c>
      <c r="AJ953" s="246" t="s">
        <v>486</v>
      </c>
      <c r="AK953" s="246" t="s">
        <v>486</v>
      </c>
      <c r="AL953" s="246" t="s">
        <v>545</v>
      </c>
      <c r="AM953" s="246" t="s">
        <v>486</v>
      </c>
      <c r="AN953" s="246" t="s">
        <v>486</v>
      </c>
      <c r="AO953" s="248" t="s">
        <v>486</v>
      </c>
      <c r="AP953" s="247" t="s">
        <v>486</v>
      </c>
      <c r="AQ953" s="249" t="s">
        <v>486</v>
      </c>
      <c r="AR953" s="246" t="s">
        <v>486</v>
      </c>
    </row>
    <row r="954" spans="1:44" ht="15" x14ac:dyDescent="0.25">
      <c r="A954" s="250" t="str">
        <f>HYPERLINK("http://www.ofsted.gov.uk/inspection-reports/find-inspection-report/provider/ELS/113562 ","Ofsted School Webpage")</f>
        <v>Ofsted School Webpage</v>
      </c>
      <c r="B954" s="251">
        <v>113562</v>
      </c>
      <c r="C954" s="251">
        <v>8786001</v>
      </c>
      <c r="D954" s="251" t="s">
        <v>913</v>
      </c>
      <c r="E954" s="251" t="s">
        <v>247</v>
      </c>
      <c r="F954" s="251" t="s">
        <v>93</v>
      </c>
      <c r="G954" s="251" t="s">
        <v>93</v>
      </c>
      <c r="H954" s="251" t="s">
        <v>93</v>
      </c>
      <c r="I954" s="251" t="s">
        <v>90</v>
      </c>
      <c r="J954" s="251" t="s">
        <v>1490</v>
      </c>
      <c r="K954" s="251" t="s">
        <v>486</v>
      </c>
      <c r="L954" s="251" t="s">
        <v>487</v>
      </c>
      <c r="M954" s="251" t="s">
        <v>483</v>
      </c>
      <c r="N954" s="251" t="s">
        <v>483</v>
      </c>
      <c r="O954" s="251" t="s">
        <v>747</v>
      </c>
      <c r="P954" s="251" t="s">
        <v>914</v>
      </c>
      <c r="Q954" s="252">
        <v>10053752</v>
      </c>
      <c r="R954" s="253">
        <v>43480</v>
      </c>
      <c r="S954" s="253">
        <v>43482</v>
      </c>
      <c r="T954" s="253">
        <v>43523</v>
      </c>
      <c r="U954" s="251" t="s">
        <v>488</v>
      </c>
      <c r="V954" s="251">
        <v>3</v>
      </c>
      <c r="W954" s="251" t="s">
        <v>219</v>
      </c>
      <c r="X954" s="251">
        <v>3</v>
      </c>
      <c r="Y954" s="251">
        <v>2</v>
      </c>
      <c r="Z954" s="251">
        <v>3</v>
      </c>
      <c r="AA954" s="251">
        <v>3</v>
      </c>
      <c r="AB954" s="251">
        <v>2</v>
      </c>
      <c r="AC954" s="251" t="s">
        <v>486</v>
      </c>
      <c r="AD954" s="251" t="s">
        <v>490</v>
      </c>
      <c r="AE954" s="251" t="s">
        <v>486</v>
      </c>
      <c r="AF954" s="251" t="s">
        <v>486</v>
      </c>
      <c r="AG954" s="251" t="s">
        <v>486</v>
      </c>
      <c r="AH954" s="251" t="s">
        <v>486</v>
      </c>
      <c r="AI954" s="251" t="s">
        <v>486</v>
      </c>
      <c r="AJ954" s="251" t="s">
        <v>486</v>
      </c>
      <c r="AK954" s="251" t="s">
        <v>486</v>
      </c>
      <c r="AL954" s="251" t="s">
        <v>491</v>
      </c>
      <c r="AM954" s="251" t="s">
        <v>486</v>
      </c>
      <c r="AN954" s="251" t="s">
        <v>486</v>
      </c>
      <c r="AO954" s="253" t="s">
        <v>486</v>
      </c>
      <c r="AP954" s="252" t="s">
        <v>486</v>
      </c>
      <c r="AQ954" s="254" t="s">
        <v>486</v>
      </c>
      <c r="AR954" s="251" t="s">
        <v>486</v>
      </c>
    </row>
    <row r="955" spans="1:44" ht="15" x14ac:dyDescent="0.25">
      <c r="A955" s="245" t="str">
        <f>HYPERLINK("http://www.ofsted.gov.uk/inspection-reports/find-inspection-report/provider/ELS/119015 ","Ofsted School Webpage")</f>
        <v>Ofsted School Webpage</v>
      </c>
      <c r="B955" s="246">
        <v>119015</v>
      </c>
      <c r="C955" s="246">
        <v>8866065</v>
      </c>
      <c r="D955" s="246" t="s">
        <v>911</v>
      </c>
      <c r="E955" s="246" t="s">
        <v>248</v>
      </c>
      <c r="F955" s="246" t="s">
        <v>93</v>
      </c>
      <c r="G955" s="246" t="s">
        <v>93</v>
      </c>
      <c r="H955" s="246" t="s">
        <v>93</v>
      </c>
      <c r="I955" s="246" t="s">
        <v>90</v>
      </c>
      <c r="J955" s="246" t="s">
        <v>1490</v>
      </c>
      <c r="K955" s="246" t="s">
        <v>486</v>
      </c>
      <c r="L955" s="246" t="s">
        <v>487</v>
      </c>
      <c r="M955" s="246" t="s">
        <v>581</v>
      </c>
      <c r="N955" s="246" t="s">
        <v>581</v>
      </c>
      <c r="O955" s="246" t="s">
        <v>694</v>
      </c>
      <c r="P955" s="246" t="s">
        <v>912</v>
      </c>
      <c r="Q955" s="247">
        <v>10056670</v>
      </c>
      <c r="R955" s="248">
        <v>43480</v>
      </c>
      <c r="S955" s="248">
        <v>43482</v>
      </c>
      <c r="T955" s="248">
        <v>43499</v>
      </c>
      <c r="U955" s="246" t="s">
        <v>488</v>
      </c>
      <c r="V955" s="246">
        <v>2</v>
      </c>
      <c r="W955" s="246" t="s">
        <v>219</v>
      </c>
      <c r="X955" s="246">
        <v>2</v>
      </c>
      <c r="Y955" s="246">
        <v>2</v>
      </c>
      <c r="Z955" s="246">
        <v>2</v>
      </c>
      <c r="AA955" s="246">
        <v>2</v>
      </c>
      <c r="AB955" s="246" t="s">
        <v>486</v>
      </c>
      <c r="AC955" s="246" t="s">
        <v>486</v>
      </c>
      <c r="AD955" s="246" t="s">
        <v>512</v>
      </c>
      <c r="AE955" s="246" t="s">
        <v>490</v>
      </c>
      <c r="AF955" s="246" t="s">
        <v>490</v>
      </c>
      <c r="AG955" s="246" t="s">
        <v>486</v>
      </c>
      <c r="AH955" s="246" t="s">
        <v>486</v>
      </c>
      <c r="AI955" s="246" t="s">
        <v>486</v>
      </c>
      <c r="AJ955" s="246" t="s">
        <v>486</v>
      </c>
      <c r="AK955" s="246" t="s">
        <v>486</v>
      </c>
      <c r="AL955" s="246" t="s">
        <v>491</v>
      </c>
      <c r="AM955" s="246" t="s">
        <v>486</v>
      </c>
      <c r="AN955" s="246" t="s">
        <v>486</v>
      </c>
      <c r="AO955" s="248" t="s">
        <v>486</v>
      </c>
      <c r="AP955" s="247" t="s">
        <v>486</v>
      </c>
      <c r="AQ955" s="249" t="s">
        <v>486</v>
      </c>
      <c r="AR955" s="246" t="s">
        <v>486</v>
      </c>
    </row>
    <row r="956" spans="1:44" ht="15" x14ac:dyDescent="0.25">
      <c r="A956" s="250" t="str">
        <f>HYPERLINK("http://www.ofsted.gov.uk/inspection-reports/find-inspection-report/provider/ELS/123933 ","Ofsted School Webpage")</f>
        <v>Ofsted School Webpage</v>
      </c>
      <c r="B956" s="251">
        <v>123933</v>
      </c>
      <c r="C956" s="251">
        <v>9336185</v>
      </c>
      <c r="D956" s="251" t="s">
        <v>926</v>
      </c>
      <c r="E956" s="251" t="s">
        <v>248</v>
      </c>
      <c r="F956" s="251" t="s">
        <v>93</v>
      </c>
      <c r="G956" s="251" t="s">
        <v>93</v>
      </c>
      <c r="H956" s="251" t="s">
        <v>93</v>
      </c>
      <c r="I956" s="251" t="s">
        <v>90</v>
      </c>
      <c r="J956" s="251" t="s">
        <v>1490</v>
      </c>
      <c r="K956" s="251" t="s">
        <v>486</v>
      </c>
      <c r="L956" s="251" t="s">
        <v>487</v>
      </c>
      <c r="M956" s="251" t="s">
        <v>483</v>
      </c>
      <c r="N956" s="251" t="s">
        <v>483</v>
      </c>
      <c r="O956" s="251" t="s">
        <v>531</v>
      </c>
      <c r="P956" s="251" t="s">
        <v>927</v>
      </c>
      <c r="Q956" s="252">
        <v>10056309</v>
      </c>
      <c r="R956" s="253">
        <v>43480</v>
      </c>
      <c r="S956" s="253">
        <v>43482</v>
      </c>
      <c r="T956" s="253">
        <v>43521</v>
      </c>
      <c r="U956" s="251" t="s">
        <v>488</v>
      </c>
      <c r="V956" s="251">
        <v>2</v>
      </c>
      <c r="W956" s="251" t="s">
        <v>219</v>
      </c>
      <c r="X956" s="251">
        <v>2</v>
      </c>
      <c r="Y956" s="251">
        <v>2</v>
      </c>
      <c r="Z956" s="251">
        <v>2</v>
      </c>
      <c r="AA956" s="251">
        <v>2</v>
      </c>
      <c r="AB956" s="251" t="s">
        <v>486</v>
      </c>
      <c r="AC956" s="251">
        <v>2</v>
      </c>
      <c r="AD956" s="251" t="s">
        <v>490</v>
      </c>
      <c r="AE956" s="251" t="s">
        <v>486</v>
      </c>
      <c r="AF956" s="251" t="s">
        <v>486</v>
      </c>
      <c r="AG956" s="251" t="s">
        <v>486</v>
      </c>
      <c r="AH956" s="251" t="s">
        <v>486</v>
      </c>
      <c r="AI956" s="251" t="s">
        <v>486</v>
      </c>
      <c r="AJ956" s="251" t="s">
        <v>486</v>
      </c>
      <c r="AK956" s="251" t="s">
        <v>486</v>
      </c>
      <c r="AL956" s="251" t="s">
        <v>491</v>
      </c>
      <c r="AM956" s="251" t="s">
        <v>486</v>
      </c>
      <c r="AN956" s="251" t="s">
        <v>486</v>
      </c>
      <c r="AO956" s="253" t="s">
        <v>486</v>
      </c>
      <c r="AP956" s="252" t="s">
        <v>486</v>
      </c>
      <c r="AQ956" s="254" t="s">
        <v>486</v>
      </c>
      <c r="AR956" s="251" t="s">
        <v>486</v>
      </c>
    </row>
    <row r="957" spans="1:44" ht="15" x14ac:dyDescent="0.25">
      <c r="A957" s="245" t="str">
        <f>HYPERLINK("http://www.ofsted.gov.uk/inspection-reports/find-inspection-report/provider/ELS/130243 ","Ofsted School Webpage")</f>
        <v>Ofsted School Webpage</v>
      </c>
      <c r="B957" s="246">
        <v>130243</v>
      </c>
      <c r="C957" s="246">
        <v>2066383</v>
      </c>
      <c r="D957" s="246" t="s">
        <v>2872</v>
      </c>
      <c r="E957" s="246" t="s">
        <v>247</v>
      </c>
      <c r="F957" s="246" t="s">
        <v>93</v>
      </c>
      <c r="G957" s="246" t="s">
        <v>93</v>
      </c>
      <c r="H957" s="246" t="s">
        <v>93</v>
      </c>
      <c r="I957" s="246" t="s">
        <v>90</v>
      </c>
      <c r="J957" s="246" t="s">
        <v>1490</v>
      </c>
      <c r="K957" s="246" t="s">
        <v>486</v>
      </c>
      <c r="L957" s="246" t="s">
        <v>487</v>
      </c>
      <c r="M957" s="246" t="s">
        <v>506</v>
      </c>
      <c r="N957" s="246" t="s">
        <v>506</v>
      </c>
      <c r="O957" s="246" t="s">
        <v>753</v>
      </c>
      <c r="P957" s="246" t="s">
        <v>942</v>
      </c>
      <c r="Q957" s="247">
        <v>10067131</v>
      </c>
      <c r="R957" s="248">
        <v>43480</v>
      </c>
      <c r="S957" s="248">
        <v>43482</v>
      </c>
      <c r="T957" s="248">
        <v>43506</v>
      </c>
      <c r="U957" s="246" t="s">
        <v>488</v>
      </c>
      <c r="V957" s="246">
        <v>2</v>
      </c>
      <c r="W957" s="246" t="s">
        <v>219</v>
      </c>
      <c r="X957" s="246">
        <v>2</v>
      </c>
      <c r="Y957" s="246">
        <v>2</v>
      </c>
      <c r="Z957" s="246">
        <v>2</v>
      </c>
      <c r="AA957" s="246">
        <v>2</v>
      </c>
      <c r="AB957" s="246">
        <v>2</v>
      </c>
      <c r="AC957" s="246" t="s">
        <v>486</v>
      </c>
      <c r="AD957" s="246" t="s">
        <v>512</v>
      </c>
      <c r="AE957" s="246" t="s">
        <v>486</v>
      </c>
      <c r="AF957" s="246" t="s">
        <v>486</v>
      </c>
      <c r="AG957" s="246" t="s">
        <v>490</v>
      </c>
      <c r="AH957" s="246" t="s">
        <v>490</v>
      </c>
      <c r="AI957" s="246" t="s">
        <v>486</v>
      </c>
      <c r="AJ957" s="246" t="s">
        <v>486</v>
      </c>
      <c r="AK957" s="246" t="s">
        <v>486</v>
      </c>
      <c r="AL957" s="246" t="s">
        <v>491</v>
      </c>
      <c r="AM957" s="246" t="s">
        <v>486</v>
      </c>
      <c r="AN957" s="246" t="s">
        <v>486</v>
      </c>
      <c r="AO957" s="248" t="s">
        <v>486</v>
      </c>
      <c r="AP957" s="247" t="s">
        <v>486</v>
      </c>
      <c r="AQ957" s="249" t="s">
        <v>486</v>
      </c>
      <c r="AR957" s="246" t="s">
        <v>486</v>
      </c>
    </row>
    <row r="958" spans="1:44" ht="15" x14ac:dyDescent="0.25">
      <c r="A958" s="250" t="str">
        <f>HYPERLINK("http://www.ofsted.gov.uk/inspection-reports/find-inspection-report/provider/ELS/130913 ","Ofsted School Webpage")</f>
        <v>Ofsted School Webpage</v>
      </c>
      <c r="B958" s="251">
        <v>130913</v>
      </c>
      <c r="C958" s="251">
        <v>3576056</v>
      </c>
      <c r="D958" s="251" t="s">
        <v>931</v>
      </c>
      <c r="E958" s="251" t="s">
        <v>248</v>
      </c>
      <c r="F958" s="251" t="s">
        <v>93</v>
      </c>
      <c r="G958" s="251" t="s">
        <v>93</v>
      </c>
      <c r="H958" s="251" t="s">
        <v>93</v>
      </c>
      <c r="I958" s="251" t="s">
        <v>90</v>
      </c>
      <c r="J958" s="251" t="s">
        <v>1490</v>
      </c>
      <c r="K958" s="251" t="s">
        <v>486</v>
      </c>
      <c r="L958" s="251" t="s">
        <v>487</v>
      </c>
      <c r="M958" s="251" t="s">
        <v>495</v>
      </c>
      <c r="N958" s="251" t="s">
        <v>495</v>
      </c>
      <c r="O958" s="251" t="s">
        <v>834</v>
      </c>
      <c r="P958" s="251" t="s">
        <v>932</v>
      </c>
      <c r="Q958" s="252">
        <v>10067887</v>
      </c>
      <c r="R958" s="253">
        <v>43480</v>
      </c>
      <c r="S958" s="253">
        <v>43482</v>
      </c>
      <c r="T958" s="253">
        <v>43502</v>
      </c>
      <c r="U958" s="251" t="s">
        <v>488</v>
      </c>
      <c r="V958" s="251">
        <v>2</v>
      </c>
      <c r="W958" s="251" t="s">
        <v>219</v>
      </c>
      <c r="X958" s="251">
        <v>2</v>
      </c>
      <c r="Y958" s="251">
        <v>2</v>
      </c>
      <c r="Z958" s="251">
        <v>2</v>
      </c>
      <c r="AA958" s="251">
        <v>2</v>
      </c>
      <c r="AB958" s="251" t="s">
        <v>486</v>
      </c>
      <c r="AC958" s="251" t="s">
        <v>486</v>
      </c>
      <c r="AD958" s="251" t="s">
        <v>490</v>
      </c>
      <c r="AE958" s="251" t="s">
        <v>486</v>
      </c>
      <c r="AF958" s="251" t="s">
        <v>486</v>
      </c>
      <c r="AG958" s="251" t="s">
        <v>486</v>
      </c>
      <c r="AH958" s="251" t="s">
        <v>486</v>
      </c>
      <c r="AI958" s="251" t="s">
        <v>486</v>
      </c>
      <c r="AJ958" s="251" t="s">
        <v>486</v>
      </c>
      <c r="AK958" s="251" t="s">
        <v>486</v>
      </c>
      <c r="AL958" s="251" t="s">
        <v>491</v>
      </c>
      <c r="AM958" s="251" t="s">
        <v>486</v>
      </c>
      <c r="AN958" s="251" t="s">
        <v>486</v>
      </c>
      <c r="AO958" s="253" t="s">
        <v>486</v>
      </c>
      <c r="AP958" s="252" t="s">
        <v>486</v>
      </c>
      <c r="AQ958" s="254" t="s">
        <v>486</v>
      </c>
      <c r="AR958" s="251" t="s">
        <v>486</v>
      </c>
    </row>
    <row r="959" spans="1:44" ht="15" x14ac:dyDescent="0.25">
      <c r="A959" s="245" t="str">
        <f>HYPERLINK("http://www.ofsted.gov.uk/inspection-reports/find-inspection-report/provider/ELS/131136 ","Ofsted School Webpage")</f>
        <v>Ofsted School Webpage</v>
      </c>
      <c r="B959" s="246">
        <v>131136</v>
      </c>
      <c r="C959" s="246">
        <v>3846120</v>
      </c>
      <c r="D959" s="246" t="s">
        <v>906</v>
      </c>
      <c r="E959" s="246" t="s">
        <v>248</v>
      </c>
      <c r="F959" s="246" t="s">
        <v>93</v>
      </c>
      <c r="G959" s="246" t="s">
        <v>93</v>
      </c>
      <c r="H959" s="246" t="s">
        <v>93</v>
      </c>
      <c r="I959" s="246" t="s">
        <v>90</v>
      </c>
      <c r="J959" s="246" t="s">
        <v>1490</v>
      </c>
      <c r="K959" s="246" t="s">
        <v>486</v>
      </c>
      <c r="L959" s="246" t="s">
        <v>487</v>
      </c>
      <c r="M959" s="246" t="s">
        <v>523</v>
      </c>
      <c r="N959" s="246" t="s">
        <v>524</v>
      </c>
      <c r="O959" s="246" t="s">
        <v>525</v>
      </c>
      <c r="P959" s="246" t="s">
        <v>907</v>
      </c>
      <c r="Q959" s="247">
        <v>10061253</v>
      </c>
      <c r="R959" s="248">
        <v>43480</v>
      </c>
      <c r="S959" s="248">
        <v>43482</v>
      </c>
      <c r="T959" s="248">
        <v>43503</v>
      </c>
      <c r="U959" s="246" t="s">
        <v>488</v>
      </c>
      <c r="V959" s="246">
        <v>2</v>
      </c>
      <c r="W959" s="246" t="s">
        <v>219</v>
      </c>
      <c r="X959" s="246">
        <v>2</v>
      </c>
      <c r="Y959" s="246">
        <v>2</v>
      </c>
      <c r="Z959" s="246">
        <v>2</v>
      </c>
      <c r="AA959" s="246">
        <v>2</v>
      </c>
      <c r="AB959" s="246" t="s">
        <v>486</v>
      </c>
      <c r="AC959" s="246" t="s">
        <v>486</v>
      </c>
      <c r="AD959" s="246" t="s">
        <v>490</v>
      </c>
      <c r="AE959" s="246" t="s">
        <v>486</v>
      </c>
      <c r="AF959" s="246" t="s">
        <v>486</v>
      </c>
      <c r="AG959" s="246" t="s">
        <v>486</v>
      </c>
      <c r="AH959" s="246" t="s">
        <v>486</v>
      </c>
      <c r="AI959" s="246" t="s">
        <v>486</v>
      </c>
      <c r="AJ959" s="246" t="s">
        <v>486</v>
      </c>
      <c r="AK959" s="246" t="s">
        <v>486</v>
      </c>
      <c r="AL959" s="246" t="s">
        <v>491</v>
      </c>
      <c r="AM959" s="246" t="s">
        <v>486</v>
      </c>
      <c r="AN959" s="246" t="s">
        <v>486</v>
      </c>
      <c r="AO959" s="248" t="s">
        <v>486</v>
      </c>
      <c r="AP959" s="247" t="s">
        <v>486</v>
      </c>
      <c r="AQ959" s="249" t="s">
        <v>486</v>
      </c>
      <c r="AR959" s="246" t="s">
        <v>486</v>
      </c>
    </row>
    <row r="960" spans="1:44" ht="15" x14ac:dyDescent="0.25">
      <c r="A960" s="250" t="str">
        <f>HYPERLINK("http://www.ofsted.gov.uk/inspection-reports/find-inspection-report/provider/ELS/132848 ","Ofsted School Webpage")</f>
        <v>Ofsted School Webpage</v>
      </c>
      <c r="B960" s="251">
        <v>132848</v>
      </c>
      <c r="C960" s="251">
        <v>3206501</v>
      </c>
      <c r="D960" s="251" t="s">
        <v>919</v>
      </c>
      <c r="E960" s="251" t="s">
        <v>247</v>
      </c>
      <c r="F960" s="251" t="s">
        <v>84</v>
      </c>
      <c r="G960" s="251" t="s">
        <v>83</v>
      </c>
      <c r="H960" s="251" t="s">
        <v>84</v>
      </c>
      <c r="I960" s="251" t="s">
        <v>84</v>
      </c>
      <c r="J960" s="251" t="s">
        <v>1490</v>
      </c>
      <c r="K960" s="251" t="s">
        <v>486</v>
      </c>
      <c r="L960" s="251" t="s">
        <v>487</v>
      </c>
      <c r="M960" s="251" t="s">
        <v>506</v>
      </c>
      <c r="N960" s="251" t="s">
        <v>506</v>
      </c>
      <c r="O960" s="251" t="s">
        <v>671</v>
      </c>
      <c r="P960" s="251" t="s">
        <v>920</v>
      </c>
      <c r="Q960" s="252">
        <v>10068029</v>
      </c>
      <c r="R960" s="253">
        <v>43480</v>
      </c>
      <c r="S960" s="253">
        <v>43482</v>
      </c>
      <c r="T960" s="253">
        <v>43528</v>
      </c>
      <c r="U960" s="251" t="s">
        <v>488</v>
      </c>
      <c r="V960" s="251">
        <v>4</v>
      </c>
      <c r="W960" s="251" t="s">
        <v>219</v>
      </c>
      <c r="X960" s="251">
        <v>4</v>
      </c>
      <c r="Y960" s="251">
        <v>3</v>
      </c>
      <c r="Z960" s="251">
        <v>3</v>
      </c>
      <c r="AA960" s="251">
        <v>3</v>
      </c>
      <c r="AB960" s="251" t="s">
        <v>486</v>
      </c>
      <c r="AC960" s="251" t="s">
        <v>486</v>
      </c>
      <c r="AD960" s="251" t="s">
        <v>490</v>
      </c>
      <c r="AE960" s="251" t="s">
        <v>486</v>
      </c>
      <c r="AF960" s="251" t="s">
        <v>486</v>
      </c>
      <c r="AG960" s="251" t="s">
        <v>486</v>
      </c>
      <c r="AH960" s="251" t="s">
        <v>486</v>
      </c>
      <c r="AI960" s="251" t="s">
        <v>486</v>
      </c>
      <c r="AJ960" s="251" t="s">
        <v>486</v>
      </c>
      <c r="AK960" s="251" t="s">
        <v>486</v>
      </c>
      <c r="AL960" s="251" t="s">
        <v>545</v>
      </c>
      <c r="AM960" s="251" t="s">
        <v>486</v>
      </c>
      <c r="AN960" s="251" t="s">
        <v>486</v>
      </c>
      <c r="AO960" s="253" t="s">
        <v>486</v>
      </c>
      <c r="AP960" s="252" t="s">
        <v>486</v>
      </c>
      <c r="AQ960" s="254" t="s">
        <v>486</v>
      </c>
      <c r="AR960" s="251" t="s">
        <v>486</v>
      </c>
    </row>
    <row r="961" spans="1:44" ht="15" x14ac:dyDescent="0.25">
      <c r="A961" s="245" t="str">
        <f>HYPERLINK("http://www.ofsted.gov.uk/inspection-reports/find-inspection-report/provider/ELS/134091 ","Ofsted School Webpage")</f>
        <v>Ofsted School Webpage</v>
      </c>
      <c r="B961" s="246">
        <v>134091</v>
      </c>
      <c r="C961" s="246">
        <v>3306105</v>
      </c>
      <c r="D961" s="246" t="s">
        <v>908</v>
      </c>
      <c r="E961" s="246" t="s">
        <v>247</v>
      </c>
      <c r="F961" s="246" t="s">
        <v>93</v>
      </c>
      <c r="G961" s="246" t="s">
        <v>71</v>
      </c>
      <c r="H961" s="246" t="s">
        <v>71</v>
      </c>
      <c r="I961" s="246" t="s">
        <v>71</v>
      </c>
      <c r="J961" s="246" t="s">
        <v>1490</v>
      </c>
      <c r="K961" s="246" t="s">
        <v>486</v>
      </c>
      <c r="L961" s="246" t="s">
        <v>487</v>
      </c>
      <c r="M961" s="246" t="s">
        <v>502</v>
      </c>
      <c r="N961" s="246" t="s">
        <v>502</v>
      </c>
      <c r="O961" s="246" t="s">
        <v>909</v>
      </c>
      <c r="P961" s="246" t="s">
        <v>910</v>
      </c>
      <c r="Q961" s="247">
        <v>10056216</v>
      </c>
      <c r="R961" s="248">
        <v>43480</v>
      </c>
      <c r="S961" s="248">
        <v>43482</v>
      </c>
      <c r="T961" s="248">
        <v>43528</v>
      </c>
      <c r="U961" s="246" t="s">
        <v>488</v>
      </c>
      <c r="V961" s="246">
        <v>1</v>
      </c>
      <c r="W961" s="246" t="s">
        <v>219</v>
      </c>
      <c r="X961" s="246">
        <v>1</v>
      </c>
      <c r="Y961" s="246">
        <v>1</v>
      </c>
      <c r="Z961" s="246">
        <v>1</v>
      </c>
      <c r="AA961" s="246">
        <v>1</v>
      </c>
      <c r="AB961" s="246">
        <v>1</v>
      </c>
      <c r="AC961" s="246" t="s">
        <v>486</v>
      </c>
      <c r="AD961" s="246" t="s">
        <v>490</v>
      </c>
      <c r="AE961" s="246" t="s">
        <v>486</v>
      </c>
      <c r="AF961" s="246" t="s">
        <v>486</v>
      </c>
      <c r="AG961" s="246" t="s">
        <v>486</v>
      </c>
      <c r="AH961" s="246" t="s">
        <v>486</v>
      </c>
      <c r="AI961" s="246" t="s">
        <v>486</v>
      </c>
      <c r="AJ961" s="246" t="s">
        <v>486</v>
      </c>
      <c r="AK961" s="246" t="s">
        <v>486</v>
      </c>
      <c r="AL961" s="246" t="s">
        <v>491</v>
      </c>
      <c r="AM961" s="246" t="s">
        <v>486</v>
      </c>
      <c r="AN961" s="246" t="s">
        <v>486</v>
      </c>
      <c r="AO961" s="248" t="s">
        <v>486</v>
      </c>
      <c r="AP961" s="247" t="s">
        <v>486</v>
      </c>
      <c r="AQ961" s="249" t="s">
        <v>486</v>
      </c>
      <c r="AR961" s="246" t="s">
        <v>486</v>
      </c>
    </row>
    <row r="962" spans="1:44" ht="15" x14ac:dyDescent="0.25">
      <c r="A962" s="250" t="str">
        <f>HYPERLINK("http://www.ofsted.gov.uk/inspection-reports/find-inspection-report/provider/ELS/135150 ","Ofsted School Webpage")</f>
        <v>Ofsted School Webpage</v>
      </c>
      <c r="B962" s="251">
        <v>135150</v>
      </c>
      <c r="C962" s="251">
        <v>8816056</v>
      </c>
      <c r="D962" s="251" t="s">
        <v>939</v>
      </c>
      <c r="E962" s="251" t="s">
        <v>248</v>
      </c>
      <c r="F962" s="251" t="s">
        <v>93</v>
      </c>
      <c r="G962" s="251" t="s">
        <v>93</v>
      </c>
      <c r="H962" s="251" t="s">
        <v>93</v>
      </c>
      <c r="I962" s="251" t="s">
        <v>90</v>
      </c>
      <c r="J962" s="251" t="s">
        <v>1490</v>
      </c>
      <c r="K962" s="251" t="s">
        <v>486</v>
      </c>
      <c r="L962" s="251" t="s">
        <v>487</v>
      </c>
      <c r="M962" s="251" t="s">
        <v>516</v>
      </c>
      <c r="N962" s="251" t="s">
        <v>516</v>
      </c>
      <c r="O962" s="251" t="s">
        <v>764</v>
      </c>
      <c r="P962" s="251" t="s">
        <v>940</v>
      </c>
      <c r="Q962" s="252">
        <v>10056566</v>
      </c>
      <c r="R962" s="253">
        <v>43480</v>
      </c>
      <c r="S962" s="253">
        <v>43482</v>
      </c>
      <c r="T962" s="253">
        <v>43522</v>
      </c>
      <c r="U962" s="251" t="s">
        <v>488</v>
      </c>
      <c r="V962" s="251">
        <v>2</v>
      </c>
      <c r="W962" s="251" t="s">
        <v>219</v>
      </c>
      <c r="X962" s="251">
        <v>2</v>
      </c>
      <c r="Y962" s="251">
        <v>2</v>
      </c>
      <c r="Z962" s="251">
        <v>2</v>
      </c>
      <c r="AA962" s="251">
        <v>2</v>
      </c>
      <c r="AB962" s="251" t="s">
        <v>486</v>
      </c>
      <c r="AC962" s="251">
        <v>2</v>
      </c>
      <c r="AD962" s="251" t="s">
        <v>490</v>
      </c>
      <c r="AE962" s="251" t="s">
        <v>486</v>
      </c>
      <c r="AF962" s="251" t="s">
        <v>486</v>
      </c>
      <c r="AG962" s="251" t="s">
        <v>486</v>
      </c>
      <c r="AH962" s="251" t="s">
        <v>486</v>
      </c>
      <c r="AI962" s="251" t="s">
        <v>486</v>
      </c>
      <c r="AJ962" s="251" t="s">
        <v>486</v>
      </c>
      <c r="AK962" s="251" t="s">
        <v>486</v>
      </c>
      <c r="AL962" s="251" t="s">
        <v>491</v>
      </c>
      <c r="AM962" s="251" t="s">
        <v>486</v>
      </c>
      <c r="AN962" s="251" t="s">
        <v>486</v>
      </c>
      <c r="AO962" s="253" t="s">
        <v>486</v>
      </c>
      <c r="AP962" s="252" t="s">
        <v>486</v>
      </c>
      <c r="AQ962" s="254" t="s">
        <v>486</v>
      </c>
      <c r="AR962" s="251" t="s">
        <v>486</v>
      </c>
    </row>
    <row r="963" spans="1:44" ht="15" x14ac:dyDescent="0.25">
      <c r="A963" s="245" t="str">
        <f>HYPERLINK("http://www.ofsted.gov.uk/inspection-reports/find-inspection-report/provider/ELS/135901 ","Ofsted School Webpage")</f>
        <v>Ofsted School Webpage</v>
      </c>
      <c r="B963" s="246">
        <v>135901</v>
      </c>
      <c r="C963" s="246">
        <v>2096409</v>
      </c>
      <c r="D963" s="246" t="s">
        <v>915</v>
      </c>
      <c r="E963" s="246" t="s">
        <v>247</v>
      </c>
      <c r="F963" s="246" t="s">
        <v>93</v>
      </c>
      <c r="G963" s="246" t="s">
        <v>93</v>
      </c>
      <c r="H963" s="246" t="s">
        <v>93</v>
      </c>
      <c r="I963" s="246" t="s">
        <v>90</v>
      </c>
      <c r="J963" s="246" t="s">
        <v>1490</v>
      </c>
      <c r="K963" s="246" t="s">
        <v>486</v>
      </c>
      <c r="L963" s="246" t="s">
        <v>487</v>
      </c>
      <c r="M963" s="246" t="s">
        <v>506</v>
      </c>
      <c r="N963" s="246" t="s">
        <v>506</v>
      </c>
      <c r="O963" s="246" t="s">
        <v>739</v>
      </c>
      <c r="P963" s="246" t="s">
        <v>916</v>
      </c>
      <c r="Q963" s="247">
        <v>10067179</v>
      </c>
      <c r="R963" s="248">
        <v>43480</v>
      </c>
      <c r="S963" s="248">
        <v>43482</v>
      </c>
      <c r="T963" s="248">
        <v>43499</v>
      </c>
      <c r="U963" s="246" t="s">
        <v>488</v>
      </c>
      <c r="V963" s="246">
        <v>2</v>
      </c>
      <c r="W963" s="246" t="s">
        <v>219</v>
      </c>
      <c r="X963" s="246">
        <v>2</v>
      </c>
      <c r="Y963" s="246">
        <v>2</v>
      </c>
      <c r="Z963" s="246">
        <v>2</v>
      </c>
      <c r="AA963" s="246">
        <v>2</v>
      </c>
      <c r="AB963" s="246" t="s">
        <v>486</v>
      </c>
      <c r="AC963" s="246" t="s">
        <v>486</v>
      </c>
      <c r="AD963" s="246" t="s">
        <v>490</v>
      </c>
      <c r="AE963" s="246" t="s">
        <v>486</v>
      </c>
      <c r="AF963" s="246" t="s">
        <v>486</v>
      </c>
      <c r="AG963" s="246" t="s">
        <v>486</v>
      </c>
      <c r="AH963" s="246" t="s">
        <v>486</v>
      </c>
      <c r="AI963" s="246" t="s">
        <v>486</v>
      </c>
      <c r="AJ963" s="246" t="s">
        <v>486</v>
      </c>
      <c r="AK963" s="246" t="s">
        <v>486</v>
      </c>
      <c r="AL963" s="246" t="s">
        <v>491</v>
      </c>
      <c r="AM963" s="246" t="s">
        <v>486</v>
      </c>
      <c r="AN963" s="246" t="s">
        <v>486</v>
      </c>
      <c r="AO963" s="248" t="s">
        <v>486</v>
      </c>
      <c r="AP963" s="247" t="s">
        <v>486</v>
      </c>
      <c r="AQ963" s="249" t="s">
        <v>486</v>
      </c>
      <c r="AR963" s="246" t="s">
        <v>486</v>
      </c>
    </row>
    <row r="964" spans="1:44" ht="15" x14ac:dyDescent="0.25">
      <c r="A964" s="250" t="str">
        <f>HYPERLINK("http://www.ofsted.gov.uk/inspection-reports/find-inspection-report/provider/ELS/136936 ","Ofsted School Webpage")</f>
        <v>Ofsted School Webpage</v>
      </c>
      <c r="B964" s="251">
        <v>136936</v>
      </c>
      <c r="C964" s="251">
        <v>3736002</v>
      </c>
      <c r="D964" s="251" t="s">
        <v>921</v>
      </c>
      <c r="E964" s="251" t="s">
        <v>248</v>
      </c>
      <c r="F964" s="251" t="s">
        <v>93</v>
      </c>
      <c r="G964" s="251" t="s">
        <v>93</v>
      </c>
      <c r="H964" s="251" t="s">
        <v>93</v>
      </c>
      <c r="I964" s="251" t="s">
        <v>90</v>
      </c>
      <c r="J964" s="251" t="s">
        <v>1490</v>
      </c>
      <c r="K964" s="251" t="s">
        <v>486</v>
      </c>
      <c r="L964" s="251" t="s">
        <v>487</v>
      </c>
      <c r="M964" s="251" t="s">
        <v>523</v>
      </c>
      <c r="N964" s="251" t="s">
        <v>524</v>
      </c>
      <c r="O964" s="251" t="s">
        <v>553</v>
      </c>
      <c r="P964" s="251" t="s">
        <v>922</v>
      </c>
      <c r="Q964" s="252">
        <v>10055379</v>
      </c>
      <c r="R964" s="253">
        <v>43480</v>
      </c>
      <c r="S964" s="253">
        <v>43482</v>
      </c>
      <c r="T964" s="253">
        <v>43529</v>
      </c>
      <c r="U964" s="251" t="s">
        <v>2930</v>
      </c>
      <c r="V964" s="251">
        <v>2</v>
      </c>
      <c r="W964" s="251" t="s">
        <v>219</v>
      </c>
      <c r="X964" s="251">
        <v>2</v>
      </c>
      <c r="Y964" s="251">
        <v>2</v>
      </c>
      <c r="Z964" s="251">
        <v>2</v>
      </c>
      <c r="AA964" s="251">
        <v>2</v>
      </c>
      <c r="AB964" s="251" t="s">
        <v>486</v>
      </c>
      <c r="AC964" s="251">
        <v>2</v>
      </c>
      <c r="AD964" s="251" t="s">
        <v>490</v>
      </c>
      <c r="AE964" s="251" t="s">
        <v>486</v>
      </c>
      <c r="AF964" s="251" t="s">
        <v>486</v>
      </c>
      <c r="AG964" s="251" t="s">
        <v>486</v>
      </c>
      <c r="AH964" s="251" t="s">
        <v>486</v>
      </c>
      <c r="AI964" s="251" t="s">
        <v>486</v>
      </c>
      <c r="AJ964" s="251" t="s">
        <v>486</v>
      </c>
      <c r="AK964" s="251" t="s">
        <v>486</v>
      </c>
      <c r="AL964" s="251" t="s">
        <v>491</v>
      </c>
      <c r="AM964" s="251" t="s">
        <v>486</v>
      </c>
      <c r="AN964" s="251" t="s">
        <v>486</v>
      </c>
      <c r="AO964" s="253" t="s">
        <v>486</v>
      </c>
      <c r="AP964" s="252" t="s">
        <v>486</v>
      </c>
      <c r="AQ964" s="254" t="s">
        <v>486</v>
      </c>
      <c r="AR964" s="251" t="s">
        <v>486</v>
      </c>
    </row>
    <row r="965" spans="1:44" ht="15" x14ac:dyDescent="0.25">
      <c r="A965" s="245" t="str">
        <f>HYPERLINK("http://www.ofsted.gov.uk/inspection-reports/find-inspection-report/provider/ELS/137327 ","Ofsted School Webpage")</f>
        <v>Ofsted School Webpage</v>
      </c>
      <c r="B965" s="246">
        <v>137327</v>
      </c>
      <c r="C965" s="246">
        <v>9256000</v>
      </c>
      <c r="D965" s="246" t="s">
        <v>928</v>
      </c>
      <c r="E965" s="246" t="s">
        <v>247</v>
      </c>
      <c r="F965" s="246" t="s">
        <v>93</v>
      </c>
      <c r="G965" s="246" t="s">
        <v>93</v>
      </c>
      <c r="H965" s="246" t="s">
        <v>93</v>
      </c>
      <c r="I965" s="246" t="s">
        <v>90</v>
      </c>
      <c r="J965" s="246" t="s">
        <v>1490</v>
      </c>
      <c r="K965" s="246" t="s">
        <v>486</v>
      </c>
      <c r="L965" s="246" t="s">
        <v>487</v>
      </c>
      <c r="M965" s="246" t="s">
        <v>572</v>
      </c>
      <c r="N965" s="246" t="s">
        <v>572</v>
      </c>
      <c r="O965" s="246" t="s">
        <v>929</v>
      </c>
      <c r="P965" s="246" t="s">
        <v>930</v>
      </c>
      <c r="Q965" s="247">
        <v>10078681</v>
      </c>
      <c r="R965" s="248">
        <v>43480</v>
      </c>
      <c r="S965" s="248">
        <v>43482</v>
      </c>
      <c r="T965" s="248">
        <v>43501</v>
      </c>
      <c r="U965" s="246" t="s">
        <v>488</v>
      </c>
      <c r="V965" s="246">
        <v>1</v>
      </c>
      <c r="W965" s="246" t="s">
        <v>219</v>
      </c>
      <c r="X965" s="246">
        <v>1</v>
      </c>
      <c r="Y965" s="246">
        <v>1</v>
      </c>
      <c r="Z965" s="246">
        <v>1</v>
      </c>
      <c r="AA965" s="246">
        <v>1</v>
      </c>
      <c r="AB965" s="246">
        <v>1</v>
      </c>
      <c r="AC965" s="246" t="s">
        <v>486</v>
      </c>
      <c r="AD965" s="246" t="s">
        <v>490</v>
      </c>
      <c r="AE965" s="246" t="s">
        <v>486</v>
      </c>
      <c r="AF965" s="246" t="s">
        <v>486</v>
      </c>
      <c r="AG965" s="246" t="s">
        <v>486</v>
      </c>
      <c r="AH965" s="246" t="s">
        <v>486</v>
      </c>
      <c r="AI965" s="246" t="s">
        <v>486</v>
      </c>
      <c r="AJ965" s="246" t="s">
        <v>486</v>
      </c>
      <c r="AK965" s="246" t="s">
        <v>486</v>
      </c>
      <c r="AL965" s="246" t="s">
        <v>491</v>
      </c>
      <c r="AM965" s="246" t="s">
        <v>486</v>
      </c>
      <c r="AN965" s="246" t="s">
        <v>486</v>
      </c>
      <c r="AO965" s="248" t="s">
        <v>486</v>
      </c>
      <c r="AP965" s="247" t="s">
        <v>486</v>
      </c>
      <c r="AQ965" s="249" t="s">
        <v>486</v>
      </c>
      <c r="AR965" s="246" t="s">
        <v>486</v>
      </c>
    </row>
    <row r="966" spans="1:44" ht="15" x14ac:dyDescent="0.25">
      <c r="A966" s="250" t="str">
        <f>HYPERLINK("http://www.ofsted.gov.uk/inspection-reports/find-inspection-report/provider/ELS/138877 ","Ofsted School Webpage")</f>
        <v>Ofsted School Webpage</v>
      </c>
      <c r="B966" s="251">
        <v>138877</v>
      </c>
      <c r="C966" s="251">
        <v>9356002</v>
      </c>
      <c r="D966" s="251" t="s">
        <v>936</v>
      </c>
      <c r="E966" s="251" t="s">
        <v>247</v>
      </c>
      <c r="F966" s="251" t="s">
        <v>93</v>
      </c>
      <c r="G966" s="251" t="s">
        <v>93</v>
      </c>
      <c r="H966" s="251" t="s">
        <v>93</v>
      </c>
      <c r="I966" s="251" t="s">
        <v>90</v>
      </c>
      <c r="J966" s="251" t="s">
        <v>1490</v>
      </c>
      <c r="K966" s="251" t="s">
        <v>486</v>
      </c>
      <c r="L966" s="251" t="s">
        <v>487</v>
      </c>
      <c r="M966" s="251" t="s">
        <v>516</v>
      </c>
      <c r="N966" s="251" t="s">
        <v>516</v>
      </c>
      <c r="O966" s="251" t="s">
        <v>937</v>
      </c>
      <c r="P966" s="251" t="s">
        <v>938</v>
      </c>
      <c r="Q966" s="252">
        <v>10056570</v>
      </c>
      <c r="R966" s="253">
        <v>43480</v>
      </c>
      <c r="S966" s="253">
        <v>43482</v>
      </c>
      <c r="T966" s="253">
        <v>43509</v>
      </c>
      <c r="U966" s="251" t="s">
        <v>488</v>
      </c>
      <c r="V966" s="251">
        <v>2</v>
      </c>
      <c r="W966" s="251" t="s">
        <v>219</v>
      </c>
      <c r="X966" s="251">
        <v>2</v>
      </c>
      <c r="Y966" s="251">
        <v>2</v>
      </c>
      <c r="Z966" s="251">
        <v>2</v>
      </c>
      <c r="AA966" s="251">
        <v>2</v>
      </c>
      <c r="AB966" s="251" t="s">
        <v>486</v>
      </c>
      <c r="AC966" s="251" t="s">
        <v>486</v>
      </c>
      <c r="AD966" s="251" t="s">
        <v>490</v>
      </c>
      <c r="AE966" s="251" t="s">
        <v>486</v>
      </c>
      <c r="AF966" s="251" t="s">
        <v>486</v>
      </c>
      <c r="AG966" s="251" t="s">
        <v>486</v>
      </c>
      <c r="AH966" s="251" t="s">
        <v>486</v>
      </c>
      <c r="AI966" s="251" t="s">
        <v>486</v>
      </c>
      <c r="AJ966" s="251" t="s">
        <v>486</v>
      </c>
      <c r="AK966" s="251" t="s">
        <v>486</v>
      </c>
      <c r="AL966" s="251" t="s">
        <v>491</v>
      </c>
      <c r="AM966" s="251" t="s">
        <v>486</v>
      </c>
      <c r="AN966" s="251" t="s">
        <v>486</v>
      </c>
      <c r="AO966" s="253" t="s">
        <v>486</v>
      </c>
      <c r="AP966" s="252" t="s">
        <v>486</v>
      </c>
      <c r="AQ966" s="254" t="s">
        <v>486</v>
      </c>
      <c r="AR966" s="251" t="s">
        <v>486</v>
      </c>
    </row>
    <row r="967" spans="1:44" ht="15" x14ac:dyDescent="0.25">
      <c r="A967" s="245" t="str">
        <f>HYPERLINK("http://www.ofsted.gov.uk/inspection-reports/find-inspection-report/provider/ELS/142572 ","Ofsted School Webpage")</f>
        <v>Ofsted School Webpage</v>
      </c>
      <c r="B967" s="246">
        <v>142572</v>
      </c>
      <c r="C967" s="246">
        <v>2046012</v>
      </c>
      <c r="D967" s="246" t="s">
        <v>917</v>
      </c>
      <c r="E967" s="246" t="s">
        <v>247</v>
      </c>
      <c r="F967" s="246" t="s">
        <v>93</v>
      </c>
      <c r="G967" s="246" t="s">
        <v>81</v>
      </c>
      <c r="H967" s="246" t="s">
        <v>81</v>
      </c>
      <c r="I967" s="246" t="s">
        <v>81</v>
      </c>
      <c r="J967" s="246" t="s">
        <v>1490</v>
      </c>
      <c r="K967" s="246" t="s">
        <v>486</v>
      </c>
      <c r="L967" s="246" t="s">
        <v>487</v>
      </c>
      <c r="M967" s="246" t="s">
        <v>506</v>
      </c>
      <c r="N967" s="246" t="s">
        <v>506</v>
      </c>
      <c r="O967" s="246" t="s">
        <v>617</v>
      </c>
      <c r="P967" s="246" t="s">
        <v>918</v>
      </c>
      <c r="Q967" s="247">
        <v>10055490</v>
      </c>
      <c r="R967" s="248">
        <v>43480</v>
      </c>
      <c r="S967" s="248">
        <v>43482</v>
      </c>
      <c r="T967" s="248">
        <v>43503</v>
      </c>
      <c r="U967" s="246" t="s">
        <v>488</v>
      </c>
      <c r="V967" s="246">
        <v>2</v>
      </c>
      <c r="W967" s="246" t="s">
        <v>219</v>
      </c>
      <c r="X967" s="246">
        <v>2</v>
      </c>
      <c r="Y967" s="246">
        <v>2</v>
      </c>
      <c r="Z967" s="246">
        <v>2</v>
      </c>
      <c r="AA967" s="246">
        <v>2</v>
      </c>
      <c r="AB967" s="246" t="s">
        <v>486</v>
      </c>
      <c r="AC967" s="246" t="s">
        <v>486</v>
      </c>
      <c r="AD967" s="246" t="s">
        <v>512</v>
      </c>
      <c r="AE967" s="246" t="s">
        <v>486</v>
      </c>
      <c r="AF967" s="246" t="s">
        <v>490</v>
      </c>
      <c r="AG967" s="246" t="s">
        <v>490</v>
      </c>
      <c r="AH967" s="246" t="s">
        <v>486</v>
      </c>
      <c r="AI967" s="246" t="s">
        <v>486</v>
      </c>
      <c r="AJ967" s="246" t="s">
        <v>486</v>
      </c>
      <c r="AK967" s="246" t="s">
        <v>486</v>
      </c>
      <c r="AL967" s="246" t="s">
        <v>491</v>
      </c>
      <c r="AM967" s="246" t="s">
        <v>486</v>
      </c>
      <c r="AN967" s="246" t="s">
        <v>486</v>
      </c>
      <c r="AO967" s="248" t="s">
        <v>486</v>
      </c>
      <c r="AP967" s="247" t="s">
        <v>486</v>
      </c>
      <c r="AQ967" s="249" t="s">
        <v>486</v>
      </c>
      <c r="AR967" s="246" t="s">
        <v>486</v>
      </c>
    </row>
    <row r="968" spans="1:44" ht="15" x14ac:dyDescent="0.25">
      <c r="A968" s="250" t="str">
        <f>HYPERLINK("http://www.ofsted.gov.uk/inspection-reports/find-inspection-report/provider/ELS/146036 ","Ofsted School Webpage")</f>
        <v>Ofsted School Webpage</v>
      </c>
      <c r="B968" s="251">
        <v>146036</v>
      </c>
      <c r="C968" s="251">
        <v>8466026</v>
      </c>
      <c r="D968" s="251" t="s">
        <v>923</v>
      </c>
      <c r="E968" s="251" t="s">
        <v>248</v>
      </c>
      <c r="F968" s="251" t="s">
        <v>93</v>
      </c>
      <c r="G968" s="251" t="s">
        <v>93</v>
      </c>
      <c r="H968" s="251" t="s">
        <v>93</v>
      </c>
      <c r="I968" s="251" t="s">
        <v>90</v>
      </c>
      <c r="J968" s="251" t="s">
        <v>1490</v>
      </c>
      <c r="K968" s="251" t="s">
        <v>486</v>
      </c>
      <c r="L968" s="251" t="s">
        <v>487</v>
      </c>
      <c r="M968" s="251" t="s">
        <v>581</v>
      </c>
      <c r="N968" s="251" t="s">
        <v>581</v>
      </c>
      <c r="O968" s="251" t="s">
        <v>924</v>
      </c>
      <c r="P968" s="251" t="s">
        <v>925</v>
      </c>
      <c r="Q968" s="252">
        <v>10081031</v>
      </c>
      <c r="R968" s="253">
        <v>43480</v>
      </c>
      <c r="S968" s="253">
        <v>43482</v>
      </c>
      <c r="T968" s="253">
        <v>43502</v>
      </c>
      <c r="U968" s="251" t="s">
        <v>499</v>
      </c>
      <c r="V968" s="251">
        <v>2</v>
      </c>
      <c r="W968" s="251" t="s">
        <v>219</v>
      </c>
      <c r="X968" s="251">
        <v>2</v>
      </c>
      <c r="Y968" s="251">
        <v>2</v>
      </c>
      <c r="Z968" s="251">
        <v>2</v>
      </c>
      <c r="AA968" s="251">
        <v>2</v>
      </c>
      <c r="AB968" s="251" t="s">
        <v>486</v>
      </c>
      <c r="AC968" s="251" t="s">
        <v>486</v>
      </c>
      <c r="AD968" s="251" t="s">
        <v>490</v>
      </c>
      <c r="AE968" s="251" t="s">
        <v>486</v>
      </c>
      <c r="AF968" s="251" t="s">
        <v>486</v>
      </c>
      <c r="AG968" s="251" t="s">
        <v>486</v>
      </c>
      <c r="AH968" s="251" t="s">
        <v>486</v>
      </c>
      <c r="AI968" s="251" t="s">
        <v>486</v>
      </c>
      <c r="AJ968" s="251" t="s">
        <v>486</v>
      </c>
      <c r="AK968" s="251" t="s">
        <v>486</v>
      </c>
      <c r="AL968" s="251" t="s">
        <v>491</v>
      </c>
      <c r="AM968" s="251" t="s">
        <v>486</v>
      </c>
      <c r="AN968" s="251" t="s">
        <v>486</v>
      </c>
      <c r="AO968" s="253" t="s">
        <v>486</v>
      </c>
      <c r="AP968" s="252" t="s">
        <v>486</v>
      </c>
      <c r="AQ968" s="254" t="s">
        <v>486</v>
      </c>
      <c r="AR968" s="251" t="s">
        <v>486</v>
      </c>
    </row>
    <row r="969" spans="1:44" ht="15" x14ac:dyDescent="0.25">
      <c r="A969" s="245" t="str">
        <f>HYPERLINK("http://www.ofsted.gov.uk/inspection-reports/find-inspection-report/provider/ELS/100289 ","Ofsted School Webpage")</f>
        <v>Ofsted School Webpage</v>
      </c>
      <c r="B969" s="246">
        <v>100289</v>
      </c>
      <c r="C969" s="246">
        <v>2046233</v>
      </c>
      <c r="D969" s="246" t="s">
        <v>956</v>
      </c>
      <c r="E969" s="246" t="s">
        <v>247</v>
      </c>
      <c r="F969" s="246" t="s">
        <v>93</v>
      </c>
      <c r="G969" s="246" t="s">
        <v>93</v>
      </c>
      <c r="H969" s="246" t="s">
        <v>93</v>
      </c>
      <c r="I969" s="246" t="s">
        <v>90</v>
      </c>
      <c r="J969" s="246" t="s">
        <v>1490</v>
      </c>
      <c r="K969" s="246" t="s">
        <v>486</v>
      </c>
      <c r="L969" s="246" t="s">
        <v>487</v>
      </c>
      <c r="M969" s="246" t="s">
        <v>506</v>
      </c>
      <c r="N969" s="246" t="s">
        <v>506</v>
      </c>
      <c r="O969" s="246" t="s">
        <v>617</v>
      </c>
      <c r="P969" s="246" t="s">
        <v>957</v>
      </c>
      <c r="Q969" s="247">
        <v>10055369</v>
      </c>
      <c r="R969" s="248">
        <v>43487</v>
      </c>
      <c r="S969" s="248">
        <v>43489</v>
      </c>
      <c r="T969" s="248">
        <v>43513</v>
      </c>
      <c r="U969" s="246" t="s">
        <v>488</v>
      </c>
      <c r="V969" s="246">
        <v>4</v>
      </c>
      <c r="W969" s="246" t="s">
        <v>220</v>
      </c>
      <c r="X969" s="246">
        <v>4</v>
      </c>
      <c r="Y969" s="246">
        <v>4</v>
      </c>
      <c r="Z969" s="246">
        <v>4</v>
      </c>
      <c r="AA969" s="246">
        <v>4</v>
      </c>
      <c r="AB969" s="246">
        <v>4</v>
      </c>
      <c r="AC969" s="246" t="s">
        <v>486</v>
      </c>
      <c r="AD969" s="246" t="s">
        <v>512</v>
      </c>
      <c r="AE969" s="246" t="s">
        <v>486</v>
      </c>
      <c r="AF969" s="246" t="s">
        <v>490</v>
      </c>
      <c r="AG969" s="246" t="s">
        <v>490</v>
      </c>
      <c r="AH969" s="246" t="s">
        <v>490</v>
      </c>
      <c r="AI969" s="246" t="s">
        <v>486</v>
      </c>
      <c r="AJ969" s="246" t="s">
        <v>486</v>
      </c>
      <c r="AK969" s="246" t="s">
        <v>486</v>
      </c>
      <c r="AL969" s="246" t="s">
        <v>545</v>
      </c>
      <c r="AM969" s="246" t="s">
        <v>486</v>
      </c>
      <c r="AN969" s="246" t="s">
        <v>486</v>
      </c>
      <c r="AO969" s="248" t="s">
        <v>486</v>
      </c>
      <c r="AP969" s="247" t="s">
        <v>486</v>
      </c>
      <c r="AQ969" s="249" t="s">
        <v>486</v>
      </c>
      <c r="AR969" s="246" t="s">
        <v>486</v>
      </c>
    </row>
    <row r="970" spans="1:44" ht="15" x14ac:dyDescent="0.25">
      <c r="A970" s="250" t="str">
        <f>HYPERLINK("http://www.ofsted.gov.uk/inspection-reports/find-inspection-report/provider/ELS/100299 ","Ofsted School Webpage")</f>
        <v>Ofsted School Webpage</v>
      </c>
      <c r="B970" s="251">
        <v>100299</v>
      </c>
      <c r="C970" s="251">
        <v>2046387</v>
      </c>
      <c r="D970" s="251" t="s">
        <v>952</v>
      </c>
      <c r="E970" s="251" t="s">
        <v>247</v>
      </c>
      <c r="F970" s="251" t="s">
        <v>93</v>
      </c>
      <c r="G970" s="251" t="s">
        <v>81</v>
      </c>
      <c r="H970" s="251" t="s">
        <v>81</v>
      </c>
      <c r="I970" s="251" t="s">
        <v>81</v>
      </c>
      <c r="J970" s="251" t="s">
        <v>1490</v>
      </c>
      <c r="K970" s="251" t="s">
        <v>486</v>
      </c>
      <c r="L970" s="251" t="s">
        <v>487</v>
      </c>
      <c r="M970" s="251" t="s">
        <v>506</v>
      </c>
      <c r="N970" s="251" t="s">
        <v>506</v>
      </c>
      <c r="O970" s="251" t="s">
        <v>617</v>
      </c>
      <c r="P970" s="251" t="s">
        <v>953</v>
      </c>
      <c r="Q970" s="252">
        <v>10055372</v>
      </c>
      <c r="R970" s="253">
        <v>43487</v>
      </c>
      <c r="S970" s="253">
        <v>43489</v>
      </c>
      <c r="T970" s="253">
        <v>43530</v>
      </c>
      <c r="U970" s="251" t="s">
        <v>488</v>
      </c>
      <c r="V970" s="251">
        <v>4</v>
      </c>
      <c r="W970" s="251" t="s">
        <v>219</v>
      </c>
      <c r="X970" s="251">
        <v>4</v>
      </c>
      <c r="Y970" s="251">
        <v>3</v>
      </c>
      <c r="Z970" s="251">
        <v>4</v>
      </c>
      <c r="AA970" s="251">
        <v>4</v>
      </c>
      <c r="AB970" s="251">
        <v>4</v>
      </c>
      <c r="AC970" s="251" t="s">
        <v>486</v>
      </c>
      <c r="AD970" s="251" t="s">
        <v>490</v>
      </c>
      <c r="AE970" s="251" t="s">
        <v>486</v>
      </c>
      <c r="AF970" s="251" t="s">
        <v>486</v>
      </c>
      <c r="AG970" s="251" t="s">
        <v>486</v>
      </c>
      <c r="AH970" s="251" t="s">
        <v>486</v>
      </c>
      <c r="AI970" s="251" t="s">
        <v>486</v>
      </c>
      <c r="AJ970" s="251" t="s">
        <v>486</v>
      </c>
      <c r="AK970" s="251" t="s">
        <v>486</v>
      </c>
      <c r="AL970" s="251" t="s">
        <v>545</v>
      </c>
      <c r="AM970" s="251" t="s">
        <v>486</v>
      </c>
      <c r="AN970" s="251" t="s">
        <v>486</v>
      </c>
      <c r="AO970" s="253" t="s">
        <v>486</v>
      </c>
      <c r="AP970" s="252" t="s">
        <v>486</v>
      </c>
      <c r="AQ970" s="254" t="s">
        <v>486</v>
      </c>
      <c r="AR970" s="251" t="s">
        <v>486</v>
      </c>
    </row>
    <row r="971" spans="1:44" ht="15" x14ac:dyDescent="0.25">
      <c r="A971" s="245" t="str">
        <f>HYPERLINK("http://www.ofsted.gov.uk/inspection-reports/find-inspection-report/provider/ELS/106002 ","Ofsted School Webpage")</f>
        <v>Ofsted School Webpage</v>
      </c>
      <c r="B971" s="246">
        <v>106002</v>
      </c>
      <c r="C971" s="246">
        <v>3556024</v>
      </c>
      <c r="D971" s="246" t="s">
        <v>970</v>
      </c>
      <c r="E971" s="246" t="s">
        <v>247</v>
      </c>
      <c r="F971" s="246" t="s">
        <v>82</v>
      </c>
      <c r="G971" s="246" t="s">
        <v>82</v>
      </c>
      <c r="H971" s="246" t="s">
        <v>82</v>
      </c>
      <c r="I971" s="246" t="s">
        <v>81</v>
      </c>
      <c r="J971" s="246" t="s">
        <v>1490</v>
      </c>
      <c r="K971" s="246" t="s">
        <v>486</v>
      </c>
      <c r="L971" s="246" t="s">
        <v>487</v>
      </c>
      <c r="M971" s="246" t="s">
        <v>495</v>
      </c>
      <c r="N971" s="246" t="s">
        <v>495</v>
      </c>
      <c r="O971" s="246" t="s">
        <v>601</v>
      </c>
      <c r="P971" s="246" t="s">
        <v>971</v>
      </c>
      <c r="Q971" s="247">
        <v>10067881</v>
      </c>
      <c r="R971" s="248">
        <v>43487</v>
      </c>
      <c r="S971" s="248">
        <v>43489</v>
      </c>
      <c r="T971" s="248">
        <v>43523</v>
      </c>
      <c r="U971" s="246" t="s">
        <v>488</v>
      </c>
      <c r="V971" s="246">
        <v>3</v>
      </c>
      <c r="W971" s="246" t="s">
        <v>219</v>
      </c>
      <c r="X971" s="246">
        <v>3</v>
      </c>
      <c r="Y971" s="246">
        <v>2</v>
      </c>
      <c r="Z971" s="246">
        <v>3</v>
      </c>
      <c r="AA971" s="246">
        <v>3</v>
      </c>
      <c r="AB971" s="246">
        <v>3</v>
      </c>
      <c r="AC971" s="246" t="s">
        <v>486</v>
      </c>
      <c r="AD971" s="246" t="s">
        <v>512</v>
      </c>
      <c r="AE971" s="246" t="s">
        <v>486</v>
      </c>
      <c r="AF971" s="246" t="s">
        <v>486</v>
      </c>
      <c r="AG971" s="246" t="s">
        <v>486</v>
      </c>
      <c r="AH971" s="246" t="s">
        <v>490</v>
      </c>
      <c r="AI971" s="246" t="s">
        <v>486</v>
      </c>
      <c r="AJ971" s="246" t="s">
        <v>486</v>
      </c>
      <c r="AK971" s="246" t="s">
        <v>486</v>
      </c>
      <c r="AL971" s="246" t="s">
        <v>545</v>
      </c>
      <c r="AM971" s="246" t="s">
        <v>486</v>
      </c>
      <c r="AN971" s="246" t="s">
        <v>486</v>
      </c>
      <c r="AO971" s="248" t="s">
        <v>486</v>
      </c>
      <c r="AP971" s="247" t="s">
        <v>486</v>
      </c>
      <c r="AQ971" s="249" t="s">
        <v>486</v>
      </c>
      <c r="AR971" s="246" t="s">
        <v>486</v>
      </c>
    </row>
    <row r="972" spans="1:44" ht="15" x14ac:dyDescent="0.25">
      <c r="A972" s="250" t="str">
        <f>HYPERLINK("http://www.ofsted.gov.uk/inspection-reports/find-inspection-report/provider/ELS/115808 ","Ofsted School Webpage")</f>
        <v>Ofsted School Webpage</v>
      </c>
      <c r="B972" s="251">
        <v>115808</v>
      </c>
      <c r="C972" s="251">
        <v>9166068</v>
      </c>
      <c r="D972" s="251" t="s">
        <v>947</v>
      </c>
      <c r="E972" s="251" t="s">
        <v>247</v>
      </c>
      <c r="F972" s="251" t="s">
        <v>93</v>
      </c>
      <c r="G972" s="251" t="s">
        <v>71</v>
      </c>
      <c r="H972" s="251" t="s">
        <v>71</v>
      </c>
      <c r="I972" s="251" t="s">
        <v>71</v>
      </c>
      <c r="J972" s="251" t="s">
        <v>1490</v>
      </c>
      <c r="K972" s="251" t="s">
        <v>486</v>
      </c>
      <c r="L972" s="251" t="s">
        <v>487</v>
      </c>
      <c r="M972" s="251" t="s">
        <v>483</v>
      </c>
      <c r="N972" s="251" t="s">
        <v>483</v>
      </c>
      <c r="O972" s="251" t="s">
        <v>948</v>
      </c>
      <c r="P972" s="251" t="s">
        <v>949</v>
      </c>
      <c r="Q972" s="252">
        <v>10056306</v>
      </c>
      <c r="R972" s="253">
        <v>43487</v>
      </c>
      <c r="S972" s="253">
        <v>43489</v>
      </c>
      <c r="T972" s="253">
        <v>43528</v>
      </c>
      <c r="U972" s="251" t="s">
        <v>488</v>
      </c>
      <c r="V972" s="251">
        <v>2</v>
      </c>
      <c r="W972" s="251" t="s">
        <v>219</v>
      </c>
      <c r="X972" s="251">
        <v>2</v>
      </c>
      <c r="Y972" s="251">
        <v>2</v>
      </c>
      <c r="Z972" s="251">
        <v>2</v>
      </c>
      <c r="AA972" s="251">
        <v>2</v>
      </c>
      <c r="AB972" s="251" t="s">
        <v>486</v>
      </c>
      <c r="AC972" s="251">
        <v>2</v>
      </c>
      <c r="AD972" s="251" t="s">
        <v>490</v>
      </c>
      <c r="AE972" s="251" t="s">
        <v>486</v>
      </c>
      <c r="AF972" s="251" t="s">
        <v>486</v>
      </c>
      <c r="AG972" s="251" t="s">
        <v>486</v>
      </c>
      <c r="AH972" s="251" t="s">
        <v>486</v>
      </c>
      <c r="AI972" s="251" t="s">
        <v>486</v>
      </c>
      <c r="AJ972" s="251" t="s">
        <v>486</v>
      </c>
      <c r="AK972" s="251" t="s">
        <v>486</v>
      </c>
      <c r="AL972" s="251" t="s">
        <v>491</v>
      </c>
      <c r="AM972" s="251" t="s">
        <v>486</v>
      </c>
      <c r="AN972" s="251" t="s">
        <v>486</v>
      </c>
      <c r="AO972" s="253" t="s">
        <v>486</v>
      </c>
      <c r="AP972" s="252" t="s">
        <v>486</v>
      </c>
      <c r="AQ972" s="254" t="s">
        <v>486</v>
      </c>
      <c r="AR972" s="251" t="s">
        <v>486</v>
      </c>
    </row>
    <row r="973" spans="1:44" ht="15" x14ac:dyDescent="0.25">
      <c r="A973" s="245" t="str">
        <f>HYPERLINK("http://www.ofsted.gov.uk/inspection-reports/find-inspection-report/provider/ELS/118123 ","Ofsted School Webpage")</f>
        <v>Ofsted School Webpage</v>
      </c>
      <c r="B973" s="246">
        <v>118123</v>
      </c>
      <c r="C973" s="246">
        <v>8106000</v>
      </c>
      <c r="D973" s="246" t="s">
        <v>950</v>
      </c>
      <c r="E973" s="246" t="s">
        <v>247</v>
      </c>
      <c r="F973" s="246" t="s">
        <v>93</v>
      </c>
      <c r="G973" s="246" t="s">
        <v>93</v>
      </c>
      <c r="H973" s="246" t="s">
        <v>93</v>
      </c>
      <c r="I973" s="246" t="s">
        <v>90</v>
      </c>
      <c r="J973" s="246" t="s">
        <v>1490</v>
      </c>
      <c r="K973" s="246" t="s">
        <v>486</v>
      </c>
      <c r="L973" s="246" t="s">
        <v>487</v>
      </c>
      <c r="M973" s="246" t="s">
        <v>523</v>
      </c>
      <c r="N973" s="246" t="s">
        <v>524</v>
      </c>
      <c r="O973" s="246" t="s">
        <v>890</v>
      </c>
      <c r="P973" s="246" t="s">
        <v>951</v>
      </c>
      <c r="Q973" s="247">
        <v>10061242</v>
      </c>
      <c r="R973" s="248">
        <v>43487</v>
      </c>
      <c r="S973" s="248">
        <v>43489</v>
      </c>
      <c r="T973" s="248">
        <v>43509</v>
      </c>
      <c r="U973" s="246" t="s">
        <v>488</v>
      </c>
      <c r="V973" s="246">
        <v>2</v>
      </c>
      <c r="W973" s="246" t="s">
        <v>219</v>
      </c>
      <c r="X973" s="246">
        <v>2</v>
      </c>
      <c r="Y973" s="246">
        <v>1</v>
      </c>
      <c r="Z973" s="246">
        <v>2</v>
      </c>
      <c r="AA973" s="246">
        <v>2</v>
      </c>
      <c r="AB973" s="246">
        <v>2</v>
      </c>
      <c r="AC973" s="246" t="s">
        <v>486</v>
      </c>
      <c r="AD973" s="246" t="s">
        <v>490</v>
      </c>
      <c r="AE973" s="246" t="s">
        <v>486</v>
      </c>
      <c r="AF973" s="246" t="s">
        <v>486</v>
      </c>
      <c r="AG973" s="246" t="s">
        <v>486</v>
      </c>
      <c r="AH973" s="246" t="s">
        <v>486</v>
      </c>
      <c r="AI973" s="246" t="s">
        <v>486</v>
      </c>
      <c r="AJ973" s="246" t="s">
        <v>486</v>
      </c>
      <c r="AK973" s="246" t="s">
        <v>486</v>
      </c>
      <c r="AL973" s="246" t="s">
        <v>491</v>
      </c>
      <c r="AM973" s="246" t="s">
        <v>486</v>
      </c>
      <c r="AN973" s="246" t="s">
        <v>486</v>
      </c>
      <c r="AO973" s="248" t="s">
        <v>486</v>
      </c>
      <c r="AP973" s="247" t="s">
        <v>486</v>
      </c>
      <c r="AQ973" s="249" t="s">
        <v>486</v>
      </c>
      <c r="AR973" s="246" t="s">
        <v>486</v>
      </c>
    </row>
    <row r="974" spans="1:44" ht="15" x14ac:dyDescent="0.25">
      <c r="A974" s="250" t="str">
        <f>HYPERLINK("http://www.ofsted.gov.uk/inspection-reports/find-inspection-report/provider/ELS/118127 ","Ofsted School Webpage")</f>
        <v>Ofsted School Webpage</v>
      </c>
      <c r="B974" s="251">
        <v>118127</v>
      </c>
      <c r="C974" s="251">
        <v>8116001</v>
      </c>
      <c r="D974" s="251" t="s">
        <v>960</v>
      </c>
      <c r="E974" s="251" t="s">
        <v>247</v>
      </c>
      <c r="F974" s="251" t="s">
        <v>93</v>
      </c>
      <c r="G974" s="251" t="s">
        <v>93</v>
      </c>
      <c r="H974" s="251" t="s">
        <v>93</v>
      </c>
      <c r="I974" s="251" t="s">
        <v>90</v>
      </c>
      <c r="J974" s="251" t="s">
        <v>1490</v>
      </c>
      <c r="K974" s="251" t="s">
        <v>486</v>
      </c>
      <c r="L974" s="251" t="s">
        <v>487</v>
      </c>
      <c r="M974" s="251" t="s">
        <v>523</v>
      </c>
      <c r="N974" s="251" t="s">
        <v>524</v>
      </c>
      <c r="O974" s="251" t="s">
        <v>961</v>
      </c>
      <c r="P974" s="251" t="s">
        <v>962</v>
      </c>
      <c r="Q974" s="252">
        <v>10061243</v>
      </c>
      <c r="R974" s="253">
        <v>43487</v>
      </c>
      <c r="S974" s="253">
        <v>43489</v>
      </c>
      <c r="T974" s="253">
        <v>43541</v>
      </c>
      <c r="U974" s="251" t="s">
        <v>488</v>
      </c>
      <c r="V974" s="251">
        <v>4</v>
      </c>
      <c r="W974" s="251" t="s">
        <v>220</v>
      </c>
      <c r="X974" s="251">
        <v>4</v>
      </c>
      <c r="Y974" s="251">
        <v>3</v>
      </c>
      <c r="Z974" s="251">
        <v>2</v>
      </c>
      <c r="AA974" s="251">
        <v>2</v>
      </c>
      <c r="AB974" s="251">
        <v>4</v>
      </c>
      <c r="AC974" s="251" t="s">
        <v>486</v>
      </c>
      <c r="AD974" s="251" t="s">
        <v>490</v>
      </c>
      <c r="AE974" s="251" t="s">
        <v>486</v>
      </c>
      <c r="AF974" s="251" t="s">
        <v>486</v>
      </c>
      <c r="AG974" s="251" t="s">
        <v>486</v>
      </c>
      <c r="AH974" s="251" t="s">
        <v>486</v>
      </c>
      <c r="AI974" s="251" t="s">
        <v>486</v>
      </c>
      <c r="AJ974" s="251" t="s">
        <v>486</v>
      </c>
      <c r="AK974" s="251" t="s">
        <v>486</v>
      </c>
      <c r="AL974" s="251" t="s">
        <v>545</v>
      </c>
      <c r="AM974" s="251" t="s">
        <v>486</v>
      </c>
      <c r="AN974" s="251" t="s">
        <v>486</v>
      </c>
      <c r="AO974" s="253" t="s">
        <v>486</v>
      </c>
      <c r="AP974" s="252" t="s">
        <v>486</v>
      </c>
      <c r="AQ974" s="254" t="s">
        <v>486</v>
      </c>
      <c r="AR974" s="251" t="s">
        <v>486</v>
      </c>
    </row>
    <row r="975" spans="1:44" ht="15" x14ac:dyDescent="0.25">
      <c r="A975" s="245" t="str">
        <f>HYPERLINK("http://www.ofsted.gov.uk/inspection-reports/find-inspection-report/provider/ELS/127003 ","Ofsted School Webpage")</f>
        <v>Ofsted School Webpage</v>
      </c>
      <c r="B975" s="246">
        <v>127003</v>
      </c>
      <c r="C975" s="246">
        <v>9356083</v>
      </c>
      <c r="D975" s="246" t="s">
        <v>954</v>
      </c>
      <c r="E975" s="246" t="s">
        <v>248</v>
      </c>
      <c r="F975" s="246" t="s">
        <v>93</v>
      </c>
      <c r="G975" s="246" t="s">
        <v>93</v>
      </c>
      <c r="H975" s="246" t="s">
        <v>93</v>
      </c>
      <c r="I975" s="246" t="s">
        <v>90</v>
      </c>
      <c r="J975" s="246" t="s">
        <v>1490</v>
      </c>
      <c r="K975" s="246" t="s">
        <v>486</v>
      </c>
      <c r="L975" s="246" t="s">
        <v>487</v>
      </c>
      <c r="M975" s="246" t="s">
        <v>516</v>
      </c>
      <c r="N975" s="246" t="s">
        <v>516</v>
      </c>
      <c r="O975" s="246" t="s">
        <v>937</v>
      </c>
      <c r="P975" s="246" t="s">
        <v>955</v>
      </c>
      <c r="Q975" s="247">
        <v>10056558</v>
      </c>
      <c r="R975" s="248">
        <v>43487</v>
      </c>
      <c r="S975" s="248">
        <v>43489</v>
      </c>
      <c r="T975" s="248">
        <v>43521</v>
      </c>
      <c r="U975" s="246" t="s">
        <v>488</v>
      </c>
      <c r="V975" s="246">
        <v>2</v>
      </c>
      <c r="W975" s="246" t="s">
        <v>219</v>
      </c>
      <c r="X975" s="246">
        <v>2</v>
      </c>
      <c r="Y975" s="246">
        <v>2</v>
      </c>
      <c r="Z975" s="246">
        <v>2</v>
      </c>
      <c r="AA975" s="246">
        <v>2</v>
      </c>
      <c r="AB975" s="246" t="s">
        <v>486</v>
      </c>
      <c r="AC975" s="246" t="s">
        <v>486</v>
      </c>
      <c r="AD975" s="246" t="s">
        <v>490</v>
      </c>
      <c r="AE975" s="246" t="s">
        <v>486</v>
      </c>
      <c r="AF975" s="246" t="s">
        <v>486</v>
      </c>
      <c r="AG975" s="246" t="s">
        <v>486</v>
      </c>
      <c r="AH975" s="246" t="s">
        <v>486</v>
      </c>
      <c r="AI975" s="246" t="s">
        <v>486</v>
      </c>
      <c r="AJ975" s="246" t="s">
        <v>486</v>
      </c>
      <c r="AK975" s="246" t="s">
        <v>486</v>
      </c>
      <c r="AL975" s="246" t="s">
        <v>491</v>
      </c>
      <c r="AM975" s="246" t="s">
        <v>486</v>
      </c>
      <c r="AN975" s="246" t="s">
        <v>486</v>
      </c>
      <c r="AO975" s="248" t="s">
        <v>486</v>
      </c>
      <c r="AP975" s="247" t="s">
        <v>486</v>
      </c>
      <c r="AQ975" s="249" t="s">
        <v>486</v>
      </c>
      <c r="AR975" s="246" t="s">
        <v>486</v>
      </c>
    </row>
    <row r="976" spans="1:44" ht="15" x14ac:dyDescent="0.25">
      <c r="A976" s="250" t="str">
        <f>HYPERLINK("http://www.ofsted.gov.uk/inspection-reports/find-inspection-report/provider/ELS/128078 ","Ofsted School Webpage")</f>
        <v>Ofsted School Webpage</v>
      </c>
      <c r="B976" s="251">
        <v>128078</v>
      </c>
      <c r="C976" s="251">
        <v>8556021</v>
      </c>
      <c r="D976" s="251" t="s">
        <v>965</v>
      </c>
      <c r="E976" s="251" t="s">
        <v>248</v>
      </c>
      <c r="F976" s="251" t="s">
        <v>93</v>
      </c>
      <c r="G976" s="251" t="s">
        <v>93</v>
      </c>
      <c r="H976" s="251" t="s">
        <v>93</v>
      </c>
      <c r="I976" s="251" t="s">
        <v>90</v>
      </c>
      <c r="J976" s="251" t="s">
        <v>1490</v>
      </c>
      <c r="K976" s="251" t="s">
        <v>486</v>
      </c>
      <c r="L976" s="251" t="s">
        <v>487</v>
      </c>
      <c r="M976" s="251" t="s">
        <v>572</v>
      </c>
      <c r="N976" s="251" t="s">
        <v>572</v>
      </c>
      <c r="O976" s="251" t="s">
        <v>966</v>
      </c>
      <c r="P976" s="251" t="s">
        <v>967</v>
      </c>
      <c r="Q976" s="252">
        <v>10078675</v>
      </c>
      <c r="R976" s="253">
        <v>43487</v>
      </c>
      <c r="S976" s="253">
        <v>43489</v>
      </c>
      <c r="T976" s="253">
        <v>43538</v>
      </c>
      <c r="U976" s="251" t="s">
        <v>488</v>
      </c>
      <c r="V976" s="251">
        <v>4</v>
      </c>
      <c r="W976" s="251" t="s">
        <v>220</v>
      </c>
      <c r="X976" s="251">
        <v>4</v>
      </c>
      <c r="Y976" s="251">
        <v>4</v>
      </c>
      <c r="Z976" s="251">
        <v>2</v>
      </c>
      <c r="AA976" s="251">
        <v>2</v>
      </c>
      <c r="AB976" s="251" t="s">
        <v>486</v>
      </c>
      <c r="AC976" s="251" t="s">
        <v>486</v>
      </c>
      <c r="AD976" s="251" t="s">
        <v>512</v>
      </c>
      <c r="AE976" s="251" t="s">
        <v>486</v>
      </c>
      <c r="AF976" s="251" t="s">
        <v>490</v>
      </c>
      <c r="AG976" s="251" t="s">
        <v>486</v>
      </c>
      <c r="AH976" s="251" t="s">
        <v>486</v>
      </c>
      <c r="AI976" s="251" t="s">
        <v>486</v>
      </c>
      <c r="AJ976" s="251" t="s">
        <v>486</v>
      </c>
      <c r="AK976" s="251" t="s">
        <v>486</v>
      </c>
      <c r="AL976" s="251" t="s">
        <v>545</v>
      </c>
      <c r="AM976" s="251" t="s">
        <v>486</v>
      </c>
      <c r="AN976" s="251" t="s">
        <v>486</v>
      </c>
      <c r="AO976" s="253" t="s">
        <v>486</v>
      </c>
      <c r="AP976" s="252" t="s">
        <v>486</v>
      </c>
      <c r="AQ976" s="254" t="s">
        <v>486</v>
      </c>
      <c r="AR976" s="251" t="s">
        <v>486</v>
      </c>
    </row>
    <row r="977" spans="1:44" ht="15" x14ac:dyDescent="0.25">
      <c r="A977" s="245" t="str">
        <f>HYPERLINK("http://www.ofsted.gov.uk/inspection-reports/find-inspection-report/provider/ELS/130286 ","Ofsted School Webpage")</f>
        <v>Ofsted School Webpage</v>
      </c>
      <c r="B977" s="246">
        <v>130286</v>
      </c>
      <c r="C977" s="246">
        <v>3526050</v>
      </c>
      <c r="D977" s="246" t="s">
        <v>958</v>
      </c>
      <c r="E977" s="246" t="s">
        <v>247</v>
      </c>
      <c r="F977" s="246" t="s">
        <v>93</v>
      </c>
      <c r="G977" s="246" t="s">
        <v>93</v>
      </c>
      <c r="H977" s="246" t="s">
        <v>93</v>
      </c>
      <c r="I977" s="246" t="s">
        <v>90</v>
      </c>
      <c r="J977" s="246" t="s">
        <v>1490</v>
      </c>
      <c r="K977" s="246" t="s">
        <v>486</v>
      </c>
      <c r="L977" s="246" t="s">
        <v>487</v>
      </c>
      <c r="M977" s="246" t="s">
        <v>495</v>
      </c>
      <c r="N977" s="246" t="s">
        <v>495</v>
      </c>
      <c r="O977" s="246" t="s">
        <v>744</v>
      </c>
      <c r="P977" s="246" t="s">
        <v>959</v>
      </c>
      <c r="Q977" s="247">
        <v>10067885</v>
      </c>
      <c r="R977" s="248">
        <v>43487</v>
      </c>
      <c r="S977" s="248">
        <v>43489</v>
      </c>
      <c r="T977" s="248">
        <v>43550</v>
      </c>
      <c r="U977" s="246" t="s">
        <v>488</v>
      </c>
      <c r="V977" s="246">
        <v>3</v>
      </c>
      <c r="W977" s="246" t="s">
        <v>219</v>
      </c>
      <c r="X977" s="246">
        <v>3</v>
      </c>
      <c r="Y977" s="246">
        <v>3</v>
      </c>
      <c r="Z977" s="246">
        <v>3</v>
      </c>
      <c r="AA977" s="246">
        <v>3</v>
      </c>
      <c r="AB977" s="246">
        <v>3</v>
      </c>
      <c r="AC977" s="246" t="s">
        <v>486</v>
      </c>
      <c r="AD977" s="246" t="s">
        <v>512</v>
      </c>
      <c r="AE977" s="246" t="s">
        <v>486</v>
      </c>
      <c r="AF977" s="246" t="s">
        <v>486</v>
      </c>
      <c r="AG977" s="246" t="s">
        <v>486</v>
      </c>
      <c r="AH977" s="246" t="s">
        <v>490</v>
      </c>
      <c r="AI977" s="246" t="s">
        <v>486</v>
      </c>
      <c r="AJ977" s="246" t="s">
        <v>486</v>
      </c>
      <c r="AK977" s="246" t="s">
        <v>486</v>
      </c>
      <c r="AL977" s="246" t="s">
        <v>545</v>
      </c>
      <c r="AM977" s="246" t="s">
        <v>486</v>
      </c>
      <c r="AN977" s="246" t="s">
        <v>486</v>
      </c>
      <c r="AO977" s="248" t="s">
        <v>486</v>
      </c>
      <c r="AP977" s="247" t="s">
        <v>486</v>
      </c>
      <c r="AQ977" s="249" t="s">
        <v>486</v>
      </c>
      <c r="AR977" s="246" t="s">
        <v>486</v>
      </c>
    </row>
    <row r="978" spans="1:44" ht="15" x14ac:dyDescent="0.25">
      <c r="A978" s="250" t="str">
        <f>HYPERLINK("http://www.ofsted.gov.uk/inspection-reports/find-inspection-report/provider/ELS/134441 ","Ofsted School Webpage")</f>
        <v>Ofsted School Webpage</v>
      </c>
      <c r="B978" s="251">
        <v>134441</v>
      </c>
      <c r="C978" s="251">
        <v>8016023</v>
      </c>
      <c r="D978" s="251" t="s">
        <v>945</v>
      </c>
      <c r="E978" s="251" t="s">
        <v>247</v>
      </c>
      <c r="F978" s="251" t="s">
        <v>93</v>
      </c>
      <c r="G978" s="251" t="s">
        <v>93</v>
      </c>
      <c r="H978" s="251" t="s">
        <v>93</v>
      </c>
      <c r="I978" s="251" t="s">
        <v>90</v>
      </c>
      <c r="J978" s="251" t="s">
        <v>1490</v>
      </c>
      <c r="K978" s="251" t="s">
        <v>486</v>
      </c>
      <c r="L978" s="251" t="s">
        <v>487</v>
      </c>
      <c r="M978" s="251" t="s">
        <v>483</v>
      </c>
      <c r="N978" s="251" t="s">
        <v>483</v>
      </c>
      <c r="O978" s="251" t="s">
        <v>564</v>
      </c>
      <c r="P978" s="251" t="s">
        <v>946</v>
      </c>
      <c r="Q978" s="252">
        <v>10056307</v>
      </c>
      <c r="R978" s="253">
        <v>43487</v>
      </c>
      <c r="S978" s="253">
        <v>43489</v>
      </c>
      <c r="T978" s="253">
        <v>43528</v>
      </c>
      <c r="U978" s="251" t="s">
        <v>488</v>
      </c>
      <c r="V978" s="251">
        <v>4</v>
      </c>
      <c r="W978" s="251" t="s">
        <v>220</v>
      </c>
      <c r="X978" s="251">
        <v>4</v>
      </c>
      <c r="Y978" s="251">
        <v>4</v>
      </c>
      <c r="Z978" s="251">
        <v>4</v>
      </c>
      <c r="AA978" s="251">
        <v>4</v>
      </c>
      <c r="AB978" s="251" t="s">
        <v>486</v>
      </c>
      <c r="AC978" s="251" t="s">
        <v>486</v>
      </c>
      <c r="AD978" s="251" t="s">
        <v>490</v>
      </c>
      <c r="AE978" s="251" t="s">
        <v>486</v>
      </c>
      <c r="AF978" s="251" t="s">
        <v>486</v>
      </c>
      <c r="AG978" s="251" t="s">
        <v>486</v>
      </c>
      <c r="AH978" s="251" t="s">
        <v>486</v>
      </c>
      <c r="AI978" s="251" t="s">
        <v>486</v>
      </c>
      <c r="AJ978" s="251" t="s">
        <v>486</v>
      </c>
      <c r="AK978" s="251" t="s">
        <v>486</v>
      </c>
      <c r="AL978" s="251" t="s">
        <v>545</v>
      </c>
      <c r="AM978" s="251" t="s">
        <v>486</v>
      </c>
      <c r="AN978" s="251" t="s">
        <v>486</v>
      </c>
      <c r="AO978" s="253" t="s">
        <v>486</v>
      </c>
      <c r="AP978" s="252" t="s">
        <v>486</v>
      </c>
      <c r="AQ978" s="254" t="s">
        <v>486</v>
      </c>
      <c r="AR978" s="251" t="s">
        <v>486</v>
      </c>
    </row>
    <row r="979" spans="1:44" ht="15" x14ac:dyDescent="0.25">
      <c r="A979" s="245" t="str">
        <f>HYPERLINK("http://www.ofsted.gov.uk/inspection-reports/find-inspection-report/provider/ELS/137821 ","Ofsted School Webpage")</f>
        <v>Ofsted School Webpage</v>
      </c>
      <c r="B979" s="246">
        <v>137821</v>
      </c>
      <c r="C979" s="246">
        <v>3596000</v>
      </c>
      <c r="D979" s="246" t="s">
        <v>963</v>
      </c>
      <c r="E979" s="246" t="s">
        <v>248</v>
      </c>
      <c r="F979" s="246" t="s">
        <v>93</v>
      </c>
      <c r="G979" s="246" t="s">
        <v>93</v>
      </c>
      <c r="H979" s="246" t="s">
        <v>93</v>
      </c>
      <c r="I979" s="246" t="s">
        <v>90</v>
      </c>
      <c r="J979" s="246" t="s">
        <v>1490</v>
      </c>
      <c r="K979" s="246" t="s">
        <v>486</v>
      </c>
      <c r="L979" s="246" t="s">
        <v>487</v>
      </c>
      <c r="M979" s="246" t="s">
        <v>495</v>
      </c>
      <c r="N979" s="246" t="s">
        <v>495</v>
      </c>
      <c r="O979" s="246" t="s">
        <v>496</v>
      </c>
      <c r="P979" s="246" t="s">
        <v>964</v>
      </c>
      <c r="Q979" s="247">
        <v>10067911</v>
      </c>
      <c r="R979" s="248">
        <v>43487</v>
      </c>
      <c r="S979" s="248">
        <v>43489</v>
      </c>
      <c r="T979" s="248">
        <v>43513</v>
      </c>
      <c r="U979" s="246" t="s">
        <v>488</v>
      </c>
      <c r="V979" s="246">
        <v>2</v>
      </c>
      <c r="W979" s="246" t="s">
        <v>219</v>
      </c>
      <c r="X979" s="246">
        <v>2</v>
      </c>
      <c r="Y979" s="246">
        <v>2</v>
      </c>
      <c r="Z979" s="246">
        <v>2</v>
      </c>
      <c r="AA979" s="246">
        <v>2</v>
      </c>
      <c r="AB979" s="246" t="s">
        <v>486</v>
      </c>
      <c r="AC979" s="246" t="s">
        <v>486</v>
      </c>
      <c r="AD979" s="246" t="s">
        <v>490</v>
      </c>
      <c r="AE979" s="246" t="s">
        <v>486</v>
      </c>
      <c r="AF979" s="246" t="s">
        <v>486</v>
      </c>
      <c r="AG979" s="246" t="s">
        <v>486</v>
      </c>
      <c r="AH979" s="246" t="s">
        <v>486</v>
      </c>
      <c r="AI979" s="246" t="s">
        <v>486</v>
      </c>
      <c r="AJ979" s="246" t="s">
        <v>486</v>
      </c>
      <c r="AK979" s="246" t="s">
        <v>486</v>
      </c>
      <c r="AL979" s="246" t="s">
        <v>491</v>
      </c>
      <c r="AM979" s="246" t="s">
        <v>486</v>
      </c>
      <c r="AN979" s="246" t="s">
        <v>486</v>
      </c>
      <c r="AO979" s="248" t="s">
        <v>486</v>
      </c>
      <c r="AP979" s="247" t="s">
        <v>486</v>
      </c>
      <c r="AQ979" s="249" t="s">
        <v>486</v>
      </c>
      <c r="AR979" s="246" t="s">
        <v>486</v>
      </c>
    </row>
    <row r="980" spans="1:44" ht="15" x14ac:dyDescent="0.25">
      <c r="A980" s="250" t="str">
        <f>HYPERLINK("http://www.ofsted.gov.uk/inspection-reports/find-inspection-report/provider/ELS/145289 ","Ofsted School Webpage")</f>
        <v>Ofsted School Webpage</v>
      </c>
      <c r="B980" s="251">
        <v>145289</v>
      </c>
      <c r="C980" s="251">
        <v>3596003</v>
      </c>
      <c r="D980" s="251" t="s">
        <v>968</v>
      </c>
      <c r="E980" s="251" t="s">
        <v>248</v>
      </c>
      <c r="F980" s="251" t="s">
        <v>93</v>
      </c>
      <c r="G980" s="251" t="s">
        <v>93</v>
      </c>
      <c r="H980" s="251" t="s">
        <v>93</v>
      </c>
      <c r="I980" s="251" t="s">
        <v>90</v>
      </c>
      <c r="J980" s="251" t="s">
        <v>1490</v>
      </c>
      <c r="K980" s="251" t="s">
        <v>486</v>
      </c>
      <c r="L980" s="251" t="s">
        <v>487</v>
      </c>
      <c r="M980" s="251" t="s">
        <v>495</v>
      </c>
      <c r="N980" s="251" t="s">
        <v>495</v>
      </c>
      <c r="O980" s="251" t="s">
        <v>496</v>
      </c>
      <c r="P980" s="251" t="s">
        <v>969</v>
      </c>
      <c r="Q980" s="252">
        <v>10081231</v>
      </c>
      <c r="R980" s="253">
        <v>43487</v>
      </c>
      <c r="S980" s="253">
        <v>43489</v>
      </c>
      <c r="T980" s="253">
        <v>43513</v>
      </c>
      <c r="U980" s="251" t="s">
        <v>499</v>
      </c>
      <c r="V980" s="251">
        <v>3</v>
      </c>
      <c r="W980" s="251" t="s">
        <v>219</v>
      </c>
      <c r="X980" s="251">
        <v>3</v>
      </c>
      <c r="Y980" s="251">
        <v>2</v>
      </c>
      <c r="Z980" s="251">
        <v>3</v>
      </c>
      <c r="AA980" s="251">
        <v>3</v>
      </c>
      <c r="AB980" s="251" t="s">
        <v>486</v>
      </c>
      <c r="AC980" s="251" t="s">
        <v>486</v>
      </c>
      <c r="AD980" s="251" t="s">
        <v>490</v>
      </c>
      <c r="AE980" s="251" t="s">
        <v>486</v>
      </c>
      <c r="AF980" s="251" t="s">
        <v>486</v>
      </c>
      <c r="AG980" s="251" t="s">
        <v>486</v>
      </c>
      <c r="AH980" s="251" t="s">
        <v>486</v>
      </c>
      <c r="AI980" s="251" t="s">
        <v>486</v>
      </c>
      <c r="AJ980" s="251" t="s">
        <v>486</v>
      </c>
      <c r="AK980" s="251" t="s">
        <v>486</v>
      </c>
      <c r="AL980" s="251" t="s">
        <v>491</v>
      </c>
      <c r="AM980" s="251" t="s">
        <v>486</v>
      </c>
      <c r="AN980" s="251" t="s">
        <v>486</v>
      </c>
      <c r="AO980" s="253" t="s">
        <v>486</v>
      </c>
      <c r="AP980" s="252" t="s">
        <v>486</v>
      </c>
      <c r="AQ980" s="254" t="s">
        <v>486</v>
      </c>
      <c r="AR980" s="251" t="s">
        <v>486</v>
      </c>
    </row>
    <row r="981" spans="1:44" ht="15" x14ac:dyDescent="0.25">
      <c r="A981" s="245" t="str">
        <f>HYPERLINK("http://www.ofsted.gov.uk/inspection-reports/find-inspection-report/provider/ELS/145572 ","Ofsted School Webpage")</f>
        <v>Ofsted School Webpage</v>
      </c>
      <c r="B981" s="246">
        <v>145572</v>
      </c>
      <c r="C981" s="246">
        <v>8306046</v>
      </c>
      <c r="D981" s="246" t="s">
        <v>943</v>
      </c>
      <c r="E981" s="246" t="s">
        <v>248</v>
      </c>
      <c r="F981" s="246" t="s">
        <v>93</v>
      </c>
      <c r="G981" s="246" t="s">
        <v>93</v>
      </c>
      <c r="H981" s="246" t="s">
        <v>93</v>
      </c>
      <c r="I981" s="246" t="s">
        <v>90</v>
      </c>
      <c r="J981" s="246" t="s">
        <v>1490</v>
      </c>
      <c r="K981" s="246" t="s">
        <v>486</v>
      </c>
      <c r="L981" s="246" t="s">
        <v>487</v>
      </c>
      <c r="M981" s="246" t="s">
        <v>572</v>
      </c>
      <c r="N981" s="246" t="s">
        <v>572</v>
      </c>
      <c r="O981" s="246" t="s">
        <v>573</v>
      </c>
      <c r="P981" s="246" t="s">
        <v>944</v>
      </c>
      <c r="Q981" s="247">
        <v>10078674</v>
      </c>
      <c r="R981" s="248">
        <v>43487</v>
      </c>
      <c r="S981" s="248">
        <v>43489</v>
      </c>
      <c r="T981" s="248">
        <v>43534</v>
      </c>
      <c r="U981" s="246" t="s">
        <v>499</v>
      </c>
      <c r="V981" s="246">
        <v>1</v>
      </c>
      <c r="W981" s="246" t="s">
        <v>219</v>
      </c>
      <c r="X981" s="246">
        <v>1</v>
      </c>
      <c r="Y981" s="246">
        <v>1</v>
      </c>
      <c r="Z981" s="246">
        <v>1</v>
      </c>
      <c r="AA981" s="246">
        <v>2</v>
      </c>
      <c r="AB981" s="246" t="s">
        <v>486</v>
      </c>
      <c r="AC981" s="246" t="s">
        <v>486</v>
      </c>
      <c r="AD981" s="246" t="s">
        <v>490</v>
      </c>
      <c r="AE981" s="246" t="s">
        <v>486</v>
      </c>
      <c r="AF981" s="246" t="s">
        <v>486</v>
      </c>
      <c r="AG981" s="246" t="s">
        <v>486</v>
      </c>
      <c r="AH981" s="246" t="s">
        <v>486</v>
      </c>
      <c r="AI981" s="246" t="s">
        <v>486</v>
      </c>
      <c r="AJ981" s="246" t="s">
        <v>486</v>
      </c>
      <c r="AK981" s="246" t="s">
        <v>486</v>
      </c>
      <c r="AL981" s="246" t="s">
        <v>491</v>
      </c>
      <c r="AM981" s="246" t="s">
        <v>486</v>
      </c>
      <c r="AN981" s="246" t="s">
        <v>486</v>
      </c>
      <c r="AO981" s="248" t="s">
        <v>486</v>
      </c>
      <c r="AP981" s="247" t="s">
        <v>486</v>
      </c>
      <c r="AQ981" s="249" t="s">
        <v>486</v>
      </c>
      <c r="AR981" s="246" t="s">
        <v>486</v>
      </c>
    </row>
    <row r="982" spans="1:44" ht="15" x14ac:dyDescent="0.25">
      <c r="A982" s="250" t="str">
        <f>HYPERLINK("http://www.ofsted.gov.uk/inspection-reports/find-inspection-report/provider/ELS/100300 ","Ofsted School Webpage")</f>
        <v>Ofsted School Webpage</v>
      </c>
      <c r="B982" s="251">
        <v>100300</v>
      </c>
      <c r="C982" s="251">
        <v>2046388</v>
      </c>
      <c r="D982" s="251" t="s">
        <v>987</v>
      </c>
      <c r="E982" s="251" t="s">
        <v>247</v>
      </c>
      <c r="F982" s="251" t="s">
        <v>93</v>
      </c>
      <c r="G982" s="251" t="s">
        <v>84</v>
      </c>
      <c r="H982" s="251" t="s">
        <v>84</v>
      </c>
      <c r="I982" s="251" t="s">
        <v>84</v>
      </c>
      <c r="J982" s="251" t="s">
        <v>1490</v>
      </c>
      <c r="K982" s="251" t="s">
        <v>486</v>
      </c>
      <c r="L982" s="251" t="s">
        <v>487</v>
      </c>
      <c r="M982" s="251" t="s">
        <v>506</v>
      </c>
      <c r="N982" s="251" t="s">
        <v>506</v>
      </c>
      <c r="O982" s="251" t="s">
        <v>617</v>
      </c>
      <c r="P982" s="251" t="s">
        <v>988</v>
      </c>
      <c r="Q982" s="252">
        <v>10054282</v>
      </c>
      <c r="R982" s="253">
        <v>43494</v>
      </c>
      <c r="S982" s="253">
        <v>43496</v>
      </c>
      <c r="T982" s="253">
        <v>43531</v>
      </c>
      <c r="U982" s="251" t="s">
        <v>488</v>
      </c>
      <c r="V982" s="251">
        <v>4</v>
      </c>
      <c r="W982" s="251" t="s">
        <v>219</v>
      </c>
      <c r="X982" s="251">
        <v>4</v>
      </c>
      <c r="Y982" s="251">
        <v>3</v>
      </c>
      <c r="Z982" s="251">
        <v>2</v>
      </c>
      <c r="AA982" s="251">
        <v>2</v>
      </c>
      <c r="AB982" s="251" t="s">
        <v>486</v>
      </c>
      <c r="AC982" s="251" t="s">
        <v>486</v>
      </c>
      <c r="AD982" s="251" t="s">
        <v>490</v>
      </c>
      <c r="AE982" s="251" t="s">
        <v>486</v>
      </c>
      <c r="AF982" s="251" t="s">
        <v>486</v>
      </c>
      <c r="AG982" s="251" t="s">
        <v>486</v>
      </c>
      <c r="AH982" s="251" t="s">
        <v>486</v>
      </c>
      <c r="AI982" s="251" t="s">
        <v>486</v>
      </c>
      <c r="AJ982" s="251" t="s">
        <v>486</v>
      </c>
      <c r="AK982" s="251" t="s">
        <v>486</v>
      </c>
      <c r="AL982" s="251" t="s">
        <v>545</v>
      </c>
      <c r="AM982" s="251" t="s">
        <v>486</v>
      </c>
      <c r="AN982" s="251" t="s">
        <v>486</v>
      </c>
      <c r="AO982" s="253" t="s">
        <v>486</v>
      </c>
      <c r="AP982" s="252" t="s">
        <v>486</v>
      </c>
      <c r="AQ982" s="254" t="s">
        <v>486</v>
      </c>
      <c r="AR982" s="251" t="s">
        <v>486</v>
      </c>
    </row>
    <row r="983" spans="1:44" ht="15" x14ac:dyDescent="0.25">
      <c r="A983" s="245" t="str">
        <f>HYPERLINK("http://www.ofsted.gov.uk/inspection-reports/find-inspection-report/provider/ELS/105596 ","Ofsted School Webpage")</f>
        <v>Ofsted School Webpage</v>
      </c>
      <c r="B983" s="246">
        <v>105596</v>
      </c>
      <c r="C983" s="246">
        <v>3526037</v>
      </c>
      <c r="D983" s="246" t="s">
        <v>976</v>
      </c>
      <c r="E983" s="246" t="s">
        <v>247</v>
      </c>
      <c r="F983" s="246" t="s">
        <v>93</v>
      </c>
      <c r="G983" s="246" t="s">
        <v>71</v>
      </c>
      <c r="H983" s="246" t="s">
        <v>71</v>
      </c>
      <c r="I983" s="246" t="s">
        <v>71</v>
      </c>
      <c r="J983" s="246" t="s">
        <v>1490</v>
      </c>
      <c r="K983" s="246" t="s">
        <v>486</v>
      </c>
      <c r="L983" s="246" t="s">
        <v>487</v>
      </c>
      <c r="M983" s="246" t="s">
        <v>495</v>
      </c>
      <c r="N983" s="246" t="s">
        <v>495</v>
      </c>
      <c r="O983" s="246" t="s">
        <v>744</v>
      </c>
      <c r="P983" s="246" t="s">
        <v>977</v>
      </c>
      <c r="Q983" s="247">
        <v>10086143</v>
      </c>
      <c r="R983" s="248">
        <v>43494</v>
      </c>
      <c r="S983" s="248">
        <v>43496</v>
      </c>
      <c r="T983" s="248">
        <v>43529</v>
      </c>
      <c r="U983" s="246" t="s">
        <v>488</v>
      </c>
      <c r="V983" s="246">
        <v>2</v>
      </c>
      <c r="W983" s="246" t="s">
        <v>219</v>
      </c>
      <c r="X983" s="246">
        <v>2</v>
      </c>
      <c r="Y983" s="246">
        <v>2</v>
      </c>
      <c r="Z983" s="246">
        <v>2</v>
      </c>
      <c r="AA983" s="246">
        <v>2</v>
      </c>
      <c r="AB983" s="246" t="s">
        <v>486</v>
      </c>
      <c r="AC983" s="246" t="s">
        <v>486</v>
      </c>
      <c r="AD983" s="246" t="s">
        <v>490</v>
      </c>
      <c r="AE983" s="246" t="s">
        <v>486</v>
      </c>
      <c r="AF983" s="246" t="s">
        <v>486</v>
      </c>
      <c r="AG983" s="246" t="s">
        <v>486</v>
      </c>
      <c r="AH983" s="246" t="s">
        <v>486</v>
      </c>
      <c r="AI983" s="246" t="s">
        <v>486</v>
      </c>
      <c r="AJ983" s="246" t="s">
        <v>486</v>
      </c>
      <c r="AK983" s="246" t="s">
        <v>486</v>
      </c>
      <c r="AL983" s="246" t="s">
        <v>491</v>
      </c>
      <c r="AM983" s="246" t="s">
        <v>486</v>
      </c>
      <c r="AN983" s="246" t="s">
        <v>486</v>
      </c>
      <c r="AO983" s="248" t="s">
        <v>486</v>
      </c>
      <c r="AP983" s="247" t="s">
        <v>486</v>
      </c>
      <c r="AQ983" s="249" t="s">
        <v>486</v>
      </c>
      <c r="AR983" s="246" t="s">
        <v>486</v>
      </c>
    </row>
    <row r="984" spans="1:44" ht="15" x14ac:dyDescent="0.25">
      <c r="A984" s="250" t="str">
        <f>HYPERLINK("http://www.ofsted.gov.uk/inspection-reports/find-inspection-report/provider/ELS/118993 ","Ofsted School Webpage")</f>
        <v>Ofsted School Webpage</v>
      </c>
      <c r="B984" s="251">
        <v>118993</v>
      </c>
      <c r="C984" s="251">
        <v>8866046</v>
      </c>
      <c r="D984" s="251" t="s">
        <v>998</v>
      </c>
      <c r="E984" s="251" t="s">
        <v>248</v>
      </c>
      <c r="F984" s="251" t="s">
        <v>93</v>
      </c>
      <c r="G984" s="251" t="s">
        <v>93</v>
      </c>
      <c r="H984" s="251" t="s">
        <v>93</v>
      </c>
      <c r="I984" s="251" t="s">
        <v>90</v>
      </c>
      <c r="J984" s="251" t="s">
        <v>1490</v>
      </c>
      <c r="K984" s="251" t="s">
        <v>486</v>
      </c>
      <c r="L984" s="251" t="s">
        <v>487</v>
      </c>
      <c r="M984" s="251" t="s">
        <v>581</v>
      </c>
      <c r="N984" s="251" t="s">
        <v>581</v>
      </c>
      <c r="O984" s="251" t="s">
        <v>694</v>
      </c>
      <c r="P984" s="251" t="s">
        <v>999</v>
      </c>
      <c r="Q984" s="252">
        <v>10080988</v>
      </c>
      <c r="R984" s="253">
        <v>43494</v>
      </c>
      <c r="S984" s="253">
        <v>43496</v>
      </c>
      <c r="T984" s="253">
        <v>43535</v>
      </c>
      <c r="U984" s="251" t="s">
        <v>624</v>
      </c>
      <c r="V984" s="251">
        <v>4</v>
      </c>
      <c r="W984" s="251" t="s">
        <v>220</v>
      </c>
      <c r="X984" s="251">
        <v>4</v>
      </c>
      <c r="Y984" s="251">
        <v>4</v>
      </c>
      <c r="Z984" s="251">
        <v>2</v>
      </c>
      <c r="AA984" s="251">
        <v>2</v>
      </c>
      <c r="AB984" s="251" t="s">
        <v>486</v>
      </c>
      <c r="AC984" s="251">
        <v>4</v>
      </c>
      <c r="AD984" s="251" t="s">
        <v>490</v>
      </c>
      <c r="AE984" s="251" t="s">
        <v>486</v>
      </c>
      <c r="AF984" s="251" t="s">
        <v>486</v>
      </c>
      <c r="AG984" s="251" t="s">
        <v>486</v>
      </c>
      <c r="AH984" s="251" t="s">
        <v>486</v>
      </c>
      <c r="AI984" s="251" t="s">
        <v>486</v>
      </c>
      <c r="AJ984" s="251" t="s">
        <v>486</v>
      </c>
      <c r="AK984" s="251" t="s">
        <v>486</v>
      </c>
      <c r="AL984" s="251" t="s">
        <v>545</v>
      </c>
      <c r="AM984" s="251" t="s">
        <v>486</v>
      </c>
      <c r="AN984" s="251" t="s">
        <v>486</v>
      </c>
      <c r="AO984" s="253" t="s">
        <v>486</v>
      </c>
      <c r="AP984" s="252" t="s">
        <v>486</v>
      </c>
      <c r="AQ984" s="254" t="s">
        <v>486</v>
      </c>
      <c r="AR984" s="251" t="s">
        <v>486</v>
      </c>
    </row>
    <row r="985" spans="1:44" ht="15" x14ac:dyDescent="0.25">
      <c r="A985" s="245" t="str">
        <f>HYPERLINK("http://www.ofsted.gov.uk/inspection-reports/find-inspection-report/provider/ELS/120728 ","Ofsted School Webpage")</f>
        <v>Ofsted School Webpage</v>
      </c>
      <c r="B985" s="246">
        <v>120728</v>
      </c>
      <c r="C985" s="246">
        <v>9256016</v>
      </c>
      <c r="D985" s="246" t="s">
        <v>992</v>
      </c>
      <c r="E985" s="246" t="s">
        <v>247</v>
      </c>
      <c r="F985" s="246" t="s">
        <v>93</v>
      </c>
      <c r="G985" s="246" t="s">
        <v>93</v>
      </c>
      <c r="H985" s="246" t="s">
        <v>93</v>
      </c>
      <c r="I985" s="246" t="s">
        <v>90</v>
      </c>
      <c r="J985" s="246" t="s">
        <v>1490</v>
      </c>
      <c r="K985" s="246" t="s">
        <v>486</v>
      </c>
      <c r="L985" s="246" t="s">
        <v>487</v>
      </c>
      <c r="M985" s="246" t="s">
        <v>572</v>
      </c>
      <c r="N985" s="246" t="s">
        <v>572</v>
      </c>
      <c r="O985" s="246" t="s">
        <v>929</v>
      </c>
      <c r="P985" s="246" t="s">
        <v>993</v>
      </c>
      <c r="Q985" s="247">
        <v>10078683</v>
      </c>
      <c r="R985" s="248">
        <v>43494</v>
      </c>
      <c r="S985" s="248">
        <v>43496</v>
      </c>
      <c r="T985" s="248">
        <v>43538</v>
      </c>
      <c r="U985" s="246" t="s">
        <v>488</v>
      </c>
      <c r="V985" s="246">
        <v>2</v>
      </c>
      <c r="W985" s="246" t="s">
        <v>219</v>
      </c>
      <c r="X985" s="246">
        <v>2</v>
      </c>
      <c r="Y985" s="246">
        <v>2</v>
      </c>
      <c r="Z985" s="246">
        <v>2</v>
      </c>
      <c r="AA985" s="246">
        <v>2</v>
      </c>
      <c r="AB985" s="246">
        <v>2</v>
      </c>
      <c r="AC985" s="246" t="s">
        <v>486</v>
      </c>
      <c r="AD985" s="246" t="s">
        <v>490</v>
      </c>
      <c r="AE985" s="246" t="s">
        <v>486</v>
      </c>
      <c r="AF985" s="246" t="s">
        <v>486</v>
      </c>
      <c r="AG985" s="246" t="s">
        <v>486</v>
      </c>
      <c r="AH985" s="246" t="s">
        <v>486</v>
      </c>
      <c r="AI985" s="246" t="s">
        <v>486</v>
      </c>
      <c r="AJ985" s="246" t="s">
        <v>486</v>
      </c>
      <c r="AK985" s="246" t="s">
        <v>486</v>
      </c>
      <c r="AL985" s="246" t="s">
        <v>491</v>
      </c>
      <c r="AM985" s="246" t="s">
        <v>486</v>
      </c>
      <c r="AN985" s="246" t="s">
        <v>486</v>
      </c>
      <c r="AO985" s="248" t="s">
        <v>486</v>
      </c>
      <c r="AP985" s="247" t="s">
        <v>486</v>
      </c>
      <c r="AQ985" s="249" t="s">
        <v>486</v>
      </c>
      <c r="AR985" s="246" t="s">
        <v>486</v>
      </c>
    </row>
    <row r="986" spans="1:44" ht="15" x14ac:dyDescent="0.25">
      <c r="A986" s="250" t="str">
        <f>HYPERLINK("http://www.ofsted.gov.uk/inspection-reports/find-inspection-report/provider/ELS/121246 ","Ofsted School Webpage")</f>
        <v>Ofsted School Webpage</v>
      </c>
      <c r="B986" s="251">
        <v>121246</v>
      </c>
      <c r="C986" s="251">
        <v>9266133</v>
      </c>
      <c r="D986" s="251" t="s">
        <v>974</v>
      </c>
      <c r="E986" s="251" t="s">
        <v>248</v>
      </c>
      <c r="F986" s="251" t="s">
        <v>93</v>
      </c>
      <c r="G986" s="251" t="s">
        <v>93</v>
      </c>
      <c r="H986" s="251" t="s">
        <v>93</v>
      </c>
      <c r="I986" s="251" t="s">
        <v>90</v>
      </c>
      <c r="J986" s="251" t="s">
        <v>1490</v>
      </c>
      <c r="K986" s="251" t="s">
        <v>486</v>
      </c>
      <c r="L986" s="251" t="s">
        <v>487</v>
      </c>
      <c r="M986" s="251" t="s">
        <v>516</v>
      </c>
      <c r="N986" s="251" t="s">
        <v>516</v>
      </c>
      <c r="O986" s="251" t="s">
        <v>528</v>
      </c>
      <c r="P986" s="251" t="s">
        <v>975</v>
      </c>
      <c r="Q986" s="252">
        <v>10056557</v>
      </c>
      <c r="R986" s="253">
        <v>43494</v>
      </c>
      <c r="S986" s="253">
        <v>43496</v>
      </c>
      <c r="T986" s="253">
        <v>43523</v>
      </c>
      <c r="U986" s="251" t="s">
        <v>488</v>
      </c>
      <c r="V986" s="251">
        <v>2</v>
      </c>
      <c r="W986" s="251" t="s">
        <v>219</v>
      </c>
      <c r="X986" s="251">
        <v>2</v>
      </c>
      <c r="Y986" s="251">
        <v>2</v>
      </c>
      <c r="Z986" s="251">
        <v>2</v>
      </c>
      <c r="AA986" s="251">
        <v>2</v>
      </c>
      <c r="AB986" s="251" t="s">
        <v>486</v>
      </c>
      <c r="AC986" s="251" t="s">
        <v>486</v>
      </c>
      <c r="AD986" s="251" t="s">
        <v>490</v>
      </c>
      <c r="AE986" s="251" t="s">
        <v>486</v>
      </c>
      <c r="AF986" s="251" t="s">
        <v>486</v>
      </c>
      <c r="AG986" s="251" t="s">
        <v>486</v>
      </c>
      <c r="AH986" s="251" t="s">
        <v>486</v>
      </c>
      <c r="AI986" s="251" t="s">
        <v>486</v>
      </c>
      <c r="AJ986" s="251" t="s">
        <v>486</v>
      </c>
      <c r="AK986" s="251" t="s">
        <v>486</v>
      </c>
      <c r="AL986" s="251" t="s">
        <v>491</v>
      </c>
      <c r="AM986" s="251" t="s">
        <v>486</v>
      </c>
      <c r="AN986" s="251" t="s">
        <v>486</v>
      </c>
      <c r="AO986" s="253" t="s">
        <v>486</v>
      </c>
      <c r="AP986" s="252" t="s">
        <v>486</v>
      </c>
      <c r="AQ986" s="254" t="s">
        <v>486</v>
      </c>
      <c r="AR986" s="251" t="s">
        <v>486</v>
      </c>
    </row>
    <row r="987" spans="1:44" ht="15" x14ac:dyDescent="0.25">
      <c r="A987" s="245" t="str">
        <f>HYPERLINK("http://www.ofsted.gov.uk/inspection-reports/find-inspection-report/provider/ELS/125789 ","Ofsted School Webpage")</f>
        <v>Ofsted School Webpage</v>
      </c>
      <c r="B987" s="246">
        <v>125789</v>
      </c>
      <c r="C987" s="246">
        <v>9376091</v>
      </c>
      <c r="D987" s="246" t="s">
        <v>1000</v>
      </c>
      <c r="E987" s="246" t="s">
        <v>247</v>
      </c>
      <c r="F987" s="246" t="s">
        <v>93</v>
      </c>
      <c r="G987" s="246" t="s">
        <v>93</v>
      </c>
      <c r="H987" s="246" t="s">
        <v>93</v>
      </c>
      <c r="I987" s="246" t="s">
        <v>90</v>
      </c>
      <c r="J987" s="246" t="s">
        <v>1490</v>
      </c>
      <c r="K987" s="246" t="s">
        <v>486</v>
      </c>
      <c r="L987" s="246" t="s">
        <v>487</v>
      </c>
      <c r="M987" s="246" t="s">
        <v>502</v>
      </c>
      <c r="N987" s="246" t="s">
        <v>502</v>
      </c>
      <c r="O987" s="246" t="s">
        <v>503</v>
      </c>
      <c r="P987" s="246" t="s">
        <v>1001</v>
      </c>
      <c r="Q987" s="247">
        <v>10056214</v>
      </c>
      <c r="R987" s="248">
        <v>43494</v>
      </c>
      <c r="S987" s="248">
        <v>43496</v>
      </c>
      <c r="T987" s="248">
        <v>43524</v>
      </c>
      <c r="U987" s="246" t="s">
        <v>488</v>
      </c>
      <c r="V987" s="246">
        <v>3</v>
      </c>
      <c r="W987" s="246" t="s">
        <v>219</v>
      </c>
      <c r="X987" s="246">
        <v>3</v>
      </c>
      <c r="Y987" s="246">
        <v>2</v>
      </c>
      <c r="Z987" s="246">
        <v>3</v>
      </c>
      <c r="AA987" s="246">
        <v>3</v>
      </c>
      <c r="AB987" s="246">
        <v>3</v>
      </c>
      <c r="AC987" s="246" t="s">
        <v>486</v>
      </c>
      <c r="AD987" s="246" t="s">
        <v>490</v>
      </c>
      <c r="AE987" s="246" t="s">
        <v>486</v>
      </c>
      <c r="AF987" s="246" t="s">
        <v>486</v>
      </c>
      <c r="AG987" s="246" t="s">
        <v>486</v>
      </c>
      <c r="AH987" s="246" t="s">
        <v>486</v>
      </c>
      <c r="AI987" s="246" t="s">
        <v>486</v>
      </c>
      <c r="AJ987" s="246" t="s">
        <v>486</v>
      </c>
      <c r="AK987" s="246" t="s">
        <v>486</v>
      </c>
      <c r="AL987" s="246" t="s">
        <v>491</v>
      </c>
      <c r="AM987" s="246" t="s">
        <v>486</v>
      </c>
      <c r="AN987" s="246" t="s">
        <v>486</v>
      </c>
      <c r="AO987" s="248" t="s">
        <v>486</v>
      </c>
      <c r="AP987" s="247" t="s">
        <v>486</v>
      </c>
      <c r="AQ987" s="249" t="s">
        <v>486</v>
      </c>
      <c r="AR987" s="246" t="s">
        <v>486</v>
      </c>
    </row>
    <row r="988" spans="1:44" ht="15" x14ac:dyDescent="0.25">
      <c r="A988" s="250" t="str">
        <f>HYPERLINK("http://www.ofsted.gov.uk/inspection-reports/find-inspection-report/provider/ELS/131122 ","Ofsted School Webpage")</f>
        <v>Ofsted School Webpage</v>
      </c>
      <c r="B988" s="251">
        <v>131122</v>
      </c>
      <c r="C988" s="251">
        <v>3736028</v>
      </c>
      <c r="D988" s="251" t="s">
        <v>982</v>
      </c>
      <c r="E988" s="251" t="s">
        <v>247</v>
      </c>
      <c r="F988" s="251" t="s">
        <v>84</v>
      </c>
      <c r="G988" s="251" t="s">
        <v>83</v>
      </c>
      <c r="H988" s="251" t="s">
        <v>84</v>
      </c>
      <c r="I988" s="251" t="s">
        <v>84</v>
      </c>
      <c r="J988" s="251" t="s">
        <v>1490</v>
      </c>
      <c r="K988" s="251" t="s">
        <v>486</v>
      </c>
      <c r="L988" s="251" t="s">
        <v>487</v>
      </c>
      <c r="M988" s="251" t="s">
        <v>523</v>
      </c>
      <c r="N988" s="251" t="s">
        <v>524</v>
      </c>
      <c r="O988" s="251" t="s">
        <v>553</v>
      </c>
      <c r="P988" s="251" t="s">
        <v>983</v>
      </c>
      <c r="Q988" s="252">
        <v>10061252</v>
      </c>
      <c r="R988" s="253">
        <v>43494</v>
      </c>
      <c r="S988" s="253">
        <v>43496</v>
      </c>
      <c r="T988" s="253">
        <v>43544</v>
      </c>
      <c r="U988" s="251" t="s">
        <v>488</v>
      </c>
      <c r="V988" s="251">
        <v>4</v>
      </c>
      <c r="W988" s="251" t="s">
        <v>220</v>
      </c>
      <c r="X988" s="251">
        <v>4</v>
      </c>
      <c r="Y988" s="251">
        <v>4</v>
      </c>
      <c r="Z988" s="251">
        <v>3</v>
      </c>
      <c r="AA988" s="251">
        <v>3</v>
      </c>
      <c r="AB988" s="251" t="s">
        <v>486</v>
      </c>
      <c r="AC988" s="251" t="s">
        <v>486</v>
      </c>
      <c r="AD988" s="251" t="s">
        <v>490</v>
      </c>
      <c r="AE988" s="251" t="s">
        <v>486</v>
      </c>
      <c r="AF988" s="251" t="s">
        <v>486</v>
      </c>
      <c r="AG988" s="251" t="s">
        <v>486</v>
      </c>
      <c r="AH988" s="251" t="s">
        <v>486</v>
      </c>
      <c r="AI988" s="251" t="s">
        <v>486</v>
      </c>
      <c r="AJ988" s="251" t="s">
        <v>486</v>
      </c>
      <c r="AK988" s="251" t="s">
        <v>486</v>
      </c>
      <c r="AL988" s="251" t="s">
        <v>545</v>
      </c>
      <c r="AM988" s="251" t="s">
        <v>486</v>
      </c>
      <c r="AN988" s="251" t="s">
        <v>486</v>
      </c>
      <c r="AO988" s="253" t="s">
        <v>486</v>
      </c>
      <c r="AP988" s="252" t="s">
        <v>486</v>
      </c>
      <c r="AQ988" s="254" t="s">
        <v>486</v>
      </c>
      <c r="AR988" s="251" t="s">
        <v>486</v>
      </c>
    </row>
    <row r="989" spans="1:44" ht="15" x14ac:dyDescent="0.25">
      <c r="A989" s="245" t="str">
        <f>HYPERLINK("http://www.ofsted.gov.uk/inspection-reports/find-inspection-report/provider/ELS/134179 ","Ofsted School Webpage")</f>
        <v>Ofsted School Webpage</v>
      </c>
      <c r="B989" s="246">
        <v>134179</v>
      </c>
      <c r="C989" s="246">
        <v>8736033</v>
      </c>
      <c r="D989" s="246" t="s">
        <v>978</v>
      </c>
      <c r="E989" s="246" t="s">
        <v>248</v>
      </c>
      <c r="F989" s="246" t="s">
        <v>93</v>
      </c>
      <c r="G989" s="246" t="s">
        <v>93</v>
      </c>
      <c r="H989" s="246" t="s">
        <v>93</v>
      </c>
      <c r="I989" s="246" t="s">
        <v>90</v>
      </c>
      <c r="J989" s="246" t="s">
        <v>1490</v>
      </c>
      <c r="K989" s="246" t="s">
        <v>486</v>
      </c>
      <c r="L989" s="246" t="s">
        <v>487</v>
      </c>
      <c r="M989" s="246" t="s">
        <v>516</v>
      </c>
      <c r="N989" s="246" t="s">
        <v>516</v>
      </c>
      <c r="O989" s="246" t="s">
        <v>867</v>
      </c>
      <c r="P989" s="246" t="s">
        <v>979</v>
      </c>
      <c r="Q989" s="247">
        <v>10056564</v>
      </c>
      <c r="R989" s="248">
        <v>43494</v>
      </c>
      <c r="S989" s="248">
        <v>43496</v>
      </c>
      <c r="T989" s="248">
        <v>43527</v>
      </c>
      <c r="U989" s="246" t="s">
        <v>488</v>
      </c>
      <c r="V989" s="246">
        <v>2</v>
      </c>
      <c r="W989" s="246" t="s">
        <v>219</v>
      </c>
      <c r="X989" s="246">
        <v>2</v>
      </c>
      <c r="Y989" s="246">
        <v>2</v>
      </c>
      <c r="Z989" s="246">
        <v>2</v>
      </c>
      <c r="AA989" s="246">
        <v>2</v>
      </c>
      <c r="AB989" s="246" t="s">
        <v>486</v>
      </c>
      <c r="AC989" s="246" t="s">
        <v>486</v>
      </c>
      <c r="AD989" s="246" t="s">
        <v>490</v>
      </c>
      <c r="AE989" s="246" t="s">
        <v>486</v>
      </c>
      <c r="AF989" s="246" t="s">
        <v>486</v>
      </c>
      <c r="AG989" s="246" t="s">
        <v>486</v>
      </c>
      <c r="AH989" s="246" t="s">
        <v>486</v>
      </c>
      <c r="AI989" s="246" t="s">
        <v>486</v>
      </c>
      <c r="AJ989" s="246" t="s">
        <v>486</v>
      </c>
      <c r="AK989" s="246" t="s">
        <v>486</v>
      </c>
      <c r="AL989" s="246" t="s">
        <v>491</v>
      </c>
      <c r="AM989" s="246" t="s">
        <v>486</v>
      </c>
      <c r="AN989" s="246" t="s">
        <v>486</v>
      </c>
      <c r="AO989" s="248" t="s">
        <v>486</v>
      </c>
      <c r="AP989" s="247" t="s">
        <v>486</v>
      </c>
      <c r="AQ989" s="249" t="s">
        <v>486</v>
      </c>
      <c r="AR989" s="246" t="s">
        <v>486</v>
      </c>
    </row>
    <row r="990" spans="1:44" ht="15" x14ac:dyDescent="0.25">
      <c r="A990" s="250" t="str">
        <f>HYPERLINK("http://www.ofsted.gov.uk/inspection-reports/find-inspection-report/provider/ELS/134427 ","Ofsted School Webpage")</f>
        <v>Ofsted School Webpage</v>
      </c>
      <c r="B990" s="251">
        <v>134427</v>
      </c>
      <c r="C990" s="251">
        <v>3806118</v>
      </c>
      <c r="D990" s="251" t="s">
        <v>980</v>
      </c>
      <c r="E990" s="251" t="s">
        <v>247</v>
      </c>
      <c r="F990" s="251" t="s">
        <v>93</v>
      </c>
      <c r="G990" s="251" t="s">
        <v>71</v>
      </c>
      <c r="H990" s="251" t="s">
        <v>71</v>
      </c>
      <c r="I990" s="251" t="s">
        <v>71</v>
      </c>
      <c r="J990" s="251" t="s">
        <v>1490</v>
      </c>
      <c r="K990" s="251" t="s">
        <v>486</v>
      </c>
      <c r="L990" s="251" t="s">
        <v>487</v>
      </c>
      <c r="M990" s="251" t="s">
        <v>523</v>
      </c>
      <c r="N990" s="251" t="s">
        <v>524</v>
      </c>
      <c r="O990" s="251" t="s">
        <v>674</v>
      </c>
      <c r="P990" s="251" t="s">
        <v>981</v>
      </c>
      <c r="Q990" s="252">
        <v>10061263</v>
      </c>
      <c r="R990" s="253">
        <v>43494</v>
      </c>
      <c r="S990" s="253">
        <v>43496</v>
      </c>
      <c r="T990" s="253">
        <v>43528</v>
      </c>
      <c r="U990" s="251" t="s">
        <v>488</v>
      </c>
      <c r="V990" s="251">
        <v>2</v>
      </c>
      <c r="W990" s="251" t="s">
        <v>219</v>
      </c>
      <c r="X990" s="251">
        <v>2</v>
      </c>
      <c r="Y990" s="251">
        <v>2</v>
      </c>
      <c r="Z990" s="251">
        <v>2</v>
      </c>
      <c r="AA990" s="251">
        <v>2</v>
      </c>
      <c r="AB990" s="251" t="s">
        <v>486</v>
      </c>
      <c r="AC990" s="251" t="s">
        <v>486</v>
      </c>
      <c r="AD990" s="251" t="s">
        <v>490</v>
      </c>
      <c r="AE990" s="251" t="s">
        <v>486</v>
      </c>
      <c r="AF990" s="251" t="s">
        <v>486</v>
      </c>
      <c r="AG990" s="251" t="s">
        <v>486</v>
      </c>
      <c r="AH990" s="251" t="s">
        <v>486</v>
      </c>
      <c r="AI990" s="251" t="s">
        <v>486</v>
      </c>
      <c r="AJ990" s="251" t="s">
        <v>486</v>
      </c>
      <c r="AK990" s="251" t="s">
        <v>486</v>
      </c>
      <c r="AL990" s="251" t="s">
        <v>491</v>
      </c>
      <c r="AM990" s="251" t="s">
        <v>486</v>
      </c>
      <c r="AN990" s="251" t="s">
        <v>486</v>
      </c>
      <c r="AO990" s="253" t="s">
        <v>486</v>
      </c>
      <c r="AP990" s="252" t="s">
        <v>486</v>
      </c>
      <c r="AQ990" s="254" t="s">
        <v>486</v>
      </c>
      <c r="AR990" s="251" t="s">
        <v>486</v>
      </c>
    </row>
    <row r="991" spans="1:44" ht="15" x14ac:dyDescent="0.25">
      <c r="A991" s="245" t="str">
        <f>HYPERLINK("http://www.ofsted.gov.uk/inspection-reports/find-inspection-report/provider/ELS/134585 ","Ofsted School Webpage")</f>
        <v>Ofsted School Webpage</v>
      </c>
      <c r="B991" s="246">
        <v>134585</v>
      </c>
      <c r="C991" s="246">
        <v>3066096</v>
      </c>
      <c r="D991" s="246" t="s">
        <v>972</v>
      </c>
      <c r="E991" s="246" t="s">
        <v>247</v>
      </c>
      <c r="F991" s="246" t="s">
        <v>93</v>
      </c>
      <c r="G991" s="246" t="s">
        <v>84</v>
      </c>
      <c r="H991" s="246" t="s">
        <v>84</v>
      </c>
      <c r="I991" s="246" t="s">
        <v>84</v>
      </c>
      <c r="J991" s="246" t="s">
        <v>1490</v>
      </c>
      <c r="K991" s="246" t="s">
        <v>486</v>
      </c>
      <c r="L991" s="246" t="s">
        <v>487</v>
      </c>
      <c r="M991" s="246" t="s">
        <v>506</v>
      </c>
      <c r="N991" s="246" t="s">
        <v>506</v>
      </c>
      <c r="O991" s="246" t="s">
        <v>826</v>
      </c>
      <c r="P991" s="246" t="s">
        <v>973</v>
      </c>
      <c r="Q991" s="247">
        <v>10054292</v>
      </c>
      <c r="R991" s="248">
        <v>43494</v>
      </c>
      <c r="S991" s="248">
        <v>43496</v>
      </c>
      <c r="T991" s="248">
        <v>43541</v>
      </c>
      <c r="U991" s="246" t="s">
        <v>488</v>
      </c>
      <c r="V991" s="246">
        <v>4</v>
      </c>
      <c r="W991" s="246" t="s">
        <v>220</v>
      </c>
      <c r="X991" s="246">
        <v>4</v>
      </c>
      <c r="Y991" s="246">
        <v>3</v>
      </c>
      <c r="Z991" s="246">
        <v>2</v>
      </c>
      <c r="AA991" s="246">
        <v>2</v>
      </c>
      <c r="AB991" s="246">
        <v>4</v>
      </c>
      <c r="AC991" s="246" t="s">
        <v>486</v>
      </c>
      <c r="AD991" s="246" t="s">
        <v>490</v>
      </c>
      <c r="AE991" s="246" t="s">
        <v>486</v>
      </c>
      <c r="AF991" s="246" t="s">
        <v>486</v>
      </c>
      <c r="AG991" s="246" t="s">
        <v>486</v>
      </c>
      <c r="AH991" s="246" t="s">
        <v>486</v>
      </c>
      <c r="AI991" s="246" t="s">
        <v>486</v>
      </c>
      <c r="AJ991" s="246" t="s">
        <v>486</v>
      </c>
      <c r="AK991" s="246" t="s">
        <v>486</v>
      </c>
      <c r="AL991" s="246" t="s">
        <v>545</v>
      </c>
      <c r="AM991" s="246" t="s">
        <v>486</v>
      </c>
      <c r="AN991" s="246" t="s">
        <v>486</v>
      </c>
      <c r="AO991" s="248" t="s">
        <v>486</v>
      </c>
      <c r="AP991" s="247" t="s">
        <v>486</v>
      </c>
      <c r="AQ991" s="249" t="s">
        <v>486</v>
      </c>
      <c r="AR991" s="246" t="s">
        <v>486</v>
      </c>
    </row>
    <row r="992" spans="1:44" ht="15" x14ac:dyDescent="0.25">
      <c r="A992" s="250" t="str">
        <f>HYPERLINK("http://www.ofsted.gov.uk/inspection-reports/find-inspection-report/provider/ELS/135530 ","Ofsted School Webpage")</f>
        <v>Ofsted School Webpage</v>
      </c>
      <c r="B992" s="251">
        <v>135530</v>
      </c>
      <c r="C992" s="251">
        <v>8556041</v>
      </c>
      <c r="D992" s="251" t="s">
        <v>994</v>
      </c>
      <c r="E992" s="251" t="s">
        <v>248</v>
      </c>
      <c r="F992" s="251" t="s">
        <v>93</v>
      </c>
      <c r="G992" s="251" t="s">
        <v>93</v>
      </c>
      <c r="H992" s="251" t="s">
        <v>93</v>
      </c>
      <c r="I992" s="251" t="s">
        <v>90</v>
      </c>
      <c r="J992" s="251" t="s">
        <v>1490</v>
      </c>
      <c r="K992" s="251" t="s">
        <v>486</v>
      </c>
      <c r="L992" s="251" t="s">
        <v>487</v>
      </c>
      <c r="M992" s="251" t="s">
        <v>572</v>
      </c>
      <c r="N992" s="251" t="s">
        <v>572</v>
      </c>
      <c r="O992" s="251" t="s">
        <v>966</v>
      </c>
      <c r="P992" s="251" t="s">
        <v>995</v>
      </c>
      <c r="Q992" s="252">
        <v>10078672</v>
      </c>
      <c r="R992" s="253">
        <v>43494</v>
      </c>
      <c r="S992" s="253">
        <v>43496</v>
      </c>
      <c r="T992" s="253">
        <v>43529</v>
      </c>
      <c r="U992" s="251" t="s">
        <v>488</v>
      </c>
      <c r="V992" s="251">
        <v>1</v>
      </c>
      <c r="W992" s="251" t="s">
        <v>219</v>
      </c>
      <c r="X992" s="251">
        <v>1</v>
      </c>
      <c r="Y992" s="251">
        <v>1</v>
      </c>
      <c r="Z992" s="251">
        <v>1</v>
      </c>
      <c r="AA992" s="251">
        <v>1</v>
      </c>
      <c r="AB992" s="251" t="s">
        <v>486</v>
      </c>
      <c r="AC992" s="251" t="s">
        <v>486</v>
      </c>
      <c r="AD992" s="251" t="s">
        <v>490</v>
      </c>
      <c r="AE992" s="251" t="s">
        <v>486</v>
      </c>
      <c r="AF992" s="251" t="s">
        <v>486</v>
      </c>
      <c r="AG992" s="251" t="s">
        <v>486</v>
      </c>
      <c r="AH992" s="251" t="s">
        <v>486</v>
      </c>
      <c r="AI992" s="251" t="s">
        <v>486</v>
      </c>
      <c r="AJ992" s="251" t="s">
        <v>486</v>
      </c>
      <c r="AK992" s="251" t="s">
        <v>486</v>
      </c>
      <c r="AL992" s="251" t="s">
        <v>491</v>
      </c>
      <c r="AM992" s="251" t="s">
        <v>486</v>
      </c>
      <c r="AN992" s="251" t="s">
        <v>486</v>
      </c>
      <c r="AO992" s="253" t="s">
        <v>486</v>
      </c>
      <c r="AP992" s="252" t="s">
        <v>486</v>
      </c>
      <c r="AQ992" s="254" t="s">
        <v>486</v>
      </c>
      <c r="AR992" s="251" t="s">
        <v>486</v>
      </c>
    </row>
    <row r="993" spans="1:44" ht="15" x14ac:dyDescent="0.25">
      <c r="A993" s="245" t="str">
        <f>HYPERLINK("http://www.ofsted.gov.uk/inspection-reports/find-inspection-report/provider/ELS/137562 ","Ofsted School Webpage")</f>
        <v>Ofsted School Webpage</v>
      </c>
      <c r="B993" s="246">
        <v>137562</v>
      </c>
      <c r="C993" s="246">
        <v>8826010</v>
      </c>
      <c r="D993" s="246" t="s">
        <v>989</v>
      </c>
      <c r="E993" s="246" t="s">
        <v>248</v>
      </c>
      <c r="F993" s="246" t="s">
        <v>93</v>
      </c>
      <c r="G993" s="246" t="s">
        <v>93</v>
      </c>
      <c r="H993" s="246" t="s">
        <v>93</v>
      </c>
      <c r="I993" s="246" t="s">
        <v>90</v>
      </c>
      <c r="J993" s="246" t="s">
        <v>1490</v>
      </c>
      <c r="K993" s="246" t="s">
        <v>486</v>
      </c>
      <c r="L993" s="246" t="s">
        <v>487</v>
      </c>
      <c r="M993" s="246" t="s">
        <v>516</v>
      </c>
      <c r="N993" s="246" t="s">
        <v>516</v>
      </c>
      <c r="O993" s="246" t="s">
        <v>990</v>
      </c>
      <c r="P993" s="246" t="s">
        <v>991</v>
      </c>
      <c r="Q993" s="247">
        <v>10090995</v>
      </c>
      <c r="R993" s="248">
        <v>43494</v>
      </c>
      <c r="S993" s="248">
        <v>43496</v>
      </c>
      <c r="T993" s="248">
        <v>43530</v>
      </c>
      <c r="U993" s="246" t="s">
        <v>488</v>
      </c>
      <c r="V993" s="246">
        <v>3</v>
      </c>
      <c r="W993" s="246" t="s">
        <v>219</v>
      </c>
      <c r="X993" s="246">
        <v>3</v>
      </c>
      <c r="Y993" s="246">
        <v>2</v>
      </c>
      <c r="Z993" s="246">
        <v>3</v>
      </c>
      <c r="AA993" s="246">
        <v>3</v>
      </c>
      <c r="AB993" s="246" t="s">
        <v>486</v>
      </c>
      <c r="AC993" s="246" t="s">
        <v>486</v>
      </c>
      <c r="AD993" s="246" t="s">
        <v>490</v>
      </c>
      <c r="AE993" s="246" t="s">
        <v>486</v>
      </c>
      <c r="AF993" s="246" t="s">
        <v>486</v>
      </c>
      <c r="AG993" s="246" t="s">
        <v>486</v>
      </c>
      <c r="AH993" s="246" t="s">
        <v>486</v>
      </c>
      <c r="AI993" s="246" t="s">
        <v>486</v>
      </c>
      <c r="AJ993" s="246" t="s">
        <v>486</v>
      </c>
      <c r="AK993" s="246" t="s">
        <v>486</v>
      </c>
      <c r="AL993" s="246" t="s">
        <v>545</v>
      </c>
      <c r="AM993" s="246" t="s">
        <v>486</v>
      </c>
      <c r="AN993" s="246" t="s">
        <v>486</v>
      </c>
      <c r="AO993" s="248" t="s">
        <v>486</v>
      </c>
      <c r="AP993" s="247" t="s">
        <v>486</v>
      </c>
      <c r="AQ993" s="249" t="s">
        <v>486</v>
      </c>
      <c r="AR993" s="246" t="s">
        <v>486</v>
      </c>
    </row>
    <row r="994" spans="1:44" ht="15" x14ac:dyDescent="0.25">
      <c r="A994" s="250" t="str">
        <f>HYPERLINK("http://www.ofsted.gov.uk/inspection-reports/find-inspection-report/provider/ELS/141411 ","Ofsted School Webpage")</f>
        <v>Ofsted School Webpage</v>
      </c>
      <c r="B994" s="251">
        <v>141411</v>
      </c>
      <c r="C994" s="251">
        <v>3206005</v>
      </c>
      <c r="D994" s="251" t="s">
        <v>996</v>
      </c>
      <c r="E994" s="251" t="s">
        <v>247</v>
      </c>
      <c r="F994" s="251" t="s">
        <v>93</v>
      </c>
      <c r="G994" s="251" t="s">
        <v>93</v>
      </c>
      <c r="H994" s="251" t="s">
        <v>93</v>
      </c>
      <c r="I994" s="251" t="s">
        <v>90</v>
      </c>
      <c r="J994" s="251" t="s">
        <v>1490</v>
      </c>
      <c r="K994" s="251" t="s">
        <v>486</v>
      </c>
      <c r="L994" s="251" t="s">
        <v>487</v>
      </c>
      <c r="M994" s="251" t="s">
        <v>506</v>
      </c>
      <c r="N994" s="251" t="s">
        <v>506</v>
      </c>
      <c r="O994" s="251" t="s">
        <v>671</v>
      </c>
      <c r="P994" s="251" t="s">
        <v>997</v>
      </c>
      <c r="Q994" s="252">
        <v>10067217</v>
      </c>
      <c r="R994" s="253">
        <v>43494</v>
      </c>
      <c r="S994" s="253">
        <v>43496</v>
      </c>
      <c r="T994" s="253">
        <v>43527</v>
      </c>
      <c r="U994" s="251" t="s">
        <v>488</v>
      </c>
      <c r="V994" s="251">
        <v>2</v>
      </c>
      <c r="W994" s="251" t="s">
        <v>219</v>
      </c>
      <c r="X994" s="251">
        <v>2</v>
      </c>
      <c r="Y994" s="251">
        <v>2</v>
      </c>
      <c r="Z994" s="251">
        <v>2</v>
      </c>
      <c r="AA994" s="251">
        <v>2</v>
      </c>
      <c r="AB994" s="251" t="s">
        <v>486</v>
      </c>
      <c r="AC994" s="251" t="s">
        <v>486</v>
      </c>
      <c r="AD994" s="251" t="s">
        <v>512</v>
      </c>
      <c r="AE994" s="251" t="s">
        <v>486</v>
      </c>
      <c r="AF994" s="251" t="s">
        <v>490</v>
      </c>
      <c r="AG994" s="251" t="s">
        <v>486</v>
      </c>
      <c r="AH994" s="251" t="s">
        <v>486</v>
      </c>
      <c r="AI994" s="251" t="s">
        <v>486</v>
      </c>
      <c r="AJ994" s="251" t="s">
        <v>486</v>
      </c>
      <c r="AK994" s="251" t="s">
        <v>486</v>
      </c>
      <c r="AL994" s="251" t="s">
        <v>491</v>
      </c>
      <c r="AM994" s="251" t="s">
        <v>486</v>
      </c>
      <c r="AN994" s="251" t="s">
        <v>486</v>
      </c>
      <c r="AO994" s="253" t="s">
        <v>486</v>
      </c>
      <c r="AP994" s="252" t="s">
        <v>486</v>
      </c>
      <c r="AQ994" s="254" t="s">
        <v>486</v>
      </c>
      <c r="AR994" s="251" t="s">
        <v>486</v>
      </c>
    </row>
    <row r="995" spans="1:44" ht="15" x14ac:dyDescent="0.25">
      <c r="A995" s="245" t="str">
        <f>HYPERLINK("http://www.ofsted.gov.uk/inspection-reports/find-inspection-report/provider/ELS/141502 ","Ofsted School Webpage")</f>
        <v>Ofsted School Webpage</v>
      </c>
      <c r="B995" s="246">
        <v>141502</v>
      </c>
      <c r="C995" s="246">
        <v>8956001</v>
      </c>
      <c r="D995" s="246" t="s">
        <v>984</v>
      </c>
      <c r="E995" s="246" t="s">
        <v>248</v>
      </c>
      <c r="F995" s="246" t="s">
        <v>93</v>
      </c>
      <c r="G995" s="246" t="s">
        <v>93</v>
      </c>
      <c r="H995" s="246" t="s">
        <v>93</v>
      </c>
      <c r="I995" s="246" t="s">
        <v>90</v>
      </c>
      <c r="J995" s="246" t="s">
        <v>1490</v>
      </c>
      <c r="K995" s="246" t="s">
        <v>486</v>
      </c>
      <c r="L995" s="246" t="s">
        <v>487</v>
      </c>
      <c r="M995" s="246" t="s">
        <v>495</v>
      </c>
      <c r="N995" s="246" t="s">
        <v>495</v>
      </c>
      <c r="O995" s="246" t="s">
        <v>985</v>
      </c>
      <c r="P995" s="246" t="s">
        <v>986</v>
      </c>
      <c r="Q995" s="247">
        <v>10067920</v>
      </c>
      <c r="R995" s="248">
        <v>43494</v>
      </c>
      <c r="S995" s="248">
        <v>43496</v>
      </c>
      <c r="T995" s="248">
        <v>43529</v>
      </c>
      <c r="U995" s="246" t="s">
        <v>488</v>
      </c>
      <c r="V995" s="246">
        <v>2</v>
      </c>
      <c r="W995" s="246" t="s">
        <v>219</v>
      </c>
      <c r="X995" s="246">
        <v>2</v>
      </c>
      <c r="Y995" s="246">
        <v>2</v>
      </c>
      <c r="Z995" s="246">
        <v>2</v>
      </c>
      <c r="AA995" s="246">
        <v>2</v>
      </c>
      <c r="AB995" s="246" t="s">
        <v>486</v>
      </c>
      <c r="AC995" s="246" t="s">
        <v>486</v>
      </c>
      <c r="AD995" s="246" t="s">
        <v>490</v>
      </c>
      <c r="AE995" s="246" t="s">
        <v>486</v>
      </c>
      <c r="AF995" s="246" t="s">
        <v>486</v>
      </c>
      <c r="AG995" s="246" t="s">
        <v>486</v>
      </c>
      <c r="AH995" s="246" t="s">
        <v>486</v>
      </c>
      <c r="AI995" s="246" t="s">
        <v>486</v>
      </c>
      <c r="AJ995" s="246" t="s">
        <v>486</v>
      </c>
      <c r="AK995" s="246" t="s">
        <v>486</v>
      </c>
      <c r="AL995" s="246" t="s">
        <v>491</v>
      </c>
      <c r="AM995" s="246" t="s">
        <v>486</v>
      </c>
      <c r="AN995" s="246" t="s">
        <v>486</v>
      </c>
      <c r="AO995" s="248" t="s">
        <v>486</v>
      </c>
      <c r="AP995" s="247" t="s">
        <v>486</v>
      </c>
      <c r="AQ995" s="249" t="s">
        <v>486</v>
      </c>
      <c r="AR995" s="246" t="s">
        <v>486</v>
      </c>
    </row>
    <row r="996" spans="1:44" ht="15" x14ac:dyDescent="0.25">
      <c r="A996" s="250" t="str">
        <f>HYPERLINK("http://www.ofsted.gov.uk/inspection-reports/find-inspection-report/provider/ELS/145859 ","Ofsted School Webpage")</f>
        <v>Ofsted School Webpage</v>
      </c>
      <c r="B996" s="251">
        <v>145859</v>
      </c>
      <c r="C996" s="251">
        <v>3306041</v>
      </c>
      <c r="D996" s="251" t="s">
        <v>1002</v>
      </c>
      <c r="E996" s="251" t="s">
        <v>248</v>
      </c>
      <c r="F996" s="251" t="s">
        <v>93</v>
      </c>
      <c r="G996" s="251" t="s">
        <v>93</v>
      </c>
      <c r="H996" s="251" t="s">
        <v>93</v>
      </c>
      <c r="I996" s="251" t="s">
        <v>90</v>
      </c>
      <c r="J996" s="251" t="s">
        <v>1490</v>
      </c>
      <c r="K996" s="251" t="s">
        <v>486</v>
      </c>
      <c r="L996" s="251" t="s">
        <v>487</v>
      </c>
      <c r="M996" s="251" t="s">
        <v>502</v>
      </c>
      <c r="N996" s="251" t="s">
        <v>502</v>
      </c>
      <c r="O996" s="251" t="s">
        <v>909</v>
      </c>
      <c r="P996" s="251" t="s">
        <v>1003</v>
      </c>
      <c r="Q996" s="252">
        <v>10083994</v>
      </c>
      <c r="R996" s="253">
        <v>43494</v>
      </c>
      <c r="S996" s="253">
        <v>43496</v>
      </c>
      <c r="T996" s="253">
        <v>43538</v>
      </c>
      <c r="U996" s="251" t="s">
        <v>499</v>
      </c>
      <c r="V996" s="251">
        <v>2</v>
      </c>
      <c r="W996" s="251" t="s">
        <v>219</v>
      </c>
      <c r="X996" s="251">
        <v>2</v>
      </c>
      <c r="Y996" s="251">
        <v>2</v>
      </c>
      <c r="Z996" s="251">
        <v>2</v>
      </c>
      <c r="AA996" s="251">
        <v>2</v>
      </c>
      <c r="AB996" s="251" t="s">
        <v>486</v>
      </c>
      <c r="AC996" s="251" t="s">
        <v>486</v>
      </c>
      <c r="AD996" s="251" t="s">
        <v>490</v>
      </c>
      <c r="AE996" s="251" t="s">
        <v>486</v>
      </c>
      <c r="AF996" s="251" t="s">
        <v>486</v>
      </c>
      <c r="AG996" s="251" t="s">
        <v>486</v>
      </c>
      <c r="AH996" s="251" t="s">
        <v>486</v>
      </c>
      <c r="AI996" s="251" t="s">
        <v>486</v>
      </c>
      <c r="AJ996" s="251" t="s">
        <v>486</v>
      </c>
      <c r="AK996" s="251" t="s">
        <v>486</v>
      </c>
      <c r="AL996" s="251" t="s">
        <v>491</v>
      </c>
      <c r="AM996" s="251" t="s">
        <v>486</v>
      </c>
      <c r="AN996" s="251" t="s">
        <v>486</v>
      </c>
      <c r="AO996" s="253" t="s">
        <v>486</v>
      </c>
      <c r="AP996" s="252" t="s">
        <v>486</v>
      </c>
      <c r="AQ996" s="254" t="s">
        <v>486</v>
      </c>
      <c r="AR996" s="251" t="s">
        <v>486</v>
      </c>
    </row>
    <row r="997" spans="1:44" ht="15" x14ac:dyDescent="0.25">
      <c r="A997" s="245" t="str">
        <f>HYPERLINK("http://www.ofsted.gov.uk/inspection-reports/find-inspection-report/provider/ELS/145949 ","Ofsted School Webpage")</f>
        <v>Ofsted School Webpage</v>
      </c>
      <c r="B997" s="246">
        <v>145949</v>
      </c>
      <c r="C997" s="246">
        <v>8916039</v>
      </c>
      <c r="D997" s="246" t="s">
        <v>1004</v>
      </c>
      <c r="E997" s="246" t="s">
        <v>248</v>
      </c>
      <c r="F997" s="246" t="s">
        <v>93</v>
      </c>
      <c r="G997" s="246" t="s">
        <v>93</v>
      </c>
      <c r="H997" s="246" t="s">
        <v>93</v>
      </c>
      <c r="I997" s="246" t="s">
        <v>90</v>
      </c>
      <c r="J997" s="246" t="s">
        <v>1490</v>
      </c>
      <c r="K997" s="246" t="s">
        <v>486</v>
      </c>
      <c r="L997" s="246" t="s">
        <v>487</v>
      </c>
      <c r="M997" s="246" t="s">
        <v>572</v>
      </c>
      <c r="N997" s="246" t="s">
        <v>572</v>
      </c>
      <c r="O997" s="246" t="s">
        <v>852</v>
      </c>
      <c r="P997" s="246" t="s">
        <v>1005</v>
      </c>
      <c r="Q997" s="247">
        <v>10081421</v>
      </c>
      <c r="R997" s="248">
        <v>43501</v>
      </c>
      <c r="S997" s="248">
        <v>43502</v>
      </c>
      <c r="T997" s="248">
        <v>43535</v>
      </c>
      <c r="U997" s="246" t="s">
        <v>499</v>
      </c>
      <c r="V997" s="246">
        <v>2</v>
      </c>
      <c r="W997" s="246" t="s">
        <v>219</v>
      </c>
      <c r="X997" s="246">
        <v>2</v>
      </c>
      <c r="Y997" s="246">
        <v>2</v>
      </c>
      <c r="Z997" s="246">
        <v>2</v>
      </c>
      <c r="AA997" s="246">
        <v>2</v>
      </c>
      <c r="AB997" s="246" t="s">
        <v>486</v>
      </c>
      <c r="AC997" s="246" t="s">
        <v>486</v>
      </c>
      <c r="AD997" s="246" t="s">
        <v>490</v>
      </c>
      <c r="AE997" s="246" t="s">
        <v>486</v>
      </c>
      <c r="AF997" s="246" t="s">
        <v>486</v>
      </c>
      <c r="AG997" s="246" t="s">
        <v>486</v>
      </c>
      <c r="AH997" s="246" t="s">
        <v>486</v>
      </c>
      <c r="AI997" s="246" t="s">
        <v>486</v>
      </c>
      <c r="AJ997" s="246" t="s">
        <v>486</v>
      </c>
      <c r="AK997" s="246" t="s">
        <v>486</v>
      </c>
      <c r="AL997" s="246" t="s">
        <v>491</v>
      </c>
      <c r="AM997" s="246" t="s">
        <v>486</v>
      </c>
      <c r="AN997" s="246" t="s">
        <v>486</v>
      </c>
      <c r="AO997" s="248" t="s">
        <v>486</v>
      </c>
      <c r="AP997" s="247" t="s">
        <v>486</v>
      </c>
      <c r="AQ997" s="249" t="s">
        <v>486</v>
      </c>
      <c r="AR997" s="246" t="s">
        <v>486</v>
      </c>
    </row>
    <row r="998" spans="1:44" ht="15" x14ac:dyDescent="0.25">
      <c r="A998" s="250" t="str">
        <f>HYPERLINK("http://www.ofsted.gov.uk/inspection-reports/find-inspection-report/provider/ELS/107794 ","Ofsted School Webpage")</f>
        <v>Ofsted School Webpage</v>
      </c>
      <c r="B998" s="251">
        <v>107794</v>
      </c>
      <c r="C998" s="251">
        <v>3826017</v>
      </c>
      <c r="D998" s="251" t="s">
        <v>1023</v>
      </c>
      <c r="E998" s="251" t="s">
        <v>247</v>
      </c>
      <c r="F998" s="251" t="s">
        <v>93</v>
      </c>
      <c r="G998" s="251" t="s">
        <v>84</v>
      </c>
      <c r="H998" s="251" t="s">
        <v>84</v>
      </c>
      <c r="I998" s="251" t="s">
        <v>84</v>
      </c>
      <c r="J998" s="251" t="s">
        <v>1490</v>
      </c>
      <c r="K998" s="251" t="s">
        <v>486</v>
      </c>
      <c r="L998" s="251" t="s">
        <v>487</v>
      </c>
      <c r="M998" s="251" t="s">
        <v>523</v>
      </c>
      <c r="N998" s="251" t="s">
        <v>524</v>
      </c>
      <c r="O998" s="251" t="s">
        <v>767</v>
      </c>
      <c r="P998" s="251" t="s">
        <v>1024</v>
      </c>
      <c r="Q998" s="252">
        <v>10061230</v>
      </c>
      <c r="R998" s="253">
        <v>43501</v>
      </c>
      <c r="S998" s="253">
        <v>43503</v>
      </c>
      <c r="T998" s="253">
        <v>43535</v>
      </c>
      <c r="U998" s="251" t="s">
        <v>488</v>
      </c>
      <c r="V998" s="251">
        <v>2</v>
      </c>
      <c r="W998" s="251" t="s">
        <v>219</v>
      </c>
      <c r="X998" s="251">
        <v>2</v>
      </c>
      <c r="Y998" s="251">
        <v>2</v>
      </c>
      <c r="Z998" s="251">
        <v>2</v>
      </c>
      <c r="AA998" s="251">
        <v>2</v>
      </c>
      <c r="AB998" s="251">
        <v>2</v>
      </c>
      <c r="AC998" s="251" t="s">
        <v>486</v>
      </c>
      <c r="AD998" s="251" t="s">
        <v>512</v>
      </c>
      <c r="AE998" s="251" t="s">
        <v>486</v>
      </c>
      <c r="AF998" s="251" t="s">
        <v>486</v>
      </c>
      <c r="AG998" s="251" t="s">
        <v>486</v>
      </c>
      <c r="AH998" s="251" t="s">
        <v>486</v>
      </c>
      <c r="AI998" s="251" t="s">
        <v>486</v>
      </c>
      <c r="AJ998" s="251" t="s">
        <v>486</v>
      </c>
      <c r="AK998" s="251" t="s">
        <v>486</v>
      </c>
      <c r="AL998" s="251" t="s">
        <v>491</v>
      </c>
      <c r="AM998" s="251" t="s">
        <v>486</v>
      </c>
      <c r="AN998" s="251" t="s">
        <v>486</v>
      </c>
      <c r="AO998" s="253" t="s">
        <v>486</v>
      </c>
      <c r="AP998" s="252" t="s">
        <v>486</v>
      </c>
      <c r="AQ998" s="254" t="s">
        <v>486</v>
      </c>
      <c r="AR998" s="251" t="s">
        <v>486</v>
      </c>
    </row>
    <row r="999" spans="1:44" ht="15" x14ac:dyDescent="0.25">
      <c r="A999" s="245" t="str">
        <f>HYPERLINK("http://www.ofsted.gov.uk/inspection-reports/find-inspection-report/provider/ELS/108109 ","Ofsted School Webpage")</f>
        <v>Ofsted School Webpage</v>
      </c>
      <c r="B999" s="246">
        <v>108109</v>
      </c>
      <c r="C999" s="246">
        <v>3836098</v>
      </c>
      <c r="D999" s="246" t="s">
        <v>1017</v>
      </c>
      <c r="E999" s="246" t="s">
        <v>247</v>
      </c>
      <c r="F999" s="246" t="s">
        <v>93</v>
      </c>
      <c r="G999" s="246" t="s">
        <v>71</v>
      </c>
      <c r="H999" s="246" t="s">
        <v>71</v>
      </c>
      <c r="I999" s="246" t="s">
        <v>71</v>
      </c>
      <c r="J999" s="246" t="s">
        <v>1490</v>
      </c>
      <c r="K999" s="246" t="s">
        <v>486</v>
      </c>
      <c r="L999" s="246" t="s">
        <v>487</v>
      </c>
      <c r="M999" s="246" t="s">
        <v>523</v>
      </c>
      <c r="N999" s="246" t="s">
        <v>524</v>
      </c>
      <c r="O999" s="246" t="s">
        <v>702</v>
      </c>
      <c r="P999" s="246" t="s">
        <v>1018</v>
      </c>
      <c r="Q999" s="247">
        <v>10077924</v>
      </c>
      <c r="R999" s="248">
        <v>43501</v>
      </c>
      <c r="S999" s="248">
        <v>43503</v>
      </c>
      <c r="T999" s="248">
        <v>43531</v>
      </c>
      <c r="U999" s="246" t="s">
        <v>488</v>
      </c>
      <c r="V999" s="246">
        <v>2</v>
      </c>
      <c r="W999" s="246" t="s">
        <v>219</v>
      </c>
      <c r="X999" s="246">
        <v>2</v>
      </c>
      <c r="Y999" s="246">
        <v>1</v>
      </c>
      <c r="Z999" s="246">
        <v>2</v>
      </c>
      <c r="AA999" s="246">
        <v>2</v>
      </c>
      <c r="AB999" s="246">
        <v>2</v>
      </c>
      <c r="AC999" s="246" t="s">
        <v>486</v>
      </c>
      <c r="AD999" s="246" t="s">
        <v>490</v>
      </c>
      <c r="AE999" s="246" t="s">
        <v>486</v>
      </c>
      <c r="AF999" s="246" t="s">
        <v>486</v>
      </c>
      <c r="AG999" s="246" t="s">
        <v>486</v>
      </c>
      <c r="AH999" s="246" t="s">
        <v>486</v>
      </c>
      <c r="AI999" s="246" t="s">
        <v>486</v>
      </c>
      <c r="AJ999" s="246" t="s">
        <v>486</v>
      </c>
      <c r="AK999" s="246" t="s">
        <v>486</v>
      </c>
      <c r="AL999" s="246" t="s">
        <v>491</v>
      </c>
      <c r="AM999" s="246" t="s">
        <v>486</v>
      </c>
      <c r="AN999" s="246" t="s">
        <v>486</v>
      </c>
      <c r="AO999" s="248" t="s">
        <v>486</v>
      </c>
      <c r="AP999" s="247" t="s">
        <v>486</v>
      </c>
      <c r="AQ999" s="249" t="s">
        <v>486</v>
      </c>
      <c r="AR999" s="246" t="s">
        <v>486</v>
      </c>
    </row>
    <row r="1000" spans="1:44" ht="15" x14ac:dyDescent="0.25">
      <c r="A1000" s="250" t="str">
        <f>HYPERLINK("http://www.ofsted.gov.uk/inspection-reports/find-inspection-report/provider/ELS/108307 ","Ofsted School Webpage")</f>
        <v>Ofsted School Webpage</v>
      </c>
      <c r="B1000" s="251">
        <v>108307</v>
      </c>
      <c r="C1000" s="251">
        <v>3846116</v>
      </c>
      <c r="D1000" s="251" t="s">
        <v>1021</v>
      </c>
      <c r="E1000" s="251" t="s">
        <v>247</v>
      </c>
      <c r="F1000" s="251" t="s">
        <v>93</v>
      </c>
      <c r="G1000" s="251" t="s">
        <v>74</v>
      </c>
      <c r="H1000" s="251" t="s">
        <v>74</v>
      </c>
      <c r="I1000" s="251" t="s">
        <v>71</v>
      </c>
      <c r="J1000" s="251" t="s">
        <v>1490</v>
      </c>
      <c r="K1000" s="251" t="s">
        <v>486</v>
      </c>
      <c r="L1000" s="251" t="s">
        <v>487</v>
      </c>
      <c r="M1000" s="251" t="s">
        <v>523</v>
      </c>
      <c r="N1000" s="251" t="s">
        <v>524</v>
      </c>
      <c r="O1000" s="251" t="s">
        <v>525</v>
      </c>
      <c r="P1000" s="251" t="s">
        <v>1022</v>
      </c>
      <c r="Q1000" s="252">
        <v>10061239</v>
      </c>
      <c r="R1000" s="253">
        <v>43501</v>
      </c>
      <c r="S1000" s="253">
        <v>43503</v>
      </c>
      <c r="T1000" s="253">
        <v>43531</v>
      </c>
      <c r="U1000" s="251" t="s">
        <v>488</v>
      </c>
      <c r="V1000" s="251">
        <v>2</v>
      </c>
      <c r="W1000" s="251" t="s">
        <v>219</v>
      </c>
      <c r="X1000" s="251">
        <v>2</v>
      </c>
      <c r="Y1000" s="251">
        <v>1</v>
      </c>
      <c r="Z1000" s="251">
        <v>2</v>
      </c>
      <c r="AA1000" s="251">
        <v>2</v>
      </c>
      <c r="AB1000" s="251">
        <v>2</v>
      </c>
      <c r="AC1000" s="251" t="s">
        <v>486</v>
      </c>
      <c r="AD1000" s="251" t="s">
        <v>490</v>
      </c>
      <c r="AE1000" s="251" t="s">
        <v>486</v>
      </c>
      <c r="AF1000" s="251" t="s">
        <v>486</v>
      </c>
      <c r="AG1000" s="251" t="s">
        <v>486</v>
      </c>
      <c r="AH1000" s="251" t="s">
        <v>486</v>
      </c>
      <c r="AI1000" s="251" t="s">
        <v>486</v>
      </c>
      <c r="AJ1000" s="251" t="s">
        <v>486</v>
      </c>
      <c r="AK1000" s="251" t="s">
        <v>486</v>
      </c>
      <c r="AL1000" s="251" t="s">
        <v>491</v>
      </c>
      <c r="AM1000" s="251" t="s">
        <v>486</v>
      </c>
      <c r="AN1000" s="251" t="s">
        <v>486</v>
      </c>
      <c r="AO1000" s="253" t="s">
        <v>486</v>
      </c>
      <c r="AP1000" s="252" t="s">
        <v>486</v>
      </c>
      <c r="AQ1000" s="254" t="s">
        <v>486</v>
      </c>
      <c r="AR1000" s="251" t="s">
        <v>486</v>
      </c>
    </row>
    <row r="1001" spans="1:44" ht="15" x14ac:dyDescent="0.25">
      <c r="A1001" s="245" t="str">
        <f>HYPERLINK("http://www.ofsted.gov.uk/inspection-reports/find-inspection-report/provider/ELS/130855 ","Ofsted School Webpage")</f>
        <v>Ofsted School Webpage</v>
      </c>
      <c r="B1001" s="246">
        <v>130855</v>
      </c>
      <c r="C1001" s="246">
        <v>9356085</v>
      </c>
      <c r="D1001" s="246" t="s">
        <v>1019</v>
      </c>
      <c r="E1001" s="246" t="s">
        <v>248</v>
      </c>
      <c r="F1001" s="246" t="s">
        <v>93</v>
      </c>
      <c r="G1001" s="246" t="s">
        <v>93</v>
      </c>
      <c r="H1001" s="246" t="s">
        <v>93</v>
      </c>
      <c r="I1001" s="246" t="s">
        <v>90</v>
      </c>
      <c r="J1001" s="246" t="s">
        <v>1490</v>
      </c>
      <c r="K1001" s="246" t="s">
        <v>486</v>
      </c>
      <c r="L1001" s="246" t="s">
        <v>487</v>
      </c>
      <c r="M1001" s="246" t="s">
        <v>516</v>
      </c>
      <c r="N1001" s="246" t="s">
        <v>516</v>
      </c>
      <c r="O1001" s="246" t="s">
        <v>937</v>
      </c>
      <c r="P1001" s="246" t="s">
        <v>1020</v>
      </c>
      <c r="Q1001" s="247">
        <v>10056560</v>
      </c>
      <c r="R1001" s="248">
        <v>43501</v>
      </c>
      <c r="S1001" s="248">
        <v>43503</v>
      </c>
      <c r="T1001" s="248">
        <v>43538</v>
      </c>
      <c r="U1001" s="246" t="s">
        <v>488</v>
      </c>
      <c r="V1001" s="246">
        <v>2</v>
      </c>
      <c r="W1001" s="246" t="s">
        <v>219</v>
      </c>
      <c r="X1001" s="246">
        <v>2</v>
      </c>
      <c r="Y1001" s="246">
        <v>2</v>
      </c>
      <c r="Z1001" s="246">
        <v>2</v>
      </c>
      <c r="AA1001" s="246">
        <v>2</v>
      </c>
      <c r="AB1001" s="246" t="s">
        <v>486</v>
      </c>
      <c r="AC1001" s="246" t="s">
        <v>486</v>
      </c>
      <c r="AD1001" s="246" t="s">
        <v>490</v>
      </c>
      <c r="AE1001" s="246" t="s">
        <v>486</v>
      </c>
      <c r="AF1001" s="246" t="s">
        <v>486</v>
      </c>
      <c r="AG1001" s="246" t="s">
        <v>486</v>
      </c>
      <c r="AH1001" s="246" t="s">
        <v>486</v>
      </c>
      <c r="AI1001" s="246" t="s">
        <v>486</v>
      </c>
      <c r="AJ1001" s="246" t="s">
        <v>486</v>
      </c>
      <c r="AK1001" s="246" t="s">
        <v>486</v>
      </c>
      <c r="AL1001" s="246" t="s">
        <v>491</v>
      </c>
      <c r="AM1001" s="246" t="s">
        <v>486</v>
      </c>
      <c r="AN1001" s="246" t="s">
        <v>486</v>
      </c>
      <c r="AO1001" s="248" t="s">
        <v>486</v>
      </c>
      <c r="AP1001" s="247" t="s">
        <v>486</v>
      </c>
      <c r="AQ1001" s="249" t="s">
        <v>486</v>
      </c>
      <c r="AR1001" s="246" t="s">
        <v>486</v>
      </c>
    </row>
    <row r="1002" spans="1:44" ht="15" x14ac:dyDescent="0.25">
      <c r="A1002" s="250" t="str">
        <f>HYPERLINK("http://www.ofsted.gov.uk/inspection-reports/find-inspection-report/provider/ELS/131551 ","Ofsted School Webpage")</f>
        <v>Ofsted School Webpage</v>
      </c>
      <c r="B1002" s="251">
        <v>131551</v>
      </c>
      <c r="C1002" s="251">
        <v>3566027</v>
      </c>
      <c r="D1002" s="251" t="s">
        <v>1013</v>
      </c>
      <c r="E1002" s="251" t="s">
        <v>248</v>
      </c>
      <c r="F1002" s="251" t="s">
        <v>93</v>
      </c>
      <c r="G1002" s="251" t="s">
        <v>93</v>
      </c>
      <c r="H1002" s="251" t="s">
        <v>93</v>
      </c>
      <c r="I1002" s="251" t="s">
        <v>90</v>
      </c>
      <c r="J1002" s="251" t="s">
        <v>1490</v>
      </c>
      <c r="K1002" s="251" t="s">
        <v>486</v>
      </c>
      <c r="L1002" s="251" t="s">
        <v>487</v>
      </c>
      <c r="M1002" s="251" t="s">
        <v>495</v>
      </c>
      <c r="N1002" s="251" t="s">
        <v>495</v>
      </c>
      <c r="O1002" s="251" t="s">
        <v>934</v>
      </c>
      <c r="P1002" s="251" t="s">
        <v>1014</v>
      </c>
      <c r="Q1002" s="252">
        <v>10067893</v>
      </c>
      <c r="R1002" s="253">
        <v>43501</v>
      </c>
      <c r="S1002" s="253">
        <v>43503</v>
      </c>
      <c r="T1002" s="253">
        <v>43542</v>
      </c>
      <c r="U1002" s="251" t="s">
        <v>488</v>
      </c>
      <c r="V1002" s="251">
        <v>3</v>
      </c>
      <c r="W1002" s="251" t="s">
        <v>219</v>
      </c>
      <c r="X1002" s="251">
        <v>3</v>
      </c>
      <c r="Y1002" s="251">
        <v>2</v>
      </c>
      <c r="Z1002" s="251">
        <v>3</v>
      </c>
      <c r="AA1002" s="251">
        <v>3</v>
      </c>
      <c r="AB1002" s="251" t="s">
        <v>486</v>
      </c>
      <c r="AC1002" s="251" t="s">
        <v>486</v>
      </c>
      <c r="AD1002" s="251" t="s">
        <v>490</v>
      </c>
      <c r="AE1002" s="251" t="s">
        <v>486</v>
      </c>
      <c r="AF1002" s="251" t="s">
        <v>486</v>
      </c>
      <c r="AG1002" s="251" t="s">
        <v>486</v>
      </c>
      <c r="AH1002" s="251" t="s">
        <v>486</v>
      </c>
      <c r="AI1002" s="251" t="s">
        <v>486</v>
      </c>
      <c r="AJ1002" s="251" t="s">
        <v>486</v>
      </c>
      <c r="AK1002" s="251" t="s">
        <v>486</v>
      </c>
      <c r="AL1002" s="251" t="s">
        <v>491</v>
      </c>
      <c r="AM1002" s="251" t="s">
        <v>486</v>
      </c>
      <c r="AN1002" s="251" t="s">
        <v>486</v>
      </c>
      <c r="AO1002" s="253" t="s">
        <v>486</v>
      </c>
      <c r="AP1002" s="252" t="s">
        <v>486</v>
      </c>
      <c r="AQ1002" s="254" t="s">
        <v>486</v>
      </c>
      <c r="AR1002" s="251" t="s">
        <v>486</v>
      </c>
    </row>
    <row r="1003" spans="1:44" ht="15" x14ac:dyDescent="0.25">
      <c r="A1003" s="245" t="str">
        <f>HYPERLINK("http://www.ofsted.gov.uk/inspection-reports/find-inspection-report/provider/ELS/133989 ","Ofsted School Webpage")</f>
        <v>Ofsted School Webpage</v>
      </c>
      <c r="B1003" s="246">
        <v>133989</v>
      </c>
      <c r="C1003" s="246">
        <v>8606026</v>
      </c>
      <c r="D1003" s="246" t="s">
        <v>1027</v>
      </c>
      <c r="E1003" s="246" t="s">
        <v>248</v>
      </c>
      <c r="F1003" s="246" t="s">
        <v>93</v>
      </c>
      <c r="G1003" s="246" t="s">
        <v>93</v>
      </c>
      <c r="H1003" s="246" t="s">
        <v>93</v>
      </c>
      <c r="I1003" s="246" t="s">
        <v>90</v>
      </c>
      <c r="J1003" s="246" t="s">
        <v>1490</v>
      </c>
      <c r="K1003" s="246" t="s">
        <v>486</v>
      </c>
      <c r="L1003" s="246" t="s">
        <v>487</v>
      </c>
      <c r="M1003" s="246" t="s">
        <v>502</v>
      </c>
      <c r="N1003" s="246" t="s">
        <v>502</v>
      </c>
      <c r="O1003" s="246" t="s">
        <v>652</v>
      </c>
      <c r="P1003" s="246" t="s">
        <v>1028</v>
      </c>
      <c r="Q1003" s="247">
        <v>10056215</v>
      </c>
      <c r="R1003" s="248">
        <v>43501</v>
      </c>
      <c r="S1003" s="248">
        <v>43503</v>
      </c>
      <c r="T1003" s="248">
        <v>43534</v>
      </c>
      <c r="U1003" s="246" t="s">
        <v>488</v>
      </c>
      <c r="V1003" s="246">
        <v>2</v>
      </c>
      <c r="W1003" s="246" t="s">
        <v>219</v>
      </c>
      <c r="X1003" s="246">
        <v>2</v>
      </c>
      <c r="Y1003" s="246">
        <v>2</v>
      </c>
      <c r="Z1003" s="246">
        <v>2</v>
      </c>
      <c r="AA1003" s="246">
        <v>2</v>
      </c>
      <c r="AB1003" s="246" t="s">
        <v>486</v>
      </c>
      <c r="AC1003" s="246" t="s">
        <v>486</v>
      </c>
      <c r="AD1003" s="246" t="s">
        <v>490</v>
      </c>
      <c r="AE1003" s="246" t="s">
        <v>486</v>
      </c>
      <c r="AF1003" s="246" t="s">
        <v>486</v>
      </c>
      <c r="AG1003" s="246" t="s">
        <v>486</v>
      </c>
      <c r="AH1003" s="246" t="s">
        <v>486</v>
      </c>
      <c r="AI1003" s="246" t="s">
        <v>486</v>
      </c>
      <c r="AJ1003" s="246" t="s">
        <v>486</v>
      </c>
      <c r="AK1003" s="246" t="s">
        <v>486</v>
      </c>
      <c r="AL1003" s="246" t="s">
        <v>491</v>
      </c>
      <c r="AM1003" s="246" t="s">
        <v>486</v>
      </c>
      <c r="AN1003" s="246" t="s">
        <v>486</v>
      </c>
      <c r="AO1003" s="248" t="s">
        <v>486</v>
      </c>
      <c r="AP1003" s="247" t="s">
        <v>486</v>
      </c>
      <c r="AQ1003" s="249" t="s">
        <v>486</v>
      </c>
      <c r="AR1003" s="246" t="s">
        <v>486</v>
      </c>
    </row>
    <row r="1004" spans="1:44" ht="15" x14ac:dyDescent="0.25">
      <c r="A1004" s="250" t="str">
        <f>HYPERLINK("http://www.ofsted.gov.uk/inspection-reports/find-inspection-report/provider/ELS/134422 ","Ofsted School Webpage")</f>
        <v>Ofsted School Webpage</v>
      </c>
      <c r="B1004" s="251">
        <v>134422</v>
      </c>
      <c r="C1004" s="251">
        <v>3366024</v>
      </c>
      <c r="D1004" s="251" t="s">
        <v>1025</v>
      </c>
      <c r="E1004" s="251" t="s">
        <v>247</v>
      </c>
      <c r="F1004" s="251" t="s">
        <v>84</v>
      </c>
      <c r="G1004" s="251" t="s">
        <v>84</v>
      </c>
      <c r="H1004" s="251" t="s">
        <v>84</v>
      </c>
      <c r="I1004" s="251" t="s">
        <v>84</v>
      </c>
      <c r="J1004" s="251" t="s">
        <v>1490</v>
      </c>
      <c r="K1004" s="251" t="s">
        <v>486</v>
      </c>
      <c r="L1004" s="251" t="s">
        <v>487</v>
      </c>
      <c r="M1004" s="251" t="s">
        <v>502</v>
      </c>
      <c r="N1004" s="251" t="s">
        <v>502</v>
      </c>
      <c r="O1004" s="251" t="s">
        <v>569</v>
      </c>
      <c r="P1004" s="251" t="s">
        <v>1026</v>
      </c>
      <c r="Q1004" s="252">
        <v>10056217</v>
      </c>
      <c r="R1004" s="253">
        <v>43501</v>
      </c>
      <c r="S1004" s="253">
        <v>43503</v>
      </c>
      <c r="T1004" s="253">
        <v>43531</v>
      </c>
      <c r="U1004" s="251" t="s">
        <v>488</v>
      </c>
      <c r="V1004" s="251">
        <v>4</v>
      </c>
      <c r="W1004" s="251" t="s">
        <v>220</v>
      </c>
      <c r="X1004" s="251">
        <v>4</v>
      </c>
      <c r="Y1004" s="251">
        <v>3</v>
      </c>
      <c r="Z1004" s="251">
        <v>3</v>
      </c>
      <c r="AA1004" s="251">
        <v>3</v>
      </c>
      <c r="AB1004" s="251">
        <v>3</v>
      </c>
      <c r="AC1004" s="251" t="s">
        <v>486</v>
      </c>
      <c r="AD1004" s="251" t="s">
        <v>490</v>
      </c>
      <c r="AE1004" s="251" t="s">
        <v>486</v>
      </c>
      <c r="AF1004" s="251" t="s">
        <v>486</v>
      </c>
      <c r="AG1004" s="251" t="s">
        <v>486</v>
      </c>
      <c r="AH1004" s="251" t="s">
        <v>486</v>
      </c>
      <c r="AI1004" s="251" t="s">
        <v>486</v>
      </c>
      <c r="AJ1004" s="251" t="s">
        <v>486</v>
      </c>
      <c r="AK1004" s="251" t="s">
        <v>486</v>
      </c>
      <c r="AL1004" s="251" t="s">
        <v>545</v>
      </c>
      <c r="AM1004" s="251" t="s">
        <v>486</v>
      </c>
      <c r="AN1004" s="251" t="s">
        <v>486</v>
      </c>
      <c r="AO1004" s="253" t="s">
        <v>486</v>
      </c>
      <c r="AP1004" s="252" t="s">
        <v>486</v>
      </c>
      <c r="AQ1004" s="254" t="s">
        <v>486</v>
      </c>
      <c r="AR1004" s="251" t="s">
        <v>486</v>
      </c>
    </row>
    <row r="1005" spans="1:44" ht="15" x14ac:dyDescent="0.25">
      <c r="A1005" s="245" t="str">
        <f>HYPERLINK("http://www.ofsted.gov.uk/inspection-reports/find-inspection-report/provider/ELS/135683 ","Ofsted School Webpage")</f>
        <v>Ofsted School Webpage</v>
      </c>
      <c r="B1005" s="246">
        <v>135683</v>
      </c>
      <c r="C1005" s="246">
        <v>3096002</v>
      </c>
      <c r="D1005" s="246" t="s">
        <v>1029</v>
      </c>
      <c r="E1005" s="246" t="s">
        <v>248</v>
      </c>
      <c r="F1005" s="246" t="s">
        <v>93</v>
      </c>
      <c r="G1005" s="246" t="s">
        <v>93</v>
      </c>
      <c r="H1005" s="246" t="s">
        <v>93</v>
      </c>
      <c r="I1005" s="246" t="s">
        <v>90</v>
      </c>
      <c r="J1005" s="246" t="s">
        <v>1490</v>
      </c>
      <c r="K1005" s="246" t="s">
        <v>486</v>
      </c>
      <c r="L1005" s="246" t="s">
        <v>487</v>
      </c>
      <c r="M1005" s="246" t="s">
        <v>506</v>
      </c>
      <c r="N1005" s="246" t="s">
        <v>506</v>
      </c>
      <c r="O1005" s="246" t="s">
        <v>595</v>
      </c>
      <c r="P1005" s="246" t="s">
        <v>1030</v>
      </c>
      <c r="Q1005" s="247">
        <v>10067177</v>
      </c>
      <c r="R1005" s="248">
        <v>43501</v>
      </c>
      <c r="S1005" s="248">
        <v>43503</v>
      </c>
      <c r="T1005" s="248">
        <v>43530</v>
      </c>
      <c r="U1005" s="246" t="s">
        <v>488</v>
      </c>
      <c r="V1005" s="246">
        <v>2</v>
      </c>
      <c r="W1005" s="246" t="s">
        <v>219</v>
      </c>
      <c r="X1005" s="246">
        <v>2</v>
      </c>
      <c r="Y1005" s="246">
        <v>2</v>
      </c>
      <c r="Z1005" s="246">
        <v>2</v>
      </c>
      <c r="AA1005" s="246">
        <v>2</v>
      </c>
      <c r="AB1005" s="246" t="s">
        <v>486</v>
      </c>
      <c r="AC1005" s="246" t="s">
        <v>486</v>
      </c>
      <c r="AD1005" s="246" t="s">
        <v>490</v>
      </c>
      <c r="AE1005" s="246" t="s">
        <v>486</v>
      </c>
      <c r="AF1005" s="246" t="s">
        <v>486</v>
      </c>
      <c r="AG1005" s="246" t="s">
        <v>486</v>
      </c>
      <c r="AH1005" s="246" t="s">
        <v>486</v>
      </c>
      <c r="AI1005" s="246" t="s">
        <v>486</v>
      </c>
      <c r="AJ1005" s="246" t="s">
        <v>486</v>
      </c>
      <c r="AK1005" s="246" t="s">
        <v>486</v>
      </c>
      <c r="AL1005" s="246" t="s">
        <v>491</v>
      </c>
      <c r="AM1005" s="246" t="s">
        <v>486</v>
      </c>
      <c r="AN1005" s="246" t="s">
        <v>486</v>
      </c>
      <c r="AO1005" s="248" t="s">
        <v>486</v>
      </c>
      <c r="AP1005" s="247" t="s">
        <v>486</v>
      </c>
      <c r="AQ1005" s="249" t="s">
        <v>486</v>
      </c>
      <c r="AR1005" s="246" t="s">
        <v>486</v>
      </c>
    </row>
    <row r="1006" spans="1:44" ht="15" x14ac:dyDescent="0.25">
      <c r="A1006" s="250" t="str">
        <f>HYPERLINK("http://www.ofsted.gov.uk/inspection-reports/find-inspection-report/provider/ELS/135975 ","Ofsted School Webpage")</f>
        <v>Ofsted School Webpage</v>
      </c>
      <c r="B1006" s="251">
        <v>135975</v>
      </c>
      <c r="C1006" s="251">
        <v>3576003</v>
      </c>
      <c r="D1006" s="251" t="s">
        <v>1007</v>
      </c>
      <c r="E1006" s="251" t="s">
        <v>247</v>
      </c>
      <c r="F1006" s="251" t="s">
        <v>93</v>
      </c>
      <c r="G1006" s="251" t="s">
        <v>93</v>
      </c>
      <c r="H1006" s="251" t="s">
        <v>93</v>
      </c>
      <c r="I1006" s="251" t="s">
        <v>90</v>
      </c>
      <c r="J1006" s="251" t="s">
        <v>1490</v>
      </c>
      <c r="K1006" s="251" t="s">
        <v>486</v>
      </c>
      <c r="L1006" s="251" t="s">
        <v>487</v>
      </c>
      <c r="M1006" s="251" t="s">
        <v>495</v>
      </c>
      <c r="N1006" s="251" t="s">
        <v>495</v>
      </c>
      <c r="O1006" s="251" t="s">
        <v>834</v>
      </c>
      <c r="P1006" s="251" t="s">
        <v>1008</v>
      </c>
      <c r="Q1006" s="252">
        <v>10067904</v>
      </c>
      <c r="R1006" s="253">
        <v>43501</v>
      </c>
      <c r="S1006" s="253">
        <v>43503</v>
      </c>
      <c r="T1006" s="253">
        <v>43528</v>
      </c>
      <c r="U1006" s="251" t="s">
        <v>488</v>
      </c>
      <c r="V1006" s="251">
        <v>2</v>
      </c>
      <c r="W1006" s="251" t="s">
        <v>219</v>
      </c>
      <c r="X1006" s="251">
        <v>2</v>
      </c>
      <c r="Y1006" s="251">
        <v>1</v>
      </c>
      <c r="Z1006" s="251">
        <v>2</v>
      </c>
      <c r="AA1006" s="251">
        <v>2</v>
      </c>
      <c r="AB1006" s="251" t="s">
        <v>486</v>
      </c>
      <c r="AC1006" s="251" t="s">
        <v>486</v>
      </c>
      <c r="AD1006" s="251" t="s">
        <v>490</v>
      </c>
      <c r="AE1006" s="251" t="s">
        <v>486</v>
      </c>
      <c r="AF1006" s="251" t="s">
        <v>486</v>
      </c>
      <c r="AG1006" s="251" t="s">
        <v>486</v>
      </c>
      <c r="AH1006" s="251" t="s">
        <v>486</v>
      </c>
      <c r="AI1006" s="251" t="s">
        <v>486</v>
      </c>
      <c r="AJ1006" s="251" t="s">
        <v>486</v>
      </c>
      <c r="AK1006" s="251" t="s">
        <v>486</v>
      </c>
      <c r="AL1006" s="251" t="s">
        <v>491</v>
      </c>
      <c r="AM1006" s="251" t="s">
        <v>486</v>
      </c>
      <c r="AN1006" s="251" t="s">
        <v>486</v>
      </c>
      <c r="AO1006" s="253" t="s">
        <v>486</v>
      </c>
      <c r="AP1006" s="252" t="s">
        <v>486</v>
      </c>
      <c r="AQ1006" s="254" t="s">
        <v>486</v>
      </c>
      <c r="AR1006" s="251" t="s">
        <v>486</v>
      </c>
    </row>
    <row r="1007" spans="1:44" ht="15" x14ac:dyDescent="0.25">
      <c r="A1007" s="245" t="str">
        <f>HYPERLINK("http://www.ofsted.gov.uk/inspection-reports/find-inspection-report/provider/ELS/138516 ","Ofsted School Webpage")</f>
        <v>Ofsted School Webpage</v>
      </c>
      <c r="B1007" s="246">
        <v>138516</v>
      </c>
      <c r="C1007" s="246">
        <v>2046006</v>
      </c>
      <c r="D1007" s="246" t="s">
        <v>1006</v>
      </c>
      <c r="E1007" s="246" t="s">
        <v>247</v>
      </c>
      <c r="F1007" s="246" t="s">
        <v>82</v>
      </c>
      <c r="G1007" s="246" t="s">
        <v>81</v>
      </c>
      <c r="H1007" s="246" t="s">
        <v>82</v>
      </c>
      <c r="I1007" s="246" t="s">
        <v>81</v>
      </c>
      <c r="J1007" s="246" t="s">
        <v>1490</v>
      </c>
      <c r="K1007" s="246" t="s">
        <v>486</v>
      </c>
      <c r="L1007" s="246" t="s">
        <v>487</v>
      </c>
      <c r="M1007" s="246" t="s">
        <v>506</v>
      </c>
      <c r="N1007" s="246" t="s">
        <v>506</v>
      </c>
      <c r="O1007" s="246" t="s">
        <v>617</v>
      </c>
      <c r="P1007" s="246" t="s">
        <v>705</v>
      </c>
      <c r="Q1007" s="247">
        <v>10068030</v>
      </c>
      <c r="R1007" s="248">
        <v>43501</v>
      </c>
      <c r="S1007" s="248">
        <v>43503</v>
      </c>
      <c r="T1007" s="248">
        <v>43542</v>
      </c>
      <c r="U1007" s="246" t="s">
        <v>488</v>
      </c>
      <c r="V1007" s="246">
        <v>2</v>
      </c>
      <c r="W1007" s="246" t="s">
        <v>219</v>
      </c>
      <c r="X1007" s="246">
        <v>2</v>
      </c>
      <c r="Y1007" s="246">
        <v>2</v>
      </c>
      <c r="Z1007" s="246">
        <v>2</v>
      </c>
      <c r="AA1007" s="246">
        <v>2</v>
      </c>
      <c r="AB1007" s="246">
        <v>2</v>
      </c>
      <c r="AC1007" s="246" t="s">
        <v>486</v>
      </c>
      <c r="AD1007" s="246" t="s">
        <v>512</v>
      </c>
      <c r="AE1007" s="246" t="s">
        <v>486</v>
      </c>
      <c r="AF1007" s="246" t="s">
        <v>486</v>
      </c>
      <c r="AG1007" s="246" t="s">
        <v>490</v>
      </c>
      <c r="AH1007" s="246" t="s">
        <v>490</v>
      </c>
      <c r="AI1007" s="246" t="s">
        <v>486</v>
      </c>
      <c r="AJ1007" s="246" t="s">
        <v>486</v>
      </c>
      <c r="AK1007" s="246" t="s">
        <v>486</v>
      </c>
      <c r="AL1007" s="246" t="s">
        <v>491</v>
      </c>
      <c r="AM1007" s="246" t="s">
        <v>486</v>
      </c>
      <c r="AN1007" s="246" t="s">
        <v>486</v>
      </c>
      <c r="AO1007" s="248" t="s">
        <v>486</v>
      </c>
      <c r="AP1007" s="247" t="s">
        <v>486</v>
      </c>
      <c r="AQ1007" s="249" t="s">
        <v>486</v>
      </c>
      <c r="AR1007" s="246" t="s">
        <v>486</v>
      </c>
    </row>
    <row r="1008" spans="1:44" ht="15" x14ac:dyDescent="0.25">
      <c r="A1008" s="250" t="str">
        <f>HYPERLINK("http://www.ofsted.gov.uk/inspection-reports/find-inspection-report/provider/ELS/140038 ","Ofsted School Webpage")</f>
        <v>Ofsted School Webpage</v>
      </c>
      <c r="B1008" s="251">
        <v>140038</v>
      </c>
      <c r="C1008" s="251">
        <v>3836001</v>
      </c>
      <c r="D1008" s="251" t="s">
        <v>1011</v>
      </c>
      <c r="E1008" s="251" t="s">
        <v>247</v>
      </c>
      <c r="F1008" s="251" t="s">
        <v>71</v>
      </c>
      <c r="G1008" s="251" t="s">
        <v>71</v>
      </c>
      <c r="H1008" s="251" t="s">
        <v>71</v>
      </c>
      <c r="I1008" s="251" t="s">
        <v>71</v>
      </c>
      <c r="J1008" s="251" t="s">
        <v>1490</v>
      </c>
      <c r="K1008" s="251" t="s">
        <v>486</v>
      </c>
      <c r="L1008" s="251" t="s">
        <v>487</v>
      </c>
      <c r="M1008" s="251" t="s">
        <v>523</v>
      </c>
      <c r="N1008" s="251" t="s">
        <v>524</v>
      </c>
      <c r="O1008" s="251" t="s">
        <v>702</v>
      </c>
      <c r="P1008" s="251" t="s">
        <v>1012</v>
      </c>
      <c r="Q1008" s="252">
        <v>10061280</v>
      </c>
      <c r="R1008" s="253">
        <v>43501</v>
      </c>
      <c r="S1008" s="253">
        <v>43503</v>
      </c>
      <c r="T1008" s="253">
        <v>43538</v>
      </c>
      <c r="U1008" s="251" t="s">
        <v>488</v>
      </c>
      <c r="V1008" s="251">
        <v>2</v>
      </c>
      <c r="W1008" s="251" t="s">
        <v>219</v>
      </c>
      <c r="X1008" s="251">
        <v>2</v>
      </c>
      <c r="Y1008" s="251">
        <v>1</v>
      </c>
      <c r="Z1008" s="251">
        <v>2</v>
      </c>
      <c r="AA1008" s="251">
        <v>2</v>
      </c>
      <c r="AB1008" s="251">
        <v>2</v>
      </c>
      <c r="AC1008" s="251" t="s">
        <v>486</v>
      </c>
      <c r="AD1008" s="251" t="s">
        <v>490</v>
      </c>
      <c r="AE1008" s="251" t="s">
        <v>486</v>
      </c>
      <c r="AF1008" s="251" t="s">
        <v>486</v>
      </c>
      <c r="AG1008" s="251" t="s">
        <v>486</v>
      </c>
      <c r="AH1008" s="251" t="s">
        <v>486</v>
      </c>
      <c r="AI1008" s="251" t="s">
        <v>486</v>
      </c>
      <c r="AJ1008" s="251" t="s">
        <v>486</v>
      </c>
      <c r="AK1008" s="251" t="s">
        <v>486</v>
      </c>
      <c r="AL1008" s="251" t="s">
        <v>491</v>
      </c>
      <c r="AM1008" s="251" t="s">
        <v>486</v>
      </c>
      <c r="AN1008" s="251" t="s">
        <v>486</v>
      </c>
      <c r="AO1008" s="253" t="s">
        <v>486</v>
      </c>
      <c r="AP1008" s="252" t="s">
        <v>486</v>
      </c>
      <c r="AQ1008" s="254" t="s">
        <v>486</v>
      </c>
      <c r="AR1008" s="251" t="s">
        <v>486</v>
      </c>
    </row>
    <row r="1009" spans="1:44" ht="15" x14ac:dyDescent="0.25">
      <c r="A1009" s="245" t="str">
        <f>HYPERLINK("http://www.ofsted.gov.uk/inspection-reports/find-inspection-report/provider/ELS/145417 ","Ofsted School Webpage")</f>
        <v>Ofsted School Webpage</v>
      </c>
      <c r="B1009" s="246">
        <v>145417</v>
      </c>
      <c r="C1009" s="246">
        <v>3306036</v>
      </c>
      <c r="D1009" s="246" t="s">
        <v>1009</v>
      </c>
      <c r="E1009" s="246" t="s">
        <v>247</v>
      </c>
      <c r="F1009" s="246" t="s">
        <v>93</v>
      </c>
      <c r="G1009" s="246" t="s">
        <v>93</v>
      </c>
      <c r="H1009" s="246" t="s">
        <v>93</v>
      </c>
      <c r="I1009" s="246" t="s">
        <v>90</v>
      </c>
      <c r="J1009" s="246" t="s">
        <v>1490</v>
      </c>
      <c r="K1009" s="246" t="s">
        <v>486</v>
      </c>
      <c r="L1009" s="246" t="s">
        <v>487</v>
      </c>
      <c r="M1009" s="246" t="s">
        <v>502</v>
      </c>
      <c r="N1009" s="246" t="s">
        <v>502</v>
      </c>
      <c r="O1009" s="246" t="s">
        <v>909</v>
      </c>
      <c r="P1009" s="246" t="s">
        <v>1010</v>
      </c>
      <c r="Q1009" s="247">
        <v>10082350</v>
      </c>
      <c r="R1009" s="248">
        <v>43501</v>
      </c>
      <c r="S1009" s="248">
        <v>43503</v>
      </c>
      <c r="T1009" s="248">
        <v>43535</v>
      </c>
      <c r="U1009" s="246" t="s">
        <v>499</v>
      </c>
      <c r="V1009" s="246">
        <v>2</v>
      </c>
      <c r="W1009" s="246" t="s">
        <v>219</v>
      </c>
      <c r="X1009" s="246">
        <v>2</v>
      </c>
      <c r="Y1009" s="246">
        <v>2</v>
      </c>
      <c r="Z1009" s="246">
        <v>2</v>
      </c>
      <c r="AA1009" s="246">
        <v>2</v>
      </c>
      <c r="AB1009" s="246" t="s">
        <v>486</v>
      </c>
      <c r="AC1009" s="246" t="s">
        <v>486</v>
      </c>
      <c r="AD1009" s="246" t="s">
        <v>490</v>
      </c>
      <c r="AE1009" s="246" t="s">
        <v>486</v>
      </c>
      <c r="AF1009" s="246" t="s">
        <v>486</v>
      </c>
      <c r="AG1009" s="246" t="s">
        <v>486</v>
      </c>
      <c r="AH1009" s="246" t="s">
        <v>486</v>
      </c>
      <c r="AI1009" s="246" t="s">
        <v>486</v>
      </c>
      <c r="AJ1009" s="246" t="s">
        <v>486</v>
      </c>
      <c r="AK1009" s="246" t="s">
        <v>486</v>
      </c>
      <c r="AL1009" s="246" t="s">
        <v>491</v>
      </c>
      <c r="AM1009" s="246" t="s">
        <v>486</v>
      </c>
      <c r="AN1009" s="246" t="s">
        <v>486</v>
      </c>
      <c r="AO1009" s="248" t="s">
        <v>486</v>
      </c>
      <c r="AP1009" s="247" t="s">
        <v>486</v>
      </c>
      <c r="AQ1009" s="249" t="s">
        <v>486</v>
      </c>
      <c r="AR1009" s="246" t="s">
        <v>486</v>
      </c>
    </row>
    <row r="1010" spans="1:44" ht="15" x14ac:dyDescent="0.25">
      <c r="A1010" s="250" t="str">
        <f>HYPERLINK("http://www.ofsted.gov.uk/inspection-reports/find-inspection-report/provider/ELS/145849 ","Ofsted School Webpage")</f>
        <v>Ofsted School Webpage</v>
      </c>
      <c r="B1010" s="251">
        <v>145849</v>
      </c>
      <c r="C1010" s="251">
        <v>3046007</v>
      </c>
      <c r="D1010" s="251" t="s">
        <v>1015</v>
      </c>
      <c r="E1010" s="251" t="s">
        <v>248</v>
      </c>
      <c r="F1010" s="251" t="s">
        <v>93</v>
      </c>
      <c r="G1010" s="251" t="s">
        <v>93</v>
      </c>
      <c r="H1010" s="251" t="s">
        <v>93</v>
      </c>
      <c r="I1010" s="251" t="s">
        <v>90</v>
      </c>
      <c r="J1010" s="251" t="s">
        <v>1490</v>
      </c>
      <c r="K1010" s="251" t="s">
        <v>486</v>
      </c>
      <c r="L1010" s="251" t="s">
        <v>487</v>
      </c>
      <c r="M1010" s="251" t="s">
        <v>506</v>
      </c>
      <c r="N1010" s="251" t="s">
        <v>506</v>
      </c>
      <c r="O1010" s="251" t="s">
        <v>543</v>
      </c>
      <c r="P1010" s="251" t="s">
        <v>1016</v>
      </c>
      <c r="Q1010" s="252">
        <v>10067221</v>
      </c>
      <c r="R1010" s="253">
        <v>43501</v>
      </c>
      <c r="S1010" s="253">
        <v>43503</v>
      </c>
      <c r="T1010" s="253">
        <v>43538</v>
      </c>
      <c r="U1010" s="251" t="s">
        <v>499</v>
      </c>
      <c r="V1010" s="251">
        <v>2</v>
      </c>
      <c r="W1010" s="251" t="s">
        <v>219</v>
      </c>
      <c r="X1010" s="251">
        <v>2</v>
      </c>
      <c r="Y1010" s="251">
        <v>2</v>
      </c>
      <c r="Z1010" s="251">
        <v>2</v>
      </c>
      <c r="AA1010" s="251">
        <v>2</v>
      </c>
      <c r="AB1010" s="251" t="s">
        <v>486</v>
      </c>
      <c r="AC1010" s="251" t="s">
        <v>486</v>
      </c>
      <c r="AD1010" s="251" t="s">
        <v>490</v>
      </c>
      <c r="AE1010" s="251" t="s">
        <v>486</v>
      </c>
      <c r="AF1010" s="251" t="s">
        <v>486</v>
      </c>
      <c r="AG1010" s="251" t="s">
        <v>486</v>
      </c>
      <c r="AH1010" s="251" t="s">
        <v>486</v>
      </c>
      <c r="AI1010" s="251" t="s">
        <v>486</v>
      </c>
      <c r="AJ1010" s="251" t="s">
        <v>486</v>
      </c>
      <c r="AK1010" s="251" t="s">
        <v>486</v>
      </c>
      <c r="AL1010" s="251" t="s">
        <v>491</v>
      </c>
      <c r="AM1010" s="251" t="s">
        <v>486</v>
      </c>
      <c r="AN1010" s="251" t="s">
        <v>486</v>
      </c>
      <c r="AO1010" s="253" t="s">
        <v>486</v>
      </c>
      <c r="AP1010" s="252" t="s">
        <v>486</v>
      </c>
      <c r="AQ1010" s="254" t="s">
        <v>486</v>
      </c>
      <c r="AR1010" s="251" t="s">
        <v>486</v>
      </c>
    </row>
    <row r="1011" spans="1:44" ht="15" x14ac:dyDescent="0.25">
      <c r="A1011" s="245" t="str">
        <f>HYPERLINK("http://www.ofsted.gov.uk/inspection-reports/find-inspection-report/provider/ELS/131127 ","Ofsted School Webpage")</f>
        <v>Ofsted School Webpage</v>
      </c>
      <c r="B1011" s="246">
        <v>131127</v>
      </c>
      <c r="C1011" s="246">
        <v>8466020</v>
      </c>
      <c r="D1011" s="246" t="s">
        <v>1031</v>
      </c>
      <c r="E1011" s="246" t="s">
        <v>247</v>
      </c>
      <c r="F1011" s="246" t="s">
        <v>93</v>
      </c>
      <c r="G1011" s="246" t="s">
        <v>93</v>
      </c>
      <c r="H1011" s="246" t="s">
        <v>93</v>
      </c>
      <c r="I1011" s="246" t="s">
        <v>90</v>
      </c>
      <c r="J1011" s="246" t="s">
        <v>1490</v>
      </c>
      <c r="K1011" s="246" t="s">
        <v>486</v>
      </c>
      <c r="L1011" s="246" t="s">
        <v>487</v>
      </c>
      <c r="M1011" s="246" t="s">
        <v>581</v>
      </c>
      <c r="N1011" s="246" t="s">
        <v>581</v>
      </c>
      <c r="O1011" s="246" t="s">
        <v>924</v>
      </c>
      <c r="P1011" s="246" t="s">
        <v>1032</v>
      </c>
      <c r="Q1011" s="247">
        <v>10056674</v>
      </c>
      <c r="R1011" s="248">
        <v>43502</v>
      </c>
      <c r="S1011" s="248">
        <v>43504</v>
      </c>
      <c r="T1011" s="248">
        <v>43528</v>
      </c>
      <c r="U1011" s="246" t="s">
        <v>488</v>
      </c>
      <c r="V1011" s="246">
        <v>2</v>
      </c>
      <c r="W1011" s="246" t="s">
        <v>219</v>
      </c>
      <c r="X1011" s="246">
        <v>2</v>
      </c>
      <c r="Y1011" s="246">
        <v>2</v>
      </c>
      <c r="Z1011" s="246">
        <v>2</v>
      </c>
      <c r="AA1011" s="246">
        <v>2</v>
      </c>
      <c r="AB1011" s="246" t="s">
        <v>486</v>
      </c>
      <c r="AC1011" s="246" t="s">
        <v>486</v>
      </c>
      <c r="AD1011" s="246" t="s">
        <v>490</v>
      </c>
      <c r="AE1011" s="246" t="s">
        <v>486</v>
      </c>
      <c r="AF1011" s="246" t="s">
        <v>486</v>
      </c>
      <c r="AG1011" s="246" t="s">
        <v>486</v>
      </c>
      <c r="AH1011" s="246" t="s">
        <v>486</v>
      </c>
      <c r="AI1011" s="246" t="s">
        <v>486</v>
      </c>
      <c r="AJ1011" s="246" t="s">
        <v>486</v>
      </c>
      <c r="AK1011" s="246" t="s">
        <v>486</v>
      </c>
      <c r="AL1011" s="246" t="s">
        <v>491</v>
      </c>
      <c r="AM1011" s="246" t="s">
        <v>486</v>
      </c>
      <c r="AN1011" s="246" t="s">
        <v>486</v>
      </c>
      <c r="AO1011" s="248" t="s">
        <v>486</v>
      </c>
      <c r="AP1011" s="247" t="s">
        <v>486</v>
      </c>
      <c r="AQ1011" s="249" t="s">
        <v>486</v>
      </c>
      <c r="AR1011" s="246" t="s">
        <v>486</v>
      </c>
    </row>
    <row r="1012" spans="1:44" ht="15" x14ac:dyDescent="0.25">
      <c r="A1012" s="250" t="str">
        <f>HYPERLINK("http://www.ofsted.gov.uk/inspection-reports/find-inspection-report/provider/ELS/102948 ","Ofsted School Webpage")</f>
        <v>Ofsted School Webpage</v>
      </c>
      <c r="B1012" s="251">
        <v>102948</v>
      </c>
      <c r="C1012" s="251">
        <v>3186076</v>
      </c>
      <c r="D1012" s="251" t="s">
        <v>1039</v>
      </c>
      <c r="E1012" s="251" t="s">
        <v>247</v>
      </c>
      <c r="F1012" s="251" t="s">
        <v>93</v>
      </c>
      <c r="G1012" s="251" t="s">
        <v>93</v>
      </c>
      <c r="H1012" s="251" t="s">
        <v>93</v>
      </c>
      <c r="I1012" s="251" t="s">
        <v>90</v>
      </c>
      <c r="J1012" s="251" t="s">
        <v>1490</v>
      </c>
      <c r="K1012" s="251" t="s">
        <v>486</v>
      </c>
      <c r="L1012" s="251" t="s">
        <v>487</v>
      </c>
      <c r="M1012" s="251" t="s">
        <v>506</v>
      </c>
      <c r="N1012" s="251" t="s">
        <v>506</v>
      </c>
      <c r="O1012" s="251" t="s">
        <v>1040</v>
      </c>
      <c r="P1012" s="251" t="s">
        <v>1041</v>
      </c>
      <c r="Q1012" s="252">
        <v>10067123</v>
      </c>
      <c r="R1012" s="253">
        <v>43508</v>
      </c>
      <c r="S1012" s="253">
        <v>43510</v>
      </c>
      <c r="T1012" s="253">
        <v>43534</v>
      </c>
      <c r="U1012" s="251" t="s">
        <v>488</v>
      </c>
      <c r="V1012" s="251">
        <v>1</v>
      </c>
      <c r="W1012" s="251" t="s">
        <v>219</v>
      </c>
      <c r="X1012" s="251">
        <v>1</v>
      </c>
      <c r="Y1012" s="251">
        <v>1</v>
      </c>
      <c r="Z1012" s="251">
        <v>1</v>
      </c>
      <c r="AA1012" s="251">
        <v>1</v>
      </c>
      <c r="AB1012" s="251">
        <v>1</v>
      </c>
      <c r="AC1012" s="251">
        <v>1</v>
      </c>
      <c r="AD1012" s="251" t="s">
        <v>490</v>
      </c>
      <c r="AE1012" s="251" t="s">
        <v>486</v>
      </c>
      <c r="AF1012" s="251" t="s">
        <v>486</v>
      </c>
      <c r="AG1012" s="251" t="s">
        <v>486</v>
      </c>
      <c r="AH1012" s="251" t="s">
        <v>486</v>
      </c>
      <c r="AI1012" s="251" t="s">
        <v>486</v>
      </c>
      <c r="AJ1012" s="251" t="s">
        <v>486</v>
      </c>
      <c r="AK1012" s="251" t="s">
        <v>486</v>
      </c>
      <c r="AL1012" s="251" t="s">
        <v>491</v>
      </c>
      <c r="AM1012" s="251" t="s">
        <v>486</v>
      </c>
      <c r="AN1012" s="251" t="s">
        <v>486</v>
      </c>
      <c r="AO1012" s="253" t="s">
        <v>486</v>
      </c>
      <c r="AP1012" s="252" t="s">
        <v>486</v>
      </c>
      <c r="AQ1012" s="254" t="s">
        <v>486</v>
      </c>
      <c r="AR1012" s="251" t="s">
        <v>486</v>
      </c>
    </row>
    <row r="1013" spans="1:44" ht="15" x14ac:dyDescent="0.25">
      <c r="A1013" s="245" t="str">
        <f>HYPERLINK("http://www.ofsted.gov.uk/inspection-reports/find-inspection-report/provider/ELS/105997 ","Ofsted School Webpage")</f>
        <v>Ofsted School Webpage</v>
      </c>
      <c r="B1013" s="246">
        <v>105997</v>
      </c>
      <c r="C1013" s="246">
        <v>3516012</v>
      </c>
      <c r="D1013" s="246" t="s">
        <v>1044</v>
      </c>
      <c r="E1013" s="246" t="s">
        <v>247</v>
      </c>
      <c r="F1013" s="246" t="s">
        <v>93</v>
      </c>
      <c r="G1013" s="246" t="s">
        <v>93</v>
      </c>
      <c r="H1013" s="246" t="s">
        <v>93</v>
      </c>
      <c r="I1013" s="246" t="s">
        <v>90</v>
      </c>
      <c r="J1013" s="246" t="s">
        <v>1490</v>
      </c>
      <c r="K1013" s="246" t="s">
        <v>486</v>
      </c>
      <c r="L1013" s="246" t="s">
        <v>487</v>
      </c>
      <c r="M1013" s="246" t="s">
        <v>495</v>
      </c>
      <c r="N1013" s="246" t="s">
        <v>495</v>
      </c>
      <c r="O1013" s="246" t="s">
        <v>1045</v>
      </c>
      <c r="P1013" s="246" t="s">
        <v>1046</v>
      </c>
      <c r="Q1013" s="247">
        <v>10067874</v>
      </c>
      <c r="R1013" s="248">
        <v>43508</v>
      </c>
      <c r="S1013" s="248">
        <v>43510</v>
      </c>
      <c r="T1013" s="248">
        <v>43529</v>
      </c>
      <c r="U1013" s="246" t="s">
        <v>488</v>
      </c>
      <c r="V1013" s="246">
        <v>2</v>
      </c>
      <c r="W1013" s="246" t="s">
        <v>219</v>
      </c>
      <c r="X1013" s="246">
        <v>2</v>
      </c>
      <c r="Y1013" s="246">
        <v>2</v>
      </c>
      <c r="Z1013" s="246">
        <v>2</v>
      </c>
      <c r="AA1013" s="246">
        <v>2</v>
      </c>
      <c r="AB1013" s="246">
        <v>2</v>
      </c>
      <c r="AC1013" s="246" t="s">
        <v>486</v>
      </c>
      <c r="AD1013" s="246" t="s">
        <v>490</v>
      </c>
      <c r="AE1013" s="246" t="s">
        <v>486</v>
      </c>
      <c r="AF1013" s="246" t="s">
        <v>486</v>
      </c>
      <c r="AG1013" s="246" t="s">
        <v>486</v>
      </c>
      <c r="AH1013" s="246" t="s">
        <v>486</v>
      </c>
      <c r="AI1013" s="246" t="s">
        <v>486</v>
      </c>
      <c r="AJ1013" s="246" t="s">
        <v>486</v>
      </c>
      <c r="AK1013" s="246" t="s">
        <v>486</v>
      </c>
      <c r="AL1013" s="246" t="s">
        <v>491</v>
      </c>
      <c r="AM1013" s="246" t="s">
        <v>486</v>
      </c>
      <c r="AN1013" s="246" t="s">
        <v>486</v>
      </c>
      <c r="AO1013" s="248" t="s">
        <v>486</v>
      </c>
      <c r="AP1013" s="247" t="s">
        <v>486</v>
      </c>
      <c r="AQ1013" s="249" t="s">
        <v>486</v>
      </c>
      <c r="AR1013" s="246" t="s">
        <v>486</v>
      </c>
    </row>
    <row r="1014" spans="1:44" ht="15" x14ac:dyDescent="0.25">
      <c r="A1014" s="250" t="str">
        <f>HYPERLINK("http://www.ofsted.gov.uk/inspection-reports/find-inspection-report/provider/ELS/114660 ","Ofsted School Webpage")</f>
        <v>Ofsted School Webpage</v>
      </c>
      <c r="B1014" s="251">
        <v>114660</v>
      </c>
      <c r="C1014" s="251">
        <v>8456007</v>
      </c>
      <c r="D1014" s="251" t="s">
        <v>1035</v>
      </c>
      <c r="E1014" s="251" t="s">
        <v>248</v>
      </c>
      <c r="F1014" s="251" t="s">
        <v>71</v>
      </c>
      <c r="G1014" s="251" t="s">
        <v>75</v>
      </c>
      <c r="H1014" s="251" t="s">
        <v>71</v>
      </c>
      <c r="I1014" s="251" t="s">
        <v>71</v>
      </c>
      <c r="J1014" s="251" t="s">
        <v>1490</v>
      </c>
      <c r="K1014" s="251" t="s">
        <v>486</v>
      </c>
      <c r="L1014" s="251" t="s">
        <v>487</v>
      </c>
      <c r="M1014" s="251" t="s">
        <v>581</v>
      </c>
      <c r="N1014" s="251" t="s">
        <v>581</v>
      </c>
      <c r="O1014" s="251" t="s">
        <v>761</v>
      </c>
      <c r="P1014" s="251" t="s">
        <v>1036</v>
      </c>
      <c r="Q1014" s="252">
        <v>10056669</v>
      </c>
      <c r="R1014" s="253">
        <v>43508</v>
      </c>
      <c r="S1014" s="253">
        <v>43510</v>
      </c>
      <c r="T1014" s="253">
        <v>43534</v>
      </c>
      <c r="U1014" s="251" t="s">
        <v>488</v>
      </c>
      <c r="V1014" s="251">
        <v>3</v>
      </c>
      <c r="W1014" s="251" t="s">
        <v>219</v>
      </c>
      <c r="X1014" s="251">
        <v>3</v>
      </c>
      <c r="Y1014" s="251">
        <v>3</v>
      </c>
      <c r="Z1014" s="251">
        <v>3</v>
      </c>
      <c r="AA1014" s="251">
        <v>3</v>
      </c>
      <c r="AB1014" s="251" t="s">
        <v>486</v>
      </c>
      <c r="AC1014" s="251" t="s">
        <v>486</v>
      </c>
      <c r="AD1014" s="251" t="s">
        <v>490</v>
      </c>
      <c r="AE1014" s="251" t="s">
        <v>486</v>
      </c>
      <c r="AF1014" s="251" t="s">
        <v>486</v>
      </c>
      <c r="AG1014" s="251" t="s">
        <v>486</v>
      </c>
      <c r="AH1014" s="251" t="s">
        <v>486</v>
      </c>
      <c r="AI1014" s="251" t="s">
        <v>486</v>
      </c>
      <c r="AJ1014" s="251" t="s">
        <v>486</v>
      </c>
      <c r="AK1014" s="251" t="s">
        <v>486</v>
      </c>
      <c r="AL1014" s="251" t="s">
        <v>545</v>
      </c>
      <c r="AM1014" s="251" t="s">
        <v>486</v>
      </c>
      <c r="AN1014" s="251" t="s">
        <v>486</v>
      </c>
      <c r="AO1014" s="253" t="s">
        <v>486</v>
      </c>
      <c r="AP1014" s="252" t="s">
        <v>486</v>
      </c>
      <c r="AQ1014" s="254" t="s">
        <v>486</v>
      </c>
      <c r="AR1014" s="251" t="s">
        <v>486</v>
      </c>
    </row>
    <row r="1015" spans="1:44" ht="15" x14ac:dyDescent="0.25">
      <c r="A1015" s="245" t="str">
        <f>HYPERLINK("http://www.ofsted.gov.uk/inspection-reports/find-inspection-report/provider/ELS/134577 ","Ofsted School Webpage")</f>
        <v>Ofsted School Webpage</v>
      </c>
      <c r="B1015" s="246">
        <v>134577</v>
      </c>
      <c r="C1015" s="246">
        <v>3166063</v>
      </c>
      <c r="D1015" s="246" t="s">
        <v>2873</v>
      </c>
      <c r="E1015" s="246" t="s">
        <v>247</v>
      </c>
      <c r="F1015" s="246" t="s">
        <v>84</v>
      </c>
      <c r="G1015" s="246" t="s">
        <v>84</v>
      </c>
      <c r="H1015" s="246" t="s">
        <v>84</v>
      </c>
      <c r="I1015" s="246" t="s">
        <v>84</v>
      </c>
      <c r="J1015" s="246" t="s">
        <v>1490</v>
      </c>
      <c r="K1015" s="246" t="s">
        <v>486</v>
      </c>
      <c r="L1015" s="246" t="s">
        <v>487</v>
      </c>
      <c r="M1015" s="246" t="s">
        <v>506</v>
      </c>
      <c r="N1015" s="246" t="s">
        <v>506</v>
      </c>
      <c r="O1015" s="246" t="s">
        <v>799</v>
      </c>
      <c r="P1015" s="246" t="s">
        <v>1048</v>
      </c>
      <c r="Q1015" s="247">
        <v>10055496</v>
      </c>
      <c r="R1015" s="248">
        <v>43508</v>
      </c>
      <c r="S1015" s="248">
        <v>43510</v>
      </c>
      <c r="T1015" s="248">
        <v>43549</v>
      </c>
      <c r="U1015" s="246" t="s">
        <v>488</v>
      </c>
      <c r="V1015" s="246">
        <v>4</v>
      </c>
      <c r="W1015" s="246" t="s">
        <v>220</v>
      </c>
      <c r="X1015" s="246">
        <v>4</v>
      </c>
      <c r="Y1015" s="246">
        <v>4</v>
      </c>
      <c r="Z1015" s="246">
        <v>3</v>
      </c>
      <c r="AA1015" s="246">
        <v>3</v>
      </c>
      <c r="AB1015" s="246" t="s">
        <v>486</v>
      </c>
      <c r="AC1015" s="246" t="s">
        <v>486</v>
      </c>
      <c r="AD1015" s="246" t="s">
        <v>490</v>
      </c>
      <c r="AE1015" s="246" t="s">
        <v>486</v>
      </c>
      <c r="AF1015" s="246" t="s">
        <v>486</v>
      </c>
      <c r="AG1015" s="246" t="s">
        <v>486</v>
      </c>
      <c r="AH1015" s="246" t="s">
        <v>486</v>
      </c>
      <c r="AI1015" s="246" t="s">
        <v>486</v>
      </c>
      <c r="AJ1015" s="246" t="s">
        <v>486</v>
      </c>
      <c r="AK1015" s="246" t="s">
        <v>486</v>
      </c>
      <c r="AL1015" s="246" t="s">
        <v>545</v>
      </c>
      <c r="AM1015" s="246" t="s">
        <v>486</v>
      </c>
      <c r="AN1015" s="246" t="s">
        <v>486</v>
      </c>
      <c r="AO1015" s="248" t="s">
        <v>486</v>
      </c>
      <c r="AP1015" s="247" t="s">
        <v>486</v>
      </c>
      <c r="AQ1015" s="249" t="s">
        <v>486</v>
      </c>
      <c r="AR1015" s="246" t="s">
        <v>486</v>
      </c>
    </row>
    <row r="1016" spans="1:44" ht="15" x14ac:dyDescent="0.25">
      <c r="A1016" s="250" t="str">
        <f>HYPERLINK("http://www.ofsted.gov.uk/inspection-reports/find-inspection-report/provider/ELS/135616 ","Ofsted School Webpage")</f>
        <v>Ofsted School Webpage</v>
      </c>
      <c r="B1016" s="251">
        <v>135616</v>
      </c>
      <c r="C1016" s="251">
        <v>2076408</v>
      </c>
      <c r="D1016" s="251" t="s">
        <v>1033</v>
      </c>
      <c r="E1016" s="251" t="s">
        <v>248</v>
      </c>
      <c r="F1016" s="251" t="s">
        <v>93</v>
      </c>
      <c r="G1016" s="251" t="s">
        <v>93</v>
      </c>
      <c r="H1016" s="251" t="s">
        <v>93</v>
      </c>
      <c r="I1016" s="251" t="s">
        <v>90</v>
      </c>
      <c r="J1016" s="251" t="s">
        <v>1490</v>
      </c>
      <c r="K1016" s="251" t="s">
        <v>486</v>
      </c>
      <c r="L1016" s="251" t="s">
        <v>487</v>
      </c>
      <c r="M1016" s="251" t="s">
        <v>506</v>
      </c>
      <c r="N1016" s="251" t="s">
        <v>506</v>
      </c>
      <c r="O1016" s="251" t="s">
        <v>640</v>
      </c>
      <c r="P1016" s="251" t="s">
        <v>1034</v>
      </c>
      <c r="Q1016" s="252">
        <v>10067176</v>
      </c>
      <c r="R1016" s="253">
        <v>43508</v>
      </c>
      <c r="S1016" s="253">
        <v>43510</v>
      </c>
      <c r="T1016" s="253">
        <v>43529</v>
      </c>
      <c r="U1016" s="251" t="s">
        <v>488</v>
      </c>
      <c r="V1016" s="251">
        <v>1</v>
      </c>
      <c r="W1016" s="251" t="s">
        <v>219</v>
      </c>
      <c r="X1016" s="251">
        <v>1</v>
      </c>
      <c r="Y1016" s="251">
        <v>1</v>
      </c>
      <c r="Z1016" s="251">
        <v>1</v>
      </c>
      <c r="AA1016" s="251">
        <v>1</v>
      </c>
      <c r="AB1016" s="251" t="s">
        <v>486</v>
      </c>
      <c r="AC1016" s="251" t="s">
        <v>486</v>
      </c>
      <c r="AD1016" s="251" t="s">
        <v>490</v>
      </c>
      <c r="AE1016" s="251" t="s">
        <v>486</v>
      </c>
      <c r="AF1016" s="251" t="s">
        <v>486</v>
      </c>
      <c r="AG1016" s="251" t="s">
        <v>486</v>
      </c>
      <c r="AH1016" s="251" t="s">
        <v>486</v>
      </c>
      <c r="AI1016" s="251" t="s">
        <v>486</v>
      </c>
      <c r="AJ1016" s="251" t="s">
        <v>486</v>
      </c>
      <c r="AK1016" s="251" t="s">
        <v>486</v>
      </c>
      <c r="AL1016" s="251" t="s">
        <v>491</v>
      </c>
      <c r="AM1016" s="251" t="s">
        <v>486</v>
      </c>
      <c r="AN1016" s="251" t="s">
        <v>486</v>
      </c>
      <c r="AO1016" s="253" t="s">
        <v>486</v>
      </c>
      <c r="AP1016" s="252" t="s">
        <v>486</v>
      </c>
      <c r="AQ1016" s="254" t="s">
        <v>486</v>
      </c>
      <c r="AR1016" s="251" t="s">
        <v>486</v>
      </c>
    </row>
    <row r="1017" spans="1:44" ht="15" x14ac:dyDescent="0.25">
      <c r="A1017" s="245" t="str">
        <f>HYPERLINK("http://www.ofsted.gov.uk/inspection-reports/find-inspection-report/provider/ELS/137822 ","Ofsted School Webpage")</f>
        <v>Ofsted School Webpage</v>
      </c>
      <c r="B1017" s="246">
        <v>137822</v>
      </c>
      <c r="C1017" s="246">
        <v>3536000</v>
      </c>
      <c r="D1017" s="246" t="s">
        <v>1042</v>
      </c>
      <c r="E1017" s="246" t="s">
        <v>247</v>
      </c>
      <c r="F1017" s="246" t="s">
        <v>83</v>
      </c>
      <c r="G1017" s="246" t="s">
        <v>84</v>
      </c>
      <c r="H1017" s="246" t="s">
        <v>83</v>
      </c>
      <c r="I1017" s="246" t="s">
        <v>84</v>
      </c>
      <c r="J1017" s="246" t="s">
        <v>1490</v>
      </c>
      <c r="K1017" s="246" t="s">
        <v>486</v>
      </c>
      <c r="L1017" s="246" t="s">
        <v>487</v>
      </c>
      <c r="M1017" s="246" t="s">
        <v>495</v>
      </c>
      <c r="N1017" s="246" t="s">
        <v>495</v>
      </c>
      <c r="O1017" s="246" t="s">
        <v>880</v>
      </c>
      <c r="P1017" s="246" t="s">
        <v>1043</v>
      </c>
      <c r="Q1017" s="247">
        <v>10067912</v>
      </c>
      <c r="R1017" s="248">
        <v>43508</v>
      </c>
      <c r="S1017" s="248">
        <v>43510</v>
      </c>
      <c r="T1017" s="248">
        <v>43538</v>
      </c>
      <c r="U1017" s="246" t="s">
        <v>488</v>
      </c>
      <c r="V1017" s="246">
        <v>1</v>
      </c>
      <c r="W1017" s="246" t="s">
        <v>219</v>
      </c>
      <c r="X1017" s="246">
        <v>1</v>
      </c>
      <c r="Y1017" s="246">
        <v>1</v>
      </c>
      <c r="Z1017" s="246">
        <v>1</v>
      </c>
      <c r="AA1017" s="246">
        <v>1</v>
      </c>
      <c r="AB1017" s="246">
        <v>1</v>
      </c>
      <c r="AC1017" s="246">
        <v>1</v>
      </c>
      <c r="AD1017" s="246" t="s">
        <v>490</v>
      </c>
      <c r="AE1017" s="246" t="s">
        <v>486</v>
      </c>
      <c r="AF1017" s="246" t="s">
        <v>486</v>
      </c>
      <c r="AG1017" s="246" t="s">
        <v>486</v>
      </c>
      <c r="AH1017" s="246" t="s">
        <v>486</v>
      </c>
      <c r="AI1017" s="246" t="s">
        <v>486</v>
      </c>
      <c r="AJ1017" s="246" t="s">
        <v>486</v>
      </c>
      <c r="AK1017" s="246" t="s">
        <v>486</v>
      </c>
      <c r="AL1017" s="246" t="s">
        <v>491</v>
      </c>
      <c r="AM1017" s="246" t="s">
        <v>486</v>
      </c>
      <c r="AN1017" s="246" t="s">
        <v>486</v>
      </c>
      <c r="AO1017" s="248" t="s">
        <v>486</v>
      </c>
      <c r="AP1017" s="247" t="s">
        <v>486</v>
      </c>
      <c r="AQ1017" s="249" t="s">
        <v>486</v>
      </c>
      <c r="AR1017" s="246" t="s">
        <v>486</v>
      </c>
    </row>
    <row r="1018" spans="1:44" ht="15" x14ac:dyDescent="0.25">
      <c r="A1018" s="250" t="str">
        <f>HYPERLINK("http://www.ofsted.gov.uk/inspection-reports/find-inspection-report/provider/ELS/139657 ","Ofsted School Webpage")</f>
        <v>Ofsted School Webpage</v>
      </c>
      <c r="B1018" s="251">
        <v>139657</v>
      </c>
      <c r="C1018" s="251">
        <v>8456019</v>
      </c>
      <c r="D1018" s="251" t="s">
        <v>1037</v>
      </c>
      <c r="E1018" s="251" t="s">
        <v>248</v>
      </c>
      <c r="F1018" s="251" t="s">
        <v>93</v>
      </c>
      <c r="G1018" s="251" t="s">
        <v>93</v>
      </c>
      <c r="H1018" s="251" t="s">
        <v>93</v>
      </c>
      <c r="I1018" s="251" t="s">
        <v>90</v>
      </c>
      <c r="J1018" s="251" t="s">
        <v>1490</v>
      </c>
      <c r="K1018" s="251" t="s">
        <v>486</v>
      </c>
      <c r="L1018" s="251" t="s">
        <v>487</v>
      </c>
      <c r="M1018" s="251" t="s">
        <v>581</v>
      </c>
      <c r="N1018" s="251" t="s">
        <v>581</v>
      </c>
      <c r="O1018" s="251" t="s">
        <v>761</v>
      </c>
      <c r="P1018" s="251" t="s">
        <v>1038</v>
      </c>
      <c r="Q1018" s="252">
        <v>10056680</v>
      </c>
      <c r="R1018" s="253">
        <v>43508</v>
      </c>
      <c r="S1018" s="253">
        <v>43510</v>
      </c>
      <c r="T1018" s="253">
        <v>43534</v>
      </c>
      <c r="U1018" s="251" t="s">
        <v>488</v>
      </c>
      <c r="V1018" s="251">
        <v>2</v>
      </c>
      <c r="W1018" s="251" t="s">
        <v>219</v>
      </c>
      <c r="X1018" s="251">
        <v>2</v>
      </c>
      <c r="Y1018" s="251">
        <v>2</v>
      </c>
      <c r="Z1018" s="251">
        <v>2</v>
      </c>
      <c r="AA1018" s="251">
        <v>2</v>
      </c>
      <c r="AB1018" s="251" t="s">
        <v>486</v>
      </c>
      <c r="AC1018" s="251" t="s">
        <v>486</v>
      </c>
      <c r="AD1018" s="251" t="s">
        <v>490</v>
      </c>
      <c r="AE1018" s="251" t="s">
        <v>486</v>
      </c>
      <c r="AF1018" s="251" t="s">
        <v>486</v>
      </c>
      <c r="AG1018" s="251" t="s">
        <v>486</v>
      </c>
      <c r="AH1018" s="251" t="s">
        <v>486</v>
      </c>
      <c r="AI1018" s="251" t="s">
        <v>486</v>
      </c>
      <c r="AJ1018" s="251" t="s">
        <v>486</v>
      </c>
      <c r="AK1018" s="251" t="s">
        <v>486</v>
      </c>
      <c r="AL1018" s="251" t="s">
        <v>491</v>
      </c>
      <c r="AM1018" s="251" t="s">
        <v>486</v>
      </c>
      <c r="AN1018" s="251" t="s">
        <v>486</v>
      </c>
      <c r="AO1018" s="253" t="s">
        <v>486</v>
      </c>
      <c r="AP1018" s="252" t="s">
        <v>486</v>
      </c>
      <c r="AQ1018" s="254" t="s">
        <v>486</v>
      </c>
      <c r="AR1018" s="251" t="s">
        <v>486</v>
      </c>
    </row>
    <row r="1019" spans="1:44" ht="15" x14ac:dyDescent="0.25">
      <c r="A1019" s="245" t="str">
        <f>HYPERLINK("http://www.ofsted.gov.uk/inspection-reports/find-inspection-report/provider/ELS/141879 ","Ofsted School Webpage")</f>
        <v>Ofsted School Webpage</v>
      </c>
      <c r="B1019" s="246">
        <v>141879</v>
      </c>
      <c r="C1019" s="246">
        <v>8736052</v>
      </c>
      <c r="D1019" s="246" t="s">
        <v>1049</v>
      </c>
      <c r="E1019" s="246" t="s">
        <v>248</v>
      </c>
      <c r="F1019" s="246" t="s">
        <v>93</v>
      </c>
      <c r="G1019" s="246" t="s">
        <v>93</v>
      </c>
      <c r="H1019" s="246" t="s">
        <v>93</v>
      </c>
      <c r="I1019" s="246" t="s">
        <v>90</v>
      </c>
      <c r="J1019" s="246" t="s">
        <v>1490</v>
      </c>
      <c r="K1019" s="246" t="s">
        <v>486</v>
      </c>
      <c r="L1019" s="246" t="s">
        <v>487</v>
      </c>
      <c r="M1019" s="246" t="s">
        <v>516</v>
      </c>
      <c r="N1019" s="246" t="s">
        <v>516</v>
      </c>
      <c r="O1019" s="246" t="s">
        <v>867</v>
      </c>
      <c r="P1019" s="246" t="s">
        <v>1050</v>
      </c>
      <c r="Q1019" s="247">
        <v>10056571</v>
      </c>
      <c r="R1019" s="248">
        <v>43508</v>
      </c>
      <c r="S1019" s="248">
        <v>43510</v>
      </c>
      <c r="T1019" s="248">
        <v>43548</v>
      </c>
      <c r="U1019" s="246" t="s">
        <v>488</v>
      </c>
      <c r="V1019" s="246">
        <v>2</v>
      </c>
      <c r="W1019" s="246" t="s">
        <v>219</v>
      </c>
      <c r="X1019" s="246">
        <v>2</v>
      </c>
      <c r="Y1019" s="246">
        <v>2</v>
      </c>
      <c r="Z1019" s="246">
        <v>2</v>
      </c>
      <c r="AA1019" s="246">
        <v>2</v>
      </c>
      <c r="AB1019" s="246" t="s">
        <v>486</v>
      </c>
      <c r="AC1019" s="246" t="s">
        <v>486</v>
      </c>
      <c r="AD1019" s="246" t="s">
        <v>490</v>
      </c>
      <c r="AE1019" s="246" t="s">
        <v>486</v>
      </c>
      <c r="AF1019" s="246" t="s">
        <v>486</v>
      </c>
      <c r="AG1019" s="246" t="s">
        <v>486</v>
      </c>
      <c r="AH1019" s="246" t="s">
        <v>486</v>
      </c>
      <c r="AI1019" s="246" t="s">
        <v>486</v>
      </c>
      <c r="AJ1019" s="246" t="s">
        <v>486</v>
      </c>
      <c r="AK1019" s="246" t="s">
        <v>486</v>
      </c>
      <c r="AL1019" s="246" t="s">
        <v>491</v>
      </c>
      <c r="AM1019" s="246" t="s">
        <v>486</v>
      </c>
      <c r="AN1019" s="246" t="s">
        <v>486</v>
      </c>
      <c r="AO1019" s="248" t="s">
        <v>486</v>
      </c>
      <c r="AP1019" s="247" t="s">
        <v>486</v>
      </c>
      <c r="AQ1019" s="249" t="s">
        <v>486</v>
      </c>
      <c r="AR1019" s="246" t="s">
        <v>486</v>
      </c>
    </row>
    <row r="1020" spans="1:44" ht="15" x14ac:dyDescent="0.25">
      <c r="A1020" s="250" t="str">
        <f>HYPERLINK("http://www.ofsted.gov.uk/inspection-reports/find-inspection-report/provider/ELS/145241 ","Ofsted School Webpage")</f>
        <v>Ofsted School Webpage</v>
      </c>
      <c r="B1020" s="251">
        <v>145241</v>
      </c>
      <c r="C1020" s="251">
        <v>8156044</v>
      </c>
      <c r="D1020" s="251" t="s">
        <v>1051</v>
      </c>
      <c r="E1020" s="251" t="s">
        <v>248</v>
      </c>
      <c r="F1020" s="251" t="s">
        <v>93</v>
      </c>
      <c r="G1020" s="251" t="s">
        <v>93</v>
      </c>
      <c r="H1020" s="251" t="s">
        <v>93</v>
      </c>
      <c r="I1020" s="251" t="s">
        <v>90</v>
      </c>
      <c r="J1020" s="251" t="s">
        <v>1490</v>
      </c>
      <c r="K1020" s="251" t="s">
        <v>486</v>
      </c>
      <c r="L1020" s="251" t="s">
        <v>487</v>
      </c>
      <c r="M1020" s="251" t="s">
        <v>523</v>
      </c>
      <c r="N1020" s="251" t="s">
        <v>524</v>
      </c>
      <c r="O1020" s="251" t="s">
        <v>846</v>
      </c>
      <c r="P1020" s="251" t="s">
        <v>607</v>
      </c>
      <c r="Q1020" s="252">
        <v>10077927</v>
      </c>
      <c r="R1020" s="253">
        <v>43508</v>
      </c>
      <c r="S1020" s="253">
        <v>43510</v>
      </c>
      <c r="T1020" s="253">
        <v>43549</v>
      </c>
      <c r="U1020" s="251" t="s">
        <v>499</v>
      </c>
      <c r="V1020" s="251">
        <v>2</v>
      </c>
      <c r="W1020" s="251" t="s">
        <v>219</v>
      </c>
      <c r="X1020" s="251">
        <v>2</v>
      </c>
      <c r="Y1020" s="251">
        <v>2</v>
      </c>
      <c r="Z1020" s="251">
        <v>2</v>
      </c>
      <c r="AA1020" s="251">
        <v>2</v>
      </c>
      <c r="AB1020" s="251" t="s">
        <v>486</v>
      </c>
      <c r="AC1020" s="251" t="s">
        <v>486</v>
      </c>
      <c r="AD1020" s="251" t="s">
        <v>490</v>
      </c>
      <c r="AE1020" s="251" t="s">
        <v>486</v>
      </c>
      <c r="AF1020" s="251" t="s">
        <v>486</v>
      </c>
      <c r="AG1020" s="251" t="s">
        <v>486</v>
      </c>
      <c r="AH1020" s="251" t="s">
        <v>486</v>
      </c>
      <c r="AI1020" s="251" t="s">
        <v>486</v>
      </c>
      <c r="AJ1020" s="251" t="s">
        <v>486</v>
      </c>
      <c r="AK1020" s="251" t="s">
        <v>486</v>
      </c>
      <c r="AL1020" s="251" t="s">
        <v>491</v>
      </c>
      <c r="AM1020" s="251" t="s">
        <v>486</v>
      </c>
      <c r="AN1020" s="251" t="s">
        <v>486</v>
      </c>
      <c r="AO1020" s="253" t="s">
        <v>486</v>
      </c>
      <c r="AP1020" s="252" t="s">
        <v>486</v>
      </c>
      <c r="AQ1020" s="254" t="s">
        <v>486</v>
      </c>
      <c r="AR1020" s="251" t="s">
        <v>486</v>
      </c>
    </row>
    <row r="1021" spans="1:44" ht="15" x14ac:dyDescent="0.25">
      <c r="A1021" s="245" t="str">
        <f>HYPERLINK("http://www.ofsted.gov.uk/inspection-reports/find-inspection-report/provider/ELS/106162 ","Ofsted School Webpage")</f>
        <v>Ofsted School Webpage</v>
      </c>
      <c r="B1021" s="246">
        <v>106162</v>
      </c>
      <c r="C1021" s="246">
        <v>3566025</v>
      </c>
      <c r="D1021" s="246" t="s">
        <v>1063</v>
      </c>
      <c r="E1021" s="246" t="s">
        <v>248</v>
      </c>
      <c r="F1021" s="246" t="s">
        <v>93</v>
      </c>
      <c r="G1021" s="246" t="s">
        <v>93</v>
      </c>
      <c r="H1021" s="246" t="s">
        <v>93</v>
      </c>
      <c r="I1021" s="246" t="s">
        <v>90</v>
      </c>
      <c r="J1021" s="246" t="s">
        <v>1490</v>
      </c>
      <c r="K1021" s="246" t="s">
        <v>486</v>
      </c>
      <c r="L1021" s="246" t="s">
        <v>487</v>
      </c>
      <c r="M1021" s="246" t="s">
        <v>495</v>
      </c>
      <c r="N1021" s="246" t="s">
        <v>495</v>
      </c>
      <c r="O1021" s="246" t="s">
        <v>934</v>
      </c>
      <c r="P1021" s="246" t="s">
        <v>1064</v>
      </c>
      <c r="Q1021" s="247">
        <v>10067883</v>
      </c>
      <c r="R1021" s="248">
        <v>43522</v>
      </c>
      <c r="S1021" s="248">
        <v>43524</v>
      </c>
      <c r="T1021" s="248">
        <v>43543</v>
      </c>
      <c r="U1021" s="246" t="s">
        <v>488</v>
      </c>
      <c r="V1021" s="246">
        <v>2</v>
      </c>
      <c r="W1021" s="246" t="s">
        <v>219</v>
      </c>
      <c r="X1021" s="246">
        <v>2</v>
      </c>
      <c r="Y1021" s="246">
        <v>2</v>
      </c>
      <c r="Z1021" s="246">
        <v>2</v>
      </c>
      <c r="AA1021" s="246">
        <v>2</v>
      </c>
      <c r="AB1021" s="246" t="s">
        <v>486</v>
      </c>
      <c r="AC1021" s="246" t="s">
        <v>486</v>
      </c>
      <c r="AD1021" s="246" t="s">
        <v>490</v>
      </c>
      <c r="AE1021" s="246" t="s">
        <v>486</v>
      </c>
      <c r="AF1021" s="246" t="s">
        <v>486</v>
      </c>
      <c r="AG1021" s="246" t="s">
        <v>486</v>
      </c>
      <c r="AH1021" s="246" t="s">
        <v>486</v>
      </c>
      <c r="AI1021" s="246" t="s">
        <v>486</v>
      </c>
      <c r="AJ1021" s="246" t="s">
        <v>486</v>
      </c>
      <c r="AK1021" s="246" t="s">
        <v>486</v>
      </c>
      <c r="AL1021" s="246" t="s">
        <v>491</v>
      </c>
      <c r="AM1021" s="246" t="s">
        <v>486</v>
      </c>
      <c r="AN1021" s="246" t="s">
        <v>486</v>
      </c>
      <c r="AO1021" s="248" t="s">
        <v>486</v>
      </c>
      <c r="AP1021" s="247" t="s">
        <v>486</v>
      </c>
      <c r="AQ1021" s="249" t="s">
        <v>486</v>
      </c>
      <c r="AR1021" s="246" t="s">
        <v>486</v>
      </c>
    </row>
    <row r="1022" spans="1:44" ht="15" x14ac:dyDescent="0.25">
      <c r="A1022" s="250" t="str">
        <f>HYPERLINK("http://www.ofsted.gov.uk/inspection-reports/find-inspection-report/provider/ELS/131662 ","Ofsted School Webpage")</f>
        <v>Ofsted School Webpage</v>
      </c>
      <c r="B1022" s="251">
        <v>131662</v>
      </c>
      <c r="C1022" s="251">
        <v>2126001</v>
      </c>
      <c r="D1022" s="251" t="s">
        <v>1065</v>
      </c>
      <c r="E1022" s="251" t="s">
        <v>248</v>
      </c>
      <c r="F1022" s="251" t="s">
        <v>93</v>
      </c>
      <c r="G1022" s="251" t="s">
        <v>93</v>
      </c>
      <c r="H1022" s="251" t="s">
        <v>93</v>
      </c>
      <c r="I1022" s="251" t="s">
        <v>90</v>
      </c>
      <c r="J1022" s="251" t="s">
        <v>1490</v>
      </c>
      <c r="K1022" s="251" t="s">
        <v>486</v>
      </c>
      <c r="L1022" s="251" t="s">
        <v>487</v>
      </c>
      <c r="M1022" s="251" t="s">
        <v>506</v>
      </c>
      <c r="N1022" s="251" t="s">
        <v>506</v>
      </c>
      <c r="O1022" s="251" t="s">
        <v>837</v>
      </c>
      <c r="P1022" s="251" t="s">
        <v>1066</v>
      </c>
      <c r="Q1022" s="252">
        <v>10067150</v>
      </c>
      <c r="R1022" s="253">
        <v>43522</v>
      </c>
      <c r="S1022" s="253">
        <v>43524</v>
      </c>
      <c r="T1022" s="253">
        <v>43543</v>
      </c>
      <c r="U1022" s="251" t="s">
        <v>488</v>
      </c>
      <c r="V1022" s="251">
        <v>1</v>
      </c>
      <c r="W1022" s="251" t="s">
        <v>219</v>
      </c>
      <c r="X1022" s="251">
        <v>1</v>
      </c>
      <c r="Y1022" s="251">
        <v>1</v>
      </c>
      <c r="Z1022" s="251">
        <v>1</v>
      </c>
      <c r="AA1022" s="251">
        <v>1</v>
      </c>
      <c r="AB1022" s="251" t="s">
        <v>486</v>
      </c>
      <c r="AC1022" s="251" t="s">
        <v>486</v>
      </c>
      <c r="AD1022" s="251" t="s">
        <v>490</v>
      </c>
      <c r="AE1022" s="251" t="s">
        <v>486</v>
      </c>
      <c r="AF1022" s="251" t="s">
        <v>486</v>
      </c>
      <c r="AG1022" s="251" t="s">
        <v>486</v>
      </c>
      <c r="AH1022" s="251" t="s">
        <v>486</v>
      </c>
      <c r="AI1022" s="251" t="s">
        <v>486</v>
      </c>
      <c r="AJ1022" s="251" t="s">
        <v>486</v>
      </c>
      <c r="AK1022" s="251" t="s">
        <v>486</v>
      </c>
      <c r="AL1022" s="251" t="s">
        <v>491</v>
      </c>
      <c r="AM1022" s="251" t="s">
        <v>486</v>
      </c>
      <c r="AN1022" s="251" t="s">
        <v>486</v>
      </c>
      <c r="AO1022" s="253" t="s">
        <v>486</v>
      </c>
      <c r="AP1022" s="252" t="s">
        <v>486</v>
      </c>
      <c r="AQ1022" s="254" t="s">
        <v>486</v>
      </c>
      <c r="AR1022" s="251" t="s">
        <v>486</v>
      </c>
    </row>
    <row r="1023" spans="1:44" ht="15" x14ac:dyDescent="0.25">
      <c r="A1023" s="245" t="str">
        <f>HYPERLINK("http://www.ofsted.gov.uk/inspection-reports/find-inspection-report/provider/ELS/133453 ","Ofsted School Webpage")</f>
        <v>Ofsted School Webpage</v>
      </c>
      <c r="B1023" s="246">
        <v>133453</v>
      </c>
      <c r="C1023" s="246">
        <v>3806113</v>
      </c>
      <c r="D1023" s="246" t="s">
        <v>1071</v>
      </c>
      <c r="E1023" s="246" t="s">
        <v>247</v>
      </c>
      <c r="F1023" s="246" t="s">
        <v>93</v>
      </c>
      <c r="G1023" s="246" t="s">
        <v>84</v>
      </c>
      <c r="H1023" s="246" t="s">
        <v>84</v>
      </c>
      <c r="I1023" s="246" t="s">
        <v>84</v>
      </c>
      <c r="J1023" s="246" t="s">
        <v>1490</v>
      </c>
      <c r="K1023" s="246" t="s">
        <v>486</v>
      </c>
      <c r="L1023" s="246" t="s">
        <v>487</v>
      </c>
      <c r="M1023" s="246" t="s">
        <v>523</v>
      </c>
      <c r="N1023" s="246" t="s">
        <v>524</v>
      </c>
      <c r="O1023" s="246" t="s">
        <v>674</v>
      </c>
      <c r="P1023" s="246" t="s">
        <v>1072</v>
      </c>
      <c r="Q1023" s="247">
        <v>10061261</v>
      </c>
      <c r="R1023" s="248">
        <v>43522</v>
      </c>
      <c r="S1023" s="248">
        <v>43524</v>
      </c>
      <c r="T1023" s="248">
        <v>43549</v>
      </c>
      <c r="U1023" s="246" t="s">
        <v>488</v>
      </c>
      <c r="V1023" s="246">
        <v>2</v>
      </c>
      <c r="W1023" s="246" t="s">
        <v>219</v>
      </c>
      <c r="X1023" s="246">
        <v>2</v>
      </c>
      <c r="Y1023" s="246">
        <v>2</v>
      </c>
      <c r="Z1023" s="246">
        <v>2</v>
      </c>
      <c r="AA1023" s="246">
        <v>2</v>
      </c>
      <c r="AB1023" s="246">
        <v>2</v>
      </c>
      <c r="AC1023" s="246" t="s">
        <v>486</v>
      </c>
      <c r="AD1023" s="246" t="s">
        <v>490</v>
      </c>
      <c r="AE1023" s="246" t="s">
        <v>486</v>
      </c>
      <c r="AF1023" s="246" t="s">
        <v>486</v>
      </c>
      <c r="AG1023" s="246" t="s">
        <v>486</v>
      </c>
      <c r="AH1023" s="246" t="s">
        <v>486</v>
      </c>
      <c r="AI1023" s="246" t="s">
        <v>486</v>
      </c>
      <c r="AJ1023" s="246" t="s">
        <v>486</v>
      </c>
      <c r="AK1023" s="246" t="s">
        <v>486</v>
      </c>
      <c r="AL1023" s="246" t="s">
        <v>491</v>
      </c>
      <c r="AM1023" s="246" t="s">
        <v>486</v>
      </c>
      <c r="AN1023" s="246" t="s">
        <v>486</v>
      </c>
      <c r="AO1023" s="248" t="s">
        <v>486</v>
      </c>
      <c r="AP1023" s="247" t="s">
        <v>486</v>
      </c>
      <c r="AQ1023" s="249" t="s">
        <v>486</v>
      </c>
      <c r="AR1023" s="246" t="s">
        <v>486</v>
      </c>
    </row>
    <row r="1024" spans="1:44" ht="15" x14ac:dyDescent="0.25">
      <c r="A1024" s="250" t="str">
        <f>HYPERLINK("http://www.ofsted.gov.uk/inspection-reports/find-inspection-report/provider/ELS/134192 ","Ofsted School Webpage")</f>
        <v>Ofsted School Webpage</v>
      </c>
      <c r="B1024" s="251">
        <v>134192</v>
      </c>
      <c r="C1024" s="251">
        <v>2136393</v>
      </c>
      <c r="D1024" s="251" t="s">
        <v>1054</v>
      </c>
      <c r="E1024" s="251" t="s">
        <v>247</v>
      </c>
      <c r="F1024" s="251" t="s">
        <v>93</v>
      </c>
      <c r="G1024" s="251" t="s">
        <v>93</v>
      </c>
      <c r="H1024" s="251" t="s">
        <v>93</v>
      </c>
      <c r="I1024" s="251" t="s">
        <v>90</v>
      </c>
      <c r="J1024" s="251" t="s">
        <v>1490</v>
      </c>
      <c r="K1024" s="251" t="s">
        <v>486</v>
      </c>
      <c r="L1024" s="251" t="s">
        <v>487</v>
      </c>
      <c r="M1024" s="251" t="s">
        <v>506</v>
      </c>
      <c r="N1024" s="251" t="s">
        <v>506</v>
      </c>
      <c r="O1024" s="251" t="s">
        <v>658</v>
      </c>
      <c r="P1024" s="251" t="s">
        <v>1055</v>
      </c>
      <c r="Q1024" s="252">
        <v>10067169</v>
      </c>
      <c r="R1024" s="253">
        <v>43522</v>
      </c>
      <c r="S1024" s="253">
        <v>43524</v>
      </c>
      <c r="T1024" s="253">
        <v>43548</v>
      </c>
      <c r="U1024" s="251" t="s">
        <v>488</v>
      </c>
      <c r="V1024" s="251">
        <v>1</v>
      </c>
      <c r="W1024" s="251" t="s">
        <v>219</v>
      </c>
      <c r="X1024" s="251">
        <v>1</v>
      </c>
      <c r="Y1024" s="251">
        <v>1</v>
      </c>
      <c r="Z1024" s="251">
        <v>1</v>
      </c>
      <c r="AA1024" s="251">
        <v>1</v>
      </c>
      <c r="AB1024" s="251">
        <v>2</v>
      </c>
      <c r="AC1024" s="251" t="s">
        <v>486</v>
      </c>
      <c r="AD1024" s="251" t="s">
        <v>490</v>
      </c>
      <c r="AE1024" s="251" t="s">
        <v>486</v>
      </c>
      <c r="AF1024" s="251" t="s">
        <v>486</v>
      </c>
      <c r="AG1024" s="251" t="s">
        <v>486</v>
      </c>
      <c r="AH1024" s="251" t="s">
        <v>486</v>
      </c>
      <c r="AI1024" s="251" t="s">
        <v>486</v>
      </c>
      <c r="AJ1024" s="251" t="s">
        <v>486</v>
      </c>
      <c r="AK1024" s="251" t="s">
        <v>486</v>
      </c>
      <c r="AL1024" s="251" t="s">
        <v>491</v>
      </c>
      <c r="AM1024" s="251" t="s">
        <v>486</v>
      </c>
      <c r="AN1024" s="251" t="s">
        <v>486</v>
      </c>
      <c r="AO1024" s="253" t="s">
        <v>486</v>
      </c>
      <c r="AP1024" s="252" t="s">
        <v>486</v>
      </c>
      <c r="AQ1024" s="254" t="s">
        <v>486</v>
      </c>
      <c r="AR1024" s="251" t="s">
        <v>486</v>
      </c>
    </row>
    <row r="1025" spans="1:44" ht="15" x14ac:dyDescent="0.25">
      <c r="A1025" s="245" t="str">
        <f>HYPERLINK("http://www.ofsted.gov.uk/inspection-reports/find-inspection-report/provider/ELS/134587 ","Ofsted School Webpage")</f>
        <v>Ofsted School Webpage</v>
      </c>
      <c r="B1025" s="246">
        <v>134587</v>
      </c>
      <c r="C1025" s="246">
        <v>3806116</v>
      </c>
      <c r="D1025" s="246" t="s">
        <v>1067</v>
      </c>
      <c r="E1025" s="246" t="s">
        <v>247</v>
      </c>
      <c r="F1025" s="246" t="s">
        <v>93</v>
      </c>
      <c r="G1025" s="246" t="s">
        <v>84</v>
      </c>
      <c r="H1025" s="246" t="s">
        <v>84</v>
      </c>
      <c r="I1025" s="246" t="s">
        <v>84</v>
      </c>
      <c r="J1025" s="246" t="s">
        <v>1490</v>
      </c>
      <c r="K1025" s="246" t="s">
        <v>486</v>
      </c>
      <c r="L1025" s="246" t="s">
        <v>487</v>
      </c>
      <c r="M1025" s="246" t="s">
        <v>523</v>
      </c>
      <c r="N1025" s="246" t="s">
        <v>524</v>
      </c>
      <c r="O1025" s="246" t="s">
        <v>674</v>
      </c>
      <c r="P1025" s="246" t="s">
        <v>1068</v>
      </c>
      <c r="Q1025" s="247">
        <v>10061267</v>
      </c>
      <c r="R1025" s="248">
        <v>43522</v>
      </c>
      <c r="S1025" s="248">
        <v>43524</v>
      </c>
      <c r="T1025" s="248">
        <v>43550</v>
      </c>
      <c r="U1025" s="246" t="s">
        <v>488</v>
      </c>
      <c r="V1025" s="246">
        <v>3</v>
      </c>
      <c r="W1025" s="246" t="s">
        <v>219</v>
      </c>
      <c r="X1025" s="246">
        <v>3</v>
      </c>
      <c r="Y1025" s="246">
        <v>2</v>
      </c>
      <c r="Z1025" s="246">
        <v>2</v>
      </c>
      <c r="AA1025" s="246">
        <v>2</v>
      </c>
      <c r="AB1025" s="246" t="s">
        <v>486</v>
      </c>
      <c r="AC1025" s="246" t="s">
        <v>486</v>
      </c>
      <c r="AD1025" s="246" t="s">
        <v>490</v>
      </c>
      <c r="AE1025" s="246" t="s">
        <v>486</v>
      </c>
      <c r="AF1025" s="246" t="s">
        <v>486</v>
      </c>
      <c r="AG1025" s="246" t="s">
        <v>486</v>
      </c>
      <c r="AH1025" s="246" t="s">
        <v>486</v>
      </c>
      <c r="AI1025" s="246" t="s">
        <v>486</v>
      </c>
      <c r="AJ1025" s="246" t="s">
        <v>486</v>
      </c>
      <c r="AK1025" s="246" t="s">
        <v>486</v>
      </c>
      <c r="AL1025" s="246" t="s">
        <v>491</v>
      </c>
      <c r="AM1025" s="246" t="s">
        <v>486</v>
      </c>
      <c r="AN1025" s="246" t="s">
        <v>486</v>
      </c>
      <c r="AO1025" s="248" t="s">
        <v>486</v>
      </c>
      <c r="AP1025" s="247" t="s">
        <v>486</v>
      </c>
      <c r="AQ1025" s="249" t="s">
        <v>486</v>
      </c>
      <c r="AR1025" s="246" t="s">
        <v>486</v>
      </c>
    </row>
    <row r="1026" spans="1:44" ht="15" x14ac:dyDescent="0.25">
      <c r="A1026" s="250" t="str">
        <f>HYPERLINK("http://www.ofsted.gov.uk/inspection-reports/find-inspection-report/provider/ELS/135555 ","Ofsted School Webpage")</f>
        <v>Ofsted School Webpage</v>
      </c>
      <c r="B1026" s="251">
        <v>135555</v>
      </c>
      <c r="C1026" s="251">
        <v>9096097</v>
      </c>
      <c r="D1026" s="251" t="s">
        <v>1069</v>
      </c>
      <c r="E1026" s="251" t="s">
        <v>248</v>
      </c>
      <c r="F1026" s="251" t="s">
        <v>93</v>
      </c>
      <c r="G1026" s="251" t="s">
        <v>93</v>
      </c>
      <c r="H1026" s="251" t="s">
        <v>93</v>
      </c>
      <c r="I1026" s="251" t="s">
        <v>90</v>
      </c>
      <c r="J1026" s="251" t="s">
        <v>1490</v>
      </c>
      <c r="K1026" s="251" t="s">
        <v>486</v>
      </c>
      <c r="L1026" s="251" t="s">
        <v>487</v>
      </c>
      <c r="M1026" s="251" t="s">
        <v>495</v>
      </c>
      <c r="N1026" s="251" t="s">
        <v>495</v>
      </c>
      <c r="O1026" s="251" t="s">
        <v>663</v>
      </c>
      <c r="P1026" s="251" t="s">
        <v>1070</v>
      </c>
      <c r="Q1026" s="252">
        <v>10067902</v>
      </c>
      <c r="R1026" s="253">
        <v>43522</v>
      </c>
      <c r="S1026" s="253">
        <v>43524</v>
      </c>
      <c r="T1026" s="253">
        <v>43544</v>
      </c>
      <c r="U1026" s="251" t="s">
        <v>488</v>
      </c>
      <c r="V1026" s="251">
        <v>2</v>
      </c>
      <c r="W1026" s="251" t="s">
        <v>219</v>
      </c>
      <c r="X1026" s="251">
        <v>2</v>
      </c>
      <c r="Y1026" s="251">
        <v>2</v>
      </c>
      <c r="Z1026" s="251">
        <v>2</v>
      </c>
      <c r="AA1026" s="251">
        <v>2</v>
      </c>
      <c r="AB1026" s="251" t="s">
        <v>486</v>
      </c>
      <c r="AC1026" s="251" t="s">
        <v>486</v>
      </c>
      <c r="AD1026" s="251" t="s">
        <v>490</v>
      </c>
      <c r="AE1026" s="251" t="s">
        <v>486</v>
      </c>
      <c r="AF1026" s="251" t="s">
        <v>486</v>
      </c>
      <c r="AG1026" s="251" t="s">
        <v>486</v>
      </c>
      <c r="AH1026" s="251" t="s">
        <v>486</v>
      </c>
      <c r="AI1026" s="251" t="s">
        <v>486</v>
      </c>
      <c r="AJ1026" s="251" t="s">
        <v>486</v>
      </c>
      <c r="AK1026" s="251" t="s">
        <v>486</v>
      </c>
      <c r="AL1026" s="251" t="s">
        <v>491</v>
      </c>
      <c r="AM1026" s="251" t="s">
        <v>486</v>
      </c>
      <c r="AN1026" s="251" t="s">
        <v>486</v>
      </c>
      <c r="AO1026" s="253" t="s">
        <v>486</v>
      </c>
      <c r="AP1026" s="252" t="s">
        <v>486</v>
      </c>
      <c r="AQ1026" s="254" t="s">
        <v>486</v>
      </c>
      <c r="AR1026" s="251" t="s">
        <v>486</v>
      </c>
    </row>
    <row r="1027" spans="1:44" ht="15" x14ac:dyDescent="0.25">
      <c r="A1027" s="245" t="str">
        <f>HYPERLINK("http://www.ofsted.gov.uk/inspection-reports/find-inspection-report/provider/ELS/136740 ","Ofsted School Webpage")</f>
        <v>Ofsted School Webpage</v>
      </c>
      <c r="B1027" s="246">
        <v>136740</v>
      </c>
      <c r="C1027" s="246">
        <v>3136083</v>
      </c>
      <c r="D1027" s="246" t="s">
        <v>1073</v>
      </c>
      <c r="E1027" s="246" t="s">
        <v>248</v>
      </c>
      <c r="F1027" s="246" t="s">
        <v>93</v>
      </c>
      <c r="G1027" s="246" t="s">
        <v>93</v>
      </c>
      <c r="H1027" s="246" t="s">
        <v>93</v>
      </c>
      <c r="I1027" s="246" t="s">
        <v>90</v>
      </c>
      <c r="J1027" s="246" t="s">
        <v>1490</v>
      </c>
      <c r="K1027" s="246" t="s">
        <v>486</v>
      </c>
      <c r="L1027" s="246" t="s">
        <v>487</v>
      </c>
      <c r="M1027" s="246" t="s">
        <v>506</v>
      </c>
      <c r="N1027" s="246" t="s">
        <v>506</v>
      </c>
      <c r="O1027" s="246" t="s">
        <v>813</v>
      </c>
      <c r="P1027" s="246" t="s">
        <v>1074</v>
      </c>
      <c r="Q1027" s="247">
        <v>10054296</v>
      </c>
      <c r="R1027" s="248">
        <v>43522</v>
      </c>
      <c r="S1027" s="248">
        <v>43524</v>
      </c>
      <c r="T1027" s="248">
        <v>43544</v>
      </c>
      <c r="U1027" s="246" t="s">
        <v>488</v>
      </c>
      <c r="V1027" s="246">
        <v>2</v>
      </c>
      <c r="W1027" s="246" t="s">
        <v>219</v>
      </c>
      <c r="X1027" s="246">
        <v>2</v>
      </c>
      <c r="Y1027" s="246">
        <v>2</v>
      </c>
      <c r="Z1027" s="246">
        <v>2</v>
      </c>
      <c r="AA1027" s="246">
        <v>2</v>
      </c>
      <c r="AB1027" s="246" t="s">
        <v>486</v>
      </c>
      <c r="AC1027" s="246" t="s">
        <v>486</v>
      </c>
      <c r="AD1027" s="246" t="s">
        <v>490</v>
      </c>
      <c r="AE1027" s="246" t="s">
        <v>486</v>
      </c>
      <c r="AF1027" s="246" t="s">
        <v>486</v>
      </c>
      <c r="AG1027" s="246" t="s">
        <v>486</v>
      </c>
      <c r="AH1027" s="246" t="s">
        <v>486</v>
      </c>
      <c r="AI1027" s="246" t="s">
        <v>486</v>
      </c>
      <c r="AJ1027" s="246" t="s">
        <v>486</v>
      </c>
      <c r="AK1027" s="246" t="s">
        <v>486</v>
      </c>
      <c r="AL1027" s="246" t="s">
        <v>491</v>
      </c>
      <c r="AM1027" s="246" t="s">
        <v>486</v>
      </c>
      <c r="AN1027" s="246" t="s">
        <v>486</v>
      </c>
      <c r="AO1027" s="248" t="s">
        <v>486</v>
      </c>
      <c r="AP1027" s="247" t="s">
        <v>486</v>
      </c>
      <c r="AQ1027" s="249" t="s">
        <v>486</v>
      </c>
      <c r="AR1027" s="246" t="s">
        <v>486</v>
      </c>
    </row>
    <row r="1028" spans="1:44" ht="15" x14ac:dyDescent="0.25">
      <c r="A1028" s="250" t="str">
        <f>HYPERLINK("http://www.ofsted.gov.uk/inspection-reports/find-inspection-report/provider/ELS/136949 ","Ofsted School Webpage")</f>
        <v>Ofsted School Webpage</v>
      </c>
      <c r="B1028" s="251">
        <v>136949</v>
      </c>
      <c r="C1028" s="251">
        <v>8556019</v>
      </c>
      <c r="D1028" s="251" t="s">
        <v>1052</v>
      </c>
      <c r="E1028" s="251" t="s">
        <v>248</v>
      </c>
      <c r="F1028" s="251" t="s">
        <v>93</v>
      </c>
      <c r="G1028" s="251" t="s">
        <v>93</v>
      </c>
      <c r="H1028" s="251" t="s">
        <v>93</v>
      </c>
      <c r="I1028" s="251" t="s">
        <v>90</v>
      </c>
      <c r="J1028" s="251" t="s">
        <v>1490</v>
      </c>
      <c r="K1028" s="251" t="s">
        <v>486</v>
      </c>
      <c r="L1028" s="251" t="s">
        <v>487</v>
      </c>
      <c r="M1028" s="251" t="s">
        <v>572</v>
      </c>
      <c r="N1028" s="251" t="s">
        <v>572</v>
      </c>
      <c r="O1028" s="251" t="s">
        <v>966</v>
      </c>
      <c r="P1028" s="251" t="s">
        <v>1053</v>
      </c>
      <c r="Q1028" s="252">
        <v>10053982</v>
      </c>
      <c r="R1028" s="253">
        <v>43522</v>
      </c>
      <c r="S1028" s="253">
        <v>43524</v>
      </c>
      <c r="T1028" s="253">
        <v>43542</v>
      </c>
      <c r="U1028" s="251" t="s">
        <v>488</v>
      </c>
      <c r="V1028" s="251">
        <v>1</v>
      </c>
      <c r="W1028" s="251" t="s">
        <v>219</v>
      </c>
      <c r="X1028" s="251">
        <v>1</v>
      </c>
      <c r="Y1028" s="251">
        <v>1</v>
      </c>
      <c r="Z1028" s="251">
        <v>1</v>
      </c>
      <c r="AA1028" s="251">
        <v>1</v>
      </c>
      <c r="AB1028" s="251" t="s">
        <v>486</v>
      </c>
      <c r="AC1028" s="251" t="s">
        <v>486</v>
      </c>
      <c r="AD1028" s="251" t="s">
        <v>490</v>
      </c>
      <c r="AE1028" s="251" t="s">
        <v>486</v>
      </c>
      <c r="AF1028" s="251" t="s">
        <v>486</v>
      </c>
      <c r="AG1028" s="251" t="s">
        <v>486</v>
      </c>
      <c r="AH1028" s="251" t="s">
        <v>486</v>
      </c>
      <c r="AI1028" s="251" t="s">
        <v>486</v>
      </c>
      <c r="AJ1028" s="251" t="s">
        <v>486</v>
      </c>
      <c r="AK1028" s="251" t="s">
        <v>486</v>
      </c>
      <c r="AL1028" s="251" t="s">
        <v>491</v>
      </c>
      <c r="AM1028" s="251" t="s">
        <v>486</v>
      </c>
      <c r="AN1028" s="251" t="s">
        <v>486</v>
      </c>
      <c r="AO1028" s="253" t="s">
        <v>486</v>
      </c>
      <c r="AP1028" s="252" t="s">
        <v>486</v>
      </c>
      <c r="AQ1028" s="254" t="s">
        <v>486</v>
      </c>
      <c r="AR1028" s="251" t="s">
        <v>486</v>
      </c>
    </row>
    <row r="1029" spans="1:44" ht="15" x14ac:dyDescent="0.25">
      <c r="A1029" s="245" t="str">
        <f>HYPERLINK("http://www.ofsted.gov.uk/inspection-reports/find-inspection-report/provider/ELS/141994 ","Ofsted School Webpage")</f>
        <v>Ofsted School Webpage</v>
      </c>
      <c r="B1029" s="246">
        <v>141994</v>
      </c>
      <c r="C1029" s="246">
        <v>8306043</v>
      </c>
      <c r="D1029" s="246" t="s">
        <v>1056</v>
      </c>
      <c r="E1029" s="246" t="s">
        <v>248</v>
      </c>
      <c r="F1029" s="246" t="s">
        <v>93</v>
      </c>
      <c r="G1029" s="246" t="s">
        <v>93</v>
      </c>
      <c r="H1029" s="246" t="s">
        <v>93</v>
      </c>
      <c r="I1029" s="246" t="s">
        <v>90</v>
      </c>
      <c r="J1029" s="246" t="s">
        <v>1490</v>
      </c>
      <c r="K1029" s="246" t="s">
        <v>486</v>
      </c>
      <c r="L1029" s="246" t="s">
        <v>487</v>
      </c>
      <c r="M1029" s="246" t="s">
        <v>572</v>
      </c>
      <c r="N1029" s="246" t="s">
        <v>572</v>
      </c>
      <c r="O1029" s="246" t="s">
        <v>573</v>
      </c>
      <c r="P1029" s="246" t="s">
        <v>1057</v>
      </c>
      <c r="Q1029" s="247">
        <v>10078671</v>
      </c>
      <c r="R1029" s="248">
        <v>43522</v>
      </c>
      <c r="S1029" s="248">
        <v>43524</v>
      </c>
      <c r="T1029" s="248">
        <v>43549</v>
      </c>
      <c r="U1029" s="246" t="s">
        <v>488</v>
      </c>
      <c r="V1029" s="246">
        <v>2</v>
      </c>
      <c r="W1029" s="246" t="s">
        <v>219</v>
      </c>
      <c r="X1029" s="246">
        <v>2</v>
      </c>
      <c r="Y1029" s="246">
        <v>2</v>
      </c>
      <c r="Z1029" s="246">
        <v>2</v>
      </c>
      <c r="AA1029" s="246">
        <v>2</v>
      </c>
      <c r="AB1029" s="246" t="s">
        <v>486</v>
      </c>
      <c r="AC1029" s="246">
        <v>2</v>
      </c>
      <c r="AD1029" s="246" t="s">
        <v>490</v>
      </c>
      <c r="AE1029" s="246" t="s">
        <v>486</v>
      </c>
      <c r="AF1029" s="246" t="s">
        <v>486</v>
      </c>
      <c r="AG1029" s="246" t="s">
        <v>486</v>
      </c>
      <c r="AH1029" s="246" t="s">
        <v>486</v>
      </c>
      <c r="AI1029" s="246" t="s">
        <v>486</v>
      </c>
      <c r="AJ1029" s="246" t="s">
        <v>486</v>
      </c>
      <c r="AK1029" s="246" t="s">
        <v>486</v>
      </c>
      <c r="AL1029" s="246" t="s">
        <v>491</v>
      </c>
      <c r="AM1029" s="246" t="s">
        <v>486</v>
      </c>
      <c r="AN1029" s="246" t="s">
        <v>486</v>
      </c>
      <c r="AO1029" s="248" t="s">
        <v>486</v>
      </c>
      <c r="AP1029" s="247" t="s">
        <v>486</v>
      </c>
      <c r="AQ1029" s="249" t="s">
        <v>486</v>
      </c>
      <c r="AR1029" s="246" t="s">
        <v>486</v>
      </c>
    </row>
    <row r="1030" spans="1:44" ht="15" x14ac:dyDescent="0.25">
      <c r="A1030" s="250" t="str">
        <f>HYPERLINK("http://www.ofsted.gov.uk/inspection-reports/find-inspection-report/provider/ELS/142332 ","Ofsted School Webpage")</f>
        <v>Ofsted School Webpage</v>
      </c>
      <c r="B1030" s="251">
        <v>142332</v>
      </c>
      <c r="C1030" s="251">
        <v>8966002</v>
      </c>
      <c r="D1030" s="251" t="s">
        <v>1060</v>
      </c>
      <c r="E1030" s="251" t="s">
        <v>247</v>
      </c>
      <c r="F1030" s="251" t="s">
        <v>93</v>
      </c>
      <c r="G1030" s="251" t="s">
        <v>93</v>
      </c>
      <c r="H1030" s="251" t="s">
        <v>93</v>
      </c>
      <c r="I1030" s="251" t="s">
        <v>90</v>
      </c>
      <c r="J1030" s="251" t="s">
        <v>1490</v>
      </c>
      <c r="K1030" s="251" t="s">
        <v>486</v>
      </c>
      <c r="L1030" s="251" t="s">
        <v>487</v>
      </c>
      <c r="M1030" s="251" t="s">
        <v>495</v>
      </c>
      <c r="N1030" s="251" t="s">
        <v>495</v>
      </c>
      <c r="O1030" s="251" t="s">
        <v>1061</v>
      </c>
      <c r="P1030" s="251" t="s">
        <v>1062</v>
      </c>
      <c r="Q1030" s="252">
        <v>10067925</v>
      </c>
      <c r="R1030" s="253">
        <v>43522</v>
      </c>
      <c r="S1030" s="253">
        <v>43524</v>
      </c>
      <c r="T1030" s="253">
        <v>43550</v>
      </c>
      <c r="U1030" s="251" t="s">
        <v>488</v>
      </c>
      <c r="V1030" s="251">
        <v>2</v>
      </c>
      <c r="W1030" s="251" t="s">
        <v>219</v>
      </c>
      <c r="X1030" s="251">
        <v>2</v>
      </c>
      <c r="Y1030" s="251">
        <v>2</v>
      </c>
      <c r="Z1030" s="251">
        <v>2</v>
      </c>
      <c r="AA1030" s="251">
        <v>2</v>
      </c>
      <c r="AB1030" s="251" t="s">
        <v>486</v>
      </c>
      <c r="AC1030" s="251" t="s">
        <v>486</v>
      </c>
      <c r="AD1030" s="251" t="s">
        <v>490</v>
      </c>
      <c r="AE1030" s="251" t="s">
        <v>486</v>
      </c>
      <c r="AF1030" s="251" t="s">
        <v>486</v>
      </c>
      <c r="AG1030" s="251" t="s">
        <v>486</v>
      </c>
      <c r="AH1030" s="251" t="s">
        <v>486</v>
      </c>
      <c r="AI1030" s="251" t="s">
        <v>486</v>
      </c>
      <c r="AJ1030" s="251" t="s">
        <v>486</v>
      </c>
      <c r="AK1030" s="251" t="s">
        <v>486</v>
      </c>
      <c r="AL1030" s="251" t="s">
        <v>491</v>
      </c>
      <c r="AM1030" s="251" t="s">
        <v>486</v>
      </c>
      <c r="AN1030" s="251" t="s">
        <v>486</v>
      </c>
      <c r="AO1030" s="253" t="s">
        <v>486</v>
      </c>
      <c r="AP1030" s="252" t="s">
        <v>486</v>
      </c>
      <c r="AQ1030" s="254" t="s">
        <v>486</v>
      </c>
      <c r="AR1030" s="251" t="s">
        <v>486</v>
      </c>
    </row>
    <row r="1031" spans="1:44" ht="15" x14ac:dyDescent="0.25">
      <c r="A1031" s="245" t="str">
        <f>HYPERLINK("http://www.ofsted.gov.uk/inspection-reports/find-inspection-report/provider/ELS/145574 ","Ofsted School Webpage")</f>
        <v>Ofsted School Webpage</v>
      </c>
      <c r="B1031" s="246">
        <v>145574</v>
      </c>
      <c r="C1031" s="246">
        <v>8866149</v>
      </c>
      <c r="D1031" s="246" t="s">
        <v>1058</v>
      </c>
      <c r="E1031" s="246" t="s">
        <v>248</v>
      </c>
      <c r="F1031" s="246" t="s">
        <v>93</v>
      </c>
      <c r="G1031" s="246" t="s">
        <v>93</v>
      </c>
      <c r="H1031" s="246" t="s">
        <v>93</v>
      </c>
      <c r="I1031" s="246" t="s">
        <v>90</v>
      </c>
      <c r="J1031" s="246" t="s">
        <v>1490</v>
      </c>
      <c r="K1031" s="246" t="s">
        <v>486</v>
      </c>
      <c r="L1031" s="246" t="s">
        <v>487</v>
      </c>
      <c r="M1031" s="246" t="s">
        <v>581</v>
      </c>
      <c r="N1031" s="246" t="s">
        <v>581</v>
      </c>
      <c r="O1031" s="246" t="s">
        <v>694</v>
      </c>
      <c r="P1031" s="246" t="s">
        <v>1059</v>
      </c>
      <c r="Q1031" s="247">
        <v>10080964</v>
      </c>
      <c r="R1031" s="248">
        <v>43522</v>
      </c>
      <c r="S1031" s="248">
        <v>43524</v>
      </c>
      <c r="T1031" s="248">
        <v>43550</v>
      </c>
      <c r="U1031" s="246" t="s">
        <v>499</v>
      </c>
      <c r="V1031" s="246">
        <v>3</v>
      </c>
      <c r="W1031" s="246" t="s">
        <v>219</v>
      </c>
      <c r="X1031" s="246">
        <v>3</v>
      </c>
      <c r="Y1031" s="246">
        <v>2</v>
      </c>
      <c r="Z1031" s="246">
        <v>3</v>
      </c>
      <c r="AA1031" s="246">
        <v>3</v>
      </c>
      <c r="AB1031" s="246" t="s">
        <v>486</v>
      </c>
      <c r="AC1031" s="246" t="s">
        <v>486</v>
      </c>
      <c r="AD1031" s="246" t="s">
        <v>490</v>
      </c>
      <c r="AE1031" s="246" t="s">
        <v>486</v>
      </c>
      <c r="AF1031" s="246" t="s">
        <v>486</v>
      </c>
      <c r="AG1031" s="246" t="s">
        <v>486</v>
      </c>
      <c r="AH1031" s="246" t="s">
        <v>486</v>
      </c>
      <c r="AI1031" s="246" t="s">
        <v>486</v>
      </c>
      <c r="AJ1031" s="246" t="s">
        <v>486</v>
      </c>
      <c r="AK1031" s="246" t="s">
        <v>486</v>
      </c>
      <c r="AL1031" s="246" t="s">
        <v>491</v>
      </c>
      <c r="AM1031" s="246" t="s">
        <v>486</v>
      </c>
      <c r="AN1031" s="246" t="s">
        <v>486</v>
      </c>
      <c r="AO1031" s="248" t="s">
        <v>486</v>
      </c>
      <c r="AP1031" s="247" t="s">
        <v>486</v>
      </c>
      <c r="AQ1031" s="249" t="s">
        <v>486</v>
      </c>
      <c r="AR1031" s="246" t="s">
        <v>486</v>
      </c>
    </row>
    <row r="1032" spans="1:44" ht="15" x14ac:dyDescent="0.25">
      <c r="A1032" s="250" t="str">
        <f>HYPERLINK("http://www.ofsted.gov.uk/inspection-reports/find-inspection-report/provider/ELS/113019 ","Ofsted School Webpage")</f>
        <v>Ofsted School Webpage</v>
      </c>
      <c r="B1032" s="251">
        <v>113019</v>
      </c>
      <c r="C1032" s="251">
        <v>8306009</v>
      </c>
      <c r="D1032" s="251" t="s">
        <v>1075</v>
      </c>
      <c r="E1032" s="251" t="s">
        <v>248</v>
      </c>
      <c r="F1032" s="251" t="s">
        <v>93</v>
      </c>
      <c r="G1032" s="251" t="s">
        <v>93</v>
      </c>
      <c r="H1032" s="251" t="s">
        <v>93</v>
      </c>
      <c r="I1032" s="251" t="s">
        <v>90</v>
      </c>
      <c r="J1032" s="251" t="s">
        <v>1490</v>
      </c>
      <c r="K1032" s="251" t="s">
        <v>486</v>
      </c>
      <c r="L1032" s="251" t="s">
        <v>487</v>
      </c>
      <c r="M1032" s="251" t="s">
        <v>572</v>
      </c>
      <c r="N1032" s="251" t="s">
        <v>572</v>
      </c>
      <c r="O1032" s="251" t="s">
        <v>573</v>
      </c>
      <c r="P1032" s="251" t="s">
        <v>1076</v>
      </c>
      <c r="Q1032" s="252">
        <v>10078658</v>
      </c>
      <c r="R1032" s="253">
        <v>43529</v>
      </c>
      <c r="S1032" s="253">
        <v>43531</v>
      </c>
      <c r="T1032" s="253">
        <v>43550</v>
      </c>
      <c r="U1032" s="251" t="s">
        <v>488</v>
      </c>
      <c r="V1032" s="251">
        <v>2</v>
      </c>
      <c r="W1032" s="251" t="s">
        <v>219</v>
      </c>
      <c r="X1032" s="251">
        <v>2</v>
      </c>
      <c r="Y1032" s="251">
        <v>2</v>
      </c>
      <c r="Z1032" s="251">
        <v>2</v>
      </c>
      <c r="AA1032" s="251">
        <v>2</v>
      </c>
      <c r="AB1032" s="251" t="s">
        <v>486</v>
      </c>
      <c r="AC1032" s="251">
        <v>2</v>
      </c>
      <c r="AD1032" s="251" t="s">
        <v>490</v>
      </c>
      <c r="AE1032" s="251" t="s">
        <v>486</v>
      </c>
      <c r="AF1032" s="251" t="s">
        <v>486</v>
      </c>
      <c r="AG1032" s="251" t="s">
        <v>486</v>
      </c>
      <c r="AH1032" s="251" t="s">
        <v>486</v>
      </c>
      <c r="AI1032" s="251" t="s">
        <v>486</v>
      </c>
      <c r="AJ1032" s="251" t="s">
        <v>486</v>
      </c>
      <c r="AK1032" s="251" t="s">
        <v>486</v>
      </c>
      <c r="AL1032" s="251" t="s">
        <v>491</v>
      </c>
      <c r="AM1032" s="251" t="s">
        <v>486</v>
      </c>
      <c r="AN1032" s="251" t="s">
        <v>486</v>
      </c>
      <c r="AO1032" s="253" t="s">
        <v>486</v>
      </c>
      <c r="AP1032" s="252" t="s">
        <v>486</v>
      </c>
      <c r="AQ1032" s="254" t="s">
        <v>486</v>
      </c>
      <c r="AR1032" s="251" t="s">
        <v>486</v>
      </c>
    </row>
    <row r="1033" spans="1:44" ht="15" x14ac:dyDescent="0.25">
      <c r="A1033" s="245" t="str">
        <f>HYPERLINK("http://www.ofsted.gov.uk/inspection-reports/find-inspection-report/provider/ELS/125403 ","Ofsted School Webpage")</f>
        <v>Ofsted School Webpage</v>
      </c>
      <c r="B1033" s="246">
        <v>125403</v>
      </c>
      <c r="C1033" s="246">
        <v>9366420</v>
      </c>
      <c r="D1033" s="246" t="s">
        <v>1085</v>
      </c>
      <c r="E1033" s="246" t="s">
        <v>248</v>
      </c>
      <c r="F1033" s="246" t="s">
        <v>72</v>
      </c>
      <c r="G1033" s="246" t="s">
        <v>79</v>
      </c>
      <c r="H1033" s="246" t="s">
        <v>72</v>
      </c>
      <c r="I1033" s="246" t="s">
        <v>71</v>
      </c>
      <c r="J1033" s="246" t="s">
        <v>1490</v>
      </c>
      <c r="K1033" s="246" t="s">
        <v>486</v>
      </c>
      <c r="L1033" s="246" t="s">
        <v>487</v>
      </c>
      <c r="M1033" s="246" t="s">
        <v>581</v>
      </c>
      <c r="N1033" s="246" t="s">
        <v>581</v>
      </c>
      <c r="O1033" s="246" t="s">
        <v>788</v>
      </c>
      <c r="P1033" s="246" t="s">
        <v>1086</v>
      </c>
      <c r="Q1033" s="247">
        <v>10056671</v>
      </c>
      <c r="R1033" s="248">
        <v>43529</v>
      </c>
      <c r="S1033" s="248">
        <v>43531</v>
      </c>
      <c r="T1033" s="248">
        <v>43549</v>
      </c>
      <c r="U1033" s="246" t="s">
        <v>624</v>
      </c>
      <c r="V1033" s="246">
        <v>1</v>
      </c>
      <c r="W1033" s="246" t="s">
        <v>219</v>
      </c>
      <c r="X1033" s="246">
        <v>1</v>
      </c>
      <c r="Y1033" s="246">
        <v>1</v>
      </c>
      <c r="Z1033" s="246">
        <v>1</v>
      </c>
      <c r="AA1033" s="246">
        <v>1</v>
      </c>
      <c r="AB1033" s="246" t="s">
        <v>486</v>
      </c>
      <c r="AC1033" s="246">
        <v>1</v>
      </c>
      <c r="AD1033" s="246" t="s">
        <v>490</v>
      </c>
      <c r="AE1033" s="246" t="s">
        <v>486</v>
      </c>
      <c r="AF1033" s="246" t="s">
        <v>486</v>
      </c>
      <c r="AG1033" s="246" t="s">
        <v>486</v>
      </c>
      <c r="AH1033" s="246" t="s">
        <v>486</v>
      </c>
      <c r="AI1033" s="246" t="s">
        <v>486</v>
      </c>
      <c r="AJ1033" s="246" t="s">
        <v>486</v>
      </c>
      <c r="AK1033" s="246" t="s">
        <v>486</v>
      </c>
      <c r="AL1033" s="246" t="s">
        <v>491</v>
      </c>
      <c r="AM1033" s="246" t="s">
        <v>486</v>
      </c>
      <c r="AN1033" s="246" t="s">
        <v>486</v>
      </c>
      <c r="AO1033" s="248" t="s">
        <v>486</v>
      </c>
      <c r="AP1033" s="247" t="s">
        <v>486</v>
      </c>
      <c r="AQ1033" s="249" t="s">
        <v>486</v>
      </c>
      <c r="AR1033" s="246" t="s">
        <v>486</v>
      </c>
    </row>
    <row r="1034" spans="1:44" ht="15" x14ac:dyDescent="0.25">
      <c r="A1034" s="250" t="str">
        <f>HYPERLINK("http://www.ofsted.gov.uk/inspection-reports/find-inspection-report/provider/ELS/130399 ","Ofsted School Webpage")</f>
        <v>Ofsted School Webpage</v>
      </c>
      <c r="B1034" s="251">
        <v>130399</v>
      </c>
      <c r="C1034" s="251">
        <v>3576001</v>
      </c>
      <c r="D1034" s="251" t="s">
        <v>1081</v>
      </c>
      <c r="E1034" s="251" t="s">
        <v>247</v>
      </c>
      <c r="F1034" s="251" t="s">
        <v>93</v>
      </c>
      <c r="G1034" s="251" t="s">
        <v>93</v>
      </c>
      <c r="H1034" s="251" t="s">
        <v>93</v>
      </c>
      <c r="I1034" s="251" t="s">
        <v>90</v>
      </c>
      <c r="J1034" s="251" t="s">
        <v>1490</v>
      </c>
      <c r="K1034" s="251" t="s">
        <v>486</v>
      </c>
      <c r="L1034" s="251" t="s">
        <v>487</v>
      </c>
      <c r="M1034" s="251" t="s">
        <v>495</v>
      </c>
      <c r="N1034" s="251" t="s">
        <v>495</v>
      </c>
      <c r="O1034" s="251" t="s">
        <v>834</v>
      </c>
      <c r="P1034" s="251" t="s">
        <v>1082</v>
      </c>
      <c r="Q1034" s="252">
        <v>10067886</v>
      </c>
      <c r="R1034" s="253">
        <v>43529</v>
      </c>
      <c r="S1034" s="253">
        <v>43531</v>
      </c>
      <c r="T1034" s="253">
        <v>43549</v>
      </c>
      <c r="U1034" s="251" t="s">
        <v>488</v>
      </c>
      <c r="V1034" s="251">
        <v>2</v>
      </c>
      <c r="W1034" s="251" t="s">
        <v>219</v>
      </c>
      <c r="X1034" s="251">
        <v>2</v>
      </c>
      <c r="Y1034" s="251">
        <v>2</v>
      </c>
      <c r="Z1034" s="251">
        <v>2</v>
      </c>
      <c r="AA1034" s="251">
        <v>2</v>
      </c>
      <c r="AB1034" s="251" t="s">
        <v>486</v>
      </c>
      <c r="AC1034" s="251" t="s">
        <v>486</v>
      </c>
      <c r="AD1034" s="251" t="s">
        <v>490</v>
      </c>
      <c r="AE1034" s="251" t="s">
        <v>486</v>
      </c>
      <c r="AF1034" s="251" t="s">
        <v>486</v>
      </c>
      <c r="AG1034" s="251" t="s">
        <v>486</v>
      </c>
      <c r="AH1034" s="251" t="s">
        <v>486</v>
      </c>
      <c r="AI1034" s="251" t="s">
        <v>486</v>
      </c>
      <c r="AJ1034" s="251" t="s">
        <v>486</v>
      </c>
      <c r="AK1034" s="251" t="s">
        <v>486</v>
      </c>
      <c r="AL1034" s="251" t="s">
        <v>491</v>
      </c>
      <c r="AM1034" s="251" t="s">
        <v>486</v>
      </c>
      <c r="AN1034" s="251" t="s">
        <v>486</v>
      </c>
      <c r="AO1034" s="253" t="s">
        <v>486</v>
      </c>
      <c r="AP1034" s="252" t="s">
        <v>486</v>
      </c>
      <c r="AQ1034" s="254" t="s">
        <v>486</v>
      </c>
      <c r="AR1034" s="251" t="s">
        <v>486</v>
      </c>
    </row>
    <row r="1035" spans="1:44" ht="15" x14ac:dyDescent="0.25">
      <c r="A1035" s="245" t="str">
        <f>HYPERLINK("http://www.ofsted.gov.uk/inspection-reports/find-inspection-report/provider/ELS/132079 ","Ofsted School Webpage")</f>
        <v>Ofsted School Webpage</v>
      </c>
      <c r="B1035" s="246">
        <v>132079</v>
      </c>
      <c r="C1035" s="246">
        <v>8886046</v>
      </c>
      <c r="D1035" s="246" t="s">
        <v>1079</v>
      </c>
      <c r="E1035" s="246" t="s">
        <v>248</v>
      </c>
      <c r="F1035" s="246" t="s">
        <v>93</v>
      </c>
      <c r="G1035" s="246" t="s">
        <v>93</v>
      </c>
      <c r="H1035" s="246" t="s">
        <v>93</v>
      </c>
      <c r="I1035" s="246" t="s">
        <v>90</v>
      </c>
      <c r="J1035" s="246" t="s">
        <v>1490</v>
      </c>
      <c r="K1035" s="246" t="s">
        <v>486</v>
      </c>
      <c r="L1035" s="246" t="s">
        <v>487</v>
      </c>
      <c r="M1035" s="246" t="s">
        <v>495</v>
      </c>
      <c r="N1035" s="246" t="s">
        <v>495</v>
      </c>
      <c r="O1035" s="246" t="s">
        <v>534</v>
      </c>
      <c r="P1035" s="246" t="s">
        <v>1080</v>
      </c>
      <c r="Q1035" s="247">
        <v>10067894</v>
      </c>
      <c r="R1035" s="248">
        <v>43529</v>
      </c>
      <c r="S1035" s="248">
        <v>43531</v>
      </c>
      <c r="T1035" s="248">
        <v>43550</v>
      </c>
      <c r="U1035" s="246" t="s">
        <v>488</v>
      </c>
      <c r="V1035" s="246">
        <v>2</v>
      </c>
      <c r="W1035" s="246" t="s">
        <v>220</v>
      </c>
      <c r="X1035" s="246">
        <v>2</v>
      </c>
      <c r="Y1035" s="246">
        <v>2</v>
      </c>
      <c r="Z1035" s="246">
        <v>2</v>
      </c>
      <c r="AA1035" s="246">
        <v>2</v>
      </c>
      <c r="AB1035" s="246" t="s">
        <v>486</v>
      </c>
      <c r="AC1035" s="246" t="s">
        <v>486</v>
      </c>
      <c r="AD1035" s="246" t="s">
        <v>490</v>
      </c>
      <c r="AE1035" s="246" t="s">
        <v>486</v>
      </c>
      <c r="AF1035" s="246" t="s">
        <v>486</v>
      </c>
      <c r="AG1035" s="246" t="s">
        <v>486</v>
      </c>
      <c r="AH1035" s="246" t="s">
        <v>486</v>
      </c>
      <c r="AI1035" s="246" t="s">
        <v>486</v>
      </c>
      <c r="AJ1035" s="246" t="s">
        <v>486</v>
      </c>
      <c r="AK1035" s="246" t="s">
        <v>486</v>
      </c>
      <c r="AL1035" s="246" t="s">
        <v>491</v>
      </c>
      <c r="AM1035" s="246" t="s">
        <v>486</v>
      </c>
      <c r="AN1035" s="246" t="s">
        <v>486</v>
      </c>
      <c r="AO1035" s="248" t="s">
        <v>486</v>
      </c>
      <c r="AP1035" s="247" t="s">
        <v>486</v>
      </c>
      <c r="AQ1035" s="249" t="s">
        <v>486</v>
      </c>
      <c r="AR1035" s="246" t="s">
        <v>486</v>
      </c>
    </row>
    <row r="1036" spans="1:44" ht="15" x14ac:dyDescent="0.25">
      <c r="A1036" s="250" t="str">
        <f>HYPERLINK("http://www.ofsted.gov.uk/inspection-reports/find-inspection-report/provider/ELS/142013 ","Ofsted School Webpage")</f>
        <v>Ofsted School Webpage</v>
      </c>
      <c r="B1036" s="251">
        <v>142013</v>
      </c>
      <c r="C1036" s="251">
        <v>8606041</v>
      </c>
      <c r="D1036" s="251" t="s">
        <v>1077</v>
      </c>
      <c r="E1036" s="251" t="s">
        <v>248</v>
      </c>
      <c r="F1036" s="251" t="s">
        <v>93</v>
      </c>
      <c r="G1036" s="251" t="s">
        <v>93</v>
      </c>
      <c r="H1036" s="251" t="s">
        <v>93</v>
      </c>
      <c r="I1036" s="251" t="s">
        <v>90</v>
      </c>
      <c r="J1036" s="251" t="s">
        <v>1490</v>
      </c>
      <c r="K1036" s="251" t="s">
        <v>486</v>
      </c>
      <c r="L1036" s="251" t="s">
        <v>487</v>
      </c>
      <c r="M1036" s="251" t="s">
        <v>502</v>
      </c>
      <c r="N1036" s="251" t="s">
        <v>502</v>
      </c>
      <c r="O1036" s="251" t="s">
        <v>652</v>
      </c>
      <c r="P1036" s="251" t="s">
        <v>1078</v>
      </c>
      <c r="Q1036" s="252">
        <v>10056222</v>
      </c>
      <c r="R1036" s="253">
        <v>43529</v>
      </c>
      <c r="S1036" s="253">
        <v>43531</v>
      </c>
      <c r="T1036" s="253">
        <v>43551</v>
      </c>
      <c r="U1036" s="251" t="s">
        <v>488</v>
      </c>
      <c r="V1036" s="251">
        <v>2</v>
      </c>
      <c r="W1036" s="251" t="s">
        <v>219</v>
      </c>
      <c r="X1036" s="251">
        <v>2</v>
      </c>
      <c r="Y1036" s="251">
        <v>2</v>
      </c>
      <c r="Z1036" s="251">
        <v>2</v>
      </c>
      <c r="AA1036" s="251">
        <v>2</v>
      </c>
      <c r="AB1036" s="251" t="s">
        <v>486</v>
      </c>
      <c r="AC1036" s="251">
        <v>3</v>
      </c>
      <c r="AD1036" s="251" t="s">
        <v>490</v>
      </c>
      <c r="AE1036" s="251" t="s">
        <v>486</v>
      </c>
      <c r="AF1036" s="251" t="s">
        <v>486</v>
      </c>
      <c r="AG1036" s="251" t="s">
        <v>486</v>
      </c>
      <c r="AH1036" s="251" t="s">
        <v>486</v>
      </c>
      <c r="AI1036" s="251" t="s">
        <v>486</v>
      </c>
      <c r="AJ1036" s="251" t="s">
        <v>486</v>
      </c>
      <c r="AK1036" s="251" t="s">
        <v>486</v>
      </c>
      <c r="AL1036" s="251" t="s">
        <v>491</v>
      </c>
      <c r="AM1036" s="251" t="s">
        <v>486</v>
      </c>
      <c r="AN1036" s="251" t="s">
        <v>486</v>
      </c>
      <c r="AO1036" s="253" t="s">
        <v>486</v>
      </c>
      <c r="AP1036" s="252" t="s">
        <v>486</v>
      </c>
      <c r="AQ1036" s="254" t="s">
        <v>486</v>
      </c>
      <c r="AR1036" s="251" t="s">
        <v>486</v>
      </c>
    </row>
    <row r="1037" spans="1:44" ht="15" x14ac:dyDescent="0.25">
      <c r="A1037" s="245" t="str">
        <f>HYPERLINK("http://www.ofsted.gov.uk/inspection-reports/find-inspection-report/provider/ELS/142320 ","Ofsted School Webpage")</f>
        <v>Ofsted School Webpage</v>
      </c>
      <c r="B1037" s="246">
        <v>142320</v>
      </c>
      <c r="C1037" s="246">
        <v>3706000</v>
      </c>
      <c r="D1037" s="246" t="s">
        <v>836</v>
      </c>
      <c r="E1037" s="246" t="s">
        <v>248</v>
      </c>
      <c r="F1037" s="246" t="s">
        <v>93</v>
      </c>
      <c r="G1037" s="246" t="s">
        <v>93</v>
      </c>
      <c r="H1037" s="246" t="s">
        <v>93</v>
      </c>
      <c r="I1037" s="246" t="s">
        <v>90</v>
      </c>
      <c r="J1037" s="246" t="s">
        <v>1490</v>
      </c>
      <c r="K1037" s="246" t="s">
        <v>486</v>
      </c>
      <c r="L1037" s="246" t="s">
        <v>487</v>
      </c>
      <c r="M1037" s="246" t="s">
        <v>523</v>
      </c>
      <c r="N1037" s="246" t="s">
        <v>524</v>
      </c>
      <c r="O1037" s="246" t="s">
        <v>1083</v>
      </c>
      <c r="P1037" s="246" t="s">
        <v>1084</v>
      </c>
      <c r="Q1037" s="247">
        <v>10061285</v>
      </c>
      <c r="R1037" s="248">
        <v>43529</v>
      </c>
      <c r="S1037" s="248">
        <v>43531</v>
      </c>
      <c r="T1037" s="248">
        <v>43552</v>
      </c>
      <c r="U1037" s="246" t="s">
        <v>488</v>
      </c>
      <c r="V1037" s="246">
        <v>2</v>
      </c>
      <c r="W1037" s="246" t="s">
        <v>219</v>
      </c>
      <c r="X1037" s="246">
        <v>2</v>
      </c>
      <c r="Y1037" s="246">
        <v>2</v>
      </c>
      <c r="Z1037" s="246">
        <v>2</v>
      </c>
      <c r="AA1037" s="246">
        <v>2</v>
      </c>
      <c r="AB1037" s="246" t="s">
        <v>486</v>
      </c>
      <c r="AC1037" s="246" t="s">
        <v>486</v>
      </c>
      <c r="AD1037" s="246" t="s">
        <v>490</v>
      </c>
      <c r="AE1037" s="246" t="s">
        <v>486</v>
      </c>
      <c r="AF1037" s="246" t="s">
        <v>486</v>
      </c>
      <c r="AG1037" s="246" t="s">
        <v>486</v>
      </c>
      <c r="AH1037" s="246" t="s">
        <v>486</v>
      </c>
      <c r="AI1037" s="246" t="s">
        <v>486</v>
      </c>
      <c r="AJ1037" s="246" t="s">
        <v>486</v>
      </c>
      <c r="AK1037" s="246" t="s">
        <v>486</v>
      </c>
      <c r="AL1037" s="246" t="s">
        <v>491</v>
      </c>
      <c r="AM1037" s="246" t="s">
        <v>486</v>
      </c>
      <c r="AN1037" s="246" t="s">
        <v>486</v>
      </c>
      <c r="AO1037" s="248" t="s">
        <v>486</v>
      </c>
      <c r="AP1037" s="247" t="s">
        <v>486</v>
      </c>
      <c r="AQ1037" s="249" t="s">
        <v>486</v>
      </c>
      <c r="AR1037" s="246" t="s">
        <v>486</v>
      </c>
    </row>
    <row r="1038" spans="1:44" ht="15" x14ac:dyDescent="0.25">
      <c r="A1038" s="250" t="str">
        <f>HYPERLINK("http://www.ofsted.gov.uk/inspection-reports/find-inspection-report/provider/ELS/102550 ","Ofsted School Webpage")</f>
        <v>Ofsted School Webpage</v>
      </c>
      <c r="B1038" s="251">
        <v>102550</v>
      </c>
      <c r="C1038" s="251">
        <v>3136063</v>
      </c>
      <c r="D1038" s="251" t="s">
        <v>1087</v>
      </c>
      <c r="E1038" s="251" t="s">
        <v>247</v>
      </c>
      <c r="F1038" s="251" t="s">
        <v>93</v>
      </c>
      <c r="G1038" s="251" t="s">
        <v>93</v>
      </c>
      <c r="H1038" s="251" t="s">
        <v>93</v>
      </c>
      <c r="I1038" s="251" t="s">
        <v>90</v>
      </c>
      <c r="J1038" s="251" t="s">
        <v>1490</v>
      </c>
      <c r="K1038" s="251" t="s">
        <v>486</v>
      </c>
      <c r="L1038" s="251" t="s">
        <v>487</v>
      </c>
      <c r="M1038" s="251" t="s">
        <v>506</v>
      </c>
      <c r="N1038" s="251" t="s">
        <v>506</v>
      </c>
      <c r="O1038" s="251" t="s">
        <v>813</v>
      </c>
      <c r="P1038" s="251" t="s">
        <v>1088</v>
      </c>
      <c r="Q1038" s="252">
        <v>10067119</v>
      </c>
      <c r="R1038" s="253">
        <v>43536</v>
      </c>
      <c r="S1038" s="253">
        <v>43538</v>
      </c>
      <c r="T1038" s="253">
        <v>43552</v>
      </c>
      <c r="U1038" s="251" t="s">
        <v>488</v>
      </c>
      <c r="V1038" s="251">
        <v>2</v>
      </c>
      <c r="W1038" s="251" t="s">
        <v>219</v>
      </c>
      <c r="X1038" s="251">
        <v>2</v>
      </c>
      <c r="Y1038" s="251">
        <v>1</v>
      </c>
      <c r="Z1038" s="251">
        <v>2</v>
      </c>
      <c r="AA1038" s="251">
        <v>2</v>
      </c>
      <c r="AB1038" s="251">
        <v>2</v>
      </c>
      <c r="AC1038" s="251">
        <v>1</v>
      </c>
      <c r="AD1038" s="251" t="s">
        <v>490</v>
      </c>
      <c r="AE1038" s="251" t="s">
        <v>486</v>
      </c>
      <c r="AF1038" s="251" t="s">
        <v>486</v>
      </c>
      <c r="AG1038" s="251" t="s">
        <v>486</v>
      </c>
      <c r="AH1038" s="251" t="s">
        <v>486</v>
      </c>
      <c r="AI1038" s="251" t="s">
        <v>486</v>
      </c>
      <c r="AJ1038" s="251" t="s">
        <v>486</v>
      </c>
      <c r="AK1038" s="251" t="s">
        <v>486</v>
      </c>
      <c r="AL1038" s="251" t="s">
        <v>491</v>
      </c>
      <c r="AM1038" s="251" t="s">
        <v>486</v>
      </c>
      <c r="AN1038" s="251" t="s">
        <v>486</v>
      </c>
      <c r="AO1038" s="253" t="s">
        <v>486</v>
      </c>
      <c r="AP1038" s="252" t="s">
        <v>486</v>
      </c>
      <c r="AQ1038" s="254" t="s">
        <v>486</v>
      </c>
      <c r="AR1038" s="251" t="s">
        <v>486</v>
      </c>
    </row>
    <row r="1039" spans="1:44" ht="15" x14ac:dyDescent="0.25">
      <c r="A1039" s="245" t="str">
        <f>HYPERLINK("http://www.ofsted.gov.uk/inspection-reports/find-inspection-report/provider/ELS/125364 ","Ofsted School Webpage")</f>
        <v>Ofsted School Webpage</v>
      </c>
      <c r="B1039" s="246">
        <v>125364</v>
      </c>
      <c r="C1039" s="246">
        <v>9366102</v>
      </c>
      <c r="D1039" s="246" t="s">
        <v>2874</v>
      </c>
      <c r="E1039" s="246" t="s">
        <v>247</v>
      </c>
      <c r="F1039" s="246" t="s">
        <v>93</v>
      </c>
      <c r="G1039" s="246" t="s">
        <v>93</v>
      </c>
      <c r="H1039" s="246" t="s">
        <v>93</v>
      </c>
      <c r="I1039" s="246" t="s">
        <v>90</v>
      </c>
      <c r="J1039" s="246" t="s">
        <v>1490</v>
      </c>
      <c r="K1039" s="246" t="s">
        <v>486</v>
      </c>
      <c r="L1039" s="246" t="s">
        <v>487</v>
      </c>
      <c r="M1039" s="246" t="s">
        <v>581</v>
      </c>
      <c r="N1039" s="246" t="s">
        <v>581</v>
      </c>
      <c r="O1039" s="246" t="s">
        <v>788</v>
      </c>
      <c r="P1039" s="246" t="s">
        <v>2875</v>
      </c>
      <c r="Q1039" s="247" t="s">
        <v>486</v>
      </c>
      <c r="R1039" s="248" t="s">
        <v>486</v>
      </c>
      <c r="S1039" s="248" t="s">
        <v>486</v>
      </c>
      <c r="T1039" s="248" t="s">
        <v>486</v>
      </c>
      <c r="U1039" s="246" t="s">
        <v>486</v>
      </c>
      <c r="V1039" s="246" t="s">
        <v>486</v>
      </c>
      <c r="W1039" s="246" t="s">
        <v>486</v>
      </c>
      <c r="X1039" s="246" t="s">
        <v>486</v>
      </c>
      <c r="Y1039" s="246" t="s">
        <v>486</v>
      </c>
      <c r="Z1039" s="246" t="s">
        <v>486</v>
      </c>
      <c r="AA1039" s="246" t="s">
        <v>486</v>
      </c>
      <c r="AB1039" s="246" t="s">
        <v>486</v>
      </c>
      <c r="AC1039" s="246" t="s">
        <v>486</v>
      </c>
      <c r="AD1039" s="246" t="s">
        <v>486</v>
      </c>
      <c r="AE1039" s="246" t="s">
        <v>486</v>
      </c>
      <c r="AF1039" s="246" t="s">
        <v>486</v>
      </c>
      <c r="AG1039" s="246" t="s">
        <v>486</v>
      </c>
      <c r="AH1039" s="246" t="s">
        <v>486</v>
      </c>
      <c r="AI1039" s="246" t="s">
        <v>486</v>
      </c>
      <c r="AJ1039" s="246" t="s">
        <v>486</v>
      </c>
      <c r="AK1039" s="246" t="s">
        <v>486</v>
      </c>
      <c r="AL1039" s="246" t="s">
        <v>486</v>
      </c>
      <c r="AM1039" s="246" t="s">
        <v>486</v>
      </c>
      <c r="AN1039" s="246" t="s">
        <v>486</v>
      </c>
      <c r="AO1039" s="248" t="s">
        <v>486</v>
      </c>
      <c r="AP1039" s="247" t="s">
        <v>486</v>
      </c>
      <c r="AQ1039" s="249" t="s">
        <v>486</v>
      </c>
      <c r="AR1039" s="246" t="s">
        <v>486</v>
      </c>
    </row>
    <row r="1040" spans="1:44" ht="15" x14ac:dyDescent="0.25">
      <c r="A1040" s="250" t="str">
        <f>HYPERLINK("http://www.ofsted.gov.uk/inspection-reports/find-inspection-report/provider/ELS/129511 ","Ofsted School Webpage")</f>
        <v>Ofsted School Webpage</v>
      </c>
      <c r="B1040" s="251">
        <v>129511</v>
      </c>
      <c r="C1040" s="251">
        <v>9266154</v>
      </c>
      <c r="D1040" s="251" t="s">
        <v>2876</v>
      </c>
      <c r="E1040" s="251" t="s">
        <v>247</v>
      </c>
      <c r="F1040" s="251" t="s">
        <v>93</v>
      </c>
      <c r="G1040" s="251" t="s">
        <v>93</v>
      </c>
      <c r="H1040" s="251" t="s">
        <v>93</v>
      </c>
      <c r="I1040" s="251" t="s">
        <v>90</v>
      </c>
      <c r="J1040" s="251" t="s">
        <v>1490</v>
      </c>
      <c r="K1040" s="251" t="s">
        <v>486</v>
      </c>
      <c r="L1040" s="251" t="s">
        <v>487</v>
      </c>
      <c r="M1040" s="251" t="s">
        <v>516</v>
      </c>
      <c r="N1040" s="251" t="s">
        <v>516</v>
      </c>
      <c r="O1040" s="251" t="s">
        <v>528</v>
      </c>
      <c r="P1040" s="251" t="s">
        <v>2877</v>
      </c>
      <c r="Q1040" s="252" t="s">
        <v>486</v>
      </c>
      <c r="R1040" s="253" t="s">
        <v>486</v>
      </c>
      <c r="S1040" s="253" t="s">
        <v>486</v>
      </c>
      <c r="T1040" s="253" t="s">
        <v>486</v>
      </c>
      <c r="U1040" s="251" t="s">
        <v>486</v>
      </c>
      <c r="V1040" s="251" t="s">
        <v>486</v>
      </c>
      <c r="W1040" s="251" t="s">
        <v>486</v>
      </c>
      <c r="X1040" s="251" t="s">
        <v>486</v>
      </c>
      <c r="Y1040" s="251" t="s">
        <v>486</v>
      </c>
      <c r="Z1040" s="251" t="s">
        <v>486</v>
      </c>
      <c r="AA1040" s="251" t="s">
        <v>486</v>
      </c>
      <c r="AB1040" s="251" t="s">
        <v>486</v>
      </c>
      <c r="AC1040" s="251" t="s">
        <v>486</v>
      </c>
      <c r="AD1040" s="251" t="s">
        <v>486</v>
      </c>
      <c r="AE1040" s="251" t="s">
        <v>486</v>
      </c>
      <c r="AF1040" s="251" t="s">
        <v>486</v>
      </c>
      <c r="AG1040" s="251" t="s">
        <v>486</v>
      </c>
      <c r="AH1040" s="251" t="s">
        <v>486</v>
      </c>
      <c r="AI1040" s="251" t="s">
        <v>486</v>
      </c>
      <c r="AJ1040" s="251" t="s">
        <v>486</v>
      </c>
      <c r="AK1040" s="251" t="s">
        <v>486</v>
      </c>
      <c r="AL1040" s="251" t="s">
        <v>486</v>
      </c>
      <c r="AM1040" s="251" t="s">
        <v>486</v>
      </c>
      <c r="AN1040" s="251" t="s">
        <v>486</v>
      </c>
      <c r="AO1040" s="253" t="s">
        <v>486</v>
      </c>
      <c r="AP1040" s="252" t="s">
        <v>486</v>
      </c>
      <c r="AQ1040" s="254" t="s">
        <v>486</v>
      </c>
      <c r="AR1040" s="251" t="s">
        <v>486</v>
      </c>
    </row>
    <row r="1041" spans="1:44" ht="15" x14ac:dyDescent="0.25">
      <c r="A1041" s="245" t="str">
        <f>HYPERLINK("http://www.ofsted.gov.uk/inspection-reports/find-inspection-report/provider/ELS/138771 ","Ofsted School Webpage")</f>
        <v>Ofsted School Webpage</v>
      </c>
      <c r="B1041" s="246">
        <v>138771</v>
      </c>
      <c r="C1041" s="246">
        <v>3136002</v>
      </c>
      <c r="D1041" s="246" t="s">
        <v>2878</v>
      </c>
      <c r="E1041" s="246" t="s">
        <v>247</v>
      </c>
      <c r="F1041" s="246" t="s">
        <v>93</v>
      </c>
      <c r="G1041" s="246" t="s">
        <v>93</v>
      </c>
      <c r="H1041" s="246" t="s">
        <v>93</v>
      </c>
      <c r="I1041" s="246" t="s">
        <v>90</v>
      </c>
      <c r="J1041" s="246" t="s">
        <v>1490</v>
      </c>
      <c r="K1041" s="246" t="s">
        <v>486</v>
      </c>
      <c r="L1041" s="246" t="s">
        <v>487</v>
      </c>
      <c r="M1041" s="246" t="s">
        <v>506</v>
      </c>
      <c r="N1041" s="246" t="s">
        <v>506</v>
      </c>
      <c r="O1041" s="246" t="s">
        <v>813</v>
      </c>
      <c r="P1041" s="246" t="s">
        <v>2879</v>
      </c>
      <c r="Q1041" s="247" t="s">
        <v>486</v>
      </c>
      <c r="R1041" s="248" t="s">
        <v>486</v>
      </c>
      <c r="S1041" s="248" t="s">
        <v>486</v>
      </c>
      <c r="T1041" s="248" t="s">
        <v>486</v>
      </c>
      <c r="U1041" s="246" t="s">
        <v>486</v>
      </c>
      <c r="V1041" s="246" t="s">
        <v>486</v>
      </c>
      <c r="W1041" s="246" t="s">
        <v>486</v>
      </c>
      <c r="X1041" s="246" t="s">
        <v>486</v>
      </c>
      <c r="Y1041" s="246" t="s">
        <v>486</v>
      </c>
      <c r="Z1041" s="246" t="s">
        <v>486</v>
      </c>
      <c r="AA1041" s="246" t="s">
        <v>486</v>
      </c>
      <c r="AB1041" s="246" t="s">
        <v>486</v>
      </c>
      <c r="AC1041" s="246" t="s">
        <v>486</v>
      </c>
      <c r="AD1041" s="246" t="s">
        <v>486</v>
      </c>
      <c r="AE1041" s="246" t="s">
        <v>486</v>
      </c>
      <c r="AF1041" s="246" t="s">
        <v>486</v>
      </c>
      <c r="AG1041" s="246" t="s">
        <v>486</v>
      </c>
      <c r="AH1041" s="246" t="s">
        <v>486</v>
      </c>
      <c r="AI1041" s="246" t="s">
        <v>486</v>
      </c>
      <c r="AJ1041" s="246" t="s">
        <v>486</v>
      </c>
      <c r="AK1041" s="246" t="s">
        <v>486</v>
      </c>
      <c r="AL1041" s="246" t="s">
        <v>486</v>
      </c>
      <c r="AM1041" s="246" t="s">
        <v>486</v>
      </c>
      <c r="AN1041" s="246" t="s">
        <v>486</v>
      </c>
      <c r="AO1041" s="248" t="s">
        <v>486</v>
      </c>
      <c r="AP1041" s="247" t="s">
        <v>486</v>
      </c>
      <c r="AQ1041" s="249" t="s">
        <v>486</v>
      </c>
      <c r="AR1041" s="246" t="s">
        <v>486</v>
      </c>
    </row>
    <row r="1042" spans="1:44" ht="15" x14ac:dyDescent="0.25">
      <c r="A1042" s="250" t="str">
        <f>HYPERLINK("http://www.ofsted.gov.uk/inspection-reports/find-inspection-report/provider/ELS/143425 ","Ofsted School Webpage")</f>
        <v>Ofsted School Webpage</v>
      </c>
      <c r="B1042" s="251">
        <v>143425</v>
      </c>
      <c r="C1042" s="251">
        <v>3146000</v>
      </c>
      <c r="D1042" s="251" t="s">
        <v>2880</v>
      </c>
      <c r="E1042" s="251" t="s">
        <v>247</v>
      </c>
      <c r="F1042" s="251" t="s">
        <v>93</v>
      </c>
      <c r="G1042" s="251" t="s">
        <v>93</v>
      </c>
      <c r="H1042" s="251" t="s">
        <v>93</v>
      </c>
      <c r="I1042" s="251" t="s">
        <v>90</v>
      </c>
      <c r="J1042" s="251" t="s">
        <v>1490</v>
      </c>
      <c r="K1042" s="251" t="s">
        <v>486</v>
      </c>
      <c r="L1042" s="251" t="s">
        <v>487</v>
      </c>
      <c r="M1042" s="251" t="s">
        <v>506</v>
      </c>
      <c r="N1042" s="251" t="s">
        <v>506</v>
      </c>
      <c r="O1042" s="251" t="s">
        <v>1415</v>
      </c>
      <c r="P1042" s="251" t="s">
        <v>2881</v>
      </c>
      <c r="Q1042" s="252" t="s">
        <v>486</v>
      </c>
      <c r="R1042" s="253" t="s">
        <v>486</v>
      </c>
      <c r="S1042" s="253" t="s">
        <v>486</v>
      </c>
      <c r="T1042" s="253" t="s">
        <v>486</v>
      </c>
      <c r="U1042" s="251" t="s">
        <v>486</v>
      </c>
      <c r="V1042" s="251" t="s">
        <v>486</v>
      </c>
      <c r="W1042" s="251" t="s">
        <v>486</v>
      </c>
      <c r="X1042" s="251" t="s">
        <v>486</v>
      </c>
      <c r="Y1042" s="251" t="s">
        <v>486</v>
      </c>
      <c r="Z1042" s="251" t="s">
        <v>486</v>
      </c>
      <c r="AA1042" s="251" t="s">
        <v>486</v>
      </c>
      <c r="AB1042" s="251" t="s">
        <v>486</v>
      </c>
      <c r="AC1042" s="251" t="s">
        <v>486</v>
      </c>
      <c r="AD1042" s="251" t="s">
        <v>486</v>
      </c>
      <c r="AE1042" s="251" t="s">
        <v>486</v>
      </c>
      <c r="AF1042" s="251" t="s">
        <v>486</v>
      </c>
      <c r="AG1042" s="251" t="s">
        <v>486</v>
      </c>
      <c r="AH1042" s="251" t="s">
        <v>486</v>
      </c>
      <c r="AI1042" s="251" t="s">
        <v>486</v>
      </c>
      <c r="AJ1042" s="251" t="s">
        <v>486</v>
      </c>
      <c r="AK1042" s="251" t="s">
        <v>486</v>
      </c>
      <c r="AL1042" s="251" t="s">
        <v>486</v>
      </c>
      <c r="AM1042" s="251" t="s">
        <v>486</v>
      </c>
      <c r="AN1042" s="251" t="s">
        <v>486</v>
      </c>
      <c r="AO1042" s="253" t="s">
        <v>486</v>
      </c>
      <c r="AP1042" s="252" t="s">
        <v>486</v>
      </c>
      <c r="AQ1042" s="254" t="s">
        <v>486</v>
      </c>
      <c r="AR1042" s="251" t="s">
        <v>486</v>
      </c>
    </row>
    <row r="1043" spans="1:44" ht="15" x14ac:dyDescent="0.25">
      <c r="A1043" s="245" t="str">
        <f>HYPERLINK("http://www.ofsted.gov.uk/inspection-reports/find-inspection-report/provider/ELS/144377 ","Ofsted School Webpage")</f>
        <v>Ofsted School Webpage</v>
      </c>
      <c r="B1043" s="246">
        <v>144377</v>
      </c>
      <c r="C1043" s="246">
        <v>9286003</v>
      </c>
      <c r="D1043" s="246" t="s">
        <v>2882</v>
      </c>
      <c r="E1043" s="246" t="s">
        <v>247</v>
      </c>
      <c r="F1043" s="246" t="s">
        <v>93</v>
      </c>
      <c r="G1043" s="246" t="s">
        <v>93</v>
      </c>
      <c r="H1043" s="246" t="s">
        <v>93</v>
      </c>
      <c r="I1043" s="246" t="s">
        <v>90</v>
      </c>
      <c r="J1043" s="246" t="s">
        <v>1490</v>
      </c>
      <c r="K1043" s="246" t="s">
        <v>486</v>
      </c>
      <c r="L1043" s="246" t="s">
        <v>487</v>
      </c>
      <c r="M1043" s="246" t="s">
        <v>572</v>
      </c>
      <c r="N1043" s="246" t="s">
        <v>572</v>
      </c>
      <c r="O1043" s="246" t="s">
        <v>1297</v>
      </c>
      <c r="P1043" s="246" t="s">
        <v>2883</v>
      </c>
      <c r="Q1043" s="247" t="s">
        <v>486</v>
      </c>
      <c r="R1043" s="248" t="s">
        <v>486</v>
      </c>
      <c r="S1043" s="248" t="s">
        <v>486</v>
      </c>
      <c r="T1043" s="248" t="s">
        <v>486</v>
      </c>
      <c r="U1043" s="246" t="s">
        <v>486</v>
      </c>
      <c r="V1043" s="246" t="s">
        <v>486</v>
      </c>
      <c r="W1043" s="246" t="s">
        <v>486</v>
      </c>
      <c r="X1043" s="246" t="s">
        <v>486</v>
      </c>
      <c r="Y1043" s="246" t="s">
        <v>486</v>
      </c>
      <c r="Z1043" s="246" t="s">
        <v>486</v>
      </c>
      <c r="AA1043" s="246" t="s">
        <v>486</v>
      </c>
      <c r="AB1043" s="246" t="s">
        <v>486</v>
      </c>
      <c r="AC1043" s="246" t="s">
        <v>486</v>
      </c>
      <c r="AD1043" s="246" t="s">
        <v>486</v>
      </c>
      <c r="AE1043" s="246" t="s">
        <v>486</v>
      </c>
      <c r="AF1043" s="246" t="s">
        <v>486</v>
      </c>
      <c r="AG1043" s="246" t="s">
        <v>486</v>
      </c>
      <c r="AH1043" s="246" t="s">
        <v>486</v>
      </c>
      <c r="AI1043" s="246" t="s">
        <v>486</v>
      </c>
      <c r="AJ1043" s="246" t="s">
        <v>486</v>
      </c>
      <c r="AK1043" s="246" t="s">
        <v>486</v>
      </c>
      <c r="AL1043" s="246" t="s">
        <v>486</v>
      </c>
      <c r="AM1043" s="246" t="s">
        <v>486</v>
      </c>
      <c r="AN1043" s="246" t="s">
        <v>486</v>
      </c>
      <c r="AO1043" s="248" t="s">
        <v>486</v>
      </c>
      <c r="AP1043" s="247" t="s">
        <v>486</v>
      </c>
      <c r="AQ1043" s="249" t="s">
        <v>486</v>
      </c>
      <c r="AR1043" s="246" t="s">
        <v>486</v>
      </c>
    </row>
    <row r="1044" spans="1:44" ht="15" x14ac:dyDescent="0.25">
      <c r="A1044" s="250" t="str">
        <f>HYPERLINK("http://www.ofsted.gov.uk/inspection-reports/find-inspection-report/provider/ELS/144801 ","Ofsted School Webpage")</f>
        <v>Ofsted School Webpage</v>
      </c>
      <c r="B1044" s="251">
        <v>144801</v>
      </c>
      <c r="C1044" s="251">
        <v>9316018</v>
      </c>
      <c r="D1044" s="251" t="s">
        <v>2884</v>
      </c>
      <c r="E1044" s="251" t="s">
        <v>247</v>
      </c>
      <c r="F1044" s="251" t="s">
        <v>93</v>
      </c>
      <c r="G1044" s="251" t="s">
        <v>93</v>
      </c>
      <c r="H1044" s="251" t="s">
        <v>93</v>
      </c>
      <c r="I1044" s="251" t="s">
        <v>90</v>
      </c>
      <c r="J1044" s="251" t="s">
        <v>1490</v>
      </c>
      <c r="K1044" s="251" t="s">
        <v>486</v>
      </c>
      <c r="L1044" s="251" t="s">
        <v>487</v>
      </c>
      <c r="M1044" s="251" t="s">
        <v>581</v>
      </c>
      <c r="N1044" s="251" t="s">
        <v>581</v>
      </c>
      <c r="O1044" s="251" t="s">
        <v>1150</v>
      </c>
      <c r="P1044" s="251" t="s">
        <v>2885</v>
      </c>
      <c r="Q1044" s="252" t="s">
        <v>486</v>
      </c>
      <c r="R1044" s="253" t="s">
        <v>486</v>
      </c>
      <c r="S1044" s="253" t="s">
        <v>486</v>
      </c>
      <c r="T1044" s="253" t="s">
        <v>486</v>
      </c>
      <c r="U1044" s="251" t="s">
        <v>486</v>
      </c>
      <c r="V1044" s="251" t="s">
        <v>486</v>
      </c>
      <c r="W1044" s="251" t="s">
        <v>486</v>
      </c>
      <c r="X1044" s="251" t="s">
        <v>486</v>
      </c>
      <c r="Y1044" s="251" t="s">
        <v>486</v>
      </c>
      <c r="Z1044" s="251" t="s">
        <v>486</v>
      </c>
      <c r="AA1044" s="251" t="s">
        <v>486</v>
      </c>
      <c r="AB1044" s="251" t="s">
        <v>486</v>
      </c>
      <c r="AC1044" s="251" t="s">
        <v>486</v>
      </c>
      <c r="AD1044" s="251" t="s">
        <v>486</v>
      </c>
      <c r="AE1044" s="251" t="s">
        <v>486</v>
      </c>
      <c r="AF1044" s="251" t="s">
        <v>486</v>
      </c>
      <c r="AG1044" s="251" t="s">
        <v>486</v>
      </c>
      <c r="AH1044" s="251" t="s">
        <v>486</v>
      </c>
      <c r="AI1044" s="251" t="s">
        <v>486</v>
      </c>
      <c r="AJ1044" s="251" t="s">
        <v>486</v>
      </c>
      <c r="AK1044" s="251" t="s">
        <v>486</v>
      </c>
      <c r="AL1044" s="251" t="s">
        <v>486</v>
      </c>
      <c r="AM1044" s="251" t="s">
        <v>486</v>
      </c>
      <c r="AN1044" s="251" t="s">
        <v>486</v>
      </c>
      <c r="AO1044" s="253" t="s">
        <v>486</v>
      </c>
      <c r="AP1044" s="252" t="s">
        <v>486</v>
      </c>
      <c r="AQ1044" s="254" t="s">
        <v>486</v>
      </c>
      <c r="AR1044" s="251" t="s">
        <v>486</v>
      </c>
    </row>
    <row r="1045" spans="1:44" ht="15" x14ac:dyDescent="0.25">
      <c r="A1045" s="245" t="str">
        <f>HYPERLINK("http://www.ofsted.gov.uk/inspection-reports/find-inspection-report/provider/ELS/144804 ","Ofsted School Webpage")</f>
        <v>Ofsted School Webpage</v>
      </c>
      <c r="B1045" s="246">
        <v>144804</v>
      </c>
      <c r="C1045" s="246">
        <v>8406015</v>
      </c>
      <c r="D1045" s="246" t="s">
        <v>2886</v>
      </c>
      <c r="E1045" s="246" t="s">
        <v>247</v>
      </c>
      <c r="F1045" s="246" t="s">
        <v>93</v>
      </c>
      <c r="G1045" s="246" t="s">
        <v>71</v>
      </c>
      <c r="H1045" s="246" t="s">
        <v>71</v>
      </c>
      <c r="I1045" s="246" t="s">
        <v>71</v>
      </c>
      <c r="J1045" s="246" t="s">
        <v>1490</v>
      </c>
      <c r="K1045" s="246" t="s">
        <v>486</v>
      </c>
      <c r="L1045" s="246" t="s">
        <v>487</v>
      </c>
      <c r="M1045" s="246" t="s">
        <v>523</v>
      </c>
      <c r="N1045" s="246" t="s">
        <v>539</v>
      </c>
      <c r="O1045" s="246" t="s">
        <v>649</v>
      </c>
      <c r="P1045" s="246" t="s">
        <v>2887</v>
      </c>
      <c r="Q1045" s="247" t="s">
        <v>486</v>
      </c>
      <c r="R1045" s="248" t="s">
        <v>486</v>
      </c>
      <c r="S1045" s="248" t="s">
        <v>486</v>
      </c>
      <c r="T1045" s="248" t="s">
        <v>486</v>
      </c>
      <c r="U1045" s="246" t="s">
        <v>486</v>
      </c>
      <c r="V1045" s="246" t="s">
        <v>486</v>
      </c>
      <c r="W1045" s="246" t="s">
        <v>486</v>
      </c>
      <c r="X1045" s="246" t="s">
        <v>486</v>
      </c>
      <c r="Y1045" s="246" t="s">
        <v>486</v>
      </c>
      <c r="Z1045" s="246" t="s">
        <v>486</v>
      </c>
      <c r="AA1045" s="246" t="s">
        <v>486</v>
      </c>
      <c r="AB1045" s="246" t="s">
        <v>486</v>
      </c>
      <c r="AC1045" s="246" t="s">
        <v>486</v>
      </c>
      <c r="AD1045" s="246" t="s">
        <v>486</v>
      </c>
      <c r="AE1045" s="246" t="s">
        <v>486</v>
      </c>
      <c r="AF1045" s="246" t="s">
        <v>486</v>
      </c>
      <c r="AG1045" s="246" t="s">
        <v>486</v>
      </c>
      <c r="AH1045" s="246" t="s">
        <v>486</v>
      </c>
      <c r="AI1045" s="246" t="s">
        <v>486</v>
      </c>
      <c r="AJ1045" s="246" t="s">
        <v>486</v>
      </c>
      <c r="AK1045" s="246" t="s">
        <v>486</v>
      </c>
      <c r="AL1045" s="246" t="s">
        <v>486</v>
      </c>
      <c r="AM1045" s="246" t="s">
        <v>486</v>
      </c>
      <c r="AN1045" s="246" t="s">
        <v>486</v>
      </c>
      <c r="AO1045" s="248" t="s">
        <v>486</v>
      </c>
      <c r="AP1045" s="247" t="s">
        <v>486</v>
      </c>
      <c r="AQ1045" s="249" t="s">
        <v>486</v>
      </c>
      <c r="AR1045" s="246" t="s">
        <v>486</v>
      </c>
    </row>
    <row r="1046" spans="1:44" ht="15" x14ac:dyDescent="0.25">
      <c r="A1046" s="250" t="str">
        <f>HYPERLINK("http://www.ofsted.gov.uk/inspection-reports/find-inspection-report/provider/ELS/144855 ","Ofsted School Webpage")</f>
        <v>Ofsted School Webpage</v>
      </c>
      <c r="B1046" s="251">
        <v>144855</v>
      </c>
      <c r="C1046" s="251">
        <v>8526012</v>
      </c>
      <c r="D1046" s="251" t="s">
        <v>2888</v>
      </c>
      <c r="E1046" s="251" t="s">
        <v>247</v>
      </c>
      <c r="F1046" s="251" t="s">
        <v>93</v>
      </c>
      <c r="G1046" s="251" t="s">
        <v>93</v>
      </c>
      <c r="H1046" s="251" t="s">
        <v>93</v>
      </c>
      <c r="I1046" s="251" t="s">
        <v>90</v>
      </c>
      <c r="J1046" s="251" t="s">
        <v>1490</v>
      </c>
      <c r="K1046" s="251" t="s">
        <v>486</v>
      </c>
      <c r="L1046" s="251" t="s">
        <v>487</v>
      </c>
      <c r="M1046" s="251" t="s">
        <v>581</v>
      </c>
      <c r="N1046" s="251" t="s">
        <v>581</v>
      </c>
      <c r="O1046" s="251" t="s">
        <v>1132</v>
      </c>
      <c r="P1046" s="251" t="s">
        <v>2889</v>
      </c>
      <c r="Q1046" s="252" t="s">
        <v>486</v>
      </c>
      <c r="R1046" s="253" t="s">
        <v>486</v>
      </c>
      <c r="S1046" s="253" t="s">
        <v>486</v>
      </c>
      <c r="T1046" s="253" t="s">
        <v>486</v>
      </c>
      <c r="U1046" s="251" t="s">
        <v>486</v>
      </c>
      <c r="V1046" s="251" t="s">
        <v>486</v>
      </c>
      <c r="W1046" s="251" t="s">
        <v>486</v>
      </c>
      <c r="X1046" s="251" t="s">
        <v>486</v>
      </c>
      <c r="Y1046" s="251" t="s">
        <v>486</v>
      </c>
      <c r="Z1046" s="251" t="s">
        <v>486</v>
      </c>
      <c r="AA1046" s="251" t="s">
        <v>486</v>
      </c>
      <c r="AB1046" s="251" t="s">
        <v>486</v>
      </c>
      <c r="AC1046" s="251" t="s">
        <v>486</v>
      </c>
      <c r="AD1046" s="251" t="s">
        <v>486</v>
      </c>
      <c r="AE1046" s="251" t="s">
        <v>486</v>
      </c>
      <c r="AF1046" s="251" t="s">
        <v>486</v>
      </c>
      <c r="AG1046" s="251" t="s">
        <v>486</v>
      </c>
      <c r="AH1046" s="251" t="s">
        <v>486</v>
      </c>
      <c r="AI1046" s="251" t="s">
        <v>486</v>
      </c>
      <c r="AJ1046" s="251" t="s">
        <v>486</v>
      </c>
      <c r="AK1046" s="251" t="s">
        <v>486</v>
      </c>
      <c r="AL1046" s="251" t="s">
        <v>486</v>
      </c>
      <c r="AM1046" s="251" t="s">
        <v>486</v>
      </c>
      <c r="AN1046" s="251" t="s">
        <v>486</v>
      </c>
      <c r="AO1046" s="253" t="s">
        <v>486</v>
      </c>
      <c r="AP1046" s="252" t="s">
        <v>486</v>
      </c>
      <c r="AQ1046" s="254" t="s">
        <v>486</v>
      </c>
      <c r="AR1046" s="251" t="s">
        <v>486</v>
      </c>
    </row>
    <row r="1047" spans="1:44" ht="15" x14ac:dyDescent="0.25">
      <c r="A1047" s="245" t="str">
        <f>HYPERLINK("http://www.ofsted.gov.uk/inspection-reports/find-inspection-report/provider/ELS/144967 ","Ofsted School Webpage")</f>
        <v>Ofsted School Webpage</v>
      </c>
      <c r="B1047" s="246">
        <v>144967</v>
      </c>
      <c r="C1047" s="246">
        <v>3366004</v>
      </c>
      <c r="D1047" s="246" t="s">
        <v>2890</v>
      </c>
      <c r="E1047" s="246" t="s">
        <v>247</v>
      </c>
      <c r="F1047" s="246" t="s">
        <v>93</v>
      </c>
      <c r="G1047" s="246" t="s">
        <v>93</v>
      </c>
      <c r="H1047" s="246" t="s">
        <v>93</v>
      </c>
      <c r="I1047" s="246" t="s">
        <v>90</v>
      </c>
      <c r="J1047" s="246" t="s">
        <v>1490</v>
      </c>
      <c r="K1047" s="246" t="s">
        <v>486</v>
      </c>
      <c r="L1047" s="246" t="s">
        <v>487</v>
      </c>
      <c r="M1047" s="246" t="s">
        <v>502</v>
      </c>
      <c r="N1047" s="246" t="s">
        <v>502</v>
      </c>
      <c r="O1047" s="246" t="s">
        <v>569</v>
      </c>
      <c r="P1047" s="246" t="s">
        <v>2891</v>
      </c>
      <c r="Q1047" s="247" t="s">
        <v>486</v>
      </c>
      <c r="R1047" s="248" t="s">
        <v>486</v>
      </c>
      <c r="S1047" s="248" t="s">
        <v>486</v>
      </c>
      <c r="T1047" s="248" t="s">
        <v>486</v>
      </c>
      <c r="U1047" s="246" t="s">
        <v>486</v>
      </c>
      <c r="V1047" s="246" t="s">
        <v>486</v>
      </c>
      <c r="W1047" s="246" t="s">
        <v>486</v>
      </c>
      <c r="X1047" s="246" t="s">
        <v>486</v>
      </c>
      <c r="Y1047" s="246" t="s">
        <v>486</v>
      </c>
      <c r="Z1047" s="246" t="s">
        <v>486</v>
      </c>
      <c r="AA1047" s="246" t="s">
        <v>486</v>
      </c>
      <c r="AB1047" s="246" t="s">
        <v>486</v>
      </c>
      <c r="AC1047" s="246" t="s">
        <v>486</v>
      </c>
      <c r="AD1047" s="246" t="s">
        <v>486</v>
      </c>
      <c r="AE1047" s="246" t="s">
        <v>486</v>
      </c>
      <c r="AF1047" s="246" t="s">
        <v>486</v>
      </c>
      <c r="AG1047" s="246" t="s">
        <v>486</v>
      </c>
      <c r="AH1047" s="246" t="s">
        <v>486</v>
      </c>
      <c r="AI1047" s="246" t="s">
        <v>486</v>
      </c>
      <c r="AJ1047" s="246" t="s">
        <v>486</v>
      </c>
      <c r="AK1047" s="246" t="s">
        <v>486</v>
      </c>
      <c r="AL1047" s="246" t="s">
        <v>486</v>
      </c>
      <c r="AM1047" s="246" t="s">
        <v>486</v>
      </c>
      <c r="AN1047" s="246" t="s">
        <v>486</v>
      </c>
      <c r="AO1047" s="248" t="s">
        <v>486</v>
      </c>
      <c r="AP1047" s="247" t="s">
        <v>486</v>
      </c>
      <c r="AQ1047" s="249" t="s">
        <v>486</v>
      </c>
      <c r="AR1047" s="246" t="s">
        <v>486</v>
      </c>
    </row>
    <row r="1048" spans="1:44" ht="15" x14ac:dyDescent="0.25">
      <c r="A1048" s="250" t="str">
        <f>HYPERLINK("http://www.ofsted.gov.uk/inspection-reports/find-inspection-report/provider/ELS/145023 ","Ofsted School Webpage")</f>
        <v>Ofsted School Webpage</v>
      </c>
      <c r="B1048" s="251">
        <v>145023</v>
      </c>
      <c r="C1048" s="251">
        <v>9256007</v>
      </c>
      <c r="D1048" s="251" t="s">
        <v>2892</v>
      </c>
      <c r="E1048" s="251" t="s">
        <v>248</v>
      </c>
      <c r="F1048" s="251" t="s">
        <v>93</v>
      </c>
      <c r="G1048" s="251" t="s">
        <v>93</v>
      </c>
      <c r="H1048" s="251" t="s">
        <v>93</v>
      </c>
      <c r="I1048" s="251" t="s">
        <v>90</v>
      </c>
      <c r="J1048" s="251" t="s">
        <v>1490</v>
      </c>
      <c r="K1048" s="251" t="s">
        <v>486</v>
      </c>
      <c r="L1048" s="251" t="s">
        <v>487</v>
      </c>
      <c r="M1048" s="251" t="s">
        <v>572</v>
      </c>
      <c r="N1048" s="251" t="s">
        <v>572</v>
      </c>
      <c r="O1048" s="251" t="s">
        <v>929</v>
      </c>
      <c r="P1048" s="251" t="s">
        <v>2893</v>
      </c>
      <c r="Q1048" s="252" t="s">
        <v>486</v>
      </c>
      <c r="R1048" s="253" t="s">
        <v>486</v>
      </c>
      <c r="S1048" s="253" t="s">
        <v>486</v>
      </c>
      <c r="T1048" s="253" t="s">
        <v>486</v>
      </c>
      <c r="U1048" s="251" t="s">
        <v>486</v>
      </c>
      <c r="V1048" s="251" t="s">
        <v>486</v>
      </c>
      <c r="W1048" s="251" t="s">
        <v>486</v>
      </c>
      <c r="X1048" s="251" t="s">
        <v>486</v>
      </c>
      <c r="Y1048" s="251" t="s">
        <v>486</v>
      </c>
      <c r="Z1048" s="251" t="s">
        <v>486</v>
      </c>
      <c r="AA1048" s="251" t="s">
        <v>486</v>
      </c>
      <c r="AB1048" s="251" t="s">
        <v>486</v>
      </c>
      <c r="AC1048" s="251" t="s">
        <v>486</v>
      </c>
      <c r="AD1048" s="251" t="s">
        <v>486</v>
      </c>
      <c r="AE1048" s="251" t="s">
        <v>486</v>
      </c>
      <c r="AF1048" s="251" t="s">
        <v>486</v>
      </c>
      <c r="AG1048" s="251" t="s">
        <v>486</v>
      </c>
      <c r="AH1048" s="251" t="s">
        <v>486</v>
      </c>
      <c r="AI1048" s="251" t="s">
        <v>486</v>
      </c>
      <c r="AJ1048" s="251" t="s">
        <v>486</v>
      </c>
      <c r="AK1048" s="251" t="s">
        <v>486</v>
      </c>
      <c r="AL1048" s="251" t="s">
        <v>486</v>
      </c>
      <c r="AM1048" s="251" t="s">
        <v>486</v>
      </c>
      <c r="AN1048" s="251" t="s">
        <v>486</v>
      </c>
      <c r="AO1048" s="253" t="s">
        <v>486</v>
      </c>
      <c r="AP1048" s="252" t="s">
        <v>486</v>
      </c>
      <c r="AQ1048" s="254" t="s">
        <v>486</v>
      </c>
      <c r="AR1048" s="251" t="s">
        <v>486</v>
      </c>
    </row>
    <row r="1049" spans="1:44" ht="15" x14ac:dyDescent="0.25">
      <c r="A1049" s="245" t="str">
        <f>HYPERLINK("http://www.ofsted.gov.uk/inspection-reports/find-inspection-report/provider/ELS/145169 ","Ofsted School Webpage")</f>
        <v>Ofsted School Webpage</v>
      </c>
      <c r="B1049" s="246">
        <v>145169</v>
      </c>
      <c r="C1049" s="246">
        <v>9366012</v>
      </c>
      <c r="D1049" s="246" t="s">
        <v>2894</v>
      </c>
      <c r="E1049" s="246" t="s">
        <v>247</v>
      </c>
      <c r="F1049" s="246" t="s">
        <v>93</v>
      </c>
      <c r="G1049" s="246" t="s">
        <v>93</v>
      </c>
      <c r="H1049" s="246" t="s">
        <v>93</v>
      </c>
      <c r="I1049" s="246" t="s">
        <v>90</v>
      </c>
      <c r="J1049" s="246" t="s">
        <v>1490</v>
      </c>
      <c r="K1049" s="246" t="s">
        <v>486</v>
      </c>
      <c r="L1049" s="246" t="s">
        <v>487</v>
      </c>
      <c r="M1049" s="246" t="s">
        <v>581</v>
      </c>
      <c r="N1049" s="246" t="s">
        <v>581</v>
      </c>
      <c r="O1049" s="246" t="s">
        <v>788</v>
      </c>
      <c r="P1049" s="246" t="s">
        <v>2895</v>
      </c>
      <c r="Q1049" s="247" t="s">
        <v>486</v>
      </c>
      <c r="R1049" s="248" t="s">
        <v>486</v>
      </c>
      <c r="S1049" s="248" t="s">
        <v>486</v>
      </c>
      <c r="T1049" s="248" t="s">
        <v>486</v>
      </c>
      <c r="U1049" s="246" t="s">
        <v>486</v>
      </c>
      <c r="V1049" s="246" t="s">
        <v>486</v>
      </c>
      <c r="W1049" s="246" t="s">
        <v>486</v>
      </c>
      <c r="X1049" s="246" t="s">
        <v>486</v>
      </c>
      <c r="Y1049" s="246" t="s">
        <v>486</v>
      </c>
      <c r="Z1049" s="246" t="s">
        <v>486</v>
      </c>
      <c r="AA1049" s="246" t="s">
        <v>486</v>
      </c>
      <c r="AB1049" s="246" t="s">
        <v>486</v>
      </c>
      <c r="AC1049" s="246" t="s">
        <v>486</v>
      </c>
      <c r="AD1049" s="246" t="s">
        <v>486</v>
      </c>
      <c r="AE1049" s="246" t="s">
        <v>486</v>
      </c>
      <c r="AF1049" s="246" t="s">
        <v>486</v>
      </c>
      <c r="AG1049" s="246" t="s">
        <v>486</v>
      </c>
      <c r="AH1049" s="246" t="s">
        <v>486</v>
      </c>
      <c r="AI1049" s="246" t="s">
        <v>486</v>
      </c>
      <c r="AJ1049" s="246" t="s">
        <v>486</v>
      </c>
      <c r="AK1049" s="246" t="s">
        <v>486</v>
      </c>
      <c r="AL1049" s="246" t="s">
        <v>486</v>
      </c>
      <c r="AM1049" s="246" t="s">
        <v>486</v>
      </c>
      <c r="AN1049" s="246" t="s">
        <v>486</v>
      </c>
      <c r="AO1049" s="248" t="s">
        <v>486</v>
      </c>
      <c r="AP1049" s="247" t="s">
        <v>486</v>
      </c>
      <c r="AQ1049" s="249" t="s">
        <v>486</v>
      </c>
      <c r="AR1049" s="246" t="s">
        <v>486</v>
      </c>
    </row>
    <row r="1050" spans="1:44" ht="15" x14ac:dyDescent="0.25">
      <c r="A1050" s="250" t="str">
        <f>HYPERLINK("http://www.ofsted.gov.uk/inspection-reports/find-inspection-report/provider/ELS/145186 ","Ofsted School Webpage")</f>
        <v>Ofsted School Webpage</v>
      </c>
      <c r="B1050" s="251">
        <v>145186</v>
      </c>
      <c r="C1050" s="251">
        <v>3306035</v>
      </c>
      <c r="D1050" s="251" t="s">
        <v>2896</v>
      </c>
      <c r="E1050" s="251" t="s">
        <v>247</v>
      </c>
      <c r="F1050" s="251" t="s">
        <v>93</v>
      </c>
      <c r="G1050" s="251" t="s">
        <v>83</v>
      </c>
      <c r="H1050" s="251" t="s">
        <v>83</v>
      </c>
      <c r="I1050" s="251" t="s">
        <v>84</v>
      </c>
      <c r="J1050" s="251" t="s">
        <v>1490</v>
      </c>
      <c r="K1050" s="251" t="s">
        <v>486</v>
      </c>
      <c r="L1050" s="251" t="s">
        <v>487</v>
      </c>
      <c r="M1050" s="251" t="s">
        <v>502</v>
      </c>
      <c r="N1050" s="251" t="s">
        <v>502</v>
      </c>
      <c r="O1050" s="251" t="s">
        <v>909</v>
      </c>
      <c r="P1050" s="251" t="s">
        <v>2897</v>
      </c>
      <c r="Q1050" s="252" t="s">
        <v>486</v>
      </c>
      <c r="R1050" s="253" t="s">
        <v>486</v>
      </c>
      <c r="S1050" s="253" t="s">
        <v>486</v>
      </c>
      <c r="T1050" s="253" t="s">
        <v>486</v>
      </c>
      <c r="U1050" s="251" t="s">
        <v>486</v>
      </c>
      <c r="V1050" s="251" t="s">
        <v>486</v>
      </c>
      <c r="W1050" s="251" t="s">
        <v>486</v>
      </c>
      <c r="X1050" s="251" t="s">
        <v>486</v>
      </c>
      <c r="Y1050" s="251" t="s">
        <v>486</v>
      </c>
      <c r="Z1050" s="251" t="s">
        <v>486</v>
      </c>
      <c r="AA1050" s="251" t="s">
        <v>486</v>
      </c>
      <c r="AB1050" s="251" t="s">
        <v>486</v>
      </c>
      <c r="AC1050" s="251" t="s">
        <v>486</v>
      </c>
      <c r="AD1050" s="251" t="s">
        <v>486</v>
      </c>
      <c r="AE1050" s="251" t="s">
        <v>486</v>
      </c>
      <c r="AF1050" s="251" t="s">
        <v>486</v>
      </c>
      <c r="AG1050" s="251" t="s">
        <v>486</v>
      </c>
      <c r="AH1050" s="251" t="s">
        <v>486</v>
      </c>
      <c r="AI1050" s="251" t="s">
        <v>486</v>
      </c>
      <c r="AJ1050" s="251" t="s">
        <v>486</v>
      </c>
      <c r="AK1050" s="251" t="s">
        <v>486</v>
      </c>
      <c r="AL1050" s="251" t="s">
        <v>486</v>
      </c>
      <c r="AM1050" s="251" t="s">
        <v>486</v>
      </c>
      <c r="AN1050" s="251" t="s">
        <v>486</v>
      </c>
      <c r="AO1050" s="253" t="s">
        <v>486</v>
      </c>
      <c r="AP1050" s="252" t="s">
        <v>486</v>
      </c>
      <c r="AQ1050" s="254" t="s">
        <v>486</v>
      </c>
      <c r="AR1050" s="251" t="s">
        <v>486</v>
      </c>
    </row>
    <row r="1051" spans="1:44" ht="15" x14ac:dyDescent="0.25">
      <c r="A1051" s="245" t="str">
        <f>HYPERLINK("http://www.ofsted.gov.uk/inspection-reports/find-inspection-report/provider/ELS/145295 ","Ofsted School Webpage")</f>
        <v>Ofsted School Webpage</v>
      </c>
      <c r="B1051" s="246">
        <v>145295</v>
      </c>
      <c r="C1051" s="246">
        <v>3096006</v>
      </c>
      <c r="D1051" s="246" t="s">
        <v>2898</v>
      </c>
      <c r="E1051" s="246" t="s">
        <v>247</v>
      </c>
      <c r="F1051" s="246" t="s">
        <v>93</v>
      </c>
      <c r="G1051" s="246" t="s">
        <v>93</v>
      </c>
      <c r="H1051" s="246" t="s">
        <v>93</v>
      </c>
      <c r="I1051" s="246" t="s">
        <v>90</v>
      </c>
      <c r="J1051" s="246" t="s">
        <v>1490</v>
      </c>
      <c r="K1051" s="246" t="s">
        <v>486</v>
      </c>
      <c r="L1051" s="246" t="s">
        <v>487</v>
      </c>
      <c r="M1051" s="246" t="s">
        <v>506</v>
      </c>
      <c r="N1051" s="246" t="s">
        <v>506</v>
      </c>
      <c r="O1051" s="246" t="s">
        <v>595</v>
      </c>
      <c r="P1051" s="246" t="s">
        <v>2899</v>
      </c>
      <c r="Q1051" s="247" t="s">
        <v>486</v>
      </c>
      <c r="R1051" s="248" t="s">
        <v>486</v>
      </c>
      <c r="S1051" s="248" t="s">
        <v>486</v>
      </c>
      <c r="T1051" s="248" t="s">
        <v>486</v>
      </c>
      <c r="U1051" s="246" t="s">
        <v>486</v>
      </c>
      <c r="V1051" s="246" t="s">
        <v>486</v>
      </c>
      <c r="W1051" s="246" t="s">
        <v>486</v>
      </c>
      <c r="X1051" s="246" t="s">
        <v>486</v>
      </c>
      <c r="Y1051" s="246" t="s">
        <v>486</v>
      </c>
      <c r="Z1051" s="246" t="s">
        <v>486</v>
      </c>
      <c r="AA1051" s="246" t="s">
        <v>486</v>
      </c>
      <c r="AB1051" s="246" t="s">
        <v>486</v>
      </c>
      <c r="AC1051" s="246" t="s">
        <v>486</v>
      </c>
      <c r="AD1051" s="246" t="s">
        <v>486</v>
      </c>
      <c r="AE1051" s="246" t="s">
        <v>486</v>
      </c>
      <c r="AF1051" s="246" t="s">
        <v>486</v>
      </c>
      <c r="AG1051" s="246" t="s">
        <v>486</v>
      </c>
      <c r="AH1051" s="246" t="s">
        <v>486</v>
      </c>
      <c r="AI1051" s="246" t="s">
        <v>486</v>
      </c>
      <c r="AJ1051" s="246" t="s">
        <v>486</v>
      </c>
      <c r="AK1051" s="246" t="s">
        <v>486</v>
      </c>
      <c r="AL1051" s="246" t="s">
        <v>486</v>
      </c>
      <c r="AM1051" s="246" t="s">
        <v>486</v>
      </c>
      <c r="AN1051" s="246" t="s">
        <v>486</v>
      </c>
      <c r="AO1051" s="248" t="s">
        <v>486</v>
      </c>
      <c r="AP1051" s="247" t="s">
        <v>486</v>
      </c>
      <c r="AQ1051" s="249" t="s">
        <v>486</v>
      </c>
      <c r="AR1051" s="246" t="s">
        <v>486</v>
      </c>
    </row>
    <row r="1052" spans="1:44" ht="15" x14ac:dyDescent="0.25">
      <c r="A1052" s="250" t="str">
        <f>HYPERLINK("http://www.ofsted.gov.uk/inspection-reports/find-inspection-report/provider/ELS/145462 ","Ofsted School Webpage")</f>
        <v>Ofsted School Webpage</v>
      </c>
      <c r="B1052" s="251">
        <v>145462</v>
      </c>
      <c r="C1052" s="251">
        <v>8136006</v>
      </c>
      <c r="D1052" s="251" t="s">
        <v>1390</v>
      </c>
      <c r="E1052" s="251" t="s">
        <v>247</v>
      </c>
      <c r="F1052" s="251" t="s">
        <v>93</v>
      </c>
      <c r="G1052" s="251" t="s">
        <v>93</v>
      </c>
      <c r="H1052" s="251" t="s">
        <v>93</v>
      </c>
      <c r="I1052" s="251" t="s">
        <v>90</v>
      </c>
      <c r="J1052" s="251" t="s">
        <v>1490</v>
      </c>
      <c r="K1052" s="251" t="s">
        <v>486</v>
      </c>
      <c r="L1052" s="251" t="s">
        <v>487</v>
      </c>
      <c r="M1052" s="251" t="s">
        <v>523</v>
      </c>
      <c r="N1052" s="251" t="s">
        <v>524</v>
      </c>
      <c r="O1052" s="251" t="s">
        <v>1391</v>
      </c>
      <c r="P1052" s="251" t="s">
        <v>1392</v>
      </c>
      <c r="Q1052" s="252" t="s">
        <v>486</v>
      </c>
      <c r="R1052" s="253" t="s">
        <v>486</v>
      </c>
      <c r="S1052" s="253" t="s">
        <v>486</v>
      </c>
      <c r="T1052" s="253" t="s">
        <v>486</v>
      </c>
      <c r="U1052" s="251" t="s">
        <v>486</v>
      </c>
      <c r="V1052" s="251" t="s">
        <v>486</v>
      </c>
      <c r="W1052" s="251" t="s">
        <v>486</v>
      </c>
      <c r="X1052" s="251" t="s">
        <v>486</v>
      </c>
      <c r="Y1052" s="251" t="s">
        <v>486</v>
      </c>
      <c r="Z1052" s="251" t="s">
        <v>486</v>
      </c>
      <c r="AA1052" s="251" t="s">
        <v>486</v>
      </c>
      <c r="AB1052" s="251" t="s">
        <v>486</v>
      </c>
      <c r="AC1052" s="251" t="s">
        <v>486</v>
      </c>
      <c r="AD1052" s="251" t="s">
        <v>486</v>
      </c>
      <c r="AE1052" s="251" t="s">
        <v>486</v>
      </c>
      <c r="AF1052" s="251" t="s">
        <v>486</v>
      </c>
      <c r="AG1052" s="251" t="s">
        <v>486</v>
      </c>
      <c r="AH1052" s="251" t="s">
        <v>486</v>
      </c>
      <c r="AI1052" s="251" t="s">
        <v>486</v>
      </c>
      <c r="AJ1052" s="251" t="s">
        <v>486</v>
      </c>
      <c r="AK1052" s="251" t="s">
        <v>486</v>
      </c>
      <c r="AL1052" s="251" t="s">
        <v>486</v>
      </c>
      <c r="AM1052" s="251" t="s">
        <v>486</v>
      </c>
      <c r="AN1052" s="251" t="s">
        <v>486</v>
      </c>
      <c r="AO1052" s="253" t="s">
        <v>486</v>
      </c>
      <c r="AP1052" s="252" t="s">
        <v>486</v>
      </c>
      <c r="AQ1052" s="254" t="s">
        <v>486</v>
      </c>
      <c r="AR1052" s="251" t="s">
        <v>486</v>
      </c>
    </row>
    <row r="1053" spans="1:44" ht="15" x14ac:dyDescent="0.25">
      <c r="A1053" s="245" t="str">
        <f>HYPERLINK("http://www.ofsted.gov.uk/inspection-reports/find-inspection-report/provider/ELS/145471 ","Ofsted School Webpage")</f>
        <v>Ofsted School Webpage</v>
      </c>
      <c r="B1053" s="246">
        <v>145471</v>
      </c>
      <c r="C1053" s="246">
        <v>2106009</v>
      </c>
      <c r="D1053" s="246" t="s">
        <v>2900</v>
      </c>
      <c r="E1053" s="246" t="s">
        <v>247</v>
      </c>
      <c r="F1053" s="246" t="s">
        <v>93</v>
      </c>
      <c r="G1053" s="246" t="s">
        <v>93</v>
      </c>
      <c r="H1053" s="246" t="s">
        <v>93</v>
      </c>
      <c r="I1053" s="246" t="s">
        <v>90</v>
      </c>
      <c r="J1053" s="246" t="s">
        <v>1490</v>
      </c>
      <c r="K1053" s="246" t="s">
        <v>486</v>
      </c>
      <c r="L1053" s="246" t="s">
        <v>487</v>
      </c>
      <c r="M1053" s="246" t="s">
        <v>506</v>
      </c>
      <c r="N1053" s="246" t="s">
        <v>506</v>
      </c>
      <c r="O1053" s="246" t="s">
        <v>1311</v>
      </c>
      <c r="P1053" s="246" t="s">
        <v>2901</v>
      </c>
      <c r="Q1053" s="247" t="s">
        <v>486</v>
      </c>
      <c r="R1053" s="248" t="s">
        <v>486</v>
      </c>
      <c r="S1053" s="248" t="s">
        <v>486</v>
      </c>
      <c r="T1053" s="248" t="s">
        <v>486</v>
      </c>
      <c r="U1053" s="246" t="s">
        <v>486</v>
      </c>
      <c r="V1053" s="246" t="s">
        <v>486</v>
      </c>
      <c r="W1053" s="246" t="s">
        <v>486</v>
      </c>
      <c r="X1053" s="246" t="s">
        <v>486</v>
      </c>
      <c r="Y1053" s="246" t="s">
        <v>486</v>
      </c>
      <c r="Z1053" s="246" t="s">
        <v>486</v>
      </c>
      <c r="AA1053" s="246" t="s">
        <v>486</v>
      </c>
      <c r="AB1053" s="246" t="s">
        <v>486</v>
      </c>
      <c r="AC1053" s="246" t="s">
        <v>486</v>
      </c>
      <c r="AD1053" s="246" t="s">
        <v>486</v>
      </c>
      <c r="AE1053" s="246" t="s">
        <v>486</v>
      </c>
      <c r="AF1053" s="246" t="s">
        <v>486</v>
      </c>
      <c r="AG1053" s="246" t="s">
        <v>486</v>
      </c>
      <c r="AH1053" s="246" t="s">
        <v>486</v>
      </c>
      <c r="AI1053" s="246" t="s">
        <v>486</v>
      </c>
      <c r="AJ1053" s="246" t="s">
        <v>486</v>
      </c>
      <c r="AK1053" s="246" t="s">
        <v>486</v>
      </c>
      <c r="AL1053" s="246" t="s">
        <v>486</v>
      </c>
      <c r="AM1053" s="246" t="s">
        <v>486</v>
      </c>
      <c r="AN1053" s="246" t="s">
        <v>486</v>
      </c>
      <c r="AO1053" s="248" t="s">
        <v>486</v>
      </c>
      <c r="AP1053" s="247" t="s">
        <v>486</v>
      </c>
      <c r="AQ1053" s="249" t="s">
        <v>486</v>
      </c>
      <c r="AR1053" s="246" t="s">
        <v>486</v>
      </c>
    </row>
    <row r="1054" spans="1:44" ht="15" x14ac:dyDescent="0.25">
      <c r="A1054" s="250" t="str">
        <f>HYPERLINK("http://www.ofsted.gov.uk/inspection-reports/find-inspection-report/provider/ELS/145493 ","Ofsted School Webpage")</f>
        <v>Ofsted School Webpage</v>
      </c>
      <c r="B1054" s="251">
        <v>145493</v>
      </c>
      <c r="C1054" s="251">
        <v>8856046</v>
      </c>
      <c r="D1054" s="251" t="s">
        <v>1459</v>
      </c>
      <c r="E1054" s="251" t="s">
        <v>247</v>
      </c>
      <c r="F1054" s="251" t="s">
        <v>93</v>
      </c>
      <c r="G1054" s="251" t="s">
        <v>93</v>
      </c>
      <c r="H1054" s="251" t="s">
        <v>93</v>
      </c>
      <c r="I1054" s="251" t="s">
        <v>90</v>
      </c>
      <c r="J1054" s="251" t="s">
        <v>1490</v>
      </c>
      <c r="K1054" s="251" t="s">
        <v>486</v>
      </c>
      <c r="L1054" s="251" t="s">
        <v>487</v>
      </c>
      <c r="M1054" s="251" t="s">
        <v>502</v>
      </c>
      <c r="N1054" s="251" t="s">
        <v>502</v>
      </c>
      <c r="O1054" s="251" t="s">
        <v>550</v>
      </c>
      <c r="P1054" s="251" t="s">
        <v>1460</v>
      </c>
      <c r="Q1054" s="252" t="s">
        <v>486</v>
      </c>
      <c r="R1054" s="253" t="s">
        <v>486</v>
      </c>
      <c r="S1054" s="253" t="s">
        <v>486</v>
      </c>
      <c r="T1054" s="253" t="s">
        <v>486</v>
      </c>
      <c r="U1054" s="251" t="s">
        <v>486</v>
      </c>
      <c r="V1054" s="251" t="s">
        <v>486</v>
      </c>
      <c r="W1054" s="251" t="s">
        <v>486</v>
      </c>
      <c r="X1054" s="251" t="s">
        <v>486</v>
      </c>
      <c r="Y1054" s="251" t="s">
        <v>486</v>
      </c>
      <c r="Z1054" s="251" t="s">
        <v>486</v>
      </c>
      <c r="AA1054" s="251" t="s">
        <v>486</v>
      </c>
      <c r="AB1054" s="251" t="s">
        <v>486</v>
      </c>
      <c r="AC1054" s="251" t="s">
        <v>486</v>
      </c>
      <c r="AD1054" s="251" t="s">
        <v>486</v>
      </c>
      <c r="AE1054" s="251" t="s">
        <v>486</v>
      </c>
      <c r="AF1054" s="251" t="s">
        <v>486</v>
      </c>
      <c r="AG1054" s="251" t="s">
        <v>486</v>
      </c>
      <c r="AH1054" s="251" t="s">
        <v>486</v>
      </c>
      <c r="AI1054" s="251" t="s">
        <v>486</v>
      </c>
      <c r="AJ1054" s="251" t="s">
        <v>486</v>
      </c>
      <c r="AK1054" s="251" t="s">
        <v>486</v>
      </c>
      <c r="AL1054" s="251" t="s">
        <v>486</v>
      </c>
      <c r="AM1054" s="251" t="s">
        <v>486</v>
      </c>
      <c r="AN1054" s="251" t="s">
        <v>486</v>
      </c>
      <c r="AO1054" s="253" t="s">
        <v>486</v>
      </c>
      <c r="AP1054" s="252" t="s">
        <v>486</v>
      </c>
      <c r="AQ1054" s="254" t="s">
        <v>486</v>
      </c>
      <c r="AR1054" s="251" t="s">
        <v>486</v>
      </c>
    </row>
    <row r="1055" spans="1:44" ht="15" x14ac:dyDescent="0.25">
      <c r="A1055" s="245" t="str">
        <f>HYPERLINK("http://www.ofsted.gov.uk/inspection-reports/find-inspection-report/provider/ELS/145505 ","Ofsted School Webpage")</f>
        <v>Ofsted School Webpage</v>
      </c>
      <c r="B1055" s="246">
        <v>145505</v>
      </c>
      <c r="C1055" s="246">
        <v>8566028</v>
      </c>
      <c r="D1055" s="246" t="s">
        <v>2902</v>
      </c>
      <c r="E1055" s="246" t="s">
        <v>247</v>
      </c>
      <c r="F1055" s="246" t="s">
        <v>93</v>
      </c>
      <c r="G1055" s="246" t="s">
        <v>84</v>
      </c>
      <c r="H1055" s="246" t="s">
        <v>84</v>
      </c>
      <c r="I1055" s="246" t="s">
        <v>84</v>
      </c>
      <c r="J1055" s="246" t="s">
        <v>1490</v>
      </c>
      <c r="K1055" s="246" t="s">
        <v>486</v>
      </c>
      <c r="L1055" s="246" t="s">
        <v>487</v>
      </c>
      <c r="M1055" s="246" t="s">
        <v>572</v>
      </c>
      <c r="N1055" s="246" t="s">
        <v>572</v>
      </c>
      <c r="O1055" s="246" t="s">
        <v>589</v>
      </c>
      <c r="P1055" s="246" t="s">
        <v>2903</v>
      </c>
      <c r="Q1055" s="247" t="s">
        <v>486</v>
      </c>
      <c r="R1055" s="248" t="s">
        <v>486</v>
      </c>
      <c r="S1055" s="248" t="s">
        <v>486</v>
      </c>
      <c r="T1055" s="248" t="s">
        <v>486</v>
      </c>
      <c r="U1055" s="246" t="s">
        <v>486</v>
      </c>
      <c r="V1055" s="246" t="s">
        <v>486</v>
      </c>
      <c r="W1055" s="246" t="s">
        <v>486</v>
      </c>
      <c r="X1055" s="246" t="s">
        <v>486</v>
      </c>
      <c r="Y1055" s="246" t="s">
        <v>486</v>
      </c>
      <c r="Z1055" s="246" t="s">
        <v>486</v>
      </c>
      <c r="AA1055" s="246" t="s">
        <v>486</v>
      </c>
      <c r="AB1055" s="246" t="s">
        <v>486</v>
      </c>
      <c r="AC1055" s="246" t="s">
        <v>486</v>
      </c>
      <c r="AD1055" s="246" t="s">
        <v>486</v>
      </c>
      <c r="AE1055" s="246" t="s">
        <v>486</v>
      </c>
      <c r="AF1055" s="246" t="s">
        <v>486</v>
      </c>
      <c r="AG1055" s="246" t="s">
        <v>486</v>
      </c>
      <c r="AH1055" s="246" t="s">
        <v>486</v>
      </c>
      <c r="AI1055" s="246" t="s">
        <v>486</v>
      </c>
      <c r="AJ1055" s="246" t="s">
        <v>486</v>
      </c>
      <c r="AK1055" s="246" t="s">
        <v>486</v>
      </c>
      <c r="AL1055" s="246" t="s">
        <v>486</v>
      </c>
      <c r="AM1055" s="246" t="s">
        <v>486</v>
      </c>
      <c r="AN1055" s="246" t="s">
        <v>486</v>
      </c>
      <c r="AO1055" s="248" t="s">
        <v>486</v>
      </c>
      <c r="AP1055" s="247" t="s">
        <v>486</v>
      </c>
      <c r="AQ1055" s="249" t="s">
        <v>486</v>
      </c>
      <c r="AR1055" s="246" t="s">
        <v>486</v>
      </c>
    </row>
    <row r="1056" spans="1:44" ht="15" x14ac:dyDescent="0.25">
      <c r="A1056" s="250" t="str">
        <f>HYPERLINK("http://www.ofsted.gov.uk/inspection-reports/find-inspection-report/provider/ELS/145510 ","Ofsted School Webpage")</f>
        <v>Ofsted School Webpage</v>
      </c>
      <c r="B1056" s="251">
        <v>145510</v>
      </c>
      <c r="C1056" s="251">
        <v>3116003</v>
      </c>
      <c r="D1056" s="251" t="s">
        <v>2904</v>
      </c>
      <c r="E1056" s="251" t="s">
        <v>248</v>
      </c>
      <c r="F1056" s="251" t="s">
        <v>93</v>
      </c>
      <c r="G1056" s="251" t="s">
        <v>93</v>
      </c>
      <c r="H1056" s="251" t="s">
        <v>93</v>
      </c>
      <c r="I1056" s="251" t="s">
        <v>90</v>
      </c>
      <c r="J1056" s="251" t="s">
        <v>1490</v>
      </c>
      <c r="K1056" s="251" t="s">
        <v>486</v>
      </c>
      <c r="L1056" s="251" t="s">
        <v>487</v>
      </c>
      <c r="M1056" s="251" t="s">
        <v>506</v>
      </c>
      <c r="N1056" s="251" t="s">
        <v>506</v>
      </c>
      <c r="O1056" s="251" t="s">
        <v>717</v>
      </c>
      <c r="P1056" s="251" t="s">
        <v>2905</v>
      </c>
      <c r="Q1056" s="252" t="s">
        <v>486</v>
      </c>
      <c r="R1056" s="253" t="s">
        <v>486</v>
      </c>
      <c r="S1056" s="253" t="s">
        <v>486</v>
      </c>
      <c r="T1056" s="253" t="s">
        <v>486</v>
      </c>
      <c r="U1056" s="251" t="s">
        <v>486</v>
      </c>
      <c r="V1056" s="251" t="s">
        <v>486</v>
      </c>
      <c r="W1056" s="251" t="s">
        <v>486</v>
      </c>
      <c r="X1056" s="251" t="s">
        <v>486</v>
      </c>
      <c r="Y1056" s="251" t="s">
        <v>486</v>
      </c>
      <c r="Z1056" s="251" t="s">
        <v>486</v>
      </c>
      <c r="AA1056" s="251" t="s">
        <v>486</v>
      </c>
      <c r="AB1056" s="251" t="s">
        <v>486</v>
      </c>
      <c r="AC1056" s="251" t="s">
        <v>486</v>
      </c>
      <c r="AD1056" s="251" t="s">
        <v>486</v>
      </c>
      <c r="AE1056" s="251" t="s">
        <v>486</v>
      </c>
      <c r="AF1056" s="251" t="s">
        <v>486</v>
      </c>
      <c r="AG1056" s="251" t="s">
        <v>486</v>
      </c>
      <c r="AH1056" s="251" t="s">
        <v>486</v>
      </c>
      <c r="AI1056" s="251" t="s">
        <v>486</v>
      </c>
      <c r="AJ1056" s="251" t="s">
        <v>486</v>
      </c>
      <c r="AK1056" s="251" t="s">
        <v>486</v>
      </c>
      <c r="AL1056" s="251" t="s">
        <v>486</v>
      </c>
      <c r="AM1056" s="251" t="s">
        <v>486</v>
      </c>
      <c r="AN1056" s="251" t="s">
        <v>486</v>
      </c>
      <c r="AO1056" s="253" t="s">
        <v>486</v>
      </c>
      <c r="AP1056" s="252" t="s">
        <v>486</v>
      </c>
      <c r="AQ1056" s="254" t="s">
        <v>486</v>
      </c>
      <c r="AR1056" s="251" t="s">
        <v>486</v>
      </c>
    </row>
    <row r="1057" spans="1:44" ht="15" x14ac:dyDescent="0.25">
      <c r="A1057" s="245" t="str">
        <f>HYPERLINK("http://www.ofsted.gov.uk/inspection-reports/find-inspection-report/provider/ELS/145549 ","Ofsted School Webpage")</f>
        <v>Ofsted School Webpage</v>
      </c>
      <c r="B1057" s="246">
        <v>145549</v>
      </c>
      <c r="C1057" s="246">
        <v>8786072</v>
      </c>
      <c r="D1057" s="246" t="s">
        <v>1387</v>
      </c>
      <c r="E1057" s="246" t="s">
        <v>248</v>
      </c>
      <c r="F1057" s="246" t="s">
        <v>93</v>
      </c>
      <c r="G1057" s="246" t="s">
        <v>93</v>
      </c>
      <c r="H1057" s="246" t="s">
        <v>93</v>
      </c>
      <c r="I1057" s="246" t="s">
        <v>90</v>
      </c>
      <c r="J1057" s="246" t="s">
        <v>1490</v>
      </c>
      <c r="K1057" s="246" t="s">
        <v>486</v>
      </c>
      <c r="L1057" s="246" t="s">
        <v>487</v>
      </c>
      <c r="M1057" s="246" t="s">
        <v>483</v>
      </c>
      <c r="N1057" s="246" t="s">
        <v>483</v>
      </c>
      <c r="O1057" s="246" t="s">
        <v>747</v>
      </c>
      <c r="P1057" s="246" t="s">
        <v>1388</v>
      </c>
      <c r="Q1057" s="247" t="s">
        <v>486</v>
      </c>
      <c r="R1057" s="248" t="s">
        <v>486</v>
      </c>
      <c r="S1057" s="248" t="s">
        <v>486</v>
      </c>
      <c r="T1057" s="248" t="s">
        <v>486</v>
      </c>
      <c r="U1057" s="246" t="s">
        <v>486</v>
      </c>
      <c r="V1057" s="246" t="s">
        <v>486</v>
      </c>
      <c r="W1057" s="246" t="s">
        <v>486</v>
      </c>
      <c r="X1057" s="246" t="s">
        <v>486</v>
      </c>
      <c r="Y1057" s="246" t="s">
        <v>486</v>
      </c>
      <c r="Z1057" s="246" t="s">
        <v>486</v>
      </c>
      <c r="AA1057" s="246" t="s">
        <v>486</v>
      </c>
      <c r="AB1057" s="246" t="s">
        <v>486</v>
      </c>
      <c r="AC1057" s="246" t="s">
        <v>486</v>
      </c>
      <c r="AD1057" s="246" t="s">
        <v>486</v>
      </c>
      <c r="AE1057" s="246" t="s">
        <v>486</v>
      </c>
      <c r="AF1057" s="246" t="s">
        <v>486</v>
      </c>
      <c r="AG1057" s="246" t="s">
        <v>486</v>
      </c>
      <c r="AH1057" s="246" t="s">
        <v>486</v>
      </c>
      <c r="AI1057" s="246" t="s">
        <v>486</v>
      </c>
      <c r="AJ1057" s="246" t="s">
        <v>486</v>
      </c>
      <c r="AK1057" s="246" t="s">
        <v>486</v>
      </c>
      <c r="AL1057" s="246" t="s">
        <v>486</v>
      </c>
      <c r="AM1057" s="246" t="s">
        <v>486</v>
      </c>
      <c r="AN1057" s="246" t="s">
        <v>486</v>
      </c>
      <c r="AO1057" s="248" t="s">
        <v>486</v>
      </c>
      <c r="AP1057" s="247" t="s">
        <v>486</v>
      </c>
      <c r="AQ1057" s="249" t="s">
        <v>486</v>
      </c>
      <c r="AR1057" s="246" t="s">
        <v>486</v>
      </c>
    </row>
    <row r="1058" spans="1:44" ht="15" x14ac:dyDescent="0.25">
      <c r="A1058" s="250" t="str">
        <f>HYPERLINK("http://www.ofsted.gov.uk/inspection-reports/find-inspection-report/provider/ELS/145858 ","Ofsted School Webpage")</f>
        <v>Ofsted School Webpage</v>
      </c>
      <c r="B1058" s="251">
        <v>145858</v>
      </c>
      <c r="C1058" s="251">
        <v>8356041</v>
      </c>
      <c r="D1058" s="251" t="s">
        <v>2906</v>
      </c>
      <c r="E1058" s="251" t="s">
        <v>247</v>
      </c>
      <c r="F1058" s="251" t="s">
        <v>93</v>
      </c>
      <c r="G1058" s="251" t="s">
        <v>93</v>
      </c>
      <c r="H1058" s="251" t="s">
        <v>93</v>
      </c>
      <c r="I1058" s="251" t="s">
        <v>90</v>
      </c>
      <c r="J1058" s="251" t="s">
        <v>1490</v>
      </c>
      <c r="K1058" s="251" t="s">
        <v>486</v>
      </c>
      <c r="L1058" s="251" t="s">
        <v>487</v>
      </c>
      <c r="M1058" s="251" t="s">
        <v>483</v>
      </c>
      <c r="N1058" s="251" t="s">
        <v>483</v>
      </c>
      <c r="O1058" s="251" t="s">
        <v>643</v>
      </c>
      <c r="P1058" s="251" t="s">
        <v>2907</v>
      </c>
      <c r="Q1058" s="252" t="s">
        <v>486</v>
      </c>
      <c r="R1058" s="253" t="s">
        <v>486</v>
      </c>
      <c r="S1058" s="253" t="s">
        <v>486</v>
      </c>
      <c r="T1058" s="253" t="s">
        <v>486</v>
      </c>
      <c r="U1058" s="251" t="s">
        <v>486</v>
      </c>
      <c r="V1058" s="251" t="s">
        <v>486</v>
      </c>
      <c r="W1058" s="251" t="s">
        <v>486</v>
      </c>
      <c r="X1058" s="251" t="s">
        <v>486</v>
      </c>
      <c r="Y1058" s="251" t="s">
        <v>486</v>
      </c>
      <c r="Z1058" s="251" t="s">
        <v>486</v>
      </c>
      <c r="AA1058" s="251" t="s">
        <v>486</v>
      </c>
      <c r="AB1058" s="251" t="s">
        <v>486</v>
      </c>
      <c r="AC1058" s="251" t="s">
        <v>486</v>
      </c>
      <c r="AD1058" s="251" t="s">
        <v>486</v>
      </c>
      <c r="AE1058" s="251" t="s">
        <v>486</v>
      </c>
      <c r="AF1058" s="251" t="s">
        <v>486</v>
      </c>
      <c r="AG1058" s="251" t="s">
        <v>486</v>
      </c>
      <c r="AH1058" s="251" t="s">
        <v>486</v>
      </c>
      <c r="AI1058" s="251" t="s">
        <v>486</v>
      </c>
      <c r="AJ1058" s="251" t="s">
        <v>486</v>
      </c>
      <c r="AK1058" s="251" t="s">
        <v>486</v>
      </c>
      <c r="AL1058" s="251" t="s">
        <v>486</v>
      </c>
      <c r="AM1058" s="251" t="s">
        <v>486</v>
      </c>
      <c r="AN1058" s="251" t="s">
        <v>486</v>
      </c>
      <c r="AO1058" s="253" t="s">
        <v>486</v>
      </c>
      <c r="AP1058" s="252" t="s">
        <v>486</v>
      </c>
      <c r="AQ1058" s="254" t="s">
        <v>486</v>
      </c>
      <c r="AR1058" s="251" t="s">
        <v>486</v>
      </c>
    </row>
    <row r="1059" spans="1:44" ht="15" x14ac:dyDescent="0.25">
      <c r="A1059" s="245" t="str">
        <f>HYPERLINK("http://www.ofsted.gov.uk/inspection-reports/find-inspection-report/provider/ELS/145932 ","Ofsted School Webpage")</f>
        <v>Ofsted School Webpage</v>
      </c>
      <c r="B1059" s="246">
        <v>145932</v>
      </c>
      <c r="C1059" s="246">
        <v>9256009</v>
      </c>
      <c r="D1059" s="246" t="s">
        <v>1180</v>
      </c>
      <c r="E1059" s="246" t="s">
        <v>247</v>
      </c>
      <c r="F1059" s="246" t="s">
        <v>93</v>
      </c>
      <c r="G1059" s="246" t="s">
        <v>93</v>
      </c>
      <c r="H1059" s="246" t="s">
        <v>93</v>
      </c>
      <c r="I1059" s="246" t="s">
        <v>90</v>
      </c>
      <c r="J1059" s="246" t="s">
        <v>1490</v>
      </c>
      <c r="K1059" s="246" t="s">
        <v>486</v>
      </c>
      <c r="L1059" s="246" t="s">
        <v>487</v>
      </c>
      <c r="M1059" s="246" t="s">
        <v>572</v>
      </c>
      <c r="N1059" s="246" t="s">
        <v>572</v>
      </c>
      <c r="O1059" s="246" t="s">
        <v>929</v>
      </c>
      <c r="P1059" s="246" t="s">
        <v>1181</v>
      </c>
      <c r="Q1059" s="247" t="s">
        <v>486</v>
      </c>
      <c r="R1059" s="248" t="s">
        <v>486</v>
      </c>
      <c r="S1059" s="248" t="s">
        <v>486</v>
      </c>
      <c r="T1059" s="248" t="s">
        <v>486</v>
      </c>
      <c r="U1059" s="246" t="s">
        <v>486</v>
      </c>
      <c r="V1059" s="246" t="s">
        <v>486</v>
      </c>
      <c r="W1059" s="246" t="s">
        <v>486</v>
      </c>
      <c r="X1059" s="246" t="s">
        <v>486</v>
      </c>
      <c r="Y1059" s="246" t="s">
        <v>486</v>
      </c>
      <c r="Z1059" s="246" t="s">
        <v>486</v>
      </c>
      <c r="AA1059" s="246" t="s">
        <v>486</v>
      </c>
      <c r="AB1059" s="246" t="s">
        <v>486</v>
      </c>
      <c r="AC1059" s="246" t="s">
        <v>486</v>
      </c>
      <c r="AD1059" s="246" t="s">
        <v>486</v>
      </c>
      <c r="AE1059" s="246" t="s">
        <v>486</v>
      </c>
      <c r="AF1059" s="246" t="s">
        <v>486</v>
      </c>
      <c r="AG1059" s="246" t="s">
        <v>486</v>
      </c>
      <c r="AH1059" s="246" t="s">
        <v>486</v>
      </c>
      <c r="AI1059" s="246" t="s">
        <v>486</v>
      </c>
      <c r="AJ1059" s="246" t="s">
        <v>486</v>
      </c>
      <c r="AK1059" s="246" t="s">
        <v>486</v>
      </c>
      <c r="AL1059" s="246" t="s">
        <v>486</v>
      </c>
      <c r="AM1059" s="246" t="s">
        <v>486</v>
      </c>
      <c r="AN1059" s="246" t="s">
        <v>486</v>
      </c>
      <c r="AO1059" s="248" t="s">
        <v>486</v>
      </c>
      <c r="AP1059" s="247" t="s">
        <v>486</v>
      </c>
      <c r="AQ1059" s="249" t="s">
        <v>486</v>
      </c>
      <c r="AR1059" s="246" t="s">
        <v>486</v>
      </c>
    </row>
    <row r="1060" spans="1:44" ht="15" x14ac:dyDescent="0.25">
      <c r="A1060" s="250" t="str">
        <f>HYPERLINK("http://www.ofsted.gov.uk/inspection-reports/find-inspection-report/provider/ELS/145946 ","Ofsted School Webpage")</f>
        <v>Ofsted School Webpage</v>
      </c>
      <c r="B1060" s="251">
        <v>145946</v>
      </c>
      <c r="C1060" s="251">
        <v>3026016</v>
      </c>
      <c r="D1060" s="251" t="s">
        <v>1375</v>
      </c>
      <c r="E1060" s="251" t="s">
        <v>247</v>
      </c>
      <c r="F1060" s="251" t="s">
        <v>93</v>
      </c>
      <c r="G1060" s="251" t="s">
        <v>82</v>
      </c>
      <c r="H1060" s="251" t="s">
        <v>82</v>
      </c>
      <c r="I1060" s="251" t="s">
        <v>81</v>
      </c>
      <c r="J1060" s="251" t="s">
        <v>1490</v>
      </c>
      <c r="K1060" s="251" t="s">
        <v>486</v>
      </c>
      <c r="L1060" s="251" t="s">
        <v>487</v>
      </c>
      <c r="M1060" s="251" t="s">
        <v>506</v>
      </c>
      <c r="N1060" s="251" t="s">
        <v>506</v>
      </c>
      <c r="O1060" s="251" t="s">
        <v>614</v>
      </c>
      <c r="P1060" s="251" t="s">
        <v>1376</v>
      </c>
      <c r="Q1060" s="252" t="s">
        <v>486</v>
      </c>
      <c r="R1060" s="253" t="s">
        <v>486</v>
      </c>
      <c r="S1060" s="253" t="s">
        <v>486</v>
      </c>
      <c r="T1060" s="253" t="s">
        <v>486</v>
      </c>
      <c r="U1060" s="251" t="s">
        <v>486</v>
      </c>
      <c r="V1060" s="251" t="s">
        <v>486</v>
      </c>
      <c r="W1060" s="251" t="s">
        <v>486</v>
      </c>
      <c r="X1060" s="251" t="s">
        <v>486</v>
      </c>
      <c r="Y1060" s="251" t="s">
        <v>486</v>
      </c>
      <c r="Z1060" s="251" t="s">
        <v>486</v>
      </c>
      <c r="AA1060" s="251" t="s">
        <v>486</v>
      </c>
      <c r="AB1060" s="251" t="s">
        <v>486</v>
      </c>
      <c r="AC1060" s="251" t="s">
        <v>486</v>
      </c>
      <c r="AD1060" s="251" t="s">
        <v>486</v>
      </c>
      <c r="AE1060" s="251" t="s">
        <v>486</v>
      </c>
      <c r="AF1060" s="251" t="s">
        <v>486</v>
      </c>
      <c r="AG1060" s="251" t="s">
        <v>486</v>
      </c>
      <c r="AH1060" s="251" t="s">
        <v>486</v>
      </c>
      <c r="AI1060" s="251" t="s">
        <v>486</v>
      </c>
      <c r="AJ1060" s="251" t="s">
        <v>486</v>
      </c>
      <c r="AK1060" s="251" t="s">
        <v>486</v>
      </c>
      <c r="AL1060" s="251" t="s">
        <v>486</v>
      </c>
      <c r="AM1060" s="251" t="s">
        <v>486</v>
      </c>
      <c r="AN1060" s="251" t="s">
        <v>486</v>
      </c>
      <c r="AO1060" s="253" t="s">
        <v>486</v>
      </c>
      <c r="AP1060" s="252" t="s">
        <v>486</v>
      </c>
      <c r="AQ1060" s="254" t="s">
        <v>486</v>
      </c>
      <c r="AR1060" s="251" t="s">
        <v>486</v>
      </c>
    </row>
    <row r="1061" spans="1:44" ht="15" x14ac:dyDescent="0.25">
      <c r="A1061" s="245" t="str">
        <f>HYPERLINK("http://www.ofsted.gov.uk/inspection-reports/find-inspection-report/provider/ELS/145950 ","Ofsted School Webpage")</f>
        <v>Ofsted School Webpage</v>
      </c>
      <c r="B1061" s="246">
        <v>145950</v>
      </c>
      <c r="C1061" s="246">
        <v>8616017</v>
      </c>
      <c r="D1061" s="246" t="s">
        <v>1379</v>
      </c>
      <c r="E1061" s="246" t="s">
        <v>248</v>
      </c>
      <c r="F1061" s="246" t="s">
        <v>93</v>
      </c>
      <c r="G1061" s="246" t="s">
        <v>93</v>
      </c>
      <c r="H1061" s="246" t="s">
        <v>93</v>
      </c>
      <c r="I1061" s="246" t="s">
        <v>90</v>
      </c>
      <c r="J1061" s="246" t="s">
        <v>1490</v>
      </c>
      <c r="K1061" s="246" t="s">
        <v>486</v>
      </c>
      <c r="L1061" s="246" t="s">
        <v>487</v>
      </c>
      <c r="M1061" s="246" t="s">
        <v>502</v>
      </c>
      <c r="N1061" s="246" t="s">
        <v>502</v>
      </c>
      <c r="O1061" s="246" t="s">
        <v>655</v>
      </c>
      <c r="P1061" s="246" t="s">
        <v>1380</v>
      </c>
      <c r="Q1061" s="247" t="s">
        <v>486</v>
      </c>
      <c r="R1061" s="248" t="s">
        <v>486</v>
      </c>
      <c r="S1061" s="248" t="s">
        <v>486</v>
      </c>
      <c r="T1061" s="248" t="s">
        <v>486</v>
      </c>
      <c r="U1061" s="246" t="s">
        <v>486</v>
      </c>
      <c r="V1061" s="246" t="s">
        <v>486</v>
      </c>
      <c r="W1061" s="246" t="s">
        <v>486</v>
      </c>
      <c r="X1061" s="246" t="s">
        <v>486</v>
      </c>
      <c r="Y1061" s="246" t="s">
        <v>486</v>
      </c>
      <c r="Z1061" s="246" t="s">
        <v>486</v>
      </c>
      <c r="AA1061" s="246" t="s">
        <v>486</v>
      </c>
      <c r="AB1061" s="246" t="s">
        <v>486</v>
      </c>
      <c r="AC1061" s="246" t="s">
        <v>486</v>
      </c>
      <c r="AD1061" s="246" t="s">
        <v>486</v>
      </c>
      <c r="AE1061" s="246" t="s">
        <v>486</v>
      </c>
      <c r="AF1061" s="246" t="s">
        <v>486</v>
      </c>
      <c r="AG1061" s="246" t="s">
        <v>486</v>
      </c>
      <c r="AH1061" s="246" t="s">
        <v>486</v>
      </c>
      <c r="AI1061" s="246" t="s">
        <v>486</v>
      </c>
      <c r="AJ1061" s="246" t="s">
        <v>486</v>
      </c>
      <c r="AK1061" s="246" t="s">
        <v>486</v>
      </c>
      <c r="AL1061" s="246" t="s">
        <v>486</v>
      </c>
      <c r="AM1061" s="246" t="s">
        <v>486</v>
      </c>
      <c r="AN1061" s="246" t="s">
        <v>486</v>
      </c>
      <c r="AO1061" s="248" t="s">
        <v>486</v>
      </c>
      <c r="AP1061" s="247" t="s">
        <v>486</v>
      </c>
      <c r="AQ1061" s="249" t="s">
        <v>486</v>
      </c>
      <c r="AR1061" s="246" t="s">
        <v>486</v>
      </c>
    </row>
    <row r="1062" spans="1:44" ht="15" x14ac:dyDescent="0.25">
      <c r="A1062" s="250" t="str">
        <f>HYPERLINK("http://www.ofsted.gov.uk/inspection-reports/find-inspection-report/provider/ELS/145960 ","Ofsted School Webpage")</f>
        <v>Ofsted School Webpage</v>
      </c>
      <c r="B1062" s="251">
        <v>145960</v>
      </c>
      <c r="C1062" s="251">
        <v>9266018</v>
      </c>
      <c r="D1062" s="251" t="s">
        <v>2908</v>
      </c>
      <c r="E1062" s="251" t="s">
        <v>248</v>
      </c>
      <c r="F1062" s="251" t="s">
        <v>93</v>
      </c>
      <c r="G1062" s="251" t="s">
        <v>93</v>
      </c>
      <c r="H1062" s="251" t="s">
        <v>93</v>
      </c>
      <c r="I1062" s="251" t="s">
        <v>90</v>
      </c>
      <c r="J1062" s="251" t="s">
        <v>1490</v>
      </c>
      <c r="K1062" s="251" t="s">
        <v>486</v>
      </c>
      <c r="L1062" s="251" t="s">
        <v>487</v>
      </c>
      <c r="M1062" s="251" t="s">
        <v>516</v>
      </c>
      <c r="N1062" s="251" t="s">
        <v>516</v>
      </c>
      <c r="O1062" s="251" t="s">
        <v>528</v>
      </c>
      <c r="P1062" s="251" t="s">
        <v>2909</v>
      </c>
      <c r="Q1062" s="252" t="s">
        <v>486</v>
      </c>
      <c r="R1062" s="253" t="s">
        <v>486</v>
      </c>
      <c r="S1062" s="253" t="s">
        <v>486</v>
      </c>
      <c r="T1062" s="253" t="s">
        <v>486</v>
      </c>
      <c r="U1062" s="251" t="s">
        <v>486</v>
      </c>
      <c r="V1062" s="251" t="s">
        <v>486</v>
      </c>
      <c r="W1062" s="251" t="s">
        <v>486</v>
      </c>
      <c r="X1062" s="251" t="s">
        <v>486</v>
      </c>
      <c r="Y1062" s="251" t="s">
        <v>486</v>
      </c>
      <c r="Z1062" s="251" t="s">
        <v>486</v>
      </c>
      <c r="AA1062" s="251" t="s">
        <v>486</v>
      </c>
      <c r="AB1062" s="251" t="s">
        <v>486</v>
      </c>
      <c r="AC1062" s="251" t="s">
        <v>486</v>
      </c>
      <c r="AD1062" s="251" t="s">
        <v>486</v>
      </c>
      <c r="AE1062" s="251" t="s">
        <v>486</v>
      </c>
      <c r="AF1062" s="251" t="s">
        <v>486</v>
      </c>
      <c r="AG1062" s="251" t="s">
        <v>486</v>
      </c>
      <c r="AH1062" s="251" t="s">
        <v>486</v>
      </c>
      <c r="AI1062" s="251" t="s">
        <v>486</v>
      </c>
      <c r="AJ1062" s="251" t="s">
        <v>486</v>
      </c>
      <c r="AK1062" s="251" t="s">
        <v>486</v>
      </c>
      <c r="AL1062" s="251" t="s">
        <v>486</v>
      </c>
      <c r="AM1062" s="251" t="s">
        <v>486</v>
      </c>
      <c r="AN1062" s="251" t="s">
        <v>486</v>
      </c>
      <c r="AO1062" s="253" t="s">
        <v>486</v>
      </c>
      <c r="AP1062" s="252" t="s">
        <v>486</v>
      </c>
      <c r="AQ1062" s="254" t="s">
        <v>486</v>
      </c>
      <c r="AR1062" s="251" t="s">
        <v>486</v>
      </c>
    </row>
    <row r="1063" spans="1:44" ht="15" x14ac:dyDescent="0.25">
      <c r="A1063" s="245" t="str">
        <f>HYPERLINK("http://www.ofsted.gov.uk/inspection-reports/find-inspection-report/provider/ELS/145962 ","Ofsted School Webpage")</f>
        <v>Ofsted School Webpage</v>
      </c>
      <c r="B1063" s="246">
        <v>145962</v>
      </c>
      <c r="C1063" s="246">
        <v>9196009</v>
      </c>
      <c r="D1063" s="246" t="s">
        <v>2910</v>
      </c>
      <c r="E1063" s="246" t="s">
        <v>248</v>
      </c>
      <c r="F1063" s="246" t="s">
        <v>93</v>
      </c>
      <c r="G1063" s="246" t="s">
        <v>93</v>
      </c>
      <c r="H1063" s="246" t="s">
        <v>93</v>
      </c>
      <c r="I1063" s="246" t="s">
        <v>90</v>
      </c>
      <c r="J1063" s="246" t="s">
        <v>1490</v>
      </c>
      <c r="K1063" s="246" t="s">
        <v>486</v>
      </c>
      <c r="L1063" s="246" t="s">
        <v>487</v>
      </c>
      <c r="M1063" s="246" t="s">
        <v>516</v>
      </c>
      <c r="N1063" s="246" t="s">
        <v>516</v>
      </c>
      <c r="O1063" s="246" t="s">
        <v>556</v>
      </c>
      <c r="P1063" s="246" t="s">
        <v>2911</v>
      </c>
      <c r="Q1063" s="247" t="s">
        <v>486</v>
      </c>
      <c r="R1063" s="248" t="s">
        <v>486</v>
      </c>
      <c r="S1063" s="248" t="s">
        <v>486</v>
      </c>
      <c r="T1063" s="248" t="s">
        <v>486</v>
      </c>
      <c r="U1063" s="246" t="s">
        <v>486</v>
      </c>
      <c r="V1063" s="246" t="s">
        <v>486</v>
      </c>
      <c r="W1063" s="246" t="s">
        <v>486</v>
      </c>
      <c r="X1063" s="246" t="s">
        <v>486</v>
      </c>
      <c r="Y1063" s="246" t="s">
        <v>486</v>
      </c>
      <c r="Z1063" s="246" t="s">
        <v>486</v>
      </c>
      <c r="AA1063" s="246" t="s">
        <v>486</v>
      </c>
      <c r="AB1063" s="246" t="s">
        <v>486</v>
      </c>
      <c r="AC1063" s="246" t="s">
        <v>486</v>
      </c>
      <c r="AD1063" s="246" t="s">
        <v>486</v>
      </c>
      <c r="AE1063" s="246" t="s">
        <v>486</v>
      </c>
      <c r="AF1063" s="246" t="s">
        <v>486</v>
      </c>
      <c r="AG1063" s="246" t="s">
        <v>486</v>
      </c>
      <c r="AH1063" s="246" t="s">
        <v>486</v>
      </c>
      <c r="AI1063" s="246" t="s">
        <v>486</v>
      </c>
      <c r="AJ1063" s="246" t="s">
        <v>486</v>
      </c>
      <c r="AK1063" s="246" t="s">
        <v>486</v>
      </c>
      <c r="AL1063" s="246" t="s">
        <v>486</v>
      </c>
      <c r="AM1063" s="246" t="s">
        <v>486</v>
      </c>
      <c r="AN1063" s="246" t="s">
        <v>486</v>
      </c>
      <c r="AO1063" s="248" t="s">
        <v>486</v>
      </c>
      <c r="AP1063" s="247" t="s">
        <v>486</v>
      </c>
      <c r="AQ1063" s="249" t="s">
        <v>486</v>
      </c>
      <c r="AR1063" s="246" t="s">
        <v>486</v>
      </c>
    </row>
    <row r="1064" spans="1:44" ht="15" x14ac:dyDescent="0.25">
      <c r="A1064" s="250" t="str">
        <f>HYPERLINK("http://www.ofsted.gov.uk/inspection-reports/find-inspection-report/provider/ELS/145980 ","Ofsted School Webpage")</f>
        <v>Ofsted School Webpage</v>
      </c>
      <c r="B1064" s="251">
        <v>145980</v>
      </c>
      <c r="C1064" s="251">
        <v>8456065</v>
      </c>
      <c r="D1064" s="251" t="s">
        <v>1423</v>
      </c>
      <c r="E1064" s="251" t="s">
        <v>248</v>
      </c>
      <c r="F1064" s="251" t="s">
        <v>93</v>
      </c>
      <c r="G1064" s="251" t="s">
        <v>93</v>
      </c>
      <c r="H1064" s="251" t="s">
        <v>93</v>
      </c>
      <c r="I1064" s="251" t="s">
        <v>90</v>
      </c>
      <c r="J1064" s="251" t="s">
        <v>1490</v>
      </c>
      <c r="K1064" s="251" t="s">
        <v>486</v>
      </c>
      <c r="L1064" s="251" t="s">
        <v>487</v>
      </c>
      <c r="M1064" s="251" t="s">
        <v>581</v>
      </c>
      <c r="N1064" s="251" t="s">
        <v>581</v>
      </c>
      <c r="O1064" s="251" t="s">
        <v>761</v>
      </c>
      <c r="P1064" s="251" t="s">
        <v>1424</v>
      </c>
      <c r="Q1064" s="252" t="s">
        <v>486</v>
      </c>
      <c r="R1064" s="253" t="s">
        <v>486</v>
      </c>
      <c r="S1064" s="253" t="s">
        <v>486</v>
      </c>
      <c r="T1064" s="253" t="s">
        <v>486</v>
      </c>
      <c r="U1064" s="251" t="s">
        <v>486</v>
      </c>
      <c r="V1064" s="251" t="s">
        <v>486</v>
      </c>
      <c r="W1064" s="251" t="s">
        <v>486</v>
      </c>
      <c r="X1064" s="251" t="s">
        <v>486</v>
      </c>
      <c r="Y1064" s="251" t="s">
        <v>486</v>
      </c>
      <c r="Z1064" s="251" t="s">
        <v>486</v>
      </c>
      <c r="AA1064" s="251" t="s">
        <v>486</v>
      </c>
      <c r="AB1064" s="251" t="s">
        <v>486</v>
      </c>
      <c r="AC1064" s="251" t="s">
        <v>486</v>
      </c>
      <c r="AD1064" s="251" t="s">
        <v>486</v>
      </c>
      <c r="AE1064" s="251" t="s">
        <v>486</v>
      </c>
      <c r="AF1064" s="251" t="s">
        <v>486</v>
      </c>
      <c r="AG1064" s="251" t="s">
        <v>486</v>
      </c>
      <c r="AH1064" s="251" t="s">
        <v>486</v>
      </c>
      <c r="AI1064" s="251" t="s">
        <v>486</v>
      </c>
      <c r="AJ1064" s="251" t="s">
        <v>486</v>
      </c>
      <c r="AK1064" s="251" t="s">
        <v>486</v>
      </c>
      <c r="AL1064" s="251" t="s">
        <v>486</v>
      </c>
      <c r="AM1064" s="251" t="s">
        <v>486</v>
      </c>
      <c r="AN1064" s="251" t="s">
        <v>486</v>
      </c>
      <c r="AO1064" s="253" t="s">
        <v>486</v>
      </c>
      <c r="AP1064" s="252" t="s">
        <v>486</v>
      </c>
      <c r="AQ1064" s="254" t="s">
        <v>486</v>
      </c>
      <c r="AR1064" s="251" t="s">
        <v>486</v>
      </c>
    </row>
    <row r="1065" spans="1:44" ht="15" x14ac:dyDescent="0.25">
      <c r="A1065" s="245" t="str">
        <f>HYPERLINK("http://www.ofsted.gov.uk/inspection-reports/find-inspection-report/provider/ELS/146030 ","Ofsted School Webpage")</f>
        <v>Ofsted School Webpage</v>
      </c>
      <c r="B1065" s="246">
        <v>146030</v>
      </c>
      <c r="C1065" s="246">
        <v>8886115</v>
      </c>
      <c r="D1065" s="246" t="s">
        <v>1471</v>
      </c>
      <c r="E1065" s="246" t="s">
        <v>247</v>
      </c>
      <c r="F1065" s="246" t="s">
        <v>93</v>
      </c>
      <c r="G1065" s="246" t="s">
        <v>93</v>
      </c>
      <c r="H1065" s="246" t="s">
        <v>93</v>
      </c>
      <c r="I1065" s="246" t="s">
        <v>90</v>
      </c>
      <c r="J1065" s="246" t="s">
        <v>1490</v>
      </c>
      <c r="K1065" s="246" t="s">
        <v>486</v>
      </c>
      <c r="L1065" s="246" t="s">
        <v>487</v>
      </c>
      <c r="M1065" s="246" t="s">
        <v>495</v>
      </c>
      <c r="N1065" s="246" t="s">
        <v>495</v>
      </c>
      <c r="O1065" s="246" t="s">
        <v>534</v>
      </c>
      <c r="P1065" s="246" t="s">
        <v>1472</v>
      </c>
      <c r="Q1065" s="247" t="s">
        <v>486</v>
      </c>
      <c r="R1065" s="248" t="s">
        <v>486</v>
      </c>
      <c r="S1065" s="248" t="s">
        <v>486</v>
      </c>
      <c r="T1065" s="248" t="s">
        <v>486</v>
      </c>
      <c r="U1065" s="246" t="s">
        <v>486</v>
      </c>
      <c r="V1065" s="246" t="s">
        <v>486</v>
      </c>
      <c r="W1065" s="246" t="s">
        <v>486</v>
      </c>
      <c r="X1065" s="246" t="s">
        <v>486</v>
      </c>
      <c r="Y1065" s="246" t="s">
        <v>486</v>
      </c>
      <c r="Z1065" s="246" t="s">
        <v>486</v>
      </c>
      <c r="AA1065" s="246" t="s">
        <v>486</v>
      </c>
      <c r="AB1065" s="246" t="s">
        <v>486</v>
      </c>
      <c r="AC1065" s="246" t="s">
        <v>486</v>
      </c>
      <c r="AD1065" s="246" t="s">
        <v>486</v>
      </c>
      <c r="AE1065" s="246" t="s">
        <v>486</v>
      </c>
      <c r="AF1065" s="246" t="s">
        <v>486</v>
      </c>
      <c r="AG1065" s="246" t="s">
        <v>486</v>
      </c>
      <c r="AH1065" s="246" t="s">
        <v>486</v>
      </c>
      <c r="AI1065" s="246" t="s">
        <v>486</v>
      </c>
      <c r="AJ1065" s="246" t="s">
        <v>486</v>
      </c>
      <c r="AK1065" s="246" t="s">
        <v>486</v>
      </c>
      <c r="AL1065" s="246" t="s">
        <v>486</v>
      </c>
      <c r="AM1065" s="246" t="s">
        <v>486</v>
      </c>
      <c r="AN1065" s="246" t="s">
        <v>486</v>
      </c>
      <c r="AO1065" s="248" t="s">
        <v>486</v>
      </c>
      <c r="AP1065" s="247" t="s">
        <v>486</v>
      </c>
      <c r="AQ1065" s="249" t="s">
        <v>486</v>
      </c>
      <c r="AR1065" s="246" t="s">
        <v>486</v>
      </c>
    </row>
    <row r="1066" spans="1:44" ht="15" x14ac:dyDescent="0.25">
      <c r="A1066" s="250" t="str">
        <f>HYPERLINK("http://www.ofsted.gov.uk/inspection-reports/find-inspection-report/provider/ELS/146078 ","Ofsted School Webpage")</f>
        <v>Ofsted School Webpage</v>
      </c>
      <c r="B1066" s="251">
        <v>146078</v>
      </c>
      <c r="C1066" s="251">
        <v>8606048</v>
      </c>
      <c r="D1066" s="251" t="s">
        <v>1401</v>
      </c>
      <c r="E1066" s="251" t="s">
        <v>247</v>
      </c>
      <c r="F1066" s="251" t="s">
        <v>93</v>
      </c>
      <c r="G1066" s="251" t="s">
        <v>93</v>
      </c>
      <c r="H1066" s="251" t="s">
        <v>93</v>
      </c>
      <c r="I1066" s="251" t="s">
        <v>90</v>
      </c>
      <c r="J1066" s="251" t="s">
        <v>1490</v>
      </c>
      <c r="K1066" s="251" t="s">
        <v>486</v>
      </c>
      <c r="L1066" s="251" t="s">
        <v>487</v>
      </c>
      <c r="M1066" s="251" t="s">
        <v>502</v>
      </c>
      <c r="N1066" s="251" t="s">
        <v>502</v>
      </c>
      <c r="O1066" s="251" t="s">
        <v>652</v>
      </c>
      <c r="P1066" s="251" t="s">
        <v>486</v>
      </c>
      <c r="Q1066" s="252" t="s">
        <v>486</v>
      </c>
      <c r="R1066" s="253" t="s">
        <v>486</v>
      </c>
      <c r="S1066" s="253" t="s">
        <v>486</v>
      </c>
      <c r="T1066" s="253" t="s">
        <v>486</v>
      </c>
      <c r="U1066" s="251" t="s">
        <v>486</v>
      </c>
      <c r="V1066" s="251" t="s">
        <v>486</v>
      </c>
      <c r="W1066" s="251" t="s">
        <v>486</v>
      </c>
      <c r="X1066" s="251" t="s">
        <v>486</v>
      </c>
      <c r="Y1066" s="251" t="s">
        <v>486</v>
      </c>
      <c r="Z1066" s="251" t="s">
        <v>486</v>
      </c>
      <c r="AA1066" s="251" t="s">
        <v>486</v>
      </c>
      <c r="AB1066" s="251" t="s">
        <v>486</v>
      </c>
      <c r="AC1066" s="251" t="s">
        <v>486</v>
      </c>
      <c r="AD1066" s="251" t="s">
        <v>486</v>
      </c>
      <c r="AE1066" s="251" t="s">
        <v>486</v>
      </c>
      <c r="AF1066" s="251" t="s">
        <v>486</v>
      </c>
      <c r="AG1066" s="251" t="s">
        <v>486</v>
      </c>
      <c r="AH1066" s="251" t="s">
        <v>486</v>
      </c>
      <c r="AI1066" s="251" t="s">
        <v>486</v>
      </c>
      <c r="AJ1066" s="251" t="s">
        <v>486</v>
      </c>
      <c r="AK1066" s="251" t="s">
        <v>486</v>
      </c>
      <c r="AL1066" s="251" t="s">
        <v>486</v>
      </c>
      <c r="AM1066" s="251" t="s">
        <v>486</v>
      </c>
      <c r="AN1066" s="251" t="s">
        <v>486</v>
      </c>
      <c r="AO1066" s="253" t="s">
        <v>486</v>
      </c>
      <c r="AP1066" s="252" t="s">
        <v>486</v>
      </c>
      <c r="AQ1066" s="254" t="s">
        <v>486</v>
      </c>
      <c r="AR1066" s="251" t="s">
        <v>486</v>
      </c>
    </row>
    <row r="1067" spans="1:44" ht="15" x14ac:dyDescent="0.25">
      <c r="A1067" s="245" t="str">
        <f>HYPERLINK("http://www.ofsted.gov.uk/inspection-reports/find-inspection-report/provider/ELS/146164 ","Ofsted School Webpage")</f>
        <v>Ofsted School Webpage</v>
      </c>
      <c r="B1067" s="246">
        <v>146164</v>
      </c>
      <c r="C1067" s="246">
        <v>8946011</v>
      </c>
      <c r="D1067" s="246" t="s">
        <v>1381</v>
      </c>
      <c r="E1067" s="246" t="s">
        <v>247</v>
      </c>
      <c r="F1067" s="246" t="s">
        <v>93</v>
      </c>
      <c r="G1067" s="246" t="s">
        <v>93</v>
      </c>
      <c r="H1067" s="246" t="s">
        <v>93</v>
      </c>
      <c r="I1067" s="246" t="s">
        <v>90</v>
      </c>
      <c r="J1067" s="246" t="s">
        <v>1490</v>
      </c>
      <c r="K1067" s="246" t="s">
        <v>486</v>
      </c>
      <c r="L1067" s="246" t="s">
        <v>487</v>
      </c>
      <c r="M1067" s="246" t="s">
        <v>502</v>
      </c>
      <c r="N1067" s="246" t="s">
        <v>502</v>
      </c>
      <c r="O1067" s="246" t="s">
        <v>520</v>
      </c>
      <c r="P1067" s="246" t="s">
        <v>1382</v>
      </c>
      <c r="Q1067" s="247" t="s">
        <v>486</v>
      </c>
      <c r="R1067" s="248" t="s">
        <v>486</v>
      </c>
      <c r="S1067" s="248" t="s">
        <v>486</v>
      </c>
      <c r="T1067" s="248" t="s">
        <v>486</v>
      </c>
      <c r="U1067" s="246" t="s">
        <v>486</v>
      </c>
      <c r="V1067" s="246" t="s">
        <v>486</v>
      </c>
      <c r="W1067" s="246" t="s">
        <v>486</v>
      </c>
      <c r="X1067" s="246" t="s">
        <v>486</v>
      </c>
      <c r="Y1067" s="246" t="s">
        <v>486</v>
      </c>
      <c r="Z1067" s="246" t="s">
        <v>486</v>
      </c>
      <c r="AA1067" s="246" t="s">
        <v>486</v>
      </c>
      <c r="AB1067" s="246" t="s">
        <v>486</v>
      </c>
      <c r="AC1067" s="246" t="s">
        <v>486</v>
      </c>
      <c r="AD1067" s="246" t="s">
        <v>486</v>
      </c>
      <c r="AE1067" s="246" t="s">
        <v>486</v>
      </c>
      <c r="AF1067" s="246" t="s">
        <v>486</v>
      </c>
      <c r="AG1067" s="246" t="s">
        <v>486</v>
      </c>
      <c r="AH1067" s="246" t="s">
        <v>486</v>
      </c>
      <c r="AI1067" s="246" t="s">
        <v>486</v>
      </c>
      <c r="AJ1067" s="246" t="s">
        <v>486</v>
      </c>
      <c r="AK1067" s="246" t="s">
        <v>486</v>
      </c>
      <c r="AL1067" s="246" t="s">
        <v>486</v>
      </c>
      <c r="AM1067" s="246" t="s">
        <v>486</v>
      </c>
      <c r="AN1067" s="246" t="s">
        <v>486</v>
      </c>
      <c r="AO1067" s="248" t="s">
        <v>486</v>
      </c>
      <c r="AP1067" s="247" t="s">
        <v>486</v>
      </c>
      <c r="AQ1067" s="249" t="s">
        <v>486</v>
      </c>
      <c r="AR1067" s="246" t="s">
        <v>486</v>
      </c>
    </row>
    <row r="1068" spans="1:44" ht="15" x14ac:dyDescent="0.25">
      <c r="A1068" s="250" t="str">
        <f>HYPERLINK("http://www.ofsted.gov.uk/inspection-reports/find-inspection-report/provider/ELS/146166 ","Ofsted School Webpage")</f>
        <v>Ofsted School Webpage</v>
      </c>
      <c r="B1068" s="251">
        <v>146166</v>
      </c>
      <c r="C1068" s="251">
        <v>8656051</v>
      </c>
      <c r="D1068" s="251" t="s">
        <v>1395</v>
      </c>
      <c r="E1068" s="251" t="s">
        <v>248</v>
      </c>
      <c r="F1068" s="251" t="s">
        <v>93</v>
      </c>
      <c r="G1068" s="251" t="s">
        <v>93</v>
      </c>
      <c r="H1068" s="251" t="s">
        <v>93</v>
      </c>
      <c r="I1068" s="251" t="s">
        <v>90</v>
      </c>
      <c r="J1068" s="251" t="s">
        <v>1490</v>
      </c>
      <c r="K1068" s="251" t="s">
        <v>486</v>
      </c>
      <c r="L1068" s="251" t="s">
        <v>487</v>
      </c>
      <c r="M1068" s="251" t="s">
        <v>483</v>
      </c>
      <c r="N1068" s="251" t="s">
        <v>483</v>
      </c>
      <c r="O1068" s="251" t="s">
        <v>791</v>
      </c>
      <c r="P1068" s="251" t="s">
        <v>1396</v>
      </c>
      <c r="Q1068" s="252" t="s">
        <v>486</v>
      </c>
      <c r="R1068" s="253" t="s">
        <v>486</v>
      </c>
      <c r="S1068" s="253" t="s">
        <v>486</v>
      </c>
      <c r="T1068" s="253" t="s">
        <v>486</v>
      </c>
      <c r="U1068" s="251" t="s">
        <v>486</v>
      </c>
      <c r="V1068" s="251" t="s">
        <v>486</v>
      </c>
      <c r="W1068" s="251" t="s">
        <v>486</v>
      </c>
      <c r="X1068" s="251" t="s">
        <v>486</v>
      </c>
      <c r="Y1068" s="251" t="s">
        <v>486</v>
      </c>
      <c r="Z1068" s="251" t="s">
        <v>486</v>
      </c>
      <c r="AA1068" s="251" t="s">
        <v>486</v>
      </c>
      <c r="AB1068" s="251" t="s">
        <v>486</v>
      </c>
      <c r="AC1068" s="251" t="s">
        <v>486</v>
      </c>
      <c r="AD1068" s="251" t="s">
        <v>486</v>
      </c>
      <c r="AE1068" s="251" t="s">
        <v>486</v>
      </c>
      <c r="AF1068" s="251" t="s">
        <v>486</v>
      </c>
      <c r="AG1068" s="251" t="s">
        <v>486</v>
      </c>
      <c r="AH1068" s="251" t="s">
        <v>486</v>
      </c>
      <c r="AI1068" s="251" t="s">
        <v>486</v>
      </c>
      <c r="AJ1068" s="251" t="s">
        <v>486</v>
      </c>
      <c r="AK1068" s="251" t="s">
        <v>486</v>
      </c>
      <c r="AL1068" s="251" t="s">
        <v>486</v>
      </c>
      <c r="AM1068" s="251" t="s">
        <v>486</v>
      </c>
      <c r="AN1068" s="251" t="s">
        <v>486</v>
      </c>
      <c r="AO1068" s="253" t="s">
        <v>486</v>
      </c>
      <c r="AP1068" s="252" t="s">
        <v>486</v>
      </c>
      <c r="AQ1068" s="254" t="s">
        <v>486</v>
      </c>
      <c r="AR1068" s="251" t="s">
        <v>486</v>
      </c>
    </row>
    <row r="1069" spans="1:44" ht="15" x14ac:dyDescent="0.25">
      <c r="A1069" s="245" t="str">
        <f>HYPERLINK("http://www.ofsted.gov.uk/inspection-reports/find-inspection-report/provider/ELS/146167 ","Ofsted School Webpage")</f>
        <v>Ofsted School Webpage</v>
      </c>
      <c r="B1069" s="246">
        <v>146167</v>
      </c>
      <c r="C1069" s="246">
        <v>8786074</v>
      </c>
      <c r="D1069" s="246" t="s">
        <v>2912</v>
      </c>
      <c r="E1069" s="246" t="s">
        <v>248</v>
      </c>
      <c r="F1069" s="246" t="s">
        <v>93</v>
      </c>
      <c r="G1069" s="246" t="s">
        <v>93</v>
      </c>
      <c r="H1069" s="246" t="s">
        <v>93</v>
      </c>
      <c r="I1069" s="246" t="s">
        <v>90</v>
      </c>
      <c r="J1069" s="246" t="s">
        <v>1490</v>
      </c>
      <c r="K1069" s="246" t="s">
        <v>486</v>
      </c>
      <c r="L1069" s="246" t="s">
        <v>487</v>
      </c>
      <c r="M1069" s="246" t="s">
        <v>483</v>
      </c>
      <c r="N1069" s="246" t="s">
        <v>483</v>
      </c>
      <c r="O1069" s="246" t="s">
        <v>747</v>
      </c>
      <c r="P1069" s="246" t="s">
        <v>2913</v>
      </c>
      <c r="Q1069" s="247" t="s">
        <v>486</v>
      </c>
      <c r="R1069" s="248" t="s">
        <v>486</v>
      </c>
      <c r="S1069" s="248" t="s">
        <v>486</v>
      </c>
      <c r="T1069" s="248" t="s">
        <v>486</v>
      </c>
      <c r="U1069" s="246" t="s">
        <v>486</v>
      </c>
      <c r="V1069" s="246" t="s">
        <v>486</v>
      </c>
      <c r="W1069" s="246" t="s">
        <v>486</v>
      </c>
      <c r="X1069" s="246" t="s">
        <v>486</v>
      </c>
      <c r="Y1069" s="246" t="s">
        <v>486</v>
      </c>
      <c r="Z1069" s="246" t="s">
        <v>486</v>
      </c>
      <c r="AA1069" s="246" t="s">
        <v>486</v>
      </c>
      <c r="AB1069" s="246" t="s">
        <v>486</v>
      </c>
      <c r="AC1069" s="246" t="s">
        <v>486</v>
      </c>
      <c r="AD1069" s="246" t="s">
        <v>486</v>
      </c>
      <c r="AE1069" s="246" t="s">
        <v>486</v>
      </c>
      <c r="AF1069" s="246" t="s">
        <v>486</v>
      </c>
      <c r="AG1069" s="246" t="s">
        <v>486</v>
      </c>
      <c r="AH1069" s="246" t="s">
        <v>486</v>
      </c>
      <c r="AI1069" s="246" t="s">
        <v>486</v>
      </c>
      <c r="AJ1069" s="246" t="s">
        <v>486</v>
      </c>
      <c r="AK1069" s="246" t="s">
        <v>486</v>
      </c>
      <c r="AL1069" s="246" t="s">
        <v>486</v>
      </c>
      <c r="AM1069" s="246" t="s">
        <v>486</v>
      </c>
      <c r="AN1069" s="246" t="s">
        <v>486</v>
      </c>
      <c r="AO1069" s="248" t="s">
        <v>486</v>
      </c>
      <c r="AP1069" s="247" t="s">
        <v>486</v>
      </c>
      <c r="AQ1069" s="249" t="s">
        <v>486</v>
      </c>
      <c r="AR1069" s="246" t="s">
        <v>486</v>
      </c>
    </row>
    <row r="1070" spans="1:44" ht="15" x14ac:dyDescent="0.25">
      <c r="A1070" s="250" t="str">
        <f>HYPERLINK("http://www.ofsted.gov.uk/inspection-reports/find-inspection-report/provider/ELS/146182 ","Ofsted School Webpage")</f>
        <v>Ofsted School Webpage</v>
      </c>
      <c r="B1070" s="251">
        <v>146182</v>
      </c>
      <c r="C1070" s="251">
        <v>3576006</v>
      </c>
      <c r="D1070" s="251" t="s">
        <v>558</v>
      </c>
      <c r="E1070" s="251" t="s">
        <v>247</v>
      </c>
      <c r="F1070" s="251" t="s">
        <v>93</v>
      </c>
      <c r="G1070" s="251" t="s">
        <v>93</v>
      </c>
      <c r="H1070" s="251" t="s">
        <v>93</v>
      </c>
      <c r="I1070" s="251" t="s">
        <v>90</v>
      </c>
      <c r="J1070" s="251" t="s">
        <v>1490</v>
      </c>
      <c r="K1070" s="251" t="s">
        <v>486</v>
      </c>
      <c r="L1070" s="251" t="s">
        <v>487</v>
      </c>
      <c r="M1070" s="251" t="s">
        <v>495</v>
      </c>
      <c r="N1070" s="251" t="s">
        <v>495</v>
      </c>
      <c r="O1070" s="251" t="s">
        <v>834</v>
      </c>
      <c r="P1070" s="251" t="s">
        <v>1433</v>
      </c>
      <c r="Q1070" s="252" t="s">
        <v>486</v>
      </c>
      <c r="R1070" s="253" t="s">
        <v>486</v>
      </c>
      <c r="S1070" s="253" t="s">
        <v>486</v>
      </c>
      <c r="T1070" s="253" t="s">
        <v>486</v>
      </c>
      <c r="U1070" s="251" t="s">
        <v>486</v>
      </c>
      <c r="V1070" s="251" t="s">
        <v>486</v>
      </c>
      <c r="W1070" s="251" t="s">
        <v>486</v>
      </c>
      <c r="X1070" s="251" t="s">
        <v>486</v>
      </c>
      <c r="Y1070" s="251" t="s">
        <v>486</v>
      </c>
      <c r="Z1070" s="251" t="s">
        <v>486</v>
      </c>
      <c r="AA1070" s="251" t="s">
        <v>486</v>
      </c>
      <c r="AB1070" s="251" t="s">
        <v>486</v>
      </c>
      <c r="AC1070" s="251" t="s">
        <v>486</v>
      </c>
      <c r="AD1070" s="251" t="s">
        <v>486</v>
      </c>
      <c r="AE1070" s="251" t="s">
        <v>486</v>
      </c>
      <c r="AF1070" s="251" t="s">
        <v>486</v>
      </c>
      <c r="AG1070" s="251" t="s">
        <v>486</v>
      </c>
      <c r="AH1070" s="251" t="s">
        <v>486</v>
      </c>
      <c r="AI1070" s="251" t="s">
        <v>486</v>
      </c>
      <c r="AJ1070" s="251" t="s">
        <v>486</v>
      </c>
      <c r="AK1070" s="251" t="s">
        <v>486</v>
      </c>
      <c r="AL1070" s="251" t="s">
        <v>486</v>
      </c>
      <c r="AM1070" s="251" t="s">
        <v>486</v>
      </c>
      <c r="AN1070" s="251" t="s">
        <v>486</v>
      </c>
      <c r="AO1070" s="253" t="s">
        <v>486</v>
      </c>
      <c r="AP1070" s="252" t="s">
        <v>486</v>
      </c>
      <c r="AQ1070" s="254" t="s">
        <v>486</v>
      </c>
      <c r="AR1070" s="251" t="s">
        <v>486</v>
      </c>
    </row>
    <row r="1071" spans="1:44" ht="15" x14ac:dyDescent="0.25">
      <c r="A1071" s="245" t="str">
        <f>HYPERLINK("http://www.ofsted.gov.uk/inspection-reports/find-inspection-report/provider/ELS/146277 ","Ofsted School Webpage")</f>
        <v>Ofsted School Webpage</v>
      </c>
      <c r="B1071" s="246">
        <v>146277</v>
      </c>
      <c r="C1071" s="246">
        <v>2096005</v>
      </c>
      <c r="D1071" s="246" t="s">
        <v>1410</v>
      </c>
      <c r="E1071" s="246" t="s">
        <v>248</v>
      </c>
      <c r="F1071" s="246" t="s">
        <v>93</v>
      </c>
      <c r="G1071" s="246" t="s">
        <v>93</v>
      </c>
      <c r="H1071" s="246" t="s">
        <v>93</v>
      </c>
      <c r="I1071" s="246" t="s">
        <v>90</v>
      </c>
      <c r="J1071" s="246" t="s">
        <v>1490</v>
      </c>
      <c r="K1071" s="246" t="s">
        <v>486</v>
      </c>
      <c r="L1071" s="246" t="s">
        <v>487</v>
      </c>
      <c r="M1071" s="246" t="s">
        <v>506</v>
      </c>
      <c r="N1071" s="246" t="s">
        <v>506</v>
      </c>
      <c r="O1071" s="246" t="s">
        <v>739</v>
      </c>
      <c r="P1071" s="246" t="s">
        <v>1411</v>
      </c>
      <c r="Q1071" s="247" t="s">
        <v>486</v>
      </c>
      <c r="R1071" s="248" t="s">
        <v>486</v>
      </c>
      <c r="S1071" s="248" t="s">
        <v>486</v>
      </c>
      <c r="T1071" s="248" t="s">
        <v>486</v>
      </c>
      <c r="U1071" s="246" t="s">
        <v>486</v>
      </c>
      <c r="V1071" s="246" t="s">
        <v>486</v>
      </c>
      <c r="W1071" s="246" t="s">
        <v>486</v>
      </c>
      <c r="X1071" s="246" t="s">
        <v>486</v>
      </c>
      <c r="Y1071" s="246" t="s">
        <v>486</v>
      </c>
      <c r="Z1071" s="246" t="s">
        <v>486</v>
      </c>
      <c r="AA1071" s="246" t="s">
        <v>486</v>
      </c>
      <c r="AB1071" s="246" t="s">
        <v>486</v>
      </c>
      <c r="AC1071" s="246" t="s">
        <v>486</v>
      </c>
      <c r="AD1071" s="246" t="s">
        <v>486</v>
      </c>
      <c r="AE1071" s="246" t="s">
        <v>486</v>
      </c>
      <c r="AF1071" s="246" t="s">
        <v>486</v>
      </c>
      <c r="AG1071" s="246" t="s">
        <v>486</v>
      </c>
      <c r="AH1071" s="246" t="s">
        <v>486</v>
      </c>
      <c r="AI1071" s="246" t="s">
        <v>486</v>
      </c>
      <c r="AJ1071" s="246" t="s">
        <v>486</v>
      </c>
      <c r="AK1071" s="246" t="s">
        <v>486</v>
      </c>
      <c r="AL1071" s="246" t="s">
        <v>486</v>
      </c>
      <c r="AM1071" s="246" t="s">
        <v>486</v>
      </c>
      <c r="AN1071" s="246" t="s">
        <v>486</v>
      </c>
      <c r="AO1071" s="248" t="s">
        <v>486</v>
      </c>
      <c r="AP1071" s="247" t="s">
        <v>486</v>
      </c>
      <c r="AQ1071" s="249" t="s">
        <v>486</v>
      </c>
      <c r="AR1071" s="246" t="s">
        <v>486</v>
      </c>
    </row>
    <row r="1072" spans="1:44" ht="15" x14ac:dyDescent="0.25">
      <c r="A1072" s="250" t="str">
        <f>HYPERLINK("http://www.ofsted.gov.uk/inspection-reports/find-inspection-report/provider/ELS/146287 ","Ofsted School Webpage")</f>
        <v>Ofsted School Webpage</v>
      </c>
      <c r="B1072" s="251">
        <v>146287</v>
      </c>
      <c r="C1072" s="251">
        <v>8786076</v>
      </c>
      <c r="D1072" s="251" t="s">
        <v>1393</v>
      </c>
      <c r="E1072" s="251" t="s">
        <v>248</v>
      </c>
      <c r="F1072" s="251" t="s">
        <v>93</v>
      </c>
      <c r="G1072" s="251" t="s">
        <v>93</v>
      </c>
      <c r="H1072" s="251" t="s">
        <v>93</v>
      </c>
      <c r="I1072" s="251" t="s">
        <v>90</v>
      </c>
      <c r="J1072" s="251" t="s">
        <v>1490</v>
      </c>
      <c r="K1072" s="251" t="s">
        <v>486</v>
      </c>
      <c r="L1072" s="251" t="s">
        <v>487</v>
      </c>
      <c r="M1072" s="251" t="s">
        <v>483</v>
      </c>
      <c r="N1072" s="251" t="s">
        <v>483</v>
      </c>
      <c r="O1072" s="251" t="s">
        <v>747</v>
      </c>
      <c r="P1072" s="251" t="s">
        <v>1394</v>
      </c>
      <c r="Q1072" s="252" t="s">
        <v>486</v>
      </c>
      <c r="R1072" s="253" t="s">
        <v>486</v>
      </c>
      <c r="S1072" s="253" t="s">
        <v>486</v>
      </c>
      <c r="T1072" s="253" t="s">
        <v>486</v>
      </c>
      <c r="U1072" s="251" t="s">
        <v>486</v>
      </c>
      <c r="V1072" s="251" t="s">
        <v>486</v>
      </c>
      <c r="W1072" s="251" t="s">
        <v>486</v>
      </c>
      <c r="X1072" s="251" t="s">
        <v>486</v>
      </c>
      <c r="Y1072" s="251" t="s">
        <v>486</v>
      </c>
      <c r="Z1072" s="251" t="s">
        <v>486</v>
      </c>
      <c r="AA1072" s="251" t="s">
        <v>486</v>
      </c>
      <c r="AB1072" s="251" t="s">
        <v>486</v>
      </c>
      <c r="AC1072" s="251" t="s">
        <v>486</v>
      </c>
      <c r="AD1072" s="251" t="s">
        <v>486</v>
      </c>
      <c r="AE1072" s="251" t="s">
        <v>486</v>
      </c>
      <c r="AF1072" s="251" t="s">
        <v>486</v>
      </c>
      <c r="AG1072" s="251" t="s">
        <v>486</v>
      </c>
      <c r="AH1072" s="251" t="s">
        <v>486</v>
      </c>
      <c r="AI1072" s="251" t="s">
        <v>486</v>
      </c>
      <c r="AJ1072" s="251" t="s">
        <v>486</v>
      </c>
      <c r="AK1072" s="251" t="s">
        <v>486</v>
      </c>
      <c r="AL1072" s="251" t="s">
        <v>486</v>
      </c>
      <c r="AM1072" s="251" t="s">
        <v>486</v>
      </c>
      <c r="AN1072" s="251" t="s">
        <v>486</v>
      </c>
      <c r="AO1072" s="253" t="s">
        <v>486</v>
      </c>
      <c r="AP1072" s="252" t="s">
        <v>486</v>
      </c>
      <c r="AQ1072" s="254" t="s">
        <v>486</v>
      </c>
      <c r="AR1072" s="251" t="s">
        <v>486</v>
      </c>
    </row>
    <row r="1073" spans="1:44" ht="15" x14ac:dyDescent="0.25">
      <c r="A1073" s="245" t="str">
        <f>HYPERLINK("http://www.ofsted.gov.uk/inspection-reports/find-inspection-report/provider/ELS/146292 ","Ofsted School Webpage")</f>
        <v>Ofsted School Webpage</v>
      </c>
      <c r="B1073" s="246">
        <v>146292</v>
      </c>
      <c r="C1073" s="246">
        <v>8216015</v>
      </c>
      <c r="D1073" s="246" t="s">
        <v>2914</v>
      </c>
      <c r="E1073" s="246" t="s">
        <v>247</v>
      </c>
      <c r="F1073" s="246" t="s">
        <v>93</v>
      </c>
      <c r="G1073" s="246" t="s">
        <v>93</v>
      </c>
      <c r="H1073" s="246" t="s">
        <v>93</v>
      </c>
      <c r="I1073" s="246" t="s">
        <v>90</v>
      </c>
      <c r="J1073" s="246" t="s">
        <v>1490</v>
      </c>
      <c r="K1073" s="246" t="s">
        <v>486</v>
      </c>
      <c r="L1073" s="246" t="s">
        <v>487</v>
      </c>
      <c r="M1073" s="246" t="s">
        <v>516</v>
      </c>
      <c r="N1073" s="246" t="s">
        <v>516</v>
      </c>
      <c r="O1073" s="246" t="s">
        <v>517</v>
      </c>
      <c r="P1073" s="246" t="s">
        <v>2915</v>
      </c>
      <c r="Q1073" s="247" t="s">
        <v>486</v>
      </c>
      <c r="R1073" s="248" t="s">
        <v>486</v>
      </c>
      <c r="S1073" s="248" t="s">
        <v>486</v>
      </c>
      <c r="T1073" s="248" t="s">
        <v>486</v>
      </c>
      <c r="U1073" s="246" t="s">
        <v>486</v>
      </c>
      <c r="V1073" s="246" t="s">
        <v>486</v>
      </c>
      <c r="W1073" s="246" t="s">
        <v>486</v>
      </c>
      <c r="X1073" s="246" t="s">
        <v>486</v>
      </c>
      <c r="Y1073" s="246" t="s">
        <v>486</v>
      </c>
      <c r="Z1073" s="246" t="s">
        <v>486</v>
      </c>
      <c r="AA1073" s="246" t="s">
        <v>486</v>
      </c>
      <c r="AB1073" s="246" t="s">
        <v>486</v>
      </c>
      <c r="AC1073" s="246" t="s">
        <v>486</v>
      </c>
      <c r="AD1073" s="246" t="s">
        <v>486</v>
      </c>
      <c r="AE1073" s="246" t="s">
        <v>486</v>
      </c>
      <c r="AF1073" s="246" t="s">
        <v>486</v>
      </c>
      <c r="AG1073" s="246" t="s">
        <v>486</v>
      </c>
      <c r="AH1073" s="246" t="s">
        <v>486</v>
      </c>
      <c r="AI1073" s="246" t="s">
        <v>486</v>
      </c>
      <c r="AJ1073" s="246" t="s">
        <v>486</v>
      </c>
      <c r="AK1073" s="246" t="s">
        <v>486</v>
      </c>
      <c r="AL1073" s="246" t="s">
        <v>486</v>
      </c>
      <c r="AM1073" s="246" t="s">
        <v>486</v>
      </c>
      <c r="AN1073" s="246" t="s">
        <v>486</v>
      </c>
      <c r="AO1073" s="248" t="s">
        <v>486</v>
      </c>
      <c r="AP1073" s="247" t="s">
        <v>486</v>
      </c>
      <c r="AQ1073" s="249" t="s">
        <v>486</v>
      </c>
      <c r="AR1073" s="246" t="s">
        <v>486</v>
      </c>
    </row>
    <row r="1074" spans="1:44" ht="15" x14ac:dyDescent="0.25">
      <c r="A1074" s="250" t="str">
        <f>HYPERLINK("http://www.ofsted.gov.uk/inspection-reports/find-inspection-report/provider/ELS/146301 ","Ofsted School Webpage")</f>
        <v>Ofsted School Webpage</v>
      </c>
      <c r="B1074" s="251">
        <v>146301</v>
      </c>
      <c r="C1074" s="251">
        <v>8736056</v>
      </c>
      <c r="D1074" s="251" t="s">
        <v>1427</v>
      </c>
      <c r="E1074" s="251" t="s">
        <v>247</v>
      </c>
      <c r="F1074" s="251" t="s">
        <v>93</v>
      </c>
      <c r="G1074" s="251" t="s">
        <v>93</v>
      </c>
      <c r="H1074" s="251" t="s">
        <v>93</v>
      </c>
      <c r="I1074" s="251" t="s">
        <v>90</v>
      </c>
      <c r="J1074" s="251" t="s">
        <v>1490</v>
      </c>
      <c r="K1074" s="251" t="s">
        <v>486</v>
      </c>
      <c r="L1074" s="251" t="s">
        <v>487</v>
      </c>
      <c r="M1074" s="251" t="s">
        <v>516</v>
      </c>
      <c r="N1074" s="251" t="s">
        <v>516</v>
      </c>
      <c r="O1074" s="251" t="s">
        <v>867</v>
      </c>
      <c r="P1074" s="251" t="s">
        <v>1428</v>
      </c>
      <c r="Q1074" s="252" t="s">
        <v>486</v>
      </c>
      <c r="R1074" s="253" t="s">
        <v>486</v>
      </c>
      <c r="S1074" s="253" t="s">
        <v>486</v>
      </c>
      <c r="T1074" s="253" t="s">
        <v>486</v>
      </c>
      <c r="U1074" s="251" t="s">
        <v>486</v>
      </c>
      <c r="V1074" s="251" t="s">
        <v>486</v>
      </c>
      <c r="W1074" s="251" t="s">
        <v>486</v>
      </c>
      <c r="X1074" s="251" t="s">
        <v>486</v>
      </c>
      <c r="Y1074" s="251" t="s">
        <v>486</v>
      </c>
      <c r="Z1074" s="251" t="s">
        <v>486</v>
      </c>
      <c r="AA1074" s="251" t="s">
        <v>486</v>
      </c>
      <c r="AB1074" s="251" t="s">
        <v>486</v>
      </c>
      <c r="AC1074" s="251" t="s">
        <v>486</v>
      </c>
      <c r="AD1074" s="251" t="s">
        <v>486</v>
      </c>
      <c r="AE1074" s="251" t="s">
        <v>486</v>
      </c>
      <c r="AF1074" s="251" t="s">
        <v>486</v>
      </c>
      <c r="AG1074" s="251" t="s">
        <v>486</v>
      </c>
      <c r="AH1074" s="251" t="s">
        <v>486</v>
      </c>
      <c r="AI1074" s="251" t="s">
        <v>486</v>
      </c>
      <c r="AJ1074" s="251" t="s">
        <v>486</v>
      </c>
      <c r="AK1074" s="251" t="s">
        <v>486</v>
      </c>
      <c r="AL1074" s="251" t="s">
        <v>486</v>
      </c>
      <c r="AM1074" s="251" t="s">
        <v>486</v>
      </c>
      <c r="AN1074" s="251" t="s">
        <v>486</v>
      </c>
      <c r="AO1074" s="253" t="s">
        <v>486</v>
      </c>
      <c r="AP1074" s="252" t="s">
        <v>486</v>
      </c>
      <c r="AQ1074" s="254" t="s">
        <v>486</v>
      </c>
      <c r="AR1074" s="251" t="s">
        <v>486</v>
      </c>
    </row>
    <row r="1075" spans="1:44" ht="15" x14ac:dyDescent="0.25">
      <c r="A1075" s="245" t="str">
        <f>HYPERLINK("http://www.ofsted.gov.uk/inspection-reports/find-inspection-report/provider/ELS/146333 ","Ofsted School Webpage")</f>
        <v>Ofsted School Webpage</v>
      </c>
      <c r="B1075" s="246">
        <v>146333</v>
      </c>
      <c r="C1075" s="246">
        <v>8116018</v>
      </c>
      <c r="D1075" s="246" t="s">
        <v>1431</v>
      </c>
      <c r="E1075" s="246" t="s">
        <v>248</v>
      </c>
      <c r="F1075" s="246" t="s">
        <v>93</v>
      </c>
      <c r="G1075" s="246" t="s">
        <v>93</v>
      </c>
      <c r="H1075" s="246" t="s">
        <v>93</v>
      </c>
      <c r="I1075" s="246" t="s">
        <v>90</v>
      </c>
      <c r="J1075" s="246" t="s">
        <v>1490</v>
      </c>
      <c r="K1075" s="246" t="s">
        <v>486</v>
      </c>
      <c r="L1075" s="246" t="s">
        <v>487</v>
      </c>
      <c r="M1075" s="246" t="s">
        <v>523</v>
      </c>
      <c r="N1075" s="246" t="s">
        <v>524</v>
      </c>
      <c r="O1075" s="246" t="s">
        <v>961</v>
      </c>
      <c r="P1075" s="246" t="s">
        <v>1432</v>
      </c>
      <c r="Q1075" s="247" t="s">
        <v>486</v>
      </c>
      <c r="R1075" s="248" t="s">
        <v>486</v>
      </c>
      <c r="S1075" s="248" t="s">
        <v>486</v>
      </c>
      <c r="T1075" s="248" t="s">
        <v>486</v>
      </c>
      <c r="U1075" s="246" t="s">
        <v>486</v>
      </c>
      <c r="V1075" s="246" t="s">
        <v>486</v>
      </c>
      <c r="W1075" s="246" t="s">
        <v>486</v>
      </c>
      <c r="X1075" s="246" t="s">
        <v>486</v>
      </c>
      <c r="Y1075" s="246" t="s">
        <v>486</v>
      </c>
      <c r="Z1075" s="246" t="s">
        <v>486</v>
      </c>
      <c r="AA1075" s="246" t="s">
        <v>486</v>
      </c>
      <c r="AB1075" s="246" t="s">
        <v>486</v>
      </c>
      <c r="AC1075" s="246" t="s">
        <v>486</v>
      </c>
      <c r="AD1075" s="246" t="s">
        <v>486</v>
      </c>
      <c r="AE1075" s="246" t="s">
        <v>486</v>
      </c>
      <c r="AF1075" s="246" t="s">
        <v>486</v>
      </c>
      <c r="AG1075" s="246" t="s">
        <v>486</v>
      </c>
      <c r="AH1075" s="246" t="s">
        <v>486</v>
      </c>
      <c r="AI1075" s="246" t="s">
        <v>486</v>
      </c>
      <c r="AJ1075" s="246" t="s">
        <v>486</v>
      </c>
      <c r="AK1075" s="246" t="s">
        <v>486</v>
      </c>
      <c r="AL1075" s="246" t="s">
        <v>486</v>
      </c>
      <c r="AM1075" s="246" t="s">
        <v>486</v>
      </c>
      <c r="AN1075" s="246" t="s">
        <v>486</v>
      </c>
      <c r="AO1075" s="248" t="s">
        <v>486</v>
      </c>
      <c r="AP1075" s="247" t="s">
        <v>486</v>
      </c>
      <c r="AQ1075" s="249" t="s">
        <v>486</v>
      </c>
      <c r="AR1075" s="246" t="s">
        <v>486</v>
      </c>
    </row>
    <row r="1076" spans="1:44" ht="15" x14ac:dyDescent="0.25">
      <c r="A1076" s="250" t="str">
        <f>HYPERLINK("http://www.ofsted.gov.uk/inspection-reports/find-inspection-report/provider/ELS/146335 ","Ofsted School Webpage")</f>
        <v>Ofsted School Webpage</v>
      </c>
      <c r="B1076" s="251">
        <v>146335</v>
      </c>
      <c r="C1076" s="251">
        <v>9336010</v>
      </c>
      <c r="D1076" s="251" t="s">
        <v>1406</v>
      </c>
      <c r="E1076" s="251" t="s">
        <v>248</v>
      </c>
      <c r="F1076" s="251" t="s">
        <v>93</v>
      </c>
      <c r="G1076" s="251" t="s">
        <v>93</v>
      </c>
      <c r="H1076" s="251" t="s">
        <v>93</v>
      </c>
      <c r="I1076" s="251" t="s">
        <v>90</v>
      </c>
      <c r="J1076" s="251" t="s">
        <v>1490</v>
      </c>
      <c r="K1076" s="251" t="s">
        <v>486</v>
      </c>
      <c r="L1076" s="251" t="s">
        <v>487</v>
      </c>
      <c r="M1076" s="251" t="s">
        <v>483</v>
      </c>
      <c r="N1076" s="251" t="s">
        <v>483</v>
      </c>
      <c r="O1076" s="251" t="s">
        <v>531</v>
      </c>
      <c r="P1076" s="251" t="s">
        <v>1407</v>
      </c>
      <c r="Q1076" s="252" t="s">
        <v>486</v>
      </c>
      <c r="R1076" s="253" t="s">
        <v>486</v>
      </c>
      <c r="S1076" s="253" t="s">
        <v>486</v>
      </c>
      <c r="T1076" s="253" t="s">
        <v>486</v>
      </c>
      <c r="U1076" s="251" t="s">
        <v>486</v>
      </c>
      <c r="V1076" s="251" t="s">
        <v>486</v>
      </c>
      <c r="W1076" s="251" t="s">
        <v>486</v>
      </c>
      <c r="X1076" s="251" t="s">
        <v>486</v>
      </c>
      <c r="Y1076" s="251" t="s">
        <v>486</v>
      </c>
      <c r="Z1076" s="251" t="s">
        <v>486</v>
      </c>
      <c r="AA1076" s="251" t="s">
        <v>486</v>
      </c>
      <c r="AB1076" s="251" t="s">
        <v>486</v>
      </c>
      <c r="AC1076" s="251" t="s">
        <v>486</v>
      </c>
      <c r="AD1076" s="251" t="s">
        <v>486</v>
      </c>
      <c r="AE1076" s="251" t="s">
        <v>486</v>
      </c>
      <c r="AF1076" s="251" t="s">
        <v>486</v>
      </c>
      <c r="AG1076" s="251" t="s">
        <v>486</v>
      </c>
      <c r="AH1076" s="251" t="s">
        <v>486</v>
      </c>
      <c r="AI1076" s="251" t="s">
        <v>486</v>
      </c>
      <c r="AJ1076" s="251" t="s">
        <v>486</v>
      </c>
      <c r="AK1076" s="251" t="s">
        <v>486</v>
      </c>
      <c r="AL1076" s="251" t="s">
        <v>486</v>
      </c>
      <c r="AM1076" s="251" t="s">
        <v>486</v>
      </c>
      <c r="AN1076" s="251" t="s">
        <v>486</v>
      </c>
      <c r="AO1076" s="253" t="s">
        <v>486</v>
      </c>
      <c r="AP1076" s="252" t="s">
        <v>486</v>
      </c>
      <c r="AQ1076" s="254" t="s">
        <v>486</v>
      </c>
      <c r="AR1076" s="251" t="s">
        <v>486</v>
      </c>
    </row>
    <row r="1077" spans="1:44" ht="15" x14ac:dyDescent="0.25">
      <c r="A1077" s="245" t="str">
        <f>HYPERLINK("http://www.ofsted.gov.uk/inspection-reports/find-inspection-report/provider/ELS/146337 ","Ofsted School Webpage")</f>
        <v>Ofsted School Webpage</v>
      </c>
      <c r="B1077" s="246">
        <v>146337</v>
      </c>
      <c r="C1077" s="246">
        <v>3526014</v>
      </c>
      <c r="D1077" s="246" t="s">
        <v>1399</v>
      </c>
      <c r="E1077" s="246" t="s">
        <v>247</v>
      </c>
      <c r="F1077" s="246" t="s">
        <v>93</v>
      </c>
      <c r="G1077" s="246" t="s">
        <v>93</v>
      </c>
      <c r="H1077" s="246" t="s">
        <v>93</v>
      </c>
      <c r="I1077" s="246" t="s">
        <v>90</v>
      </c>
      <c r="J1077" s="246" t="s">
        <v>1490</v>
      </c>
      <c r="K1077" s="246" t="s">
        <v>486</v>
      </c>
      <c r="L1077" s="246" t="s">
        <v>487</v>
      </c>
      <c r="M1077" s="246" t="s">
        <v>495</v>
      </c>
      <c r="N1077" s="246" t="s">
        <v>495</v>
      </c>
      <c r="O1077" s="246" t="s">
        <v>744</v>
      </c>
      <c r="P1077" s="246" t="s">
        <v>1400</v>
      </c>
      <c r="Q1077" s="247" t="s">
        <v>486</v>
      </c>
      <c r="R1077" s="248" t="s">
        <v>486</v>
      </c>
      <c r="S1077" s="248" t="s">
        <v>486</v>
      </c>
      <c r="T1077" s="248" t="s">
        <v>486</v>
      </c>
      <c r="U1077" s="246" t="s">
        <v>486</v>
      </c>
      <c r="V1077" s="246" t="s">
        <v>486</v>
      </c>
      <c r="W1077" s="246" t="s">
        <v>486</v>
      </c>
      <c r="X1077" s="246" t="s">
        <v>486</v>
      </c>
      <c r="Y1077" s="246" t="s">
        <v>486</v>
      </c>
      <c r="Z1077" s="246" t="s">
        <v>486</v>
      </c>
      <c r="AA1077" s="246" t="s">
        <v>486</v>
      </c>
      <c r="AB1077" s="246" t="s">
        <v>486</v>
      </c>
      <c r="AC1077" s="246" t="s">
        <v>486</v>
      </c>
      <c r="AD1077" s="246" t="s">
        <v>486</v>
      </c>
      <c r="AE1077" s="246" t="s">
        <v>486</v>
      </c>
      <c r="AF1077" s="246" t="s">
        <v>486</v>
      </c>
      <c r="AG1077" s="246" t="s">
        <v>486</v>
      </c>
      <c r="AH1077" s="246" t="s">
        <v>486</v>
      </c>
      <c r="AI1077" s="246" t="s">
        <v>486</v>
      </c>
      <c r="AJ1077" s="246" t="s">
        <v>486</v>
      </c>
      <c r="AK1077" s="246" t="s">
        <v>486</v>
      </c>
      <c r="AL1077" s="246" t="s">
        <v>486</v>
      </c>
      <c r="AM1077" s="246" t="s">
        <v>486</v>
      </c>
      <c r="AN1077" s="246" t="s">
        <v>486</v>
      </c>
      <c r="AO1077" s="248" t="s">
        <v>486</v>
      </c>
      <c r="AP1077" s="247" t="s">
        <v>486</v>
      </c>
      <c r="AQ1077" s="249" t="s">
        <v>486</v>
      </c>
      <c r="AR1077" s="246" t="s">
        <v>486</v>
      </c>
    </row>
    <row r="1078" spans="1:44" ht="15" x14ac:dyDescent="0.25">
      <c r="A1078" s="250" t="str">
        <f>HYPERLINK("http://www.ofsted.gov.uk/inspection-reports/find-inspection-report/provider/ELS/146338 ","Ofsted School Webpage")</f>
        <v>Ofsted School Webpage</v>
      </c>
      <c r="B1078" s="251">
        <v>146338</v>
      </c>
      <c r="C1078" s="251">
        <v>9366015</v>
      </c>
      <c r="D1078" s="251" t="s">
        <v>1453</v>
      </c>
      <c r="E1078" s="251" t="s">
        <v>248</v>
      </c>
      <c r="F1078" s="251" t="s">
        <v>93</v>
      </c>
      <c r="G1078" s="251" t="s">
        <v>93</v>
      </c>
      <c r="H1078" s="251" t="s">
        <v>93</v>
      </c>
      <c r="I1078" s="251" t="s">
        <v>90</v>
      </c>
      <c r="J1078" s="251" t="s">
        <v>1490</v>
      </c>
      <c r="K1078" s="251" t="s">
        <v>486</v>
      </c>
      <c r="L1078" s="251" t="s">
        <v>487</v>
      </c>
      <c r="M1078" s="251" t="s">
        <v>581</v>
      </c>
      <c r="N1078" s="251" t="s">
        <v>581</v>
      </c>
      <c r="O1078" s="251" t="s">
        <v>788</v>
      </c>
      <c r="P1078" s="251" t="s">
        <v>1454</v>
      </c>
      <c r="Q1078" s="252" t="s">
        <v>486</v>
      </c>
      <c r="R1078" s="253" t="s">
        <v>486</v>
      </c>
      <c r="S1078" s="253" t="s">
        <v>486</v>
      </c>
      <c r="T1078" s="253" t="s">
        <v>486</v>
      </c>
      <c r="U1078" s="251" t="s">
        <v>486</v>
      </c>
      <c r="V1078" s="251" t="s">
        <v>486</v>
      </c>
      <c r="W1078" s="251" t="s">
        <v>486</v>
      </c>
      <c r="X1078" s="251" t="s">
        <v>486</v>
      </c>
      <c r="Y1078" s="251" t="s">
        <v>486</v>
      </c>
      <c r="Z1078" s="251" t="s">
        <v>486</v>
      </c>
      <c r="AA1078" s="251" t="s">
        <v>486</v>
      </c>
      <c r="AB1078" s="251" t="s">
        <v>486</v>
      </c>
      <c r="AC1078" s="251" t="s">
        <v>486</v>
      </c>
      <c r="AD1078" s="251" t="s">
        <v>486</v>
      </c>
      <c r="AE1078" s="251" t="s">
        <v>486</v>
      </c>
      <c r="AF1078" s="251" t="s">
        <v>486</v>
      </c>
      <c r="AG1078" s="251" t="s">
        <v>486</v>
      </c>
      <c r="AH1078" s="251" t="s">
        <v>486</v>
      </c>
      <c r="AI1078" s="251" t="s">
        <v>486</v>
      </c>
      <c r="AJ1078" s="251" t="s">
        <v>486</v>
      </c>
      <c r="AK1078" s="251" t="s">
        <v>486</v>
      </c>
      <c r="AL1078" s="251" t="s">
        <v>486</v>
      </c>
      <c r="AM1078" s="251" t="s">
        <v>486</v>
      </c>
      <c r="AN1078" s="251" t="s">
        <v>486</v>
      </c>
      <c r="AO1078" s="253" t="s">
        <v>486</v>
      </c>
      <c r="AP1078" s="252" t="s">
        <v>486</v>
      </c>
      <c r="AQ1078" s="254" t="s">
        <v>486</v>
      </c>
      <c r="AR1078" s="251" t="s">
        <v>486</v>
      </c>
    </row>
    <row r="1079" spans="1:44" ht="15" x14ac:dyDescent="0.25">
      <c r="A1079" s="245" t="str">
        <f>HYPERLINK("http://www.ofsted.gov.uk/inspection-reports/find-inspection-report/provider/ELS/146339 ","Ofsted School Webpage")</f>
        <v>Ofsted School Webpage</v>
      </c>
      <c r="B1079" s="246">
        <v>146339</v>
      </c>
      <c r="C1079" s="246">
        <v>3836006</v>
      </c>
      <c r="D1079" s="246" t="s">
        <v>1404</v>
      </c>
      <c r="E1079" s="246" t="s">
        <v>247</v>
      </c>
      <c r="F1079" s="246" t="s">
        <v>93</v>
      </c>
      <c r="G1079" s="246" t="s">
        <v>93</v>
      </c>
      <c r="H1079" s="246" t="s">
        <v>93</v>
      </c>
      <c r="I1079" s="246" t="s">
        <v>90</v>
      </c>
      <c r="J1079" s="246" t="s">
        <v>1490</v>
      </c>
      <c r="K1079" s="246" t="s">
        <v>486</v>
      </c>
      <c r="L1079" s="246" t="s">
        <v>487</v>
      </c>
      <c r="M1079" s="246" t="s">
        <v>523</v>
      </c>
      <c r="N1079" s="246" t="s">
        <v>524</v>
      </c>
      <c r="O1079" s="246" t="s">
        <v>702</v>
      </c>
      <c r="P1079" s="246" t="s">
        <v>1405</v>
      </c>
      <c r="Q1079" s="247" t="s">
        <v>486</v>
      </c>
      <c r="R1079" s="248" t="s">
        <v>486</v>
      </c>
      <c r="S1079" s="248" t="s">
        <v>486</v>
      </c>
      <c r="T1079" s="248" t="s">
        <v>486</v>
      </c>
      <c r="U1079" s="246" t="s">
        <v>486</v>
      </c>
      <c r="V1079" s="246" t="s">
        <v>486</v>
      </c>
      <c r="W1079" s="246" t="s">
        <v>486</v>
      </c>
      <c r="X1079" s="246" t="s">
        <v>486</v>
      </c>
      <c r="Y1079" s="246" t="s">
        <v>486</v>
      </c>
      <c r="Z1079" s="246" t="s">
        <v>486</v>
      </c>
      <c r="AA1079" s="246" t="s">
        <v>486</v>
      </c>
      <c r="AB1079" s="246" t="s">
        <v>486</v>
      </c>
      <c r="AC1079" s="246" t="s">
        <v>486</v>
      </c>
      <c r="AD1079" s="246" t="s">
        <v>486</v>
      </c>
      <c r="AE1079" s="246" t="s">
        <v>486</v>
      </c>
      <c r="AF1079" s="246" t="s">
        <v>486</v>
      </c>
      <c r="AG1079" s="246" t="s">
        <v>486</v>
      </c>
      <c r="AH1079" s="246" t="s">
        <v>486</v>
      </c>
      <c r="AI1079" s="246" t="s">
        <v>486</v>
      </c>
      <c r="AJ1079" s="246" t="s">
        <v>486</v>
      </c>
      <c r="AK1079" s="246" t="s">
        <v>486</v>
      </c>
      <c r="AL1079" s="246" t="s">
        <v>486</v>
      </c>
      <c r="AM1079" s="246" t="s">
        <v>486</v>
      </c>
      <c r="AN1079" s="246" t="s">
        <v>486</v>
      </c>
      <c r="AO1079" s="248" t="s">
        <v>486</v>
      </c>
      <c r="AP1079" s="247" t="s">
        <v>486</v>
      </c>
      <c r="AQ1079" s="249" t="s">
        <v>486</v>
      </c>
      <c r="AR1079" s="246" t="s">
        <v>486</v>
      </c>
    </row>
    <row r="1080" spans="1:44" ht="15" x14ac:dyDescent="0.25">
      <c r="A1080" s="250" t="str">
        <f>HYPERLINK("http://www.ofsted.gov.uk/inspection-reports/find-inspection-report/provider/ELS/146340 ","Ofsted School Webpage")</f>
        <v>Ofsted School Webpage</v>
      </c>
      <c r="B1080" s="251">
        <v>146340</v>
      </c>
      <c r="C1080" s="251">
        <v>8936036</v>
      </c>
      <c r="D1080" s="251" t="s">
        <v>1451</v>
      </c>
      <c r="E1080" s="251" t="s">
        <v>248</v>
      </c>
      <c r="F1080" s="251" t="s">
        <v>93</v>
      </c>
      <c r="G1080" s="251" t="s">
        <v>93</v>
      </c>
      <c r="H1080" s="251" t="s">
        <v>93</v>
      </c>
      <c r="I1080" s="251" t="s">
        <v>90</v>
      </c>
      <c r="J1080" s="251" t="s">
        <v>1490</v>
      </c>
      <c r="K1080" s="251" t="s">
        <v>486</v>
      </c>
      <c r="L1080" s="251" t="s">
        <v>487</v>
      </c>
      <c r="M1080" s="251" t="s">
        <v>502</v>
      </c>
      <c r="N1080" s="251" t="s">
        <v>502</v>
      </c>
      <c r="O1080" s="251" t="s">
        <v>666</v>
      </c>
      <c r="P1080" s="251" t="s">
        <v>1452</v>
      </c>
      <c r="Q1080" s="252" t="s">
        <v>486</v>
      </c>
      <c r="R1080" s="253" t="s">
        <v>486</v>
      </c>
      <c r="S1080" s="253" t="s">
        <v>486</v>
      </c>
      <c r="T1080" s="253" t="s">
        <v>486</v>
      </c>
      <c r="U1080" s="251" t="s">
        <v>486</v>
      </c>
      <c r="V1080" s="251" t="s">
        <v>486</v>
      </c>
      <c r="W1080" s="251" t="s">
        <v>486</v>
      </c>
      <c r="X1080" s="251" t="s">
        <v>486</v>
      </c>
      <c r="Y1080" s="251" t="s">
        <v>486</v>
      </c>
      <c r="Z1080" s="251" t="s">
        <v>486</v>
      </c>
      <c r="AA1080" s="251" t="s">
        <v>486</v>
      </c>
      <c r="AB1080" s="251" t="s">
        <v>486</v>
      </c>
      <c r="AC1080" s="251" t="s">
        <v>486</v>
      </c>
      <c r="AD1080" s="251" t="s">
        <v>486</v>
      </c>
      <c r="AE1080" s="251" t="s">
        <v>486</v>
      </c>
      <c r="AF1080" s="251" t="s">
        <v>486</v>
      </c>
      <c r="AG1080" s="251" t="s">
        <v>486</v>
      </c>
      <c r="AH1080" s="251" t="s">
        <v>486</v>
      </c>
      <c r="AI1080" s="251" t="s">
        <v>486</v>
      </c>
      <c r="AJ1080" s="251" t="s">
        <v>486</v>
      </c>
      <c r="AK1080" s="251" t="s">
        <v>486</v>
      </c>
      <c r="AL1080" s="251" t="s">
        <v>486</v>
      </c>
      <c r="AM1080" s="251" t="s">
        <v>486</v>
      </c>
      <c r="AN1080" s="251" t="s">
        <v>486</v>
      </c>
      <c r="AO1080" s="253" t="s">
        <v>486</v>
      </c>
      <c r="AP1080" s="252" t="s">
        <v>486</v>
      </c>
      <c r="AQ1080" s="254" t="s">
        <v>486</v>
      </c>
      <c r="AR1080" s="251" t="s">
        <v>486</v>
      </c>
    </row>
    <row r="1081" spans="1:44" ht="15" x14ac:dyDescent="0.25">
      <c r="A1081" s="245" t="str">
        <f>HYPERLINK("http://www.ofsted.gov.uk/inspection-reports/find-inspection-report/provider/ELS/146353 ","Ofsted School Webpage")</f>
        <v>Ofsted School Webpage</v>
      </c>
      <c r="B1081" s="246">
        <v>146353</v>
      </c>
      <c r="C1081" s="246">
        <v>8886117</v>
      </c>
      <c r="D1081" s="246" t="s">
        <v>1397</v>
      </c>
      <c r="E1081" s="246" t="s">
        <v>247</v>
      </c>
      <c r="F1081" s="246" t="s">
        <v>498</v>
      </c>
      <c r="G1081" s="246" t="s">
        <v>93</v>
      </c>
      <c r="H1081" s="246" t="s">
        <v>498</v>
      </c>
      <c r="I1081" s="246" t="s">
        <v>90</v>
      </c>
      <c r="J1081" s="246" t="s">
        <v>1490</v>
      </c>
      <c r="K1081" s="246" t="s">
        <v>486</v>
      </c>
      <c r="L1081" s="246" t="s">
        <v>487</v>
      </c>
      <c r="M1081" s="246" t="s">
        <v>495</v>
      </c>
      <c r="N1081" s="246" t="s">
        <v>495</v>
      </c>
      <c r="O1081" s="246" t="s">
        <v>534</v>
      </c>
      <c r="P1081" s="246" t="s">
        <v>1398</v>
      </c>
      <c r="Q1081" s="247" t="s">
        <v>486</v>
      </c>
      <c r="R1081" s="248" t="s">
        <v>486</v>
      </c>
      <c r="S1081" s="248" t="s">
        <v>486</v>
      </c>
      <c r="T1081" s="248" t="s">
        <v>486</v>
      </c>
      <c r="U1081" s="246" t="s">
        <v>486</v>
      </c>
      <c r="V1081" s="246" t="s">
        <v>486</v>
      </c>
      <c r="W1081" s="246" t="s">
        <v>486</v>
      </c>
      <c r="X1081" s="246" t="s">
        <v>486</v>
      </c>
      <c r="Y1081" s="246" t="s">
        <v>486</v>
      </c>
      <c r="Z1081" s="246" t="s">
        <v>486</v>
      </c>
      <c r="AA1081" s="246" t="s">
        <v>486</v>
      </c>
      <c r="AB1081" s="246" t="s">
        <v>486</v>
      </c>
      <c r="AC1081" s="246" t="s">
        <v>486</v>
      </c>
      <c r="AD1081" s="246" t="s">
        <v>486</v>
      </c>
      <c r="AE1081" s="246" t="s">
        <v>486</v>
      </c>
      <c r="AF1081" s="246" t="s">
        <v>486</v>
      </c>
      <c r="AG1081" s="246" t="s">
        <v>486</v>
      </c>
      <c r="AH1081" s="246" t="s">
        <v>486</v>
      </c>
      <c r="AI1081" s="246" t="s">
        <v>486</v>
      </c>
      <c r="AJ1081" s="246" t="s">
        <v>486</v>
      </c>
      <c r="AK1081" s="246" t="s">
        <v>486</v>
      </c>
      <c r="AL1081" s="246" t="s">
        <v>486</v>
      </c>
      <c r="AM1081" s="246" t="s">
        <v>486</v>
      </c>
      <c r="AN1081" s="246" t="s">
        <v>486</v>
      </c>
      <c r="AO1081" s="248" t="s">
        <v>486</v>
      </c>
      <c r="AP1081" s="247" t="s">
        <v>486</v>
      </c>
      <c r="AQ1081" s="249" t="s">
        <v>486</v>
      </c>
      <c r="AR1081" s="246" t="s">
        <v>486</v>
      </c>
    </row>
    <row r="1082" spans="1:44" ht="15" x14ac:dyDescent="0.25">
      <c r="A1082" s="250" t="str">
        <f>HYPERLINK("http://www.ofsted.gov.uk/inspection-reports/find-inspection-report/provider/ELS/146360 ","Ofsted School Webpage")</f>
        <v>Ofsted School Webpage</v>
      </c>
      <c r="B1082" s="251">
        <v>146360</v>
      </c>
      <c r="C1082" s="251">
        <v>8556043</v>
      </c>
      <c r="D1082" s="251" t="s">
        <v>1429</v>
      </c>
      <c r="E1082" s="251" t="s">
        <v>248</v>
      </c>
      <c r="F1082" s="251" t="s">
        <v>498</v>
      </c>
      <c r="G1082" s="251" t="s">
        <v>93</v>
      </c>
      <c r="H1082" s="251" t="s">
        <v>498</v>
      </c>
      <c r="I1082" s="251" t="s">
        <v>90</v>
      </c>
      <c r="J1082" s="251" t="s">
        <v>1490</v>
      </c>
      <c r="K1082" s="251" t="s">
        <v>486</v>
      </c>
      <c r="L1082" s="251" t="s">
        <v>487</v>
      </c>
      <c r="M1082" s="251" t="s">
        <v>572</v>
      </c>
      <c r="N1082" s="251" t="s">
        <v>572</v>
      </c>
      <c r="O1082" s="251" t="s">
        <v>966</v>
      </c>
      <c r="P1082" s="251" t="s">
        <v>1430</v>
      </c>
      <c r="Q1082" s="252" t="s">
        <v>486</v>
      </c>
      <c r="R1082" s="253" t="s">
        <v>486</v>
      </c>
      <c r="S1082" s="253" t="s">
        <v>486</v>
      </c>
      <c r="T1082" s="253" t="s">
        <v>486</v>
      </c>
      <c r="U1082" s="251" t="s">
        <v>486</v>
      </c>
      <c r="V1082" s="251" t="s">
        <v>486</v>
      </c>
      <c r="W1082" s="251" t="s">
        <v>486</v>
      </c>
      <c r="X1082" s="251" t="s">
        <v>486</v>
      </c>
      <c r="Y1082" s="251" t="s">
        <v>486</v>
      </c>
      <c r="Z1082" s="251" t="s">
        <v>486</v>
      </c>
      <c r="AA1082" s="251" t="s">
        <v>486</v>
      </c>
      <c r="AB1082" s="251" t="s">
        <v>486</v>
      </c>
      <c r="AC1082" s="251" t="s">
        <v>486</v>
      </c>
      <c r="AD1082" s="251" t="s">
        <v>486</v>
      </c>
      <c r="AE1082" s="251" t="s">
        <v>486</v>
      </c>
      <c r="AF1082" s="251" t="s">
        <v>486</v>
      </c>
      <c r="AG1082" s="251" t="s">
        <v>486</v>
      </c>
      <c r="AH1082" s="251" t="s">
        <v>486</v>
      </c>
      <c r="AI1082" s="251" t="s">
        <v>486</v>
      </c>
      <c r="AJ1082" s="251" t="s">
        <v>486</v>
      </c>
      <c r="AK1082" s="251" t="s">
        <v>486</v>
      </c>
      <c r="AL1082" s="251" t="s">
        <v>486</v>
      </c>
      <c r="AM1082" s="251" t="s">
        <v>486</v>
      </c>
      <c r="AN1082" s="251" t="s">
        <v>486</v>
      </c>
      <c r="AO1082" s="253" t="s">
        <v>486</v>
      </c>
      <c r="AP1082" s="252" t="s">
        <v>486</v>
      </c>
      <c r="AQ1082" s="254" t="s">
        <v>486</v>
      </c>
      <c r="AR1082" s="251" t="s">
        <v>486</v>
      </c>
    </row>
    <row r="1083" spans="1:44" ht="15" x14ac:dyDescent="0.25">
      <c r="A1083" s="245" t="str">
        <f>HYPERLINK("http://www.ofsted.gov.uk/inspection-reports/find-inspection-report/provider/ELS/146516 ","Ofsted School Webpage")</f>
        <v>Ofsted School Webpage</v>
      </c>
      <c r="B1083" s="246">
        <v>146516</v>
      </c>
      <c r="C1083" s="246">
        <v>9316022</v>
      </c>
      <c r="D1083" s="246" t="s">
        <v>1441</v>
      </c>
      <c r="E1083" s="246" t="s">
        <v>247</v>
      </c>
      <c r="F1083" s="246" t="s">
        <v>498</v>
      </c>
      <c r="G1083" s="246" t="s">
        <v>93</v>
      </c>
      <c r="H1083" s="246" t="s">
        <v>498</v>
      </c>
      <c r="I1083" s="246" t="s">
        <v>90</v>
      </c>
      <c r="J1083" s="246" t="s">
        <v>1490</v>
      </c>
      <c r="K1083" s="246" t="s">
        <v>486</v>
      </c>
      <c r="L1083" s="246" t="s">
        <v>487</v>
      </c>
      <c r="M1083" s="246" t="s">
        <v>581</v>
      </c>
      <c r="N1083" s="246" t="s">
        <v>581</v>
      </c>
      <c r="O1083" s="246" t="s">
        <v>1150</v>
      </c>
      <c r="P1083" s="246" t="s">
        <v>1442</v>
      </c>
      <c r="Q1083" s="247" t="s">
        <v>486</v>
      </c>
      <c r="R1083" s="248" t="s">
        <v>486</v>
      </c>
      <c r="S1083" s="248" t="s">
        <v>486</v>
      </c>
      <c r="T1083" s="248" t="s">
        <v>486</v>
      </c>
      <c r="U1083" s="246" t="s">
        <v>486</v>
      </c>
      <c r="V1083" s="246" t="s">
        <v>486</v>
      </c>
      <c r="W1083" s="246" t="s">
        <v>486</v>
      </c>
      <c r="X1083" s="246" t="s">
        <v>486</v>
      </c>
      <c r="Y1083" s="246" t="s">
        <v>486</v>
      </c>
      <c r="Z1083" s="246" t="s">
        <v>486</v>
      </c>
      <c r="AA1083" s="246" t="s">
        <v>486</v>
      </c>
      <c r="AB1083" s="246" t="s">
        <v>486</v>
      </c>
      <c r="AC1083" s="246" t="s">
        <v>486</v>
      </c>
      <c r="AD1083" s="246" t="s">
        <v>486</v>
      </c>
      <c r="AE1083" s="246" t="s">
        <v>486</v>
      </c>
      <c r="AF1083" s="246" t="s">
        <v>486</v>
      </c>
      <c r="AG1083" s="246" t="s">
        <v>486</v>
      </c>
      <c r="AH1083" s="246" t="s">
        <v>486</v>
      </c>
      <c r="AI1083" s="246" t="s">
        <v>486</v>
      </c>
      <c r="AJ1083" s="246" t="s">
        <v>486</v>
      </c>
      <c r="AK1083" s="246" t="s">
        <v>486</v>
      </c>
      <c r="AL1083" s="246" t="s">
        <v>486</v>
      </c>
      <c r="AM1083" s="246" t="s">
        <v>486</v>
      </c>
      <c r="AN1083" s="246" t="s">
        <v>486</v>
      </c>
      <c r="AO1083" s="248" t="s">
        <v>486</v>
      </c>
      <c r="AP1083" s="247" t="s">
        <v>486</v>
      </c>
      <c r="AQ1083" s="249" t="s">
        <v>486</v>
      </c>
      <c r="AR1083" s="246" t="s">
        <v>486</v>
      </c>
    </row>
    <row r="1084" spans="1:44" ht="15" x14ac:dyDescent="0.25">
      <c r="A1084" s="250" t="str">
        <f>HYPERLINK("http://www.ofsted.gov.uk/inspection-reports/find-inspection-report/provider/ELS/146519 ","Ofsted School Webpage")</f>
        <v>Ofsted School Webpage</v>
      </c>
      <c r="B1084" s="251">
        <v>146519</v>
      </c>
      <c r="C1084" s="251">
        <v>9166021</v>
      </c>
      <c r="D1084" s="251" t="s">
        <v>1461</v>
      </c>
      <c r="E1084" s="251" t="s">
        <v>248</v>
      </c>
      <c r="F1084" s="251" t="s">
        <v>498</v>
      </c>
      <c r="G1084" s="251" t="s">
        <v>93</v>
      </c>
      <c r="H1084" s="251" t="s">
        <v>498</v>
      </c>
      <c r="I1084" s="251" t="s">
        <v>90</v>
      </c>
      <c r="J1084" s="251" t="s">
        <v>1490</v>
      </c>
      <c r="K1084" s="251" t="s">
        <v>486</v>
      </c>
      <c r="L1084" s="251" t="s">
        <v>487</v>
      </c>
      <c r="M1084" s="251" t="s">
        <v>483</v>
      </c>
      <c r="N1084" s="251" t="s">
        <v>483</v>
      </c>
      <c r="O1084" s="251" t="s">
        <v>948</v>
      </c>
      <c r="P1084" s="251" t="s">
        <v>1409</v>
      </c>
      <c r="Q1084" s="252" t="s">
        <v>486</v>
      </c>
      <c r="R1084" s="253" t="s">
        <v>486</v>
      </c>
      <c r="S1084" s="253" t="s">
        <v>486</v>
      </c>
      <c r="T1084" s="253" t="s">
        <v>486</v>
      </c>
      <c r="U1084" s="251" t="s">
        <v>486</v>
      </c>
      <c r="V1084" s="251" t="s">
        <v>486</v>
      </c>
      <c r="W1084" s="251" t="s">
        <v>486</v>
      </c>
      <c r="X1084" s="251" t="s">
        <v>486</v>
      </c>
      <c r="Y1084" s="251" t="s">
        <v>486</v>
      </c>
      <c r="Z1084" s="251" t="s">
        <v>486</v>
      </c>
      <c r="AA1084" s="251" t="s">
        <v>486</v>
      </c>
      <c r="AB1084" s="251" t="s">
        <v>486</v>
      </c>
      <c r="AC1084" s="251" t="s">
        <v>486</v>
      </c>
      <c r="AD1084" s="251" t="s">
        <v>486</v>
      </c>
      <c r="AE1084" s="251" t="s">
        <v>486</v>
      </c>
      <c r="AF1084" s="251" t="s">
        <v>486</v>
      </c>
      <c r="AG1084" s="251" t="s">
        <v>486</v>
      </c>
      <c r="AH1084" s="251" t="s">
        <v>486</v>
      </c>
      <c r="AI1084" s="251" t="s">
        <v>486</v>
      </c>
      <c r="AJ1084" s="251" t="s">
        <v>486</v>
      </c>
      <c r="AK1084" s="251" t="s">
        <v>486</v>
      </c>
      <c r="AL1084" s="251" t="s">
        <v>486</v>
      </c>
      <c r="AM1084" s="251" t="s">
        <v>486</v>
      </c>
      <c r="AN1084" s="251" t="s">
        <v>486</v>
      </c>
      <c r="AO1084" s="253" t="s">
        <v>486</v>
      </c>
      <c r="AP1084" s="252" t="s">
        <v>486</v>
      </c>
      <c r="AQ1084" s="254" t="s">
        <v>486</v>
      </c>
      <c r="AR1084" s="251" t="s">
        <v>486</v>
      </c>
    </row>
    <row r="1085" spans="1:44" ht="15" x14ac:dyDescent="0.25">
      <c r="A1085" s="245" t="str">
        <f>HYPERLINK("http://www.ofsted.gov.uk/inspection-reports/find-inspection-report/provider/ELS/146521 ","Ofsted School Webpage")</f>
        <v>Ofsted School Webpage</v>
      </c>
      <c r="B1085" s="246">
        <v>146521</v>
      </c>
      <c r="C1085" s="246">
        <v>8866152</v>
      </c>
      <c r="D1085" s="246" t="s">
        <v>1467</v>
      </c>
      <c r="E1085" s="246" t="s">
        <v>248</v>
      </c>
      <c r="F1085" s="246" t="s">
        <v>498</v>
      </c>
      <c r="G1085" s="246" t="s">
        <v>93</v>
      </c>
      <c r="H1085" s="246" t="s">
        <v>498</v>
      </c>
      <c r="I1085" s="246" t="s">
        <v>90</v>
      </c>
      <c r="J1085" s="246" t="s">
        <v>1490</v>
      </c>
      <c r="K1085" s="246" t="s">
        <v>486</v>
      </c>
      <c r="L1085" s="246" t="s">
        <v>487</v>
      </c>
      <c r="M1085" s="246" t="s">
        <v>581</v>
      </c>
      <c r="N1085" s="246" t="s">
        <v>581</v>
      </c>
      <c r="O1085" s="246" t="s">
        <v>694</v>
      </c>
      <c r="P1085" s="246" t="s">
        <v>1468</v>
      </c>
      <c r="Q1085" s="247" t="s">
        <v>486</v>
      </c>
      <c r="R1085" s="248" t="s">
        <v>486</v>
      </c>
      <c r="S1085" s="248" t="s">
        <v>486</v>
      </c>
      <c r="T1085" s="248" t="s">
        <v>486</v>
      </c>
      <c r="U1085" s="246" t="s">
        <v>486</v>
      </c>
      <c r="V1085" s="246" t="s">
        <v>486</v>
      </c>
      <c r="W1085" s="246" t="s">
        <v>486</v>
      </c>
      <c r="X1085" s="246" t="s">
        <v>486</v>
      </c>
      <c r="Y1085" s="246" t="s">
        <v>486</v>
      </c>
      <c r="Z1085" s="246" t="s">
        <v>486</v>
      </c>
      <c r="AA1085" s="246" t="s">
        <v>486</v>
      </c>
      <c r="AB1085" s="246" t="s">
        <v>486</v>
      </c>
      <c r="AC1085" s="246" t="s">
        <v>486</v>
      </c>
      <c r="AD1085" s="246" t="s">
        <v>486</v>
      </c>
      <c r="AE1085" s="246" t="s">
        <v>486</v>
      </c>
      <c r="AF1085" s="246" t="s">
        <v>486</v>
      </c>
      <c r="AG1085" s="246" t="s">
        <v>486</v>
      </c>
      <c r="AH1085" s="246" t="s">
        <v>486</v>
      </c>
      <c r="AI1085" s="246" t="s">
        <v>486</v>
      </c>
      <c r="AJ1085" s="246" t="s">
        <v>486</v>
      </c>
      <c r="AK1085" s="246" t="s">
        <v>486</v>
      </c>
      <c r="AL1085" s="246" t="s">
        <v>486</v>
      </c>
      <c r="AM1085" s="246" t="s">
        <v>486</v>
      </c>
      <c r="AN1085" s="246" t="s">
        <v>486</v>
      </c>
      <c r="AO1085" s="248" t="s">
        <v>486</v>
      </c>
      <c r="AP1085" s="247" t="s">
        <v>486</v>
      </c>
      <c r="AQ1085" s="249" t="s">
        <v>486</v>
      </c>
      <c r="AR1085" s="246" t="s">
        <v>486</v>
      </c>
    </row>
    <row r="1086" spans="1:44" ht="15" x14ac:dyDescent="0.25">
      <c r="A1086" s="250" t="str">
        <f>HYPERLINK("http://www.ofsted.gov.uk/inspection-reports/find-inspection-report/provider/ELS/146522 ","Ofsted School Webpage")</f>
        <v>Ofsted School Webpage</v>
      </c>
      <c r="B1086" s="251">
        <v>146522</v>
      </c>
      <c r="C1086" s="251">
        <v>8936037</v>
      </c>
      <c r="D1086" s="251" t="s">
        <v>1445</v>
      </c>
      <c r="E1086" s="251" t="s">
        <v>248</v>
      </c>
      <c r="F1086" s="251" t="s">
        <v>498</v>
      </c>
      <c r="G1086" s="251" t="s">
        <v>93</v>
      </c>
      <c r="H1086" s="251" t="s">
        <v>498</v>
      </c>
      <c r="I1086" s="251" t="s">
        <v>90</v>
      </c>
      <c r="J1086" s="251" t="s">
        <v>1490</v>
      </c>
      <c r="K1086" s="251" t="s">
        <v>486</v>
      </c>
      <c r="L1086" s="251" t="s">
        <v>487</v>
      </c>
      <c r="M1086" s="251" t="s">
        <v>502</v>
      </c>
      <c r="N1086" s="251" t="s">
        <v>502</v>
      </c>
      <c r="O1086" s="251" t="s">
        <v>666</v>
      </c>
      <c r="P1086" s="251" t="s">
        <v>1446</v>
      </c>
      <c r="Q1086" s="252" t="s">
        <v>486</v>
      </c>
      <c r="R1086" s="253" t="s">
        <v>486</v>
      </c>
      <c r="S1086" s="253" t="s">
        <v>486</v>
      </c>
      <c r="T1086" s="253" t="s">
        <v>486</v>
      </c>
      <c r="U1086" s="251" t="s">
        <v>486</v>
      </c>
      <c r="V1086" s="251" t="s">
        <v>486</v>
      </c>
      <c r="W1086" s="251" t="s">
        <v>486</v>
      </c>
      <c r="X1086" s="251" t="s">
        <v>486</v>
      </c>
      <c r="Y1086" s="251" t="s">
        <v>486</v>
      </c>
      <c r="Z1086" s="251" t="s">
        <v>486</v>
      </c>
      <c r="AA1086" s="251" t="s">
        <v>486</v>
      </c>
      <c r="AB1086" s="251" t="s">
        <v>486</v>
      </c>
      <c r="AC1086" s="251" t="s">
        <v>486</v>
      </c>
      <c r="AD1086" s="251" t="s">
        <v>486</v>
      </c>
      <c r="AE1086" s="251" t="s">
        <v>486</v>
      </c>
      <c r="AF1086" s="251" t="s">
        <v>486</v>
      </c>
      <c r="AG1086" s="251" t="s">
        <v>486</v>
      </c>
      <c r="AH1086" s="251" t="s">
        <v>486</v>
      </c>
      <c r="AI1086" s="251" t="s">
        <v>486</v>
      </c>
      <c r="AJ1086" s="251" t="s">
        <v>486</v>
      </c>
      <c r="AK1086" s="251" t="s">
        <v>486</v>
      </c>
      <c r="AL1086" s="251" t="s">
        <v>486</v>
      </c>
      <c r="AM1086" s="251" t="s">
        <v>486</v>
      </c>
      <c r="AN1086" s="251" t="s">
        <v>486</v>
      </c>
      <c r="AO1086" s="253" t="s">
        <v>486</v>
      </c>
      <c r="AP1086" s="252" t="s">
        <v>486</v>
      </c>
      <c r="AQ1086" s="254" t="s">
        <v>486</v>
      </c>
      <c r="AR1086" s="251" t="s">
        <v>486</v>
      </c>
    </row>
    <row r="1087" spans="1:44" ht="15" x14ac:dyDescent="0.25">
      <c r="A1087" s="245" t="str">
        <f>HYPERLINK("http://www.ofsted.gov.uk/inspection-reports/find-inspection-report/provider/ELS/146524 ","Ofsted School Webpage")</f>
        <v>Ofsted School Webpage</v>
      </c>
      <c r="B1087" s="246">
        <v>146524</v>
      </c>
      <c r="C1087" s="246">
        <v>9166023</v>
      </c>
      <c r="D1087" s="246" t="s">
        <v>1412</v>
      </c>
      <c r="E1087" s="246" t="s">
        <v>248</v>
      </c>
      <c r="F1087" s="246" t="s">
        <v>498</v>
      </c>
      <c r="G1087" s="246" t="s">
        <v>93</v>
      </c>
      <c r="H1087" s="246" t="s">
        <v>498</v>
      </c>
      <c r="I1087" s="246" t="s">
        <v>90</v>
      </c>
      <c r="J1087" s="246" t="s">
        <v>1490</v>
      </c>
      <c r="K1087" s="246" t="s">
        <v>486</v>
      </c>
      <c r="L1087" s="246" t="s">
        <v>487</v>
      </c>
      <c r="M1087" s="246" t="s">
        <v>483</v>
      </c>
      <c r="N1087" s="246" t="s">
        <v>483</v>
      </c>
      <c r="O1087" s="246" t="s">
        <v>948</v>
      </c>
      <c r="P1087" s="246" t="s">
        <v>1413</v>
      </c>
      <c r="Q1087" s="247" t="s">
        <v>486</v>
      </c>
      <c r="R1087" s="248" t="s">
        <v>486</v>
      </c>
      <c r="S1087" s="248" t="s">
        <v>486</v>
      </c>
      <c r="T1087" s="248" t="s">
        <v>486</v>
      </c>
      <c r="U1087" s="246" t="s">
        <v>486</v>
      </c>
      <c r="V1087" s="246" t="s">
        <v>486</v>
      </c>
      <c r="W1087" s="246" t="s">
        <v>486</v>
      </c>
      <c r="X1087" s="246" t="s">
        <v>486</v>
      </c>
      <c r="Y1087" s="246" t="s">
        <v>486</v>
      </c>
      <c r="Z1087" s="246" t="s">
        <v>486</v>
      </c>
      <c r="AA1087" s="246" t="s">
        <v>486</v>
      </c>
      <c r="AB1087" s="246" t="s">
        <v>486</v>
      </c>
      <c r="AC1087" s="246" t="s">
        <v>486</v>
      </c>
      <c r="AD1087" s="246" t="s">
        <v>486</v>
      </c>
      <c r="AE1087" s="246" t="s">
        <v>486</v>
      </c>
      <c r="AF1087" s="246" t="s">
        <v>486</v>
      </c>
      <c r="AG1087" s="246" t="s">
        <v>486</v>
      </c>
      <c r="AH1087" s="246" t="s">
        <v>486</v>
      </c>
      <c r="AI1087" s="246" t="s">
        <v>486</v>
      </c>
      <c r="AJ1087" s="246" t="s">
        <v>486</v>
      </c>
      <c r="AK1087" s="246" t="s">
        <v>486</v>
      </c>
      <c r="AL1087" s="246" t="s">
        <v>486</v>
      </c>
      <c r="AM1087" s="246" t="s">
        <v>486</v>
      </c>
      <c r="AN1087" s="246" t="s">
        <v>486</v>
      </c>
      <c r="AO1087" s="248" t="s">
        <v>486</v>
      </c>
      <c r="AP1087" s="247" t="s">
        <v>486</v>
      </c>
      <c r="AQ1087" s="249" t="s">
        <v>486</v>
      </c>
      <c r="AR1087" s="246" t="s">
        <v>486</v>
      </c>
    </row>
    <row r="1088" spans="1:44" ht="15" x14ac:dyDescent="0.25">
      <c r="A1088" s="250" t="str">
        <f>HYPERLINK("http://www.ofsted.gov.uk/inspection-reports/find-inspection-report/provider/ELS/146569 ","Ofsted School Webpage")</f>
        <v>Ofsted School Webpage</v>
      </c>
      <c r="B1088" s="251">
        <v>146569</v>
      </c>
      <c r="C1088" s="251">
        <v>3436002</v>
      </c>
      <c r="D1088" s="251" t="s">
        <v>1434</v>
      </c>
      <c r="E1088" s="251" t="s">
        <v>247</v>
      </c>
      <c r="F1088" s="251" t="s">
        <v>498</v>
      </c>
      <c r="G1088" s="251" t="s">
        <v>93</v>
      </c>
      <c r="H1088" s="251" t="s">
        <v>498</v>
      </c>
      <c r="I1088" s="251" t="s">
        <v>90</v>
      </c>
      <c r="J1088" s="251" t="s">
        <v>1490</v>
      </c>
      <c r="K1088" s="251" t="s">
        <v>486</v>
      </c>
      <c r="L1088" s="251" t="s">
        <v>487</v>
      </c>
      <c r="M1088" s="251" t="s">
        <v>495</v>
      </c>
      <c r="N1088" s="251" t="s">
        <v>495</v>
      </c>
      <c r="O1088" s="251" t="s">
        <v>1435</v>
      </c>
      <c r="P1088" s="251" t="s">
        <v>1436</v>
      </c>
      <c r="Q1088" s="252" t="s">
        <v>486</v>
      </c>
      <c r="R1088" s="253" t="s">
        <v>486</v>
      </c>
      <c r="S1088" s="253" t="s">
        <v>486</v>
      </c>
      <c r="T1088" s="253" t="s">
        <v>486</v>
      </c>
      <c r="U1088" s="251" t="s">
        <v>486</v>
      </c>
      <c r="V1088" s="251" t="s">
        <v>486</v>
      </c>
      <c r="W1088" s="251" t="s">
        <v>486</v>
      </c>
      <c r="X1088" s="251" t="s">
        <v>486</v>
      </c>
      <c r="Y1088" s="251" t="s">
        <v>486</v>
      </c>
      <c r="Z1088" s="251" t="s">
        <v>486</v>
      </c>
      <c r="AA1088" s="251" t="s">
        <v>486</v>
      </c>
      <c r="AB1088" s="251" t="s">
        <v>486</v>
      </c>
      <c r="AC1088" s="251" t="s">
        <v>486</v>
      </c>
      <c r="AD1088" s="251" t="s">
        <v>486</v>
      </c>
      <c r="AE1088" s="251" t="s">
        <v>486</v>
      </c>
      <c r="AF1088" s="251" t="s">
        <v>486</v>
      </c>
      <c r="AG1088" s="251" t="s">
        <v>486</v>
      </c>
      <c r="AH1088" s="251" t="s">
        <v>486</v>
      </c>
      <c r="AI1088" s="251" t="s">
        <v>486</v>
      </c>
      <c r="AJ1088" s="251" t="s">
        <v>486</v>
      </c>
      <c r="AK1088" s="251" t="s">
        <v>486</v>
      </c>
      <c r="AL1088" s="251" t="s">
        <v>486</v>
      </c>
      <c r="AM1088" s="251" t="s">
        <v>486</v>
      </c>
      <c r="AN1088" s="251" t="s">
        <v>486</v>
      </c>
      <c r="AO1088" s="253" t="s">
        <v>486</v>
      </c>
      <c r="AP1088" s="252" t="s">
        <v>486</v>
      </c>
      <c r="AQ1088" s="254" t="s">
        <v>486</v>
      </c>
      <c r="AR1088" s="251" t="s">
        <v>486</v>
      </c>
    </row>
    <row r="1089" spans="1:44" ht="15" x14ac:dyDescent="0.25">
      <c r="A1089" s="245" t="str">
        <f>HYPERLINK("http://www.ofsted.gov.uk/inspection-reports/find-inspection-report/provider/ELS/146571 ","Ofsted School Webpage")</f>
        <v>Ofsted School Webpage</v>
      </c>
      <c r="B1089" s="246">
        <v>146571</v>
      </c>
      <c r="C1089" s="246">
        <v>3726000</v>
      </c>
      <c r="D1089" s="246" t="s">
        <v>1464</v>
      </c>
      <c r="E1089" s="246" t="s">
        <v>248</v>
      </c>
      <c r="F1089" s="246" t="s">
        <v>498</v>
      </c>
      <c r="G1089" s="246" t="s">
        <v>93</v>
      </c>
      <c r="H1089" s="246" t="s">
        <v>498</v>
      </c>
      <c r="I1089" s="246" t="s">
        <v>90</v>
      </c>
      <c r="J1089" s="246" t="s">
        <v>1490</v>
      </c>
      <c r="K1089" s="246" t="s">
        <v>486</v>
      </c>
      <c r="L1089" s="246" t="s">
        <v>487</v>
      </c>
      <c r="M1089" s="246" t="s">
        <v>523</v>
      </c>
      <c r="N1089" s="246" t="s">
        <v>524</v>
      </c>
      <c r="O1089" s="246" t="s">
        <v>1465</v>
      </c>
      <c r="P1089" s="246" t="s">
        <v>1466</v>
      </c>
      <c r="Q1089" s="247" t="s">
        <v>486</v>
      </c>
      <c r="R1089" s="248" t="s">
        <v>486</v>
      </c>
      <c r="S1089" s="248" t="s">
        <v>486</v>
      </c>
      <c r="T1089" s="248" t="s">
        <v>486</v>
      </c>
      <c r="U1089" s="246" t="s">
        <v>486</v>
      </c>
      <c r="V1089" s="246" t="s">
        <v>486</v>
      </c>
      <c r="W1089" s="246" t="s">
        <v>486</v>
      </c>
      <c r="X1089" s="246" t="s">
        <v>486</v>
      </c>
      <c r="Y1089" s="246" t="s">
        <v>486</v>
      </c>
      <c r="Z1089" s="246" t="s">
        <v>486</v>
      </c>
      <c r="AA1089" s="246" t="s">
        <v>486</v>
      </c>
      <c r="AB1089" s="246" t="s">
        <v>486</v>
      </c>
      <c r="AC1089" s="246" t="s">
        <v>486</v>
      </c>
      <c r="AD1089" s="246" t="s">
        <v>486</v>
      </c>
      <c r="AE1089" s="246" t="s">
        <v>486</v>
      </c>
      <c r="AF1089" s="246" t="s">
        <v>486</v>
      </c>
      <c r="AG1089" s="246" t="s">
        <v>486</v>
      </c>
      <c r="AH1089" s="246" t="s">
        <v>486</v>
      </c>
      <c r="AI1089" s="246" t="s">
        <v>486</v>
      </c>
      <c r="AJ1089" s="246" t="s">
        <v>486</v>
      </c>
      <c r="AK1089" s="246" t="s">
        <v>486</v>
      </c>
      <c r="AL1089" s="246" t="s">
        <v>486</v>
      </c>
      <c r="AM1089" s="246" t="s">
        <v>486</v>
      </c>
      <c r="AN1089" s="246" t="s">
        <v>486</v>
      </c>
      <c r="AO1089" s="248" t="s">
        <v>486</v>
      </c>
      <c r="AP1089" s="247" t="s">
        <v>486</v>
      </c>
      <c r="AQ1089" s="249" t="s">
        <v>486</v>
      </c>
      <c r="AR1089" s="246" t="s">
        <v>486</v>
      </c>
    </row>
    <row r="1090" spans="1:44" ht="15" x14ac:dyDescent="0.25">
      <c r="A1090" s="250" t="str">
        <f>HYPERLINK("http://www.ofsted.gov.uk/inspection-reports/find-inspection-report/provider/ELS/146626 ","Ofsted School Webpage")</f>
        <v>Ofsted School Webpage</v>
      </c>
      <c r="B1090" s="251">
        <v>146626</v>
      </c>
      <c r="C1090" s="251">
        <v>9266021</v>
      </c>
      <c r="D1090" s="251" t="s">
        <v>1462</v>
      </c>
      <c r="E1090" s="251" t="s">
        <v>248</v>
      </c>
      <c r="F1090" s="251" t="s">
        <v>498</v>
      </c>
      <c r="G1090" s="251" t="s">
        <v>93</v>
      </c>
      <c r="H1090" s="251" t="s">
        <v>498</v>
      </c>
      <c r="I1090" s="251" t="s">
        <v>90</v>
      </c>
      <c r="J1090" s="251" t="s">
        <v>1490</v>
      </c>
      <c r="K1090" s="251" t="s">
        <v>486</v>
      </c>
      <c r="L1090" s="251" t="s">
        <v>487</v>
      </c>
      <c r="M1090" s="251" t="s">
        <v>516</v>
      </c>
      <c r="N1090" s="251" t="s">
        <v>516</v>
      </c>
      <c r="O1090" s="251" t="s">
        <v>528</v>
      </c>
      <c r="P1090" s="251" t="s">
        <v>1463</v>
      </c>
      <c r="Q1090" s="252" t="s">
        <v>486</v>
      </c>
      <c r="R1090" s="253" t="s">
        <v>486</v>
      </c>
      <c r="S1090" s="253" t="s">
        <v>486</v>
      </c>
      <c r="T1090" s="253" t="s">
        <v>486</v>
      </c>
      <c r="U1090" s="251" t="s">
        <v>486</v>
      </c>
      <c r="V1090" s="251" t="s">
        <v>486</v>
      </c>
      <c r="W1090" s="251" t="s">
        <v>486</v>
      </c>
      <c r="X1090" s="251" t="s">
        <v>486</v>
      </c>
      <c r="Y1090" s="251" t="s">
        <v>486</v>
      </c>
      <c r="Z1090" s="251" t="s">
        <v>486</v>
      </c>
      <c r="AA1090" s="251" t="s">
        <v>486</v>
      </c>
      <c r="AB1090" s="251" t="s">
        <v>486</v>
      </c>
      <c r="AC1090" s="251" t="s">
        <v>486</v>
      </c>
      <c r="AD1090" s="251" t="s">
        <v>486</v>
      </c>
      <c r="AE1090" s="251" t="s">
        <v>486</v>
      </c>
      <c r="AF1090" s="251" t="s">
        <v>486</v>
      </c>
      <c r="AG1090" s="251" t="s">
        <v>486</v>
      </c>
      <c r="AH1090" s="251" t="s">
        <v>486</v>
      </c>
      <c r="AI1090" s="251" t="s">
        <v>486</v>
      </c>
      <c r="AJ1090" s="251" t="s">
        <v>486</v>
      </c>
      <c r="AK1090" s="251" t="s">
        <v>486</v>
      </c>
      <c r="AL1090" s="251" t="s">
        <v>486</v>
      </c>
      <c r="AM1090" s="251" t="s">
        <v>486</v>
      </c>
      <c r="AN1090" s="251" t="s">
        <v>486</v>
      </c>
      <c r="AO1090" s="253" t="s">
        <v>486</v>
      </c>
      <c r="AP1090" s="252" t="s">
        <v>486</v>
      </c>
      <c r="AQ1090" s="254" t="s">
        <v>486</v>
      </c>
      <c r="AR1090" s="251" t="s">
        <v>486</v>
      </c>
    </row>
    <row r="1091" spans="1:44" ht="15" x14ac:dyDescent="0.25">
      <c r="A1091" s="245" t="str">
        <f>HYPERLINK("http://www.ofsted.gov.uk/inspection-reports/find-inspection-report/provider/ELS/146633 ","Ofsted School Webpage")</f>
        <v>Ofsted School Webpage</v>
      </c>
      <c r="B1091" s="246">
        <v>146633</v>
      </c>
      <c r="C1091" s="246">
        <v>3836009</v>
      </c>
      <c r="D1091" s="246" t="s">
        <v>1478</v>
      </c>
      <c r="E1091" s="246" t="s">
        <v>247</v>
      </c>
      <c r="F1091" s="246" t="s">
        <v>498</v>
      </c>
      <c r="G1091" s="246" t="s">
        <v>93</v>
      </c>
      <c r="H1091" s="246" t="s">
        <v>498</v>
      </c>
      <c r="I1091" s="246" t="s">
        <v>90</v>
      </c>
      <c r="J1091" s="246" t="s">
        <v>1490</v>
      </c>
      <c r="K1091" s="246" t="s">
        <v>486</v>
      </c>
      <c r="L1091" s="246" t="s">
        <v>487</v>
      </c>
      <c r="M1091" s="246" t="s">
        <v>523</v>
      </c>
      <c r="N1091" s="246" t="s">
        <v>524</v>
      </c>
      <c r="O1091" s="246" t="s">
        <v>702</v>
      </c>
      <c r="P1091" s="246" t="s">
        <v>1479</v>
      </c>
      <c r="Q1091" s="247" t="s">
        <v>486</v>
      </c>
      <c r="R1091" s="248" t="s">
        <v>486</v>
      </c>
      <c r="S1091" s="248" t="s">
        <v>486</v>
      </c>
      <c r="T1091" s="248" t="s">
        <v>486</v>
      </c>
      <c r="U1091" s="246" t="s">
        <v>486</v>
      </c>
      <c r="V1091" s="246" t="s">
        <v>486</v>
      </c>
      <c r="W1091" s="246" t="s">
        <v>486</v>
      </c>
      <c r="X1091" s="246" t="s">
        <v>486</v>
      </c>
      <c r="Y1091" s="246" t="s">
        <v>486</v>
      </c>
      <c r="Z1091" s="246" t="s">
        <v>486</v>
      </c>
      <c r="AA1091" s="246" t="s">
        <v>486</v>
      </c>
      <c r="AB1091" s="246" t="s">
        <v>486</v>
      </c>
      <c r="AC1091" s="246" t="s">
        <v>486</v>
      </c>
      <c r="AD1091" s="246" t="s">
        <v>486</v>
      </c>
      <c r="AE1091" s="246" t="s">
        <v>486</v>
      </c>
      <c r="AF1091" s="246" t="s">
        <v>486</v>
      </c>
      <c r="AG1091" s="246" t="s">
        <v>486</v>
      </c>
      <c r="AH1091" s="246" t="s">
        <v>486</v>
      </c>
      <c r="AI1091" s="246" t="s">
        <v>486</v>
      </c>
      <c r="AJ1091" s="246" t="s">
        <v>486</v>
      </c>
      <c r="AK1091" s="246" t="s">
        <v>486</v>
      </c>
      <c r="AL1091" s="246" t="s">
        <v>486</v>
      </c>
      <c r="AM1091" s="246" t="s">
        <v>486</v>
      </c>
      <c r="AN1091" s="246" t="s">
        <v>486</v>
      </c>
      <c r="AO1091" s="248" t="s">
        <v>486</v>
      </c>
      <c r="AP1091" s="247" t="s">
        <v>486</v>
      </c>
      <c r="AQ1091" s="249" t="s">
        <v>486</v>
      </c>
      <c r="AR1091" s="246" t="s">
        <v>486</v>
      </c>
    </row>
    <row r="1092" spans="1:44" ht="15" x14ac:dyDescent="0.25">
      <c r="A1092" s="250" t="str">
        <f>HYPERLINK("http://www.ofsted.gov.uk/inspection-reports/find-inspection-report/provider/ELS/146654 ","Ofsted School Webpage")</f>
        <v>Ofsted School Webpage</v>
      </c>
      <c r="B1092" s="251">
        <v>146654</v>
      </c>
      <c r="C1092" s="251">
        <v>8656052</v>
      </c>
      <c r="D1092" s="251" t="s">
        <v>1457</v>
      </c>
      <c r="E1092" s="251" t="s">
        <v>247</v>
      </c>
      <c r="F1092" s="251" t="s">
        <v>498</v>
      </c>
      <c r="G1092" s="251" t="s">
        <v>93</v>
      </c>
      <c r="H1092" s="251" t="s">
        <v>498</v>
      </c>
      <c r="I1092" s="251" t="s">
        <v>90</v>
      </c>
      <c r="J1092" s="251" t="s">
        <v>1490</v>
      </c>
      <c r="K1092" s="251" t="s">
        <v>486</v>
      </c>
      <c r="L1092" s="251" t="s">
        <v>487</v>
      </c>
      <c r="M1092" s="251" t="s">
        <v>483</v>
      </c>
      <c r="N1092" s="251" t="s">
        <v>483</v>
      </c>
      <c r="O1092" s="251" t="s">
        <v>791</v>
      </c>
      <c r="P1092" s="251" t="s">
        <v>1458</v>
      </c>
      <c r="Q1092" s="252" t="s">
        <v>486</v>
      </c>
      <c r="R1092" s="253" t="s">
        <v>486</v>
      </c>
      <c r="S1092" s="253" t="s">
        <v>486</v>
      </c>
      <c r="T1092" s="253" t="s">
        <v>486</v>
      </c>
      <c r="U1092" s="251" t="s">
        <v>486</v>
      </c>
      <c r="V1092" s="251" t="s">
        <v>486</v>
      </c>
      <c r="W1092" s="251" t="s">
        <v>486</v>
      </c>
      <c r="X1092" s="251" t="s">
        <v>486</v>
      </c>
      <c r="Y1092" s="251" t="s">
        <v>486</v>
      </c>
      <c r="Z1092" s="251" t="s">
        <v>486</v>
      </c>
      <c r="AA1092" s="251" t="s">
        <v>486</v>
      </c>
      <c r="AB1092" s="251" t="s">
        <v>486</v>
      </c>
      <c r="AC1092" s="251" t="s">
        <v>486</v>
      </c>
      <c r="AD1092" s="251" t="s">
        <v>486</v>
      </c>
      <c r="AE1092" s="251" t="s">
        <v>486</v>
      </c>
      <c r="AF1092" s="251" t="s">
        <v>486</v>
      </c>
      <c r="AG1092" s="251" t="s">
        <v>486</v>
      </c>
      <c r="AH1092" s="251" t="s">
        <v>486</v>
      </c>
      <c r="AI1092" s="251" t="s">
        <v>486</v>
      </c>
      <c r="AJ1092" s="251" t="s">
        <v>486</v>
      </c>
      <c r="AK1092" s="251" t="s">
        <v>486</v>
      </c>
      <c r="AL1092" s="251" t="s">
        <v>486</v>
      </c>
      <c r="AM1092" s="251" t="s">
        <v>486</v>
      </c>
      <c r="AN1092" s="251" t="s">
        <v>486</v>
      </c>
      <c r="AO1092" s="253" t="s">
        <v>486</v>
      </c>
      <c r="AP1092" s="252" t="s">
        <v>486</v>
      </c>
      <c r="AQ1092" s="254" t="s">
        <v>486</v>
      </c>
      <c r="AR1092" s="251" t="s">
        <v>486</v>
      </c>
    </row>
    <row r="1093" spans="1:44" ht="15" x14ac:dyDescent="0.25">
      <c r="A1093" s="245" t="str">
        <f>HYPERLINK("http://www.ofsted.gov.uk/inspection-reports/find-inspection-report/provider/ELS/146660 ","Ofsted School Webpage")</f>
        <v>Ofsted School Webpage</v>
      </c>
      <c r="B1093" s="246">
        <v>146660</v>
      </c>
      <c r="C1093" s="246">
        <v>3066018</v>
      </c>
      <c r="D1093" s="246" t="s">
        <v>1417</v>
      </c>
      <c r="E1093" s="246" t="s">
        <v>248</v>
      </c>
      <c r="F1093" s="246" t="s">
        <v>498</v>
      </c>
      <c r="G1093" s="246" t="s">
        <v>93</v>
      </c>
      <c r="H1093" s="246" t="s">
        <v>498</v>
      </c>
      <c r="I1093" s="246" t="s">
        <v>90</v>
      </c>
      <c r="J1093" s="246" t="s">
        <v>1490</v>
      </c>
      <c r="K1093" s="246" t="s">
        <v>486</v>
      </c>
      <c r="L1093" s="246" t="s">
        <v>487</v>
      </c>
      <c r="M1093" s="246" t="s">
        <v>506</v>
      </c>
      <c r="N1093" s="246" t="s">
        <v>506</v>
      </c>
      <c r="O1093" s="246" t="s">
        <v>826</v>
      </c>
      <c r="P1093" s="246" t="s">
        <v>1418</v>
      </c>
      <c r="Q1093" s="247" t="s">
        <v>486</v>
      </c>
      <c r="R1093" s="248" t="s">
        <v>486</v>
      </c>
      <c r="S1093" s="248" t="s">
        <v>486</v>
      </c>
      <c r="T1093" s="248" t="s">
        <v>486</v>
      </c>
      <c r="U1093" s="246" t="s">
        <v>486</v>
      </c>
      <c r="V1093" s="246" t="s">
        <v>486</v>
      </c>
      <c r="W1093" s="246" t="s">
        <v>486</v>
      </c>
      <c r="X1093" s="246" t="s">
        <v>486</v>
      </c>
      <c r="Y1093" s="246" t="s">
        <v>486</v>
      </c>
      <c r="Z1093" s="246" t="s">
        <v>486</v>
      </c>
      <c r="AA1093" s="246" t="s">
        <v>486</v>
      </c>
      <c r="AB1093" s="246" t="s">
        <v>486</v>
      </c>
      <c r="AC1093" s="246" t="s">
        <v>486</v>
      </c>
      <c r="AD1093" s="246" t="s">
        <v>486</v>
      </c>
      <c r="AE1093" s="246" t="s">
        <v>486</v>
      </c>
      <c r="AF1093" s="246" t="s">
        <v>486</v>
      </c>
      <c r="AG1093" s="246" t="s">
        <v>486</v>
      </c>
      <c r="AH1093" s="246" t="s">
        <v>486</v>
      </c>
      <c r="AI1093" s="246" t="s">
        <v>486</v>
      </c>
      <c r="AJ1093" s="246" t="s">
        <v>486</v>
      </c>
      <c r="AK1093" s="246" t="s">
        <v>486</v>
      </c>
      <c r="AL1093" s="246" t="s">
        <v>486</v>
      </c>
      <c r="AM1093" s="246" t="s">
        <v>486</v>
      </c>
      <c r="AN1093" s="246" t="s">
        <v>486</v>
      </c>
      <c r="AO1093" s="248" t="s">
        <v>486</v>
      </c>
      <c r="AP1093" s="247" t="s">
        <v>486</v>
      </c>
      <c r="AQ1093" s="249" t="s">
        <v>486</v>
      </c>
      <c r="AR1093" s="246" t="s">
        <v>486</v>
      </c>
    </row>
    <row r="1094" spans="1:44" ht="15" x14ac:dyDescent="0.25">
      <c r="A1094" s="250" t="str">
        <f>HYPERLINK("http://www.ofsted.gov.uk/inspection-reports/find-inspection-report/provider/ELS/146671 ","Ofsted School Webpage")</f>
        <v>Ofsted School Webpage</v>
      </c>
      <c r="B1094" s="251">
        <v>146671</v>
      </c>
      <c r="C1094" s="251">
        <v>9166025</v>
      </c>
      <c r="D1094" s="251" t="s">
        <v>1443</v>
      </c>
      <c r="E1094" s="251" t="s">
        <v>247</v>
      </c>
      <c r="F1094" s="251" t="s">
        <v>498</v>
      </c>
      <c r="G1094" s="251" t="s">
        <v>93</v>
      </c>
      <c r="H1094" s="251" t="s">
        <v>498</v>
      </c>
      <c r="I1094" s="251" t="s">
        <v>90</v>
      </c>
      <c r="J1094" s="251" t="s">
        <v>1490</v>
      </c>
      <c r="K1094" s="251" t="s">
        <v>486</v>
      </c>
      <c r="L1094" s="251" t="s">
        <v>487</v>
      </c>
      <c r="M1094" s="251" t="s">
        <v>483</v>
      </c>
      <c r="N1094" s="251" t="s">
        <v>483</v>
      </c>
      <c r="O1094" s="251" t="s">
        <v>948</v>
      </c>
      <c r="P1094" s="251" t="s">
        <v>1444</v>
      </c>
      <c r="Q1094" s="252" t="s">
        <v>486</v>
      </c>
      <c r="R1094" s="253" t="s">
        <v>486</v>
      </c>
      <c r="S1094" s="253" t="s">
        <v>486</v>
      </c>
      <c r="T1094" s="253" t="s">
        <v>486</v>
      </c>
      <c r="U1094" s="251" t="s">
        <v>486</v>
      </c>
      <c r="V1094" s="251" t="s">
        <v>486</v>
      </c>
      <c r="W1094" s="251" t="s">
        <v>486</v>
      </c>
      <c r="X1094" s="251" t="s">
        <v>486</v>
      </c>
      <c r="Y1094" s="251" t="s">
        <v>486</v>
      </c>
      <c r="Z1094" s="251" t="s">
        <v>486</v>
      </c>
      <c r="AA1094" s="251" t="s">
        <v>486</v>
      </c>
      <c r="AB1094" s="251" t="s">
        <v>486</v>
      </c>
      <c r="AC1094" s="251" t="s">
        <v>486</v>
      </c>
      <c r="AD1094" s="251" t="s">
        <v>486</v>
      </c>
      <c r="AE1094" s="251" t="s">
        <v>486</v>
      </c>
      <c r="AF1094" s="251" t="s">
        <v>486</v>
      </c>
      <c r="AG1094" s="251" t="s">
        <v>486</v>
      </c>
      <c r="AH1094" s="251" t="s">
        <v>486</v>
      </c>
      <c r="AI1094" s="251" t="s">
        <v>486</v>
      </c>
      <c r="AJ1094" s="251" t="s">
        <v>486</v>
      </c>
      <c r="AK1094" s="251" t="s">
        <v>486</v>
      </c>
      <c r="AL1094" s="251" t="s">
        <v>486</v>
      </c>
      <c r="AM1094" s="251" t="s">
        <v>486</v>
      </c>
      <c r="AN1094" s="251" t="s">
        <v>486</v>
      </c>
      <c r="AO1094" s="253" t="s">
        <v>486</v>
      </c>
      <c r="AP1094" s="252" t="s">
        <v>486</v>
      </c>
      <c r="AQ1094" s="254" t="s">
        <v>486</v>
      </c>
      <c r="AR1094" s="251" t="s">
        <v>486</v>
      </c>
    </row>
    <row r="1095" spans="1:44" ht="15" x14ac:dyDescent="0.25">
      <c r="A1095" s="245" t="str">
        <f>HYPERLINK("http://www.ofsted.gov.uk/inspection-reports/find-inspection-report/provider/ELS/146736 ","Ofsted School Webpage")</f>
        <v>Ofsted School Webpage</v>
      </c>
      <c r="B1095" s="246">
        <v>146736</v>
      </c>
      <c r="C1095" s="246">
        <v>8866153</v>
      </c>
      <c r="D1095" s="246" t="s">
        <v>1447</v>
      </c>
      <c r="E1095" s="246" t="s">
        <v>247</v>
      </c>
      <c r="F1095" s="246" t="s">
        <v>498</v>
      </c>
      <c r="G1095" s="246" t="s">
        <v>93</v>
      </c>
      <c r="H1095" s="246" t="s">
        <v>498</v>
      </c>
      <c r="I1095" s="246" t="s">
        <v>90</v>
      </c>
      <c r="J1095" s="246" t="s">
        <v>1490</v>
      </c>
      <c r="K1095" s="246" t="s">
        <v>486</v>
      </c>
      <c r="L1095" s="246" t="s">
        <v>487</v>
      </c>
      <c r="M1095" s="246" t="s">
        <v>581</v>
      </c>
      <c r="N1095" s="246" t="s">
        <v>581</v>
      </c>
      <c r="O1095" s="246" t="s">
        <v>694</v>
      </c>
      <c r="P1095" s="246" t="s">
        <v>1448</v>
      </c>
      <c r="Q1095" s="247" t="s">
        <v>486</v>
      </c>
      <c r="R1095" s="248" t="s">
        <v>486</v>
      </c>
      <c r="S1095" s="248" t="s">
        <v>486</v>
      </c>
      <c r="T1095" s="248" t="s">
        <v>486</v>
      </c>
      <c r="U1095" s="246" t="s">
        <v>486</v>
      </c>
      <c r="V1095" s="246" t="s">
        <v>486</v>
      </c>
      <c r="W1095" s="246" t="s">
        <v>486</v>
      </c>
      <c r="X1095" s="246" t="s">
        <v>486</v>
      </c>
      <c r="Y1095" s="246" t="s">
        <v>486</v>
      </c>
      <c r="Z1095" s="246" t="s">
        <v>486</v>
      </c>
      <c r="AA1095" s="246" t="s">
        <v>486</v>
      </c>
      <c r="AB1095" s="246" t="s">
        <v>486</v>
      </c>
      <c r="AC1095" s="246" t="s">
        <v>486</v>
      </c>
      <c r="AD1095" s="246" t="s">
        <v>486</v>
      </c>
      <c r="AE1095" s="246" t="s">
        <v>486</v>
      </c>
      <c r="AF1095" s="246" t="s">
        <v>486</v>
      </c>
      <c r="AG1095" s="246" t="s">
        <v>486</v>
      </c>
      <c r="AH1095" s="246" t="s">
        <v>486</v>
      </c>
      <c r="AI1095" s="246" t="s">
        <v>486</v>
      </c>
      <c r="AJ1095" s="246" t="s">
        <v>486</v>
      </c>
      <c r="AK1095" s="246" t="s">
        <v>486</v>
      </c>
      <c r="AL1095" s="246" t="s">
        <v>486</v>
      </c>
      <c r="AM1095" s="246" t="s">
        <v>486</v>
      </c>
      <c r="AN1095" s="246" t="s">
        <v>486</v>
      </c>
      <c r="AO1095" s="248" t="s">
        <v>486</v>
      </c>
      <c r="AP1095" s="247" t="s">
        <v>486</v>
      </c>
      <c r="AQ1095" s="249" t="s">
        <v>486</v>
      </c>
      <c r="AR1095" s="246" t="s">
        <v>486</v>
      </c>
    </row>
    <row r="1096" spans="1:44" ht="15" x14ac:dyDescent="0.25">
      <c r="A1096" s="250" t="str">
        <f>HYPERLINK("http://www.ofsted.gov.uk/inspection-reports/find-inspection-report/provider/ELS/146773 ","Ofsted School Webpage")</f>
        <v>Ofsted School Webpage</v>
      </c>
      <c r="B1096" s="251">
        <v>146773</v>
      </c>
      <c r="C1096" s="251">
        <v>3536006</v>
      </c>
      <c r="D1096" s="251" t="s">
        <v>2916</v>
      </c>
      <c r="E1096" s="251" t="s">
        <v>247</v>
      </c>
      <c r="F1096" s="251" t="s">
        <v>498</v>
      </c>
      <c r="G1096" s="251" t="s">
        <v>93</v>
      </c>
      <c r="H1096" s="251" t="s">
        <v>498</v>
      </c>
      <c r="I1096" s="251" t="s">
        <v>90</v>
      </c>
      <c r="J1096" s="251" t="s">
        <v>1490</v>
      </c>
      <c r="K1096" s="251" t="s">
        <v>486</v>
      </c>
      <c r="L1096" s="251" t="s">
        <v>487</v>
      </c>
      <c r="M1096" s="251" t="s">
        <v>495</v>
      </c>
      <c r="N1096" s="251" t="s">
        <v>495</v>
      </c>
      <c r="O1096" s="251" t="s">
        <v>880</v>
      </c>
      <c r="P1096" s="251" t="s">
        <v>2917</v>
      </c>
      <c r="Q1096" s="252" t="s">
        <v>486</v>
      </c>
      <c r="R1096" s="253" t="s">
        <v>486</v>
      </c>
      <c r="S1096" s="253" t="s">
        <v>486</v>
      </c>
      <c r="T1096" s="253" t="s">
        <v>486</v>
      </c>
      <c r="U1096" s="251" t="s">
        <v>486</v>
      </c>
      <c r="V1096" s="251" t="s">
        <v>486</v>
      </c>
      <c r="W1096" s="251" t="s">
        <v>486</v>
      </c>
      <c r="X1096" s="251" t="s">
        <v>486</v>
      </c>
      <c r="Y1096" s="251" t="s">
        <v>486</v>
      </c>
      <c r="Z1096" s="251" t="s">
        <v>486</v>
      </c>
      <c r="AA1096" s="251" t="s">
        <v>486</v>
      </c>
      <c r="AB1096" s="251" t="s">
        <v>486</v>
      </c>
      <c r="AC1096" s="251" t="s">
        <v>486</v>
      </c>
      <c r="AD1096" s="251" t="s">
        <v>486</v>
      </c>
      <c r="AE1096" s="251" t="s">
        <v>486</v>
      </c>
      <c r="AF1096" s="251" t="s">
        <v>486</v>
      </c>
      <c r="AG1096" s="251" t="s">
        <v>486</v>
      </c>
      <c r="AH1096" s="251" t="s">
        <v>486</v>
      </c>
      <c r="AI1096" s="251" t="s">
        <v>486</v>
      </c>
      <c r="AJ1096" s="251" t="s">
        <v>486</v>
      </c>
      <c r="AK1096" s="251" t="s">
        <v>486</v>
      </c>
      <c r="AL1096" s="251" t="s">
        <v>486</v>
      </c>
      <c r="AM1096" s="251" t="s">
        <v>486</v>
      </c>
      <c r="AN1096" s="251" t="s">
        <v>486</v>
      </c>
      <c r="AO1096" s="253" t="s">
        <v>486</v>
      </c>
      <c r="AP1096" s="252" t="s">
        <v>486</v>
      </c>
      <c r="AQ1096" s="254" t="s">
        <v>486</v>
      </c>
      <c r="AR1096" s="251" t="s">
        <v>486</v>
      </c>
    </row>
  </sheetData>
  <sheetProtection sheet="1" objects="1" scenarios="1" autoFilter="0"/>
  <autoFilter ref="A4:AR1096" xr:uid="{9B0C24FF-7C23-47C6-AF96-E2F08009FFEB}"/>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6798-4F80-4772-A321-AB44AFCC8233}">
  <sheetPr>
    <tabColor theme="7" tint="0.79998168889431442"/>
  </sheetPr>
  <dimension ref="B2:O76"/>
  <sheetViews>
    <sheetView workbookViewId="0"/>
  </sheetViews>
  <sheetFormatPr defaultColWidth="8.85546875" defaultRowHeight="15" x14ac:dyDescent="0.2"/>
  <cols>
    <col min="1" max="1" width="8.85546875" style="24"/>
    <col min="2" max="2" width="35.28515625" style="24" customWidth="1"/>
    <col min="3" max="3" width="23.28515625" style="24" customWidth="1"/>
    <col min="4" max="16384" width="8.85546875" style="24"/>
  </cols>
  <sheetData>
    <row r="2" spans="2:15" x14ac:dyDescent="0.2">
      <c r="B2" s="22" t="s">
        <v>31</v>
      </c>
      <c r="C2" s="23"/>
      <c r="D2" s="23"/>
      <c r="E2" s="23"/>
      <c r="F2" s="23"/>
      <c r="G2" s="23"/>
      <c r="H2" s="23"/>
      <c r="I2" s="23"/>
      <c r="J2" s="23"/>
      <c r="K2" s="23"/>
      <c r="L2" s="23"/>
      <c r="M2" s="23"/>
      <c r="N2" s="23"/>
      <c r="O2" s="23"/>
    </row>
    <row r="3" spans="2:15" x14ac:dyDescent="0.2">
      <c r="B3" s="25"/>
      <c r="C3" s="23"/>
      <c r="D3" s="23"/>
      <c r="E3" s="23"/>
      <c r="F3" s="23"/>
      <c r="G3" s="23"/>
      <c r="H3" s="23"/>
      <c r="I3" s="23"/>
      <c r="J3" s="23"/>
      <c r="K3" s="23"/>
      <c r="L3" s="23"/>
      <c r="M3" s="23"/>
      <c r="N3" s="23"/>
      <c r="O3" s="23"/>
    </row>
    <row r="4" spans="2:15" ht="58.5" customHeight="1" x14ac:dyDescent="0.2">
      <c r="B4" s="284" t="s">
        <v>32</v>
      </c>
      <c r="C4" s="284"/>
      <c r="D4" s="284"/>
      <c r="E4" s="284"/>
      <c r="F4" s="284"/>
      <c r="G4" s="284"/>
      <c r="H4" s="284"/>
      <c r="I4" s="284"/>
      <c r="J4" s="284"/>
      <c r="K4" s="284"/>
      <c r="L4" s="284"/>
      <c r="M4" s="284"/>
      <c r="N4" s="284"/>
      <c r="O4" s="284"/>
    </row>
    <row r="5" spans="2:15" x14ac:dyDescent="0.2">
      <c r="B5" s="22" t="s">
        <v>33</v>
      </c>
      <c r="C5" s="23"/>
      <c r="D5" s="23"/>
      <c r="E5" s="23"/>
      <c r="F5" s="23"/>
      <c r="G5" s="23"/>
      <c r="H5" s="23"/>
      <c r="I5" s="23"/>
      <c r="J5" s="23"/>
      <c r="K5" s="23"/>
      <c r="L5" s="23"/>
      <c r="M5" s="23"/>
      <c r="N5" s="23"/>
      <c r="O5" s="23"/>
    </row>
    <row r="7" spans="2:15" x14ac:dyDescent="0.2">
      <c r="B7" s="282" t="s">
        <v>34</v>
      </c>
      <c r="C7" s="282"/>
      <c r="D7" s="282"/>
      <c r="E7" s="282"/>
      <c r="F7" s="282"/>
      <c r="G7" s="282"/>
      <c r="H7" s="282"/>
      <c r="I7" s="282"/>
      <c r="J7" s="282"/>
      <c r="K7" s="282"/>
    </row>
    <row r="8" spans="2:15" x14ac:dyDescent="0.2">
      <c r="B8" s="282" t="s">
        <v>35</v>
      </c>
      <c r="C8" s="282"/>
      <c r="D8" s="282"/>
      <c r="E8" s="282"/>
      <c r="F8" s="282"/>
      <c r="G8" s="282"/>
      <c r="H8" s="282"/>
      <c r="I8" s="282"/>
      <c r="J8" s="282"/>
      <c r="K8" s="282"/>
    </row>
    <row r="9" spans="2:15" x14ac:dyDescent="0.2">
      <c r="B9" s="282" t="s">
        <v>36</v>
      </c>
      <c r="C9" s="282"/>
      <c r="D9" s="282"/>
      <c r="E9" s="282"/>
      <c r="F9" s="282"/>
      <c r="G9" s="282"/>
      <c r="H9" s="282"/>
      <c r="I9" s="282"/>
      <c r="J9" s="282"/>
      <c r="K9" s="282"/>
    </row>
    <row r="10" spans="2:15" x14ac:dyDescent="0.2">
      <c r="B10" s="282" t="s">
        <v>37</v>
      </c>
      <c r="C10" s="282"/>
      <c r="D10" s="282"/>
      <c r="E10" s="282"/>
      <c r="F10" s="282"/>
      <c r="G10" s="282"/>
      <c r="H10" s="282"/>
      <c r="I10" s="282"/>
      <c r="J10" s="282"/>
      <c r="K10" s="282"/>
    </row>
    <row r="11" spans="2:15" x14ac:dyDescent="0.2">
      <c r="B11" s="282"/>
      <c r="C11" s="282"/>
      <c r="D11" s="282"/>
      <c r="E11" s="282"/>
      <c r="F11" s="282"/>
      <c r="G11" s="282"/>
      <c r="H11" s="282"/>
      <c r="I11" s="282"/>
      <c r="J11" s="282"/>
      <c r="K11" s="282"/>
    </row>
    <row r="12" spans="2:15" x14ac:dyDescent="0.2">
      <c r="B12" s="282" t="s">
        <v>38</v>
      </c>
      <c r="C12" s="282"/>
      <c r="D12" s="282"/>
      <c r="E12" s="282"/>
      <c r="F12" s="282"/>
      <c r="G12" s="282"/>
      <c r="H12" s="282"/>
      <c r="I12" s="282"/>
      <c r="J12" s="282"/>
      <c r="K12" s="282"/>
    </row>
    <row r="13" spans="2:15" x14ac:dyDescent="0.2">
      <c r="B13" s="282" t="s">
        <v>39</v>
      </c>
      <c r="C13" s="282"/>
      <c r="D13" s="282"/>
      <c r="E13" s="282"/>
      <c r="F13" s="282"/>
      <c r="G13" s="282"/>
      <c r="H13" s="282"/>
      <c r="I13" s="282"/>
      <c r="J13" s="282"/>
      <c r="K13" s="282"/>
    </row>
    <row r="14" spans="2:15" x14ac:dyDescent="0.2">
      <c r="B14" s="282" t="s">
        <v>40</v>
      </c>
      <c r="C14" s="282"/>
      <c r="D14" s="282"/>
      <c r="E14" s="282"/>
      <c r="F14" s="282"/>
      <c r="G14" s="282"/>
      <c r="H14" s="282"/>
      <c r="I14" s="282"/>
      <c r="J14" s="282"/>
      <c r="K14" s="282"/>
    </row>
    <row r="15" spans="2:15" x14ac:dyDescent="0.2">
      <c r="B15" s="282"/>
      <c r="C15" s="282"/>
      <c r="D15" s="282"/>
      <c r="E15" s="282"/>
      <c r="F15" s="282"/>
      <c r="G15" s="282"/>
      <c r="H15" s="282"/>
      <c r="I15" s="282"/>
      <c r="J15" s="282"/>
      <c r="K15" s="282"/>
      <c r="L15" s="23"/>
      <c r="M15" s="23"/>
      <c r="N15" s="23"/>
      <c r="O15" s="23"/>
    </row>
    <row r="16" spans="2:15" x14ac:dyDescent="0.2">
      <c r="B16" s="283" t="s">
        <v>2919</v>
      </c>
      <c r="C16" s="283"/>
      <c r="D16" s="283"/>
      <c r="E16" s="283"/>
      <c r="F16" s="283"/>
      <c r="G16" s="283"/>
      <c r="H16" s="283"/>
      <c r="I16" s="283"/>
      <c r="J16" s="283"/>
      <c r="K16" s="283"/>
      <c r="L16" s="283"/>
      <c r="M16" s="283"/>
      <c r="N16" s="283"/>
      <c r="O16" s="283"/>
    </row>
    <row r="17" spans="2:15" x14ac:dyDescent="0.2">
      <c r="B17" s="283"/>
      <c r="C17" s="283"/>
      <c r="D17" s="283"/>
      <c r="E17" s="283"/>
      <c r="F17" s="283"/>
      <c r="G17" s="283"/>
      <c r="H17" s="283"/>
      <c r="I17" s="283"/>
      <c r="J17" s="283"/>
      <c r="K17" s="283"/>
      <c r="L17" s="283"/>
      <c r="M17" s="283"/>
      <c r="N17" s="283"/>
      <c r="O17" s="283"/>
    </row>
    <row r="18" spans="2:15" x14ac:dyDescent="0.2">
      <c r="B18" s="281" t="s">
        <v>41</v>
      </c>
      <c r="C18" s="281"/>
      <c r="D18" s="281"/>
      <c r="E18" s="281"/>
      <c r="F18" s="281"/>
      <c r="G18" s="281"/>
      <c r="H18" s="281"/>
      <c r="I18" s="281"/>
      <c r="J18" s="281"/>
      <c r="K18" s="281"/>
      <c r="L18" s="281"/>
      <c r="M18" s="281"/>
      <c r="N18" s="281"/>
      <c r="O18" s="281"/>
    </row>
    <row r="19" spans="2:15" ht="30.75" customHeight="1" x14ac:dyDescent="0.2">
      <c r="B19" s="281" t="s">
        <v>42</v>
      </c>
      <c r="C19" s="281"/>
      <c r="D19" s="281"/>
      <c r="E19" s="281"/>
      <c r="F19" s="281"/>
      <c r="G19" s="281"/>
      <c r="H19" s="281"/>
      <c r="I19" s="281"/>
      <c r="J19" s="281"/>
      <c r="K19" s="281"/>
      <c r="L19" s="281"/>
      <c r="M19" s="281"/>
      <c r="N19" s="281"/>
      <c r="O19" s="281"/>
    </row>
    <row r="20" spans="2:15" ht="33.75" customHeight="1" x14ac:dyDescent="0.2">
      <c r="B20" s="282" t="s">
        <v>43</v>
      </c>
      <c r="C20" s="282"/>
      <c r="D20" s="282"/>
      <c r="E20" s="282"/>
      <c r="F20" s="282"/>
      <c r="G20" s="282"/>
      <c r="H20" s="282"/>
      <c r="I20" s="282"/>
      <c r="J20" s="282"/>
      <c r="K20" s="282"/>
      <c r="L20" s="282"/>
      <c r="M20" s="282"/>
      <c r="N20" s="26"/>
      <c r="O20" s="26"/>
    </row>
    <row r="21" spans="2:15" ht="49.5" customHeight="1" x14ac:dyDescent="0.2">
      <c r="B21" s="281" t="s">
        <v>44</v>
      </c>
      <c r="C21" s="281"/>
      <c r="D21" s="281"/>
      <c r="E21" s="281"/>
      <c r="F21" s="281"/>
      <c r="G21" s="281"/>
      <c r="H21" s="281"/>
      <c r="I21" s="281"/>
      <c r="J21" s="281"/>
      <c r="K21" s="281"/>
      <c r="L21" s="281"/>
      <c r="M21" s="281"/>
      <c r="N21" s="281"/>
      <c r="O21" s="281"/>
    </row>
    <row r="22" spans="2:15" x14ac:dyDescent="0.2">
      <c r="B22" s="267" t="s">
        <v>2926</v>
      </c>
      <c r="C22" s="27"/>
      <c r="D22" s="27"/>
      <c r="E22" s="27"/>
      <c r="F22" s="27"/>
      <c r="G22" s="27"/>
      <c r="H22" s="27"/>
      <c r="I22" s="27"/>
      <c r="J22" s="27"/>
      <c r="K22" s="27"/>
      <c r="L22" s="27"/>
      <c r="M22" s="27"/>
      <c r="N22" s="27"/>
      <c r="O22" s="27"/>
    </row>
    <row r="23" spans="2:15" x14ac:dyDescent="0.2">
      <c r="B23" s="266" t="s">
        <v>2927</v>
      </c>
      <c r="C23" s="27"/>
      <c r="D23" s="27"/>
      <c r="E23" s="27"/>
      <c r="F23" s="27"/>
      <c r="G23" s="27"/>
      <c r="H23" s="27"/>
      <c r="I23" s="27"/>
      <c r="J23" s="27"/>
      <c r="K23" s="27"/>
      <c r="L23" s="27"/>
      <c r="M23" s="27"/>
      <c r="N23" s="27"/>
      <c r="O23" s="27"/>
    </row>
    <row r="24" spans="2:15" x14ac:dyDescent="0.2">
      <c r="B24" s="266"/>
      <c r="C24" s="27"/>
      <c r="D24" s="27"/>
      <c r="E24" s="27"/>
      <c r="F24" s="27"/>
      <c r="G24" s="27"/>
      <c r="H24" s="27"/>
      <c r="I24" s="27"/>
      <c r="J24" s="27"/>
      <c r="K24" s="27"/>
      <c r="L24" s="27"/>
      <c r="M24" s="27"/>
      <c r="N24" s="27"/>
      <c r="O24" s="27"/>
    </row>
    <row r="25" spans="2:15" x14ac:dyDescent="0.2">
      <c r="B25" s="22" t="s">
        <v>45</v>
      </c>
    </row>
    <row r="26" spans="2:15" x14ac:dyDescent="0.2">
      <c r="B26" s="28"/>
    </row>
    <row r="27" spans="2:15" x14ac:dyDescent="0.2">
      <c r="B27" s="24" t="s">
        <v>46</v>
      </c>
    </row>
    <row r="28" spans="2:15" x14ac:dyDescent="0.2">
      <c r="B28" s="24" t="s">
        <v>47</v>
      </c>
    </row>
    <row r="29" spans="2:15" x14ac:dyDescent="0.2">
      <c r="B29" s="24" t="s">
        <v>48</v>
      </c>
    </row>
    <row r="30" spans="2:15" x14ac:dyDescent="0.2">
      <c r="B30" s="24" t="s">
        <v>49</v>
      </c>
    </row>
    <row r="31" spans="2:15" x14ac:dyDescent="0.2">
      <c r="B31" s="29" t="s">
        <v>50</v>
      </c>
    </row>
    <row r="33" spans="2:3" x14ac:dyDescent="0.2">
      <c r="C33" s="30" t="s">
        <v>51</v>
      </c>
    </row>
    <row r="34" spans="2:3" x14ac:dyDescent="0.2">
      <c r="C34" s="24" t="s">
        <v>52</v>
      </c>
    </row>
    <row r="35" spans="2:3" x14ac:dyDescent="0.2">
      <c r="C35" s="24" t="s">
        <v>53</v>
      </c>
    </row>
    <row r="36" spans="2:3" x14ac:dyDescent="0.2">
      <c r="C36" s="24" t="s">
        <v>54</v>
      </c>
    </row>
    <row r="37" spans="2:3" x14ac:dyDescent="0.2">
      <c r="C37" s="24" t="s">
        <v>55</v>
      </c>
    </row>
    <row r="38" spans="2:3" x14ac:dyDescent="0.2">
      <c r="C38" s="24" t="s">
        <v>56</v>
      </c>
    </row>
    <row r="39" spans="2:3" x14ac:dyDescent="0.2">
      <c r="C39" s="24" t="s">
        <v>57</v>
      </c>
    </row>
    <row r="40" spans="2:3" x14ac:dyDescent="0.2">
      <c r="C40" s="24" t="s">
        <v>58</v>
      </c>
    </row>
    <row r="41" spans="2:3" x14ac:dyDescent="0.2">
      <c r="C41" s="24" t="s">
        <v>59</v>
      </c>
    </row>
    <row r="43" spans="2:3" x14ac:dyDescent="0.2">
      <c r="B43" s="30" t="s">
        <v>60</v>
      </c>
    </row>
    <row r="45" spans="2:3" x14ac:dyDescent="0.2">
      <c r="B45" s="24" t="s">
        <v>61</v>
      </c>
    </row>
    <row r="46" spans="2:3" x14ac:dyDescent="0.2">
      <c r="B46" s="24" t="s">
        <v>62</v>
      </c>
    </row>
    <row r="47" spans="2:3" x14ac:dyDescent="0.2">
      <c r="B47" s="29" t="s">
        <v>63</v>
      </c>
    </row>
    <row r="49" spans="2:3" x14ac:dyDescent="0.2">
      <c r="B49" s="24" t="s">
        <v>64</v>
      </c>
    </row>
    <row r="50" spans="2:3" x14ac:dyDescent="0.2">
      <c r="B50" s="24" t="s">
        <v>65</v>
      </c>
    </row>
    <row r="51" spans="2:3" x14ac:dyDescent="0.2">
      <c r="B51" s="24" t="s">
        <v>66</v>
      </c>
    </row>
    <row r="52" spans="2:3" x14ac:dyDescent="0.2">
      <c r="B52" s="24" t="s">
        <v>67</v>
      </c>
    </row>
    <row r="54" spans="2:3" x14ac:dyDescent="0.2">
      <c r="B54" s="31" t="s">
        <v>68</v>
      </c>
      <c r="C54" s="32" t="s">
        <v>69</v>
      </c>
    </row>
    <row r="55" spans="2:3" x14ac:dyDescent="0.2">
      <c r="B55" s="33" t="s">
        <v>70</v>
      </c>
      <c r="C55" s="34" t="s">
        <v>71</v>
      </c>
    </row>
    <row r="56" spans="2:3" x14ac:dyDescent="0.2">
      <c r="B56" s="33" t="s">
        <v>72</v>
      </c>
      <c r="C56" s="34" t="s">
        <v>71</v>
      </c>
    </row>
    <row r="57" spans="2:3" x14ac:dyDescent="0.2">
      <c r="B57" s="33" t="s">
        <v>71</v>
      </c>
      <c r="C57" s="34" t="s">
        <v>71</v>
      </c>
    </row>
    <row r="58" spans="2:3" x14ac:dyDescent="0.2">
      <c r="B58" s="33" t="s">
        <v>73</v>
      </c>
      <c r="C58" s="34" t="s">
        <v>71</v>
      </c>
    </row>
    <row r="59" spans="2:3" x14ac:dyDescent="0.2">
      <c r="B59" s="33" t="s">
        <v>74</v>
      </c>
      <c r="C59" s="34" t="s">
        <v>71</v>
      </c>
    </row>
    <row r="60" spans="2:3" x14ac:dyDescent="0.2">
      <c r="B60" s="33" t="s">
        <v>75</v>
      </c>
      <c r="C60" s="34" t="s">
        <v>71</v>
      </c>
    </row>
    <row r="61" spans="2:3" x14ac:dyDescent="0.2">
      <c r="B61" s="33" t="s">
        <v>76</v>
      </c>
      <c r="C61" s="34" t="s">
        <v>71</v>
      </c>
    </row>
    <row r="62" spans="2:3" x14ac:dyDescent="0.2">
      <c r="B62" s="33" t="s">
        <v>77</v>
      </c>
      <c r="C62" s="34" t="s">
        <v>71</v>
      </c>
    </row>
    <row r="63" spans="2:3" x14ac:dyDescent="0.2">
      <c r="B63" s="33" t="s">
        <v>78</v>
      </c>
      <c r="C63" s="34" t="s">
        <v>71</v>
      </c>
    </row>
    <row r="64" spans="2:3" x14ac:dyDescent="0.2">
      <c r="B64" s="33" t="s">
        <v>79</v>
      </c>
      <c r="C64" s="34" t="s">
        <v>71</v>
      </c>
    </row>
    <row r="65" spans="2:3" x14ac:dyDescent="0.2">
      <c r="B65" s="33" t="s">
        <v>80</v>
      </c>
      <c r="C65" s="34" t="s">
        <v>81</v>
      </c>
    </row>
    <row r="66" spans="2:3" x14ac:dyDescent="0.2">
      <c r="B66" s="33" t="s">
        <v>81</v>
      </c>
      <c r="C66" s="34" t="s">
        <v>81</v>
      </c>
    </row>
    <row r="67" spans="2:3" x14ac:dyDescent="0.2">
      <c r="B67" s="33" t="s">
        <v>82</v>
      </c>
      <c r="C67" s="34" t="s">
        <v>81</v>
      </c>
    </row>
    <row r="68" spans="2:3" x14ac:dyDescent="0.2">
      <c r="B68" s="33" t="s">
        <v>83</v>
      </c>
      <c r="C68" s="34" t="s">
        <v>84</v>
      </c>
    </row>
    <row r="69" spans="2:3" x14ac:dyDescent="0.2">
      <c r="B69" s="33" t="s">
        <v>84</v>
      </c>
      <c r="C69" s="34" t="s">
        <v>84</v>
      </c>
    </row>
    <row r="70" spans="2:3" x14ac:dyDescent="0.2">
      <c r="B70" s="33" t="s">
        <v>85</v>
      </c>
      <c r="C70" s="34" t="s">
        <v>84</v>
      </c>
    </row>
    <row r="71" spans="2:3" x14ac:dyDescent="0.2">
      <c r="B71" s="33" t="s">
        <v>86</v>
      </c>
      <c r="C71" s="34" t="s">
        <v>87</v>
      </c>
    </row>
    <row r="72" spans="2:3" x14ac:dyDescent="0.2">
      <c r="B72" s="33" t="s">
        <v>88</v>
      </c>
      <c r="C72" s="34" t="s">
        <v>87</v>
      </c>
    </row>
    <row r="73" spans="2:3" x14ac:dyDescent="0.2">
      <c r="B73" s="33" t="s">
        <v>89</v>
      </c>
      <c r="C73" s="34" t="s">
        <v>90</v>
      </c>
    </row>
    <row r="74" spans="2:3" x14ac:dyDescent="0.2">
      <c r="B74" s="33" t="s">
        <v>91</v>
      </c>
      <c r="C74" s="34" t="s">
        <v>90</v>
      </c>
    </row>
    <row r="75" spans="2:3" x14ac:dyDescent="0.2">
      <c r="B75" s="33" t="s">
        <v>92</v>
      </c>
      <c r="C75" s="34" t="s">
        <v>90</v>
      </c>
    </row>
    <row r="76" spans="2:3" x14ac:dyDescent="0.2">
      <c r="B76" s="35" t="s">
        <v>93</v>
      </c>
      <c r="C76" s="36" t="s">
        <v>90</v>
      </c>
    </row>
  </sheetData>
  <mergeCells count="15">
    <mergeCell ref="B11:K11"/>
    <mergeCell ref="B4:O4"/>
    <mergeCell ref="B7:K7"/>
    <mergeCell ref="B8:K8"/>
    <mergeCell ref="B9:K9"/>
    <mergeCell ref="B10:K10"/>
    <mergeCell ref="B19:O19"/>
    <mergeCell ref="B20:M20"/>
    <mergeCell ref="B21:O21"/>
    <mergeCell ref="B12:K12"/>
    <mergeCell ref="B13:K13"/>
    <mergeCell ref="B14:K14"/>
    <mergeCell ref="B15:K15"/>
    <mergeCell ref="B16:O17"/>
    <mergeCell ref="B18:O18"/>
  </mergeCells>
  <hyperlinks>
    <hyperlink ref="B20" r:id="rId1" xr:uid="{8239AA32-6D7C-4A84-BDCE-B40A9911F527}"/>
    <hyperlink ref="B7" location="'T1 In-year inspections'!A1" display="Table 1: In-year inspections" xr:uid="{6EFCB884-9460-42AC-A50E-89868C8BB246}"/>
    <hyperlink ref="B8" location="'T2 In-year standards'!A1" display="Table 2: In-year standards" xr:uid="{75F20CDE-CBB6-412D-A1EF-EE5CDF83A297}"/>
    <hyperlink ref="B10" location="'T4 Most recent inspections'!A1" display="Table 4: Most recent inspections" xr:uid="{3D63D686-8165-4454-AC9E-CBA243471E59}"/>
    <hyperlink ref="B12" location="'D1 In-year standard inspections'!A1" display="Dataset 1: In-year standard inspections" xr:uid="{8782A43D-DA52-4C51-A5CF-6A4DB7595438}"/>
    <hyperlink ref="B13" location="'D2 In-year monitoring'!A1" display="Dataset 2: In-year monitoring" xr:uid="{70A94C2D-43D6-4EED-8F1C-6547FDA83340}"/>
    <hyperlink ref="B14" location="'D3 Most recent inspections'!A1" display="Dataset 3: Most recent inspections" xr:uid="{A9ACDE15-82D7-4886-B228-6823DA2A62F7}"/>
    <hyperlink ref="B31" r:id="rId2" xr:uid="{DAA15F7D-6BF3-4CD0-BF6E-92BA2ECBCDB6}"/>
    <hyperlink ref="B47" r:id="rId3" xr:uid="{56E27729-0093-48F2-BB3F-C8C556D9E69A}"/>
    <hyperlink ref="B9" location="'T3 In-year monitoring'!A1" display="Table 3: In-year monitoring" xr:uid="{BAF14693-90B5-47C2-9A24-89C87DB897AB}"/>
    <hyperlink ref="B13:K13" location="'D2 In-year additional'!A1" display="Dataset 2: In-year monitoring" xr:uid="{A4063329-2B44-47AB-9A42-F71E47373A14}"/>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AB962-99F2-4FA7-A089-C55506AC66A1}">
  <sheetPr>
    <tabColor theme="7" tint="0.79998168889431442"/>
  </sheetPr>
  <dimension ref="B1:K55"/>
  <sheetViews>
    <sheetView workbookViewId="0"/>
  </sheetViews>
  <sheetFormatPr defaultColWidth="9.140625" defaultRowHeight="12.75" x14ac:dyDescent="0.2"/>
  <cols>
    <col min="1" max="1" width="9.140625" style="40"/>
    <col min="2" max="2" width="15" style="37" customWidth="1"/>
    <col min="3" max="3" width="68.42578125" style="38" customWidth="1"/>
    <col min="4" max="4" width="48.5703125" style="39" bestFit="1" customWidth="1"/>
    <col min="5" max="5" width="56.42578125" style="269" customWidth="1"/>
    <col min="6" max="16384" width="9.140625" style="40"/>
  </cols>
  <sheetData>
    <row r="1" spans="2:11" ht="13.5" thickBot="1" x14ac:dyDescent="0.25"/>
    <row r="2" spans="2:11" ht="13.5" thickBot="1" x14ac:dyDescent="0.25">
      <c r="B2" s="255" t="s">
        <v>94</v>
      </c>
      <c r="C2" s="256" t="s">
        <v>95</v>
      </c>
      <c r="D2" s="257" t="s">
        <v>96</v>
      </c>
      <c r="E2" s="270" t="s">
        <v>97</v>
      </c>
    </row>
    <row r="3" spans="2:11" x14ac:dyDescent="0.2">
      <c r="B3" s="285" t="s">
        <v>98</v>
      </c>
      <c r="C3" s="41" t="s">
        <v>99</v>
      </c>
      <c r="D3" s="42" t="s">
        <v>100</v>
      </c>
      <c r="E3" s="271" t="s">
        <v>101</v>
      </c>
    </row>
    <row r="4" spans="2:11" x14ac:dyDescent="0.2">
      <c r="B4" s="286"/>
      <c r="C4" s="43" t="s">
        <v>102</v>
      </c>
      <c r="D4" s="44" t="s">
        <v>103</v>
      </c>
      <c r="E4" s="272" t="s">
        <v>101</v>
      </c>
    </row>
    <row r="5" spans="2:11" ht="25.5" x14ac:dyDescent="0.2">
      <c r="B5" s="286"/>
      <c r="C5" s="43" t="s">
        <v>104</v>
      </c>
      <c r="D5" s="44" t="s">
        <v>105</v>
      </c>
      <c r="E5" s="272" t="s">
        <v>101</v>
      </c>
    </row>
    <row r="6" spans="2:11" x14ac:dyDescent="0.2">
      <c r="B6" s="286"/>
      <c r="C6" s="43" t="s">
        <v>106</v>
      </c>
      <c r="D6" s="44" t="s">
        <v>107</v>
      </c>
      <c r="E6" s="272" t="s">
        <v>101</v>
      </c>
    </row>
    <row r="7" spans="2:11" ht="28.5" customHeight="1" x14ac:dyDescent="0.2">
      <c r="B7" s="286"/>
      <c r="C7" s="43" t="s">
        <v>108</v>
      </c>
      <c r="D7" s="44" t="s">
        <v>109</v>
      </c>
      <c r="E7" s="273" t="s">
        <v>110</v>
      </c>
    </row>
    <row r="8" spans="2:11" ht="29.25" customHeight="1" x14ac:dyDescent="0.2">
      <c r="B8" s="286"/>
      <c r="C8" s="43" t="s">
        <v>111</v>
      </c>
      <c r="D8" s="44" t="s">
        <v>112</v>
      </c>
      <c r="E8" s="273" t="s">
        <v>113</v>
      </c>
    </row>
    <row r="9" spans="2:11" ht="25.5" x14ac:dyDescent="0.2">
      <c r="B9" s="286"/>
      <c r="C9" s="43" t="s">
        <v>114</v>
      </c>
      <c r="D9" s="44" t="s">
        <v>115</v>
      </c>
      <c r="E9" s="273" t="s">
        <v>116</v>
      </c>
    </row>
    <row r="10" spans="2:11" ht="310.89999999999998" customHeight="1" x14ac:dyDescent="0.2">
      <c r="B10" s="286"/>
      <c r="C10" s="43" t="s">
        <v>117</v>
      </c>
      <c r="D10" s="44" t="s">
        <v>118</v>
      </c>
      <c r="E10" s="268" t="s">
        <v>2920</v>
      </c>
    </row>
    <row r="11" spans="2:11" ht="107.25" customHeight="1" x14ac:dyDescent="0.2">
      <c r="B11" s="286"/>
      <c r="C11" s="43" t="s">
        <v>119</v>
      </c>
      <c r="D11" s="44" t="s">
        <v>120</v>
      </c>
      <c r="E11" s="268" t="s">
        <v>121</v>
      </c>
      <c r="K11" s="28"/>
    </row>
    <row r="12" spans="2:11" ht="327" customHeight="1" x14ac:dyDescent="0.2">
      <c r="B12" s="286"/>
      <c r="C12" s="43" t="s">
        <v>68</v>
      </c>
      <c r="D12" s="44" t="s">
        <v>122</v>
      </c>
      <c r="E12" s="268" t="s">
        <v>2921</v>
      </c>
      <c r="K12" s="28"/>
    </row>
    <row r="13" spans="2:11" ht="75" customHeight="1" x14ac:dyDescent="0.2">
      <c r="B13" s="286"/>
      <c r="C13" s="43" t="s">
        <v>69</v>
      </c>
      <c r="D13" s="44" t="s">
        <v>123</v>
      </c>
      <c r="E13" s="273" t="s">
        <v>124</v>
      </c>
      <c r="K13" s="28"/>
    </row>
    <row r="14" spans="2:11" ht="29.25" customHeight="1" x14ac:dyDescent="0.2">
      <c r="B14" s="286"/>
      <c r="C14" s="45" t="s">
        <v>125</v>
      </c>
      <c r="D14" s="44" t="s">
        <v>126</v>
      </c>
      <c r="E14" s="273" t="s">
        <v>127</v>
      </c>
      <c r="K14" s="28"/>
    </row>
    <row r="15" spans="2:11" ht="107.25" customHeight="1" x14ac:dyDescent="0.2">
      <c r="B15" s="286"/>
      <c r="C15" s="43" t="s">
        <v>128</v>
      </c>
      <c r="D15" s="44" t="s">
        <v>129</v>
      </c>
      <c r="E15" s="273" t="s">
        <v>130</v>
      </c>
      <c r="K15" s="28"/>
    </row>
    <row r="16" spans="2:11" ht="124.15" customHeight="1" x14ac:dyDescent="0.2">
      <c r="B16" s="286"/>
      <c r="C16" s="43" t="s">
        <v>131</v>
      </c>
      <c r="D16" s="44" t="s">
        <v>132</v>
      </c>
      <c r="E16" s="273" t="s">
        <v>133</v>
      </c>
      <c r="K16" s="28"/>
    </row>
    <row r="17" spans="2:11" x14ac:dyDescent="0.2">
      <c r="B17" s="286"/>
      <c r="C17" s="43" t="s">
        <v>134</v>
      </c>
      <c r="D17" s="44" t="s">
        <v>135</v>
      </c>
      <c r="E17" s="272" t="s">
        <v>136</v>
      </c>
      <c r="K17" s="28"/>
    </row>
    <row r="18" spans="2:11" x14ac:dyDescent="0.2">
      <c r="B18" s="286"/>
      <c r="C18" s="43" t="s">
        <v>137</v>
      </c>
      <c r="D18" s="44" t="s">
        <v>138</v>
      </c>
      <c r="E18" s="272" t="s">
        <v>101</v>
      </c>
      <c r="K18" s="28"/>
    </row>
    <row r="19" spans="2:11" ht="25.5" x14ac:dyDescent="0.2">
      <c r="B19" s="287" t="s">
        <v>139</v>
      </c>
      <c r="C19" s="43" t="s">
        <v>140</v>
      </c>
      <c r="D19" s="44" t="s">
        <v>141</v>
      </c>
      <c r="E19" s="268" t="s">
        <v>211</v>
      </c>
      <c r="K19" s="28"/>
    </row>
    <row r="20" spans="2:11" ht="15" customHeight="1" x14ac:dyDescent="0.2">
      <c r="B20" s="288"/>
      <c r="C20" s="43" t="s">
        <v>142</v>
      </c>
      <c r="D20" s="44" t="s">
        <v>142</v>
      </c>
      <c r="E20" s="274" t="s">
        <v>143</v>
      </c>
      <c r="K20" s="28"/>
    </row>
    <row r="21" spans="2:11" x14ac:dyDescent="0.2">
      <c r="B21" s="288"/>
      <c r="C21" s="43" t="s">
        <v>144</v>
      </c>
      <c r="D21" s="44" t="s">
        <v>145</v>
      </c>
      <c r="E21" s="272" t="s">
        <v>143</v>
      </c>
      <c r="K21" s="28"/>
    </row>
    <row r="22" spans="2:11" x14ac:dyDescent="0.2">
      <c r="B22" s="288"/>
      <c r="C22" s="43" t="s">
        <v>146</v>
      </c>
      <c r="D22" s="44" t="s">
        <v>147</v>
      </c>
      <c r="E22" s="272" t="s">
        <v>143</v>
      </c>
      <c r="K22" s="28"/>
    </row>
    <row r="23" spans="2:11" ht="15" customHeight="1" x14ac:dyDescent="0.2">
      <c r="B23" s="288"/>
      <c r="C23" s="43" t="s">
        <v>148</v>
      </c>
      <c r="D23" s="44" t="s">
        <v>149</v>
      </c>
      <c r="E23" s="272" t="s">
        <v>143</v>
      </c>
    </row>
    <row r="24" spans="2:11" ht="155.44999999999999" customHeight="1" x14ac:dyDescent="0.2">
      <c r="B24" s="288"/>
      <c r="C24" s="43" t="s">
        <v>150</v>
      </c>
      <c r="D24" s="44" t="s">
        <v>150</v>
      </c>
      <c r="E24" s="268" t="s">
        <v>2931</v>
      </c>
    </row>
    <row r="25" spans="2:11" ht="29.25" customHeight="1" x14ac:dyDescent="0.2">
      <c r="B25" s="288"/>
      <c r="C25" s="43" t="s">
        <v>151</v>
      </c>
      <c r="D25" s="44" t="s">
        <v>152</v>
      </c>
      <c r="E25" s="273" t="s">
        <v>153</v>
      </c>
    </row>
    <row r="26" spans="2:11" ht="59.45" customHeight="1" x14ac:dyDescent="0.2">
      <c r="B26" s="288"/>
      <c r="C26" s="43" t="s">
        <v>154</v>
      </c>
      <c r="D26" s="44" t="s">
        <v>154</v>
      </c>
      <c r="E26" s="273" t="s">
        <v>155</v>
      </c>
    </row>
    <row r="27" spans="2:11" ht="59.45" customHeight="1" x14ac:dyDescent="0.2">
      <c r="B27" s="288"/>
      <c r="C27" s="43" t="s">
        <v>156</v>
      </c>
      <c r="D27" s="44" t="s">
        <v>157</v>
      </c>
      <c r="E27" s="273" t="s">
        <v>155</v>
      </c>
    </row>
    <row r="28" spans="2:11" ht="59.45" customHeight="1" x14ac:dyDescent="0.2">
      <c r="B28" s="288"/>
      <c r="C28" s="43" t="s">
        <v>158</v>
      </c>
      <c r="D28" s="44" t="s">
        <v>157</v>
      </c>
      <c r="E28" s="273" t="s">
        <v>155</v>
      </c>
    </row>
    <row r="29" spans="2:11" ht="59.45" customHeight="1" x14ac:dyDescent="0.2">
      <c r="B29" s="288"/>
      <c r="C29" s="43" t="s">
        <v>159</v>
      </c>
      <c r="D29" s="44" t="s">
        <v>157</v>
      </c>
      <c r="E29" s="273" t="s">
        <v>155</v>
      </c>
    </row>
    <row r="30" spans="2:11" ht="59.45" customHeight="1" x14ac:dyDescent="0.2">
      <c r="B30" s="288"/>
      <c r="C30" s="43" t="s">
        <v>160</v>
      </c>
      <c r="D30" s="44" t="s">
        <v>157</v>
      </c>
      <c r="E30" s="273" t="s">
        <v>155</v>
      </c>
    </row>
    <row r="31" spans="2:11" ht="84.6" customHeight="1" x14ac:dyDescent="0.2">
      <c r="B31" s="288"/>
      <c r="C31" s="43" t="s">
        <v>161</v>
      </c>
      <c r="D31" s="44" t="s">
        <v>157</v>
      </c>
      <c r="E31" s="273" t="s">
        <v>162</v>
      </c>
    </row>
    <row r="32" spans="2:11" ht="85.9" customHeight="1" x14ac:dyDescent="0.2">
      <c r="B32" s="288"/>
      <c r="C32" s="43" t="s">
        <v>163</v>
      </c>
      <c r="D32" s="44" t="s">
        <v>157</v>
      </c>
      <c r="E32" s="273" t="s">
        <v>162</v>
      </c>
    </row>
    <row r="33" spans="2:5" ht="29.45" customHeight="1" x14ac:dyDescent="0.2">
      <c r="B33" s="288"/>
      <c r="C33" s="43" t="s">
        <v>164</v>
      </c>
      <c r="D33" s="44" t="s">
        <v>157</v>
      </c>
      <c r="E33" s="273" t="s">
        <v>165</v>
      </c>
    </row>
    <row r="34" spans="2:5" ht="43.9" customHeight="1" x14ac:dyDescent="0.2">
      <c r="B34" s="288"/>
      <c r="C34" s="43" t="s">
        <v>166</v>
      </c>
      <c r="D34" s="44" t="s">
        <v>167</v>
      </c>
      <c r="E34" s="273" t="s">
        <v>168</v>
      </c>
    </row>
    <row r="35" spans="2:5" ht="43.9" customHeight="1" x14ac:dyDescent="0.2">
      <c r="B35" s="288"/>
      <c r="C35" s="43" t="s">
        <v>169</v>
      </c>
      <c r="D35" s="44" t="s">
        <v>167</v>
      </c>
      <c r="E35" s="273" t="s">
        <v>168</v>
      </c>
    </row>
    <row r="36" spans="2:5" ht="43.9" customHeight="1" x14ac:dyDescent="0.2">
      <c r="B36" s="288"/>
      <c r="C36" s="43" t="s">
        <v>170</v>
      </c>
      <c r="D36" s="44" t="s">
        <v>167</v>
      </c>
      <c r="E36" s="273" t="s">
        <v>168</v>
      </c>
    </row>
    <row r="37" spans="2:5" ht="43.9" customHeight="1" x14ac:dyDescent="0.2">
      <c r="B37" s="288"/>
      <c r="C37" s="43" t="s">
        <v>171</v>
      </c>
      <c r="D37" s="44" t="s">
        <v>167</v>
      </c>
      <c r="E37" s="273" t="s">
        <v>168</v>
      </c>
    </row>
    <row r="38" spans="2:5" ht="43.9" customHeight="1" x14ac:dyDescent="0.2">
      <c r="B38" s="288"/>
      <c r="C38" s="43" t="s">
        <v>172</v>
      </c>
      <c r="D38" s="44" t="s">
        <v>167</v>
      </c>
      <c r="E38" s="273" t="s">
        <v>168</v>
      </c>
    </row>
    <row r="39" spans="2:5" ht="43.9" customHeight="1" x14ac:dyDescent="0.2">
      <c r="B39" s="288"/>
      <c r="C39" s="43" t="s">
        <v>173</v>
      </c>
      <c r="D39" s="44" t="s">
        <v>167</v>
      </c>
      <c r="E39" s="273" t="s">
        <v>168</v>
      </c>
    </row>
    <row r="40" spans="2:5" ht="43.9" customHeight="1" x14ac:dyDescent="0.2">
      <c r="B40" s="288"/>
      <c r="C40" s="43" t="s">
        <v>174</v>
      </c>
      <c r="D40" s="44" t="s">
        <v>167</v>
      </c>
      <c r="E40" s="273" t="s">
        <v>168</v>
      </c>
    </row>
    <row r="41" spans="2:5" ht="43.9" customHeight="1" x14ac:dyDescent="0.2">
      <c r="B41" s="288"/>
      <c r="C41" s="43" t="s">
        <v>175</v>
      </c>
      <c r="D41" s="44" t="s">
        <v>167</v>
      </c>
      <c r="E41" s="273" t="s">
        <v>168</v>
      </c>
    </row>
    <row r="42" spans="2:5" ht="28.5" customHeight="1" x14ac:dyDescent="0.2">
      <c r="B42" s="288"/>
      <c r="C42" s="43" t="s">
        <v>176</v>
      </c>
      <c r="D42" s="44" t="s">
        <v>177</v>
      </c>
      <c r="E42" s="273" t="s">
        <v>178</v>
      </c>
    </row>
    <row r="43" spans="2:5" ht="28.5" customHeight="1" x14ac:dyDescent="0.2">
      <c r="B43" s="288"/>
      <c r="C43" s="46" t="s">
        <v>179</v>
      </c>
      <c r="D43" s="44" t="s">
        <v>180</v>
      </c>
      <c r="E43" s="275" t="s">
        <v>181</v>
      </c>
    </row>
    <row r="44" spans="2:5" ht="54.75" customHeight="1" x14ac:dyDescent="0.2">
      <c r="B44" s="288"/>
      <c r="C44" s="46" t="s">
        <v>182</v>
      </c>
      <c r="D44" s="47" t="s">
        <v>183</v>
      </c>
      <c r="E44" s="276" t="s">
        <v>2918</v>
      </c>
    </row>
    <row r="45" spans="2:5" ht="54.75" customHeight="1" x14ac:dyDescent="0.2">
      <c r="B45" s="288"/>
      <c r="C45" s="46" t="s">
        <v>184</v>
      </c>
      <c r="D45" s="47" t="s">
        <v>185</v>
      </c>
      <c r="E45" s="275" t="s">
        <v>186</v>
      </c>
    </row>
    <row r="46" spans="2:5" ht="39" customHeight="1" x14ac:dyDescent="0.2">
      <c r="B46" s="288"/>
      <c r="C46" s="46" t="s">
        <v>187</v>
      </c>
      <c r="D46" s="47" t="s">
        <v>188</v>
      </c>
      <c r="E46" s="275" t="s">
        <v>189</v>
      </c>
    </row>
    <row r="47" spans="2:5" ht="41.45" customHeight="1" x14ac:dyDescent="0.2">
      <c r="B47" s="288"/>
      <c r="C47" s="46" t="s">
        <v>190</v>
      </c>
      <c r="D47" s="47" t="s">
        <v>191</v>
      </c>
      <c r="E47" s="273" t="s">
        <v>192</v>
      </c>
    </row>
    <row r="48" spans="2:5" ht="41.45" customHeight="1" x14ac:dyDescent="0.2">
      <c r="B48" s="288"/>
      <c r="C48" s="46" t="s">
        <v>193</v>
      </c>
      <c r="D48" s="47" t="s">
        <v>194</v>
      </c>
      <c r="E48" s="273" t="s">
        <v>192</v>
      </c>
    </row>
    <row r="49" spans="2:5" ht="28.9" customHeight="1" x14ac:dyDescent="0.2">
      <c r="B49" s="288"/>
      <c r="C49" s="46" t="s">
        <v>195</v>
      </c>
      <c r="D49" s="47" t="s">
        <v>196</v>
      </c>
      <c r="E49" s="275" t="s">
        <v>181</v>
      </c>
    </row>
    <row r="50" spans="2:5" ht="15" customHeight="1" x14ac:dyDescent="0.2">
      <c r="B50" s="288"/>
      <c r="C50" s="46" t="s">
        <v>197</v>
      </c>
      <c r="D50" s="47" t="s">
        <v>198</v>
      </c>
      <c r="E50" s="275" t="s">
        <v>101</v>
      </c>
    </row>
    <row r="51" spans="2:5" ht="27" customHeight="1" x14ac:dyDescent="0.2">
      <c r="B51" s="288"/>
      <c r="C51" s="46" t="s">
        <v>199</v>
      </c>
      <c r="D51" s="47" t="s">
        <v>200</v>
      </c>
      <c r="E51" s="275" t="s">
        <v>201</v>
      </c>
    </row>
    <row r="52" spans="2:5" ht="15" customHeight="1" x14ac:dyDescent="0.2">
      <c r="B52" s="288"/>
      <c r="C52" s="46" t="s">
        <v>202</v>
      </c>
      <c r="D52" s="47" t="s">
        <v>203</v>
      </c>
      <c r="E52" s="275" t="s">
        <v>101</v>
      </c>
    </row>
    <row r="53" spans="2:5" ht="15" customHeight="1" x14ac:dyDescent="0.2">
      <c r="B53" s="288"/>
      <c r="C53" s="46" t="s">
        <v>204</v>
      </c>
      <c r="D53" s="47" t="s">
        <v>205</v>
      </c>
      <c r="E53" s="275" t="s">
        <v>101</v>
      </c>
    </row>
    <row r="54" spans="2:5" ht="15" customHeight="1" x14ac:dyDescent="0.2">
      <c r="B54" s="288"/>
      <c r="C54" s="46" t="s">
        <v>206</v>
      </c>
      <c r="D54" s="47" t="s">
        <v>207</v>
      </c>
      <c r="E54" s="275" t="s">
        <v>101</v>
      </c>
    </row>
    <row r="55" spans="2:5" ht="42.75" customHeight="1" thickBot="1" x14ac:dyDescent="0.25">
      <c r="B55" s="289"/>
      <c r="C55" s="48" t="s">
        <v>208</v>
      </c>
      <c r="D55" s="49" t="s">
        <v>209</v>
      </c>
      <c r="E55" s="277" t="s">
        <v>210</v>
      </c>
    </row>
  </sheetData>
  <mergeCells count="2">
    <mergeCell ref="B3:B18"/>
    <mergeCell ref="B19:B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9C0B-B5B9-4A8A-B924-A7E0B7782306}">
  <sheetPr>
    <tabColor theme="8" tint="0.79998168889431442"/>
  </sheetPr>
  <dimension ref="A1:P34"/>
  <sheetViews>
    <sheetView workbookViewId="0"/>
  </sheetViews>
  <sheetFormatPr defaultColWidth="9.140625" defaultRowHeight="12.75" x14ac:dyDescent="0.2"/>
  <cols>
    <col min="1" max="1" width="2.7109375" style="40" customWidth="1"/>
    <col min="2" max="2" width="41" style="40" customWidth="1"/>
    <col min="3" max="5" width="13.7109375" style="40" customWidth="1"/>
    <col min="6" max="6" width="14.42578125" style="40" customWidth="1"/>
    <col min="7" max="9" width="13.7109375" style="40" customWidth="1"/>
    <col min="10" max="10" width="14.7109375" style="40" customWidth="1"/>
    <col min="11" max="11" width="13.7109375" style="40" customWidth="1"/>
    <col min="12" max="14" width="9.140625" style="40"/>
    <col min="15" max="15" width="9.5703125" style="40" customWidth="1"/>
    <col min="16" max="16384" width="9.140625" style="40"/>
  </cols>
  <sheetData>
    <row r="1" spans="1:15" ht="17.25" x14ac:dyDescent="0.2">
      <c r="A1" s="50"/>
      <c r="B1" s="30" t="s">
        <v>1089</v>
      </c>
    </row>
    <row r="2" spans="1:15" x14ac:dyDescent="0.2">
      <c r="B2" s="40" t="s">
        <v>30</v>
      </c>
    </row>
    <row r="4" spans="1:15" ht="13.15" customHeight="1" x14ac:dyDescent="0.2">
      <c r="B4" s="293"/>
      <c r="C4" s="296" t="s">
        <v>212</v>
      </c>
      <c r="D4" s="299" t="s">
        <v>154</v>
      </c>
      <c r="E4" s="299"/>
      <c r="F4" s="299"/>
      <c r="G4" s="299"/>
      <c r="H4" s="299"/>
      <c r="I4" s="299"/>
      <c r="J4" s="299"/>
      <c r="K4" s="299"/>
      <c r="L4" s="300" t="s">
        <v>164</v>
      </c>
      <c r="M4" s="299"/>
      <c r="N4" s="299"/>
      <c r="O4" s="301"/>
    </row>
    <row r="5" spans="1:15" ht="13.15" customHeight="1" x14ac:dyDescent="0.2">
      <c r="B5" s="294"/>
      <c r="C5" s="297"/>
      <c r="D5" s="302" t="s">
        <v>213</v>
      </c>
      <c r="E5" s="302"/>
      <c r="F5" s="302"/>
      <c r="G5" s="298"/>
      <c r="H5" s="302" t="s">
        <v>214</v>
      </c>
      <c r="I5" s="302"/>
      <c r="J5" s="302"/>
      <c r="K5" s="302"/>
      <c r="L5" s="300" t="s">
        <v>213</v>
      </c>
      <c r="M5" s="301"/>
      <c r="N5" s="300" t="s">
        <v>214</v>
      </c>
      <c r="O5" s="301"/>
    </row>
    <row r="6" spans="1:15" ht="39.6" customHeight="1" x14ac:dyDescent="0.2">
      <c r="B6" s="295"/>
      <c r="C6" s="298"/>
      <c r="D6" s="85" t="s">
        <v>215</v>
      </c>
      <c r="E6" s="85" t="s">
        <v>216</v>
      </c>
      <c r="F6" s="85" t="s">
        <v>217</v>
      </c>
      <c r="G6" s="85" t="s">
        <v>218</v>
      </c>
      <c r="H6" s="86" t="s">
        <v>215</v>
      </c>
      <c r="I6" s="87" t="s">
        <v>216</v>
      </c>
      <c r="J6" s="87" t="s">
        <v>217</v>
      </c>
      <c r="K6" s="87" t="s">
        <v>218</v>
      </c>
      <c r="L6" s="88" t="s">
        <v>219</v>
      </c>
      <c r="M6" s="89" t="s">
        <v>220</v>
      </c>
      <c r="N6" s="90" t="s">
        <v>219</v>
      </c>
      <c r="O6" s="89" t="s">
        <v>220</v>
      </c>
    </row>
    <row r="7" spans="1:15" ht="13.15" customHeight="1" x14ac:dyDescent="0.2">
      <c r="B7" s="51" t="s">
        <v>221</v>
      </c>
      <c r="C7" s="52">
        <v>242</v>
      </c>
      <c r="D7" s="53">
        <v>24</v>
      </c>
      <c r="E7" s="54">
        <v>135</v>
      </c>
      <c r="F7" s="54">
        <v>41</v>
      </c>
      <c r="G7" s="55">
        <v>42</v>
      </c>
      <c r="H7" s="56">
        <v>9.9173553719008272</v>
      </c>
      <c r="I7" s="57">
        <v>55.785123966942152</v>
      </c>
      <c r="J7" s="57">
        <v>16.942148760330578</v>
      </c>
      <c r="K7" s="58">
        <v>17.355371900826448</v>
      </c>
      <c r="L7" s="53">
        <v>209</v>
      </c>
      <c r="M7" s="55">
        <v>33</v>
      </c>
      <c r="N7" s="56">
        <v>86.36363636363636</v>
      </c>
      <c r="O7" s="59">
        <v>13.636363636363635</v>
      </c>
    </row>
    <row r="8" spans="1:15" ht="13.15" customHeight="1" x14ac:dyDescent="0.2">
      <c r="B8" s="60" t="s">
        <v>222</v>
      </c>
      <c r="C8" s="61">
        <v>134</v>
      </c>
      <c r="D8" s="91">
        <v>8</v>
      </c>
      <c r="E8" s="92">
        <v>65</v>
      </c>
      <c r="F8" s="93">
        <v>25</v>
      </c>
      <c r="G8" s="94">
        <v>36</v>
      </c>
      <c r="H8" s="62">
        <v>5.9701492537313428</v>
      </c>
      <c r="I8" s="63">
        <v>48.507462686567166</v>
      </c>
      <c r="J8" s="63">
        <v>18.656716417910449</v>
      </c>
      <c r="K8" s="64">
        <v>26.865671641791046</v>
      </c>
      <c r="L8" s="65">
        <v>107</v>
      </c>
      <c r="M8" s="66">
        <v>27</v>
      </c>
      <c r="N8" s="67">
        <v>79.850746268656707</v>
      </c>
      <c r="O8" s="68">
        <v>20.149253731343283</v>
      </c>
    </row>
    <row r="9" spans="1:15" ht="13.15" customHeight="1" x14ac:dyDescent="0.2">
      <c r="B9" s="69" t="s">
        <v>223</v>
      </c>
      <c r="C9" s="70">
        <v>108</v>
      </c>
      <c r="D9" s="74">
        <v>16</v>
      </c>
      <c r="E9" s="95">
        <v>70</v>
      </c>
      <c r="F9" s="96">
        <v>16</v>
      </c>
      <c r="G9" s="75">
        <v>6</v>
      </c>
      <c r="H9" s="71">
        <v>14.814814814814813</v>
      </c>
      <c r="I9" s="63">
        <v>64.81481481481481</v>
      </c>
      <c r="J9" s="72">
        <v>14.814814814814813</v>
      </c>
      <c r="K9" s="73">
        <v>5.5555555555555554</v>
      </c>
      <c r="L9" s="74">
        <v>102</v>
      </c>
      <c r="M9" s="75">
        <v>6</v>
      </c>
      <c r="N9" s="76">
        <v>94.444444444444443</v>
      </c>
      <c r="O9" s="77">
        <v>5.5555555555555554</v>
      </c>
    </row>
    <row r="10" spans="1:15" ht="13.15" customHeight="1" x14ac:dyDescent="0.2">
      <c r="I10" s="78"/>
      <c r="O10" s="97" t="s">
        <v>1090</v>
      </c>
    </row>
    <row r="11" spans="1:15" ht="13.15" customHeight="1" x14ac:dyDescent="0.2">
      <c r="O11" s="98"/>
    </row>
    <row r="12" spans="1:15" ht="13.15" customHeight="1" x14ac:dyDescent="0.2">
      <c r="B12" s="40" t="s">
        <v>224</v>
      </c>
      <c r="O12" s="99"/>
    </row>
    <row r="13" spans="1:15" ht="13.15" customHeight="1" x14ac:dyDescent="0.2">
      <c r="B13" s="40" t="s">
        <v>225</v>
      </c>
    </row>
    <row r="14" spans="1:15" ht="13.15" customHeight="1" x14ac:dyDescent="0.2">
      <c r="I14" s="79"/>
    </row>
    <row r="15" spans="1:15" ht="13.15" customHeight="1" x14ac:dyDescent="0.2">
      <c r="A15" s="101"/>
      <c r="C15" s="102"/>
      <c r="D15" s="102"/>
      <c r="F15" s="100"/>
      <c r="G15" s="100"/>
      <c r="H15" s="100"/>
      <c r="I15" s="100"/>
      <c r="J15" s="100"/>
      <c r="K15" s="102"/>
    </row>
    <row r="16" spans="1:15" ht="13.15" customHeight="1" x14ac:dyDescent="0.2">
      <c r="A16" s="194"/>
      <c r="C16" s="194"/>
      <c r="D16" s="194"/>
      <c r="F16" s="194"/>
      <c r="G16" s="194"/>
      <c r="H16" s="194"/>
      <c r="I16" s="194"/>
      <c r="J16" s="194"/>
      <c r="K16" s="194"/>
    </row>
    <row r="17" spans="1:16" ht="15" customHeight="1" x14ac:dyDescent="0.2">
      <c r="A17" s="103"/>
      <c r="B17" s="292" t="s">
        <v>1091</v>
      </c>
      <c r="C17" s="292"/>
      <c r="D17" s="292"/>
      <c r="E17" s="292"/>
      <c r="F17" s="292"/>
      <c r="G17" s="292"/>
      <c r="H17" s="292"/>
      <c r="I17" s="292"/>
      <c r="J17" s="292"/>
      <c r="K17" s="292"/>
      <c r="L17" s="292"/>
      <c r="M17" s="292"/>
      <c r="O17" s="100"/>
      <c r="P17" s="100"/>
    </row>
    <row r="18" spans="1:16" ht="13.15" customHeight="1" x14ac:dyDescent="0.2">
      <c r="B18" s="40" t="s">
        <v>30</v>
      </c>
    </row>
    <row r="19" spans="1:16" ht="15" customHeight="1" x14ac:dyDescent="0.2">
      <c r="B19" s="80"/>
      <c r="C19" s="80"/>
      <c r="D19" s="80"/>
      <c r="E19" s="80"/>
      <c r="F19" s="80"/>
      <c r="G19" s="80"/>
      <c r="H19" s="80"/>
      <c r="I19" s="80"/>
      <c r="J19" s="80"/>
      <c r="K19" s="80"/>
      <c r="L19" s="80"/>
      <c r="M19" s="80"/>
      <c r="O19" s="104"/>
      <c r="P19" s="100"/>
    </row>
    <row r="20" spans="1:16" ht="13.15" customHeight="1" x14ac:dyDescent="0.2">
      <c r="B20" s="293"/>
      <c r="C20" s="296" t="s">
        <v>212</v>
      </c>
      <c r="D20" s="299" t="s">
        <v>154</v>
      </c>
      <c r="E20" s="299"/>
      <c r="F20" s="299"/>
      <c r="G20" s="299"/>
      <c r="H20" s="299"/>
      <c r="I20" s="299"/>
      <c r="J20" s="299"/>
      <c r="K20" s="299"/>
      <c r="L20" s="300" t="s">
        <v>164</v>
      </c>
      <c r="M20" s="299"/>
      <c r="N20" s="299"/>
      <c r="O20" s="301"/>
    </row>
    <row r="21" spans="1:16" ht="13.15" customHeight="1" x14ac:dyDescent="0.2">
      <c r="B21" s="294"/>
      <c r="C21" s="297"/>
      <c r="D21" s="302" t="s">
        <v>213</v>
      </c>
      <c r="E21" s="302"/>
      <c r="F21" s="302"/>
      <c r="G21" s="298"/>
      <c r="H21" s="302" t="s">
        <v>214</v>
      </c>
      <c r="I21" s="302"/>
      <c r="J21" s="302"/>
      <c r="K21" s="302"/>
      <c r="L21" s="300" t="s">
        <v>213</v>
      </c>
      <c r="M21" s="301"/>
      <c r="N21" s="300" t="s">
        <v>214</v>
      </c>
      <c r="O21" s="301"/>
    </row>
    <row r="22" spans="1:16" ht="39.6" customHeight="1" x14ac:dyDescent="0.2">
      <c r="B22" s="295"/>
      <c r="C22" s="298"/>
      <c r="D22" s="85" t="s">
        <v>215</v>
      </c>
      <c r="E22" s="85" t="s">
        <v>216</v>
      </c>
      <c r="F22" s="85" t="s">
        <v>217</v>
      </c>
      <c r="G22" s="85" t="s">
        <v>218</v>
      </c>
      <c r="H22" s="86" t="s">
        <v>215</v>
      </c>
      <c r="I22" s="87" t="s">
        <v>216</v>
      </c>
      <c r="J22" s="87" t="s">
        <v>217</v>
      </c>
      <c r="K22" s="87" t="s">
        <v>218</v>
      </c>
      <c r="L22" s="88" t="s">
        <v>219</v>
      </c>
      <c r="M22" s="89" t="s">
        <v>220</v>
      </c>
      <c r="N22" s="90" t="s">
        <v>219</v>
      </c>
      <c r="O22" s="89" t="s">
        <v>220</v>
      </c>
    </row>
    <row r="23" spans="1:16" ht="13.15" customHeight="1" x14ac:dyDescent="0.2">
      <c r="B23" s="51" t="s">
        <v>221</v>
      </c>
      <c r="C23" s="52">
        <v>242</v>
      </c>
      <c r="D23" s="53">
        <v>24</v>
      </c>
      <c r="E23" s="54">
        <v>135</v>
      </c>
      <c r="F23" s="54">
        <v>41</v>
      </c>
      <c r="G23" s="55">
        <v>42</v>
      </c>
      <c r="H23" s="81">
        <v>9.9173553719008272</v>
      </c>
      <c r="I23" s="57">
        <v>55.785123966942152</v>
      </c>
      <c r="J23" s="57">
        <v>16.942148760330578</v>
      </c>
      <c r="K23" s="58">
        <v>17.355371900826448</v>
      </c>
      <c r="L23" s="53">
        <v>209</v>
      </c>
      <c r="M23" s="55">
        <v>33</v>
      </c>
      <c r="N23" s="56">
        <v>86.36363636363636</v>
      </c>
      <c r="O23" s="59">
        <v>13.636363636363635</v>
      </c>
    </row>
    <row r="24" spans="1:16" ht="13.15" customHeight="1" x14ac:dyDescent="0.2">
      <c r="B24" s="60" t="s">
        <v>71</v>
      </c>
      <c r="C24" s="61">
        <v>27</v>
      </c>
      <c r="D24" s="105">
        <v>2</v>
      </c>
      <c r="E24" s="106">
        <v>17</v>
      </c>
      <c r="F24" s="106">
        <v>2</v>
      </c>
      <c r="G24" s="66">
        <v>6</v>
      </c>
      <c r="H24" s="82">
        <v>7.4074074074074066</v>
      </c>
      <c r="I24" s="83">
        <v>62.962962962962962</v>
      </c>
      <c r="J24" s="83">
        <v>7.4074074074074066</v>
      </c>
      <c r="K24" s="64">
        <v>22.222222222222221</v>
      </c>
      <c r="L24" s="65">
        <v>21</v>
      </c>
      <c r="M24" s="66">
        <v>6</v>
      </c>
      <c r="N24" s="67">
        <v>77.777777777777786</v>
      </c>
      <c r="O24" s="68">
        <v>22.222222222222221</v>
      </c>
    </row>
    <row r="25" spans="1:16" ht="13.15" customHeight="1" x14ac:dyDescent="0.2">
      <c r="B25" s="60" t="s">
        <v>81</v>
      </c>
      <c r="C25" s="61">
        <v>14</v>
      </c>
      <c r="D25" s="107">
        <v>0</v>
      </c>
      <c r="E25" s="108">
        <v>6</v>
      </c>
      <c r="F25" s="109">
        <v>5</v>
      </c>
      <c r="G25" s="110">
        <v>3</v>
      </c>
      <c r="H25" s="82">
        <v>0</v>
      </c>
      <c r="I25" s="83">
        <v>42.857142857142854</v>
      </c>
      <c r="J25" s="83">
        <v>35.714285714285715</v>
      </c>
      <c r="K25" s="64">
        <v>21.428571428571427</v>
      </c>
      <c r="L25" s="65">
        <v>14</v>
      </c>
      <c r="M25" s="66">
        <v>0</v>
      </c>
      <c r="N25" s="67">
        <v>100</v>
      </c>
      <c r="O25" s="68">
        <v>0</v>
      </c>
    </row>
    <row r="26" spans="1:16" ht="13.15" customHeight="1" x14ac:dyDescent="0.2">
      <c r="B26" s="60" t="s">
        <v>84</v>
      </c>
      <c r="C26" s="61">
        <v>34</v>
      </c>
      <c r="D26" s="111">
        <v>1</v>
      </c>
      <c r="E26" s="106">
        <v>11</v>
      </c>
      <c r="F26" s="109">
        <v>8</v>
      </c>
      <c r="G26" s="66">
        <v>14</v>
      </c>
      <c r="H26" s="82">
        <v>2.9411764705882351</v>
      </c>
      <c r="I26" s="83">
        <v>32.352941176470587</v>
      </c>
      <c r="J26" s="83">
        <v>23.52941176470588</v>
      </c>
      <c r="K26" s="64">
        <v>41.17647058823529</v>
      </c>
      <c r="L26" s="65">
        <v>23</v>
      </c>
      <c r="M26" s="66">
        <v>11</v>
      </c>
      <c r="N26" s="67">
        <v>67.64705882352942</v>
      </c>
      <c r="O26" s="68">
        <v>32.352941176470587</v>
      </c>
    </row>
    <row r="27" spans="1:16" ht="13.15" customHeight="1" x14ac:dyDescent="0.2">
      <c r="B27" s="60" t="s">
        <v>90</v>
      </c>
      <c r="C27" s="61">
        <v>166</v>
      </c>
      <c r="D27" s="111">
        <v>21</v>
      </c>
      <c r="E27" s="109">
        <v>101</v>
      </c>
      <c r="F27" s="109">
        <v>26</v>
      </c>
      <c r="G27" s="112">
        <v>18</v>
      </c>
      <c r="H27" s="82">
        <v>12.650602409638553</v>
      </c>
      <c r="I27" s="83">
        <v>60.843373493975903</v>
      </c>
      <c r="J27" s="83">
        <v>15.66265060240964</v>
      </c>
      <c r="K27" s="64">
        <v>10.843373493975903</v>
      </c>
      <c r="L27" s="65">
        <v>151</v>
      </c>
      <c r="M27" s="66">
        <v>15</v>
      </c>
      <c r="N27" s="67">
        <v>90.963855421686745</v>
      </c>
      <c r="O27" s="68">
        <v>9.0361445783132535</v>
      </c>
    </row>
    <row r="28" spans="1:16" ht="13.15" customHeight="1" x14ac:dyDescent="0.2">
      <c r="B28" s="69" t="s">
        <v>226</v>
      </c>
      <c r="C28" s="70">
        <v>1</v>
      </c>
      <c r="D28" s="113">
        <v>0</v>
      </c>
      <c r="E28" s="114">
        <v>0</v>
      </c>
      <c r="F28" s="114">
        <v>0</v>
      </c>
      <c r="G28" s="115">
        <v>1</v>
      </c>
      <c r="H28" s="84">
        <v>0</v>
      </c>
      <c r="I28" s="72">
        <v>0</v>
      </c>
      <c r="J28" s="72">
        <v>0</v>
      </c>
      <c r="K28" s="73">
        <v>100</v>
      </c>
      <c r="L28" s="74">
        <v>0</v>
      </c>
      <c r="M28" s="75">
        <v>1</v>
      </c>
      <c r="N28" s="67">
        <v>0</v>
      </c>
      <c r="O28" s="77">
        <v>100</v>
      </c>
    </row>
    <row r="29" spans="1:16" ht="15" customHeight="1" x14ac:dyDescent="0.2">
      <c r="B29" s="80"/>
      <c r="C29" s="80"/>
      <c r="D29" s="80"/>
      <c r="E29" s="80"/>
      <c r="F29" s="80"/>
      <c r="G29" s="80"/>
      <c r="H29" s="80"/>
      <c r="I29" s="80"/>
      <c r="J29" s="80"/>
      <c r="K29" s="80"/>
      <c r="L29" s="80"/>
      <c r="M29" s="80"/>
      <c r="N29" s="116"/>
      <c r="O29" s="97" t="s">
        <v>1090</v>
      </c>
    </row>
    <row r="30" spans="1:16" ht="15" customHeight="1" x14ac:dyDescent="0.2">
      <c r="A30" s="103"/>
      <c r="B30" s="80"/>
      <c r="C30" s="80"/>
      <c r="D30" s="80"/>
      <c r="E30" s="80"/>
      <c r="F30" s="80"/>
      <c r="G30" s="80"/>
      <c r="H30" s="80"/>
      <c r="I30" s="80"/>
      <c r="J30" s="80"/>
      <c r="K30" s="80"/>
      <c r="L30" s="80"/>
      <c r="M30" s="80"/>
      <c r="O30" s="117"/>
      <c r="P30" s="103"/>
    </row>
    <row r="31" spans="1:16" ht="28.9" customHeight="1" x14ac:dyDescent="0.2">
      <c r="A31" s="118"/>
      <c r="B31" s="290" t="s">
        <v>227</v>
      </c>
      <c r="C31" s="291"/>
      <c r="D31" s="291"/>
      <c r="E31" s="291"/>
      <c r="F31" s="291"/>
      <c r="G31" s="291"/>
      <c r="H31" s="291"/>
      <c r="I31" s="291"/>
      <c r="J31" s="291"/>
      <c r="K31" s="291"/>
      <c r="L31" s="291"/>
      <c r="M31" s="291"/>
      <c r="N31" s="291"/>
      <c r="O31" s="291"/>
      <c r="P31" s="119"/>
    </row>
    <row r="32" spans="1:16" ht="13.15" customHeight="1" x14ac:dyDescent="0.2">
      <c r="B32" s="40" t="s">
        <v>228</v>
      </c>
    </row>
    <row r="33" spans="2:16" ht="13.15" customHeight="1" x14ac:dyDescent="0.2">
      <c r="B33" s="40" t="s">
        <v>229</v>
      </c>
    </row>
    <row r="34" spans="2:16" x14ac:dyDescent="0.2">
      <c r="N34" s="103"/>
      <c r="P34" s="103"/>
    </row>
  </sheetData>
  <mergeCells count="18">
    <mergeCell ref="B4:B6"/>
    <mergeCell ref="C4:C6"/>
    <mergeCell ref="D4:K4"/>
    <mergeCell ref="L4:O4"/>
    <mergeCell ref="D5:G5"/>
    <mergeCell ref="H5:K5"/>
    <mergeCell ref="L5:M5"/>
    <mergeCell ref="N5:O5"/>
    <mergeCell ref="B31:O31"/>
    <mergeCell ref="B17:M17"/>
    <mergeCell ref="B20:B22"/>
    <mergeCell ref="C20:C22"/>
    <mergeCell ref="D20:K20"/>
    <mergeCell ref="L20:O20"/>
    <mergeCell ref="D21:G21"/>
    <mergeCell ref="H21:K21"/>
    <mergeCell ref="L21:M21"/>
    <mergeCell ref="N21:O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8495-F85E-4040-961C-3ACC56B769DA}">
  <sheetPr>
    <tabColor theme="8" tint="0.79998168889431442"/>
  </sheetPr>
  <dimension ref="A1:G42"/>
  <sheetViews>
    <sheetView workbookViewId="0"/>
  </sheetViews>
  <sheetFormatPr defaultColWidth="9.140625" defaultRowHeight="12.75" x14ac:dyDescent="0.2"/>
  <cols>
    <col min="1" max="1" width="2.7109375" style="124" customWidth="1"/>
    <col min="2" max="2" width="55" style="40" customWidth="1"/>
    <col min="3" max="7" width="17.42578125" style="40" customWidth="1"/>
    <col min="8" max="16384" width="9.140625" style="40"/>
  </cols>
  <sheetData>
    <row r="1" spans="1:7" ht="17.25" x14ac:dyDescent="0.2">
      <c r="A1" s="125"/>
      <c r="B1" s="126" t="s">
        <v>1092</v>
      </c>
      <c r="C1" s="127"/>
      <c r="D1" s="127"/>
      <c r="E1" s="127"/>
      <c r="F1" s="127"/>
      <c r="G1" s="128"/>
    </row>
    <row r="2" spans="1:7" x14ac:dyDescent="0.2">
      <c r="A2" s="125"/>
      <c r="B2" s="129" t="s">
        <v>30</v>
      </c>
      <c r="C2" s="127"/>
      <c r="D2" s="127"/>
      <c r="E2" s="127"/>
      <c r="F2" s="127"/>
      <c r="G2" s="127"/>
    </row>
    <row r="3" spans="1:7" x14ac:dyDescent="0.2">
      <c r="A3" s="125"/>
      <c r="B3" s="130"/>
      <c r="C3" s="130"/>
      <c r="D3" s="130"/>
      <c r="E3" s="130"/>
      <c r="F3" s="130"/>
      <c r="G3" s="130"/>
    </row>
    <row r="4" spans="1:7" x14ac:dyDescent="0.2">
      <c r="A4" s="131"/>
      <c r="B4" s="157"/>
      <c r="C4" s="296" t="s">
        <v>230</v>
      </c>
      <c r="D4" s="299" t="s">
        <v>213</v>
      </c>
      <c r="E4" s="301"/>
      <c r="F4" s="299" t="s">
        <v>214</v>
      </c>
      <c r="G4" s="301"/>
    </row>
    <row r="5" spans="1:7" x14ac:dyDescent="0.2">
      <c r="A5" s="131"/>
      <c r="B5" s="158"/>
      <c r="C5" s="298"/>
      <c r="D5" s="87" t="s">
        <v>231</v>
      </c>
      <c r="E5" s="159" t="s">
        <v>232</v>
      </c>
      <c r="F5" s="85" t="s">
        <v>231</v>
      </c>
      <c r="G5" s="160" t="s">
        <v>232</v>
      </c>
    </row>
    <row r="6" spans="1:7" x14ac:dyDescent="0.2">
      <c r="A6" s="131"/>
      <c r="B6" s="132" t="s">
        <v>221</v>
      </c>
      <c r="C6" s="133"/>
      <c r="D6" s="134"/>
      <c r="E6" s="135"/>
      <c r="F6" s="136"/>
      <c r="G6" s="136"/>
    </row>
    <row r="7" spans="1:7" x14ac:dyDescent="0.2">
      <c r="A7" s="131"/>
      <c r="B7" s="137" t="s">
        <v>233</v>
      </c>
      <c r="C7" s="138">
        <v>242</v>
      </c>
      <c r="D7" s="120">
        <v>178</v>
      </c>
      <c r="E7" s="121">
        <v>64</v>
      </c>
      <c r="F7" s="139">
        <v>73.553719008264466</v>
      </c>
      <c r="G7" s="140">
        <v>26.446280991735538</v>
      </c>
    </row>
    <row r="8" spans="1:7" x14ac:dyDescent="0.2">
      <c r="A8" s="141"/>
      <c r="B8" s="142" t="s">
        <v>234</v>
      </c>
      <c r="C8" s="138">
        <v>242</v>
      </c>
      <c r="D8" s="120">
        <v>201</v>
      </c>
      <c r="E8" s="121">
        <v>41</v>
      </c>
      <c r="F8" s="139">
        <v>83.057851239669418</v>
      </c>
      <c r="G8" s="140">
        <v>16.942148760330578</v>
      </c>
    </row>
    <row r="9" spans="1:7" x14ac:dyDescent="0.2">
      <c r="A9" s="141"/>
      <c r="B9" s="142" t="s">
        <v>235</v>
      </c>
      <c r="C9" s="138">
        <v>242</v>
      </c>
      <c r="D9" s="120">
        <v>227</v>
      </c>
      <c r="E9" s="121">
        <v>15</v>
      </c>
      <c r="F9" s="139">
        <v>93.801652892561975</v>
      </c>
      <c r="G9" s="140">
        <v>6.1983471074380168</v>
      </c>
    </row>
    <row r="10" spans="1:7" x14ac:dyDescent="0.2">
      <c r="A10" s="141"/>
      <c r="B10" s="142" t="s">
        <v>236</v>
      </c>
      <c r="C10" s="138">
        <v>242</v>
      </c>
      <c r="D10" s="120">
        <v>203</v>
      </c>
      <c r="E10" s="121">
        <v>39</v>
      </c>
      <c r="F10" s="139">
        <v>83.88429752066115</v>
      </c>
      <c r="G10" s="140">
        <v>16.115702479338843</v>
      </c>
    </row>
    <row r="11" spans="1:7" ht="13.15" customHeight="1" x14ac:dyDescent="0.2">
      <c r="A11" s="141"/>
      <c r="B11" s="142" t="s">
        <v>237</v>
      </c>
      <c r="C11" s="138">
        <v>242</v>
      </c>
      <c r="D11" s="120">
        <v>228</v>
      </c>
      <c r="E11" s="121">
        <v>14</v>
      </c>
      <c r="F11" s="139">
        <v>94.214876033057848</v>
      </c>
      <c r="G11" s="140">
        <v>5.785123966942149</v>
      </c>
    </row>
    <row r="12" spans="1:7" x14ac:dyDescent="0.2">
      <c r="A12" s="141"/>
      <c r="B12" s="142" t="s">
        <v>238</v>
      </c>
      <c r="C12" s="138">
        <v>242</v>
      </c>
      <c r="D12" s="120">
        <v>219</v>
      </c>
      <c r="E12" s="121">
        <v>23</v>
      </c>
      <c r="F12" s="139">
        <v>90.495867768595033</v>
      </c>
      <c r="G12" s="140">
        <v>9.5041322314049594</v>
      </c>
    </row>
    <row r="13" spans="1:7" x14ac:dyDescent="0.2">
      <c r="A13" s="141"/>
      <c r="B13" s="142" t="s">
        <v>239</v>
      </c>
      <c r="C13" s="138">
        <v>242</v>
      </c>
      <c r="D13" s="120">
        <v>230</v>
      </c>
      <c r="E13" s="121">
        <v>12</v>
      </c>
      <c r="F13" s="139">
        <v>95.041322314049594</v>
      </c>
      <c r="G13" s="140">
        <v>4.9586776859504136</v>
      </c>
    </row>
    <row r="14" spans="1:7" x14ac:dyDescent="0.2">
      <c r="A14" s="141"/>
      <c r="B14" s="143" t="s">
        <v>240</v>
      </c>
      <c r="C14" s="138">
        <v>242</v>
      </c>
      <c r="D14" s="120">
        <v>237</v>
      </c>
      <c r="E14" s="121">
        <v>5</v>
      </c>
      <c r="F14" s="139">
        <v>97.933884297520663</v>
      </c>
      <c r="G14" s="140">
        <v>2.0661157024793391</v>
      </c>
    </row>
    <row r="15" spans="1:7" x14ac:dyDescent="0.2">
      <c r="A15" s="141"/>
      <c r="B15" s="143" t="s">
        <v>241</v>
      </c>
      <c r="C15" s="138">
        <v>242</v>
      </c>
      <c r="D15" s="120">
        <v>179</v>
      </c>
      <c r="E15" s="121">
        <v>63</v>
      </c>
      <c r="F15" s="139">
        <v>73.966942148760324</v>
      </c>
      <c r="G15" s="140">
        <v>26.033057851239672</v>
      </c>
    </row>
    <row r="16" spans="1:7" ht="13.15" customHeight="1" x14ac:dyDescent="0.2">
      <c r="A16" s="141"/>
      <c r="B16" s="143"/>
      <c r="C16" s="144"/>
      <c r="D16" s="120"/>
      <c r="E16" s="121"/>
      <c r="F16" s="145"/>
      <c r="G16" s="140"/>
    </row>
    <row r="17" spans="1:7" x14ac:dyDescent="0.2">
      <c r="A17" s="141"/>
      <c r="B17" s="137" t="s">
        <v>222</v>
      </c>
      <c r="C17" s="144"/>
      <c r="D17" s="120"/>
      <c r="E17" s="121"/>
      <c r="F17" s="145"/>
      <c r="G17" s="140"/>
    </row>
    <row r="18" spans="1:7" x14ac:dyDescent="0.2">
      <c r="A18" s="131"/>
      <c r="B18" s="146" t="s">
        <v>233</v>
      </c>
      <c r="C18" s="138">
        <v>134</v>
      </c>
      <c r="D18" s="120">
        <v>84</v>
      </c>
      <c r="E18" s="121">
        <v>50</v>
      </c>
      <c r="F18" s="139">
        <v>62.68656716417911</v>
      </c>
      <c r="G18" s="140">
        <v>37.313432835820898</v>
      </c>
    </row>
    <row r="19" spans="1:7" x14ac:dyDescent="0.2">
      <c r="A19" s="141"/>
      <c r="B19" s="147" t="s">
        <v>234</v>
      </c>
      <c r="C19" s="138">
        <v>134</v>
      </c>
      <c r="D19" s="120">
        <v>100</v>
      </c>
      <c r="E19" s="121">
        <v>34</v>
      </c>
      <c r="F19" s="139">
        <v>74.626865671641795</v>
      </c>
      <c r="G19" s="140">
        <v>25.373134328358208</v>
      </c>
    </row>
    <row r="20" spans="1:7" x14ac:dyDescent="0.2">
      <c r="A20" s="141"/>
      <c r="B20" s="147" t="s">
        <v>235</v>
      </c>
      <c r="C20" s="138">
        <v>134</v>
      </c>
      <c r="D20" s="120">
        <v>121</v>
      </c>
      <c r="E20" s="121">
        <v>13</v>
      </c>
      <c r="F20" s="139">
        <v>90.298507462686572</v>
      </c>
      <c r="G20" s="140">
        <v>9.7014925373134329</v>
      </c>
    </row>
    <row r="21" spans="1:7" x14ac:dyDescent="0.2">
      <c r="A21" s="141"/>
      <c r="B21" s="147" t="s">
        <v>236</v>
      </c>
      <c r="C21" s="138">
        <v>134</v>
      </c>
      <c r="D21" s="120">
        <v>102</v>
      </c>
      <c r="E21" s="121">
        <v>32</v>
      </c>
      <c r="F21" s="139">
        <v>76.119402985074629</v>
      </c>
      <c r="G21" s="140">
        <v>23.880597014925371</v>
      </c>
    </row>
    <row r="22" spans="1:7" x14ac:dyDescent="0.2">
      <c r="A22" s="141"/>
      <c r="B22" s="147" t="s">
        <v>237</v>
      </c>
      <c r="C22" s="138">
        <v>134</v>
      </c>
      <c r="D22" s="120">
        <v>123</v>
      </c>
      <c r="E22" s="121">
        <v>11</v>
      </c>
      <c r="F22" s="139">
        <v>91.791044776119406</v>
      </c>
      <c r="G22" s="140">
        <v>8.2089552238805972</v>
      </c>
    </row>
    <row r="23" spans="1:7" x14ac:dyDescent="0.2">
      <c r="A23" s="141"/>
      <c r="B23" s="147" t="s">
        <v>238</v>
      </c>
      <c r="C23" s="138">
        <v>134</v>
      </c>
      <c r="D23" s="120">
        <v>119</v>
      </c>
      <c r="E23" s="121">
        <v>15</v>
      </c>
      <c r="F23" s="139">
        <v>88.805970149253739</v>
      </c>
      <c r="G23" s="140">
        <v>11.194029850746269</v>
      </c>
    </row>
    <row r="24" spans="1:7" x14ac:dyDescent="0.2">
      <c r="A24" s="141"/>
      <c r="B24" s="147" t="s">
        <v>239</v>
      </c>
      <c r="C24" s="138">
        <v>134</v>
      </c>
      <c r="D24" s="120">
        <v>127</v>
      </c>
      <c r="E24" s="121">
        <v>7</v>
      </c>
      <c r="F24" s="139">
        <v>94.776119402985074</v>
      </c>
      <c r="G24" s="140">
        <v>5.2238805970149249</v>
      </c>
    </row>
    <row r="25" spans="1:7" x14ac:dyDescent="0.2">
      <c r="A25" s="141"/>
      <c r="B25" s="148" t="s">
        <v>240</v>
      </c>
      <c r="C25" s="138">
        <v>134</v>
      </c>
      <c r="D25" s="120">
        <v>130</v>
      </c>
      <c r="E25" s="121">
        <v>4</v>
      </c>
      <c r="F25" s="139">
        <v>97.014925373134332</v>
      </c>
      <c r="G25" s="140">
        <v>2.9850746268656714</v>
      </c>
    </row>
    <row r="26" spans="1:7" x14ac:dyDescent="0.2">
      <c r="A26" s="141"/>
      <c r="B26" s="148" t="s">
        <v>241</v>
      </c>
      <c r="C26" s="138">
        <v>134</v>
      </c>
      <c r="D26" s="120">
        <v>85</v>
      </c>
      <c r="E26" s="121">
        <v>49</v>
      </c>
      <c r="F26" s="139">
        <v>63.432835820895527</v>
      </c>
      <c r="G26" s="140">
        <v>36.567164179104481</v>
      </c>
    </row>
    <row r="27" spans="1:7" x14ac:dyDescent="0.2">
      <c r="A27" s="141"/>
      <c r="B27" s="148"/>
      <c r="C27" s="144"/>
      <c r="D27" s="120"/>
      <c r="E27" s="121"/>
      <c r="F27" s="145"/>
      <c r="G27" s="140"/>
    </row>
    <row r="28" spans="1:7" x14ac:dyDescent="0.2">
      <c r="A28" s="141"/>
      <c r="B28" s="137" t="s">
        <v>223</v>
      </c>
      <c r="C28" s="144"/>
      <c r="D28" s="120"/>
      <c r="E28" s="121"/>
      <c r="F28" s="145"/>
      <c r="G28" s="140"/>
    </row>
    <row r="29" spans="1:7" x14ac:dyDescent="0.2">
      <c r="A29" s="131"/>
      <c r="B29" s="146" t="s">
        <v>233</v>
      </c>
      <c r="C29" s="138">
        <v>108</v>
      </c>
      <c r="D29" s="120">
        <v>94</v>
      </c>
      <c r="E29" s="121">
        <v>14</v>
      </c>
      <c r="F29" s="139">
        <v>87.037037037037038</v>
      </c>
      <c r="G29" s="140">
        <v>12.962962962962962</v>
      </c>
    </row>
    <row r="30" spans="1:7" x14ac:dyDescent="0.2">
      <c r="A30" s="141"/>
      <c r="B30" s="147" t="s">
        <v>234</v>
      </c>
      <c r="C30" s="138">
        <v>108</v>
      </c>
      <c r="D30" s="120">
        <v>101</v>
      </c>
      <c r="E30" s="121">
        <v>7</v>
      </c>
      <c r="F30" s="139">
        <v>93.518518518518519</v>
      </c>
      <c r="G30" s="140">
        <v>6.481481481481481</v>
      </c>
    </row>
    <row r="31" spans="1:7" x14ac:dyDescent="0.2">
      <c r="A31" s="141"/>
      <c r="B31" s="147" t="s">
        <v>235</v>
      </c>
      <c r="C31" s="138">
        <v>108</v>
      </c>
      <c r="D31" s="120">
        <v>106</v>
      </c>
      <c r="E31" s="121">
        <v>2</v>
      </c>
      <c r="F31" s="139">
        <v>98.148148148148152</v>
      </c>
      <c r="G31" s="140">
        <v>1.8518518518518516</v>
      </c>
    </row>
    <row r="32" spans="1:7" x14ac:dyDescent="0.2">
      <c r="A32" s="141"/>
      <c r="B32" s="147" t="s">
        <v>236</v>
      </c>
      <c r="C32" s="138">
        <v>108</v>
      </c>
      <c r="D32" s="120">
        <v>101</v>
      </c>
      <c r="E32" s="121">
        <v>7</v>
      </c>
      <c r="F32" s="139">
        <v>93.518518518518519</v>
      </c>
      <c r="G32" s="140">
        <v>6.481481481481481</v>
      </c>
    </row>
    <row r="33" spans="1:7" x14ac:dyDescent="0.2">
      <c r="A33" s="141"/>
      <c r="B33" s="147" t="s">
        <v>237</v>
      </c>
      <c r="C33" s="138">
        <v>108</v>
      </c>
      <c r="D33" s="120">
        <v>105</v>
      </c>
      <c r="E33" s="121">
        <v>3</v>
      </c>
      <c r="F33" s="139">
        <v>97.222222222222214</v>
      </c>
      <c r="G33" s="140">
        <v>2.7777777777777777</v>
      </c>
    </row>
    <row r="34" spans="1:7" x14ac:dyDescent="0.2">
      <c r="A34" s="141"/>
      <c r="B34" s="147" t="s">
        <v>238</v>
      </c>
      <c r="C34" s="138">
        <v>108</v>
      </c>
      <c r="D34" s="120">
        <v>100</v>
      </c>
      <c r="E34" s="121">
        <v>8</v>
      </c>
      <c r="F34" s="139">
        <v>92.592592592592595</v>
      </c>
      <c r="G34" s="140">
        <v>7.4074074074074066</v>
      </c>
    </row>
    <row r="35" spans="1:7" x14ac:dyDescent="0.2">
      <c r="A35" s="141"/>
      <c r="B35" s="147" t="s">
        <v>239</v>
      </c>
      <c r="C35" s="138">
        <v>108</v>
      </c>
      <c r="D35" s="120">
        <v>103</v>
      </c>
      <c r="E35" s="121">
        <v>5</v>
      </c>
      <c r="F35" s="139">
        <v>95.370370370370367</v>
      </c>
      <c r="G35" s="140">
        <v>4.6296296296296298</v>
      </c>
    </row>
    <row r="36" spans="1:7" x14ac:dyDescent="0.2">
      <c r="A36" s="141"/>
      <c r="B36" s="148" t="s">
        <v>240</v>
      </c>
      <c r="C36" s="138">
        <v>108</v>
      </c>
      <c r="D36" s="120">
        <v>107</v>
      </c>
      <c r="E36" s="121">
        <v>1</v>
      </c>
      <c r="F36" s="139">
        <v>99.074074074074076</v>
      </c>
      <c r="G36" s="140">
        <v>0.92592592592592582</v>
      </c>
    </row>
    <row r="37" spans="1:7" x14ac:dyDescent="0.2">
      <c r="A37" s="141"/>
      <c r="B37" s="149" t="s">
        <v>241</v>
      </c>
      <c r="C37" s="150">
        <v>108</v>
      </c>
      <c r="D37" s="122">
        <v>94</v>
      </c>
      <c r="E37" s="123">
        <v>14</v>
      </c>
      <c r="F37" s="151">
        <v>87.037037037037038</v>
      </c>
      <c r="G37" s="152">
        <v>12.962962962962962</v>
      </c>
    </row>
    <row r="38" spans="1:7" ht="13.15" customHeight="1" x14ac:dyDescent="0.2">
      <c r="A38" s="125"/>
      <c r="B38" s="153"/>
      <c r="C38" s="153"/>
      <c r="D38" s="153"/>
      <c r="E38" s="153"/>
      <c r="F38" s="153"/>
      <c r="G38" s="97" t="s">
        <v>1090</v>
      </c>
    </row>
    <row r="39" spans="1:7" ht="13.15" customHeight="1" x14ac:dyDescent="0.2">
      <c r="A39" s="125"/>
      <c r="B39" s="154"/>
      <c r="C39" s="155"/>
      <c r="D39" s="155"/>
      <c r="E39" s="155"/>
      <c r="F39" s="155"/>
      <c r="G39" s="155"/>
    </row>
    <row r="40" spans="1:7" ht="26.45" customHeight="1" x14ac:dyDescent="0.2">
      <c r="A40" s="125"/>
      <c r="B40" s="303" t="s">
        <v>242</v>
      </c>
      <c r="C40" s="304"/>
      <c r="D40" s="304"/>
      <c r="E40" s="304"/>
      <c r="F40" s="304"/>
      <c r="G40" s="305"/>
    </row>
    <row r="41" spans="1:7" ht="13.15" customHeight="1" x14ac:dyDescent="0.2">
      <c r="A41" s="125"/>
      <c r="B41" s="156" t="s">
        <v>225</v>
      </c>
      <c r="C41" s="156"/>
      <c r="D41" s="156"/>
      <c r="E41" s="156"/>
      <c r="F41" s="156"/>
      <c r="G41" s="156"/>
    </row>
    <row r="42" spans="1:7" ht="15" customHeight="1" x14ac:dyDescent="0.2"/>
  </sheetData>
  <mergeCells count="4">
    <mergeCell ref="C4:C5"/>
    <mergeCell ref="D4:E4"/>
    <mergeCell ref="F4:G4"/>
    <mergeCell ref="B40:G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E81C-149D-471C-BEAA-BC8934F47B12}">
  <sheetPr>
    <tabColor theme="8" tint="0.79998168889431442"/>
  </sheetPr>
  <dimension ref="A1:H17"/>
  <sheetViews>
    <sheetView workbookViewId="0"/>
  </sheetViews>
  <sheetFormatPr defaultColWidth="9.140625" defaultRowHeight="12.75" x14ac:dyDescent="0.2"/>
  <cols>
    <col min="1" max="1" width="2.7109375" style="40" customWidth="1"/>
    <col min="2" max="2" width="52" style="40" customWidth="1"/>
    <col min="3" max="3" width="14.85546875" style="40" customWidth="1"/>
    <col min="4" max="7" width="10" style="40" customWidth="1"/>
    <col min="8" max="8" width="15.140625" style="40" bestFit="1" customWidth="1"/>
    <col min="9" max="9" width="10" style="40" customWidth="1"/>
    <col min="10" max="16384" width="9.140625" style="40"/>
  </cols>
  <sheetData>
    <row r="1" spans="1:8" ht="16.899999999999999" customHeight="1" x14ac:dyDescent="0.2">
      <c r="A1" s="167"/>
      <c r="B1" s="168" t="s">
        <v>243</v>
      </c>
      <c r="C1" s="169"/>
      <c r="D1" s="169"/>
      <c r="E1" s="169"/>
      <c r="F1" s="169"/>
      <c r="G1" s="169"/>
      <c r="H1" s="169"/>
    </row>
    <row r="2" spans="1:8" ht="13.15" customHeight="1" x14ac:dyDescent="0.2">
      <c r="A2" s="167"/>
      <c r="B2" s="129" t="s">
        <v>30</v>
      </c>
      <c r="C2" s="170"/>
      <c r="D2" s="170"/>
      <c r="E2" s="170"/>
      <c r="F2" s="170"/>
      <c r="G2" s="170"/>
      <c r="H2" s="169"/>
    </row>
    <row r="3" spans="1:8" ht="13.15" customHeight="1" x14ac:dyDescent="0.2">
      <c r="A3" s="167"/>
      <c r="B3" s="171"/>
      <c r="C3" s="170"/>
      <c r="D3" s="172"/>
      <c r="E3" s="173"/>
      <c r="F3" s="173"/>
      <c r="G3" s="170"/>
      <c r="H3" s="169"/>
    </row>
    <row r="4" spans="1:8" ht="26.45" customHeight="1" x14ac:dyDescent="0.2">
      <c r="A4" s="174"/>
      <c r="B4" s="157"/>
      <c r="C4" s="157" t="s">
        <v>212</v>
      </c>
      <c r="D4" s="300" t="s">
        <v>213</v>
      </c>
      <c r="E4" s="301"/>
      <c r="F4" s="299" t="s">
        <v>214</v>
      </c>
      <c r="G4" s="301"/>
      <c r="H4" s="175"/>
    </row>
    <row r="5" spans="1:8" ht="13.15" customHeight="1" x14ac:dyDescent="0.2">
      <c r="A5" s="174"/>
      <c r="B5" s="158"/>
      <c r="C5" s="158"/>
      <c r="D5" s="230" t="s">
        <v>231</v>
      </c>
      <c r="E5" s="160" t="s">
        <v>232</v>
      </c>
      <c r="F5" s="85" t="s">
        <v>231</v>
      </c>
      <c r="G5" s="160" t="s">
        <v>232</v>
      </c>
      <c r="H5" s="176"/>
    </row>
    <row r="6" spans="1:8" ht="13.15" customHeight="1" x14ac:dyDescent="0.2">
      <c r="A6" s="174"/>
      <c r="B6" s="161" t="s">
        <v>221</v>
      </c>
      <c r="C6" s="52">
        <v>61</v>
      </c>
      <c r="D6" s="53">
        <v>30</v>
      </c>
      <c r="E6" s="55">
        <v>31</v>
      </c>
      <c r="F6" s="162">
        <v>49.180327868852459</v>
      </c>
      <c r="G6" s="59">
        <v>50.819672131147541</v>
      </c>
      <c r="H6" s="177"/>
    </row>
    <row r="7" spans="1:8" ht="13.15" customHeight="1" x14ac:dyDescent="0.2">
      <c r="A7" s="174"/>
      <c r="B7" s="60" t="s">
        <v>222</v>
      </c>
      <c r="C7" s="61">
        <v>47</v>
      </c>
      <c r="D7" s="65">
        <v>21</v>
      </c>
      <c r="E7" s="66">
        <v>26</v>
      </c>
      <c r="F7" s="163">
        <v>44.680851063829785</v>
      </c>
      <c r="G7" s="164">
        <v>55.319148936170215</v>
      </c>
      <c r="H7" s="178"/>
    </row>
    <row r="8" spans="1:8" ht="13.15" customHeight="1" x14ac:dyDescent="0.2">
      <c r="A8" s="174"/>
      <c r="B8" s="69" t="s">
        <v>223</v>
      </c>
      <c r="C8" s="70">
        <v>14</v>
      </c>
      <c r="D8" s="74">
        <v>9</v>
      </c>
      <c r="E8" s="75">
        <v>5</v>
      </c>
      <c r="F8" s="165">
        <v>64.285714285714292</v>
      </c>
      <c r="G8" s="166">
        <v>35.714285714285715</v>
      </c>
      <c r="H8" s="178"/>
    </row>
    <row r="9" spans="1:8" ht="13.15" customHeight="1" x14ac:dyDescent="0.2">
      <c r="A9" s="167"/>
      <c r="B9" s="179"/>
      <c r="C9" s="153"/>
      <c r="D9" s="153"/>
      <c r="E9" s="153"/>
      <c r="F9" s="180"/>
      <c r="G9" s="97" t="s">
        <v>1090</v>
      </c>
      <c r="H9" s="181"/>
    </row>
    <row r="10" spans="1:8" ht="13.15" customHeight="1" x14ac:dyDescent="0.2">
      <c r="A10" s="167"/>
      <c r="B10" s="182"/>
      <c r="C10" s="153"/>
      <c r="D10" s="153"/>
      <c r="E10" s="153"/>
      <c r="F10" s="180"/>
      <c r="G10" s="97"/>
      <c r="H10" s="181"/>
    </row>
    <row r="11" spans="1:8" ht="13.15" customHeight="1" x14ac:dyDescent="0.2">
      <c r="A11" s="167"/>
      <c r="B11" s="40" t="s">
        <v>224</v>
      </c>
      <c r="C11" s="155"/>
      <c r="D11" s="155"/>
      <c r="E11" s="155"/>
      <c r="F11" s="155"/>
      <c r="G11" s="155"/>
      <c r="H11" s="155"/>
    </row>
    <row r="12" spans="1:8" ht="28.15" customHeight="1" x14ac:dyDescent="0.2">
      <c r="B12" s="306" t="s">
        <v>225</v>
      </c>
      <c r="C12" s="306"/>
      <c r="D12" s="306"/>
      <c r="E12" s="306"/>
      <c r="F12" s="306"/>
      <c r="G12" s="306"/>
    </row>
    <row r="14" spans="1:8" x14ac:dyDescent="0.2">
      <c r="B14" s="183"/>
    </row>
    <row r="17" spans="2:2" x14ac:dyDescent="0.2">
      <c r="B17" s="183"/>
    </row>
  </sheetData>
  <mergeCells count="3">
    <mergeCell ref="D4:E4"/>
    <mergeCell ref="F4:G4"/>
    <mergeCell ref="B12:G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6581C-7758-4E75-92E0-CACC30885EE6}">
  <sheetPr>
    <tabColor theme="8" tint="0.79998168889431442"/>
  </sheetPr>
  <dimension ref="A1:XFD55"/>
  <sheetViews>
    <sheetView workbookViewId="0"/>
  </sheetViews>
  <sheetFormatPr defaultColWidth="9.140625" defaultRowHeight="12.75" x14ac:dyDescent="0.2"/>
  <cols>
    <col min="1" max="1" width="2.7109375" style="40" customWidth="1"/>
    <col min="2" max="2" width="47.85546875" style="40" customWidth="1"/>
    <col min="3" max="3" width="14.5703125" style="40" customWidth="1"/>
    <col min="4" max="4" width="14.7109375" style="40" customWidth="1"/>
    <col min="5" max="6" width="13.7109375" style="40" customWidth="1"/>
    <col min="7" max="7" width="14.5703125" style="40" customWidth="1"/>
    <col min="8" max="10" width="13.7109375" style="40" customWidth="1"/>
    <col min="11" max="11" width="14.7109375" style="40" customWidth="1"/>
    <col min="12" max="12" width="13.7109375" style="40" customWidth="1"/>
    <col min="13" max="16384" width="9.140625" style="40"/>
  </cols>
  <sheetData>
    <row r="1" spans="1:33" ht="17.25" x14ac:dyDescent="0.2">
      <c r="A1" s="50"/>
      <c r="B1" s="30" t="s">
        <v>2924</v>
      </c>
    </row>
    <row r="2" spans="1:33" x14ac:dyDescent="0.2">
      <c r="B2" s="233" t="s">
        <v>2922</v>
      </c>
    </row>
    <row r="3" spans="1:33" x14ac:dyDescent="0.2">
      <c r="C3" s="183"/>
    </row>
    <row r="4" spans="1:33" ht="14.45" customHeight="1" x14ac:dyDescent="0.2">
      <c r="B4" s="293"/>
      <c r="C4" s="311" t="s">
        <v>244</v>
      </c>
      <c r="D4" s="296" t="s">
        <v>245</v>
      </c>
      <c r="E4" s="299" t="s">
        <v>154</v>
      </c>
      <c r="F4" s="299"/>
      <c r="G4" s="299"/>
      <c r="H4" s="299"/>
      <c r="I4" s="299"/>
      <c r="J4" s="299"/>
      <c r="K4" s="299"/>
      <c r="L4" s="299"/>
      <c r="M4" s="300" t="s">
        <v>246</v>
      </c>
      <c r="N4" s="299"/>
      <c r="O4" s="299"/>
      <c r="P4" s="301"/>
      <c r="Q4" s="300" t="s">
        <v>164</v>
      </c>
      <c r="R4" s="299"/>
      <c r="S4" s="299"/>
      <c r="T4" s="301"/>
    </row>
    <row r="5" spans="1:33" ht="34.5" customHeight="1" x14ac:dyDescent="0.2">
      <c r="B5" s="294"/>
      <c r="C5" s="312"/>
      <c r="D5" s="297"/>
      <c r="E5" s="299" t="s">
        <v>213</v>
      </c>
      <c r="F5" s="299"/>
      <c r="G5" s="299"/>
      <c r="H5" s="299"/>
      <c r="I5" s="299" t="s">
        <v>214</v>
      </c>
      <c r="J5" s="299"/>
      <c r="K5" s="299"/>
      <c r="L5" s="299"/>
      <c r="M5" s="300" t="s">
        <v>213</v>
      </c>
      <c r="N5" s="301"/>
      <c r="O5" s="300" t="s">
        <v>214</v>
      </c>
      <c r="P5" s="301"/>
      <c r="Q5" s="300" t="s">
        <v>213</v>
      </c>
      <c r="R5" s="301"/>
      <c r="S5" s="300" t="s">
        <v>214</v>
      </c>
      <c r="T5" s="301"/>
    </row>
    <row r="6" spans="1:33" ht="34.5" customHeight="1" x14ac:dyDescent="0.2">
      <c r="B6" s="295"/>
      <c r="C6" s="313"/>
      <c r="D6" s="298"/>
      <c r="E6" s="85" t="s">
        <v>215</v>
      </c>
      <c r="F6" s="85" t="s">
        <v>216</v>
      </c>
      <c r="G6" s="85" t="s">
        <v>217</v>
      </c>
      <c r="H6" s="85" t="s">
        <v>218</v>
      </c>
      <c r="I6" s="86" t="s">
        <v>215</v>
      </c>
      <c r="J6" s="90" t="s">
        <v>216</v>
      </c>
      <c r="K6" s="90" t="s">
        <v>217</v>
      </c>
      <c r="L6" s="87" t="s">
        <v>218</v>
      </c>
      <c r="M6" s="88" t="s">
        <v>231</v>
      </c>
      <c r="N6" s="89" t="s">
        <v>232</v>
      </c>
      <c r="O6" s="88" t="s">
        <v>231</v>
      </c>
      <c r="P6" s="89" t="s">
        <v>232</v>
      </c>
      <c r="Q6" s="88" t="s">
        <v>219</v>
      </c>
      <c r="R6" s="89" t="s">
        <v>220</v>
      </c>
      <c r="S6" s="88" t="s">
        <v>219</v>
      </c>
      <c r="T6" s="89" t="s">
        <v>220</v>
      </c>
    </row>
    <row r="7" spans="1:33" x14ac:dyDescent="0.2">
      <c r="B7" s="51" t="s">
        <v>221</v>
      </c>
      <c r="C7" s="184">
        <v>1092</v>
      </c>
      <c r="D7" s="184">
        <v>1034</v>
      </c>
      <c r="E7" s="185">
        <v>140</v>
      </c>
      <c r="F7" s="186">
        <v>604</v>
      </c>
      <c r="G7" s="186">
        <v>178</v>
      </c>
      <c r="H7" s="186">
        <v>111</v>
      </c>
      <c r="I7" s="187">
        <v>13.552758954501451</v>
      </c>
      <c r="J7" s="188">
        <v>58.470474346563407</v>
      </c>
      <c r="K7" s="188">
        <v>17.231364956437563</v>
      </c>
      <c r="L7" s="189">
        <v>10.745401742497581</v>
      </c>
      <c r="M7" s="53">
        <v>816</v>
      </c>
      <c r="N7" s="54">
        <v>203</v>
      </c>
      <c r="O7" s="190">
        <v>80.078508341511295</v>
      </c>
      <c r="P7" s="59">
        <v>19.921491658488712</v>
      </c>
      <c r="Q7" s="53">
        <v>933</v>
      </c>
      <c r="R7" s="54">
        <v>83</v>
      </c>
      <c r="S7" s="191">
        <v>91.830708661417333</v>
      </c>
      <c r="T7" s="192">
        <v>8.169291338582676</v>
      </c>
      <c r="U7" s="193"/>
      <c r="V7" s="194"/>
      <c r="W7" s="194"/>
      <c r="X7" s="194"/>
      <c r="Y7" s="194"/>
      <c r="Z7" s="194"/>
      <c r="AA7" s="194"/>
      <c r="AB7" s="194"/>
      <c r="AC7" s="194"/>
      <c r="AD7" s="194"/>
      <c r="AE7" s="194"/>
      <c r="AF7" s="194"/>
      <c r="AG7" s="194"/>
    </row>
    <row r="8" spans="1:33" x14ac:dyDescent="0.2">
      <c r="B8" s="60" t="s">
        <v>247</v>
      </c>
      <c r="C8" s="195">
        <v>613</v>
      </c>
      <c r="D8" s="195">
        <v>578</v>
      </c>
      <c r="E8" s="196">
        <v>62</v>
      </c>
      <c r="F8" s="197">
        <v>311</v>
      </c>
      <c r="G8" s="197">
        <v>116</v>
      </c>
      <c r="H8" s="197">
        <v>89</v>
      </c>
      <c r="I8" s="198">
        <v>10.726643598615917</v>
      </c>
      <c r="J8" s="199">
        <v>53.806228373702425</v>
      </c>
      <c r="K8" s="199">
        <v>20.069204152249135</v>
      </c>
      <c r="L8" s="199">
        <v>15.397923875432525</v>
      </c>
      <c r="M8" s="65">
        <v>415</v>
      </c>
      <c r="N8" s="200">
        <v>148</v>
      </c>
      <c r="O8" s="67">
        <v>73.712255772646543</v>
      </c>
      <c r="P8" s="68">
        <v>26.287744227353464</v>
      </c>
      <c r="Q8" s="65">
        <v>497</v>
      </c>
      <c r="R8" s="200">
        <v>64</v>
      </c>
      <c r="S8" s="67">
        <v>88.591800356506241</v>
      </c>
      <c r="T8" s="201">
        <v>11.408199643493761</v>
      </c>
      <c r="U8" s="193"/>
      <c r="V8" s="194"/>
      <c r="W8" s="194"/>
      <c r="X8" s="194"/>
      <c r="Y8" s="194"/>
      <c r="Z8" s="194"/>
      <c r="AA8" s="194"/>
      <c r="AB8" s="194"/>
      <c r="AC8" s="194"/>
      <c r="AD8" s="194"/>
      <c r="AE8" s="194"/>
      <c r="AF8" s="194"/>
      <c r="AG8" s="194"/>
    </row>
    <row r="9" spans="1:33" x14ac:dyDescent="0.2">
      <c r="B9" s="69" t="s">
        <v>248</v>
      </c>
      <c r="C9" s="202">
        <v>479</v>
      </c>
      <c r="D9" s="202">
        <v>456</v>
      </c>
      <c r="E9" s="203">
        <v>78</v>
      </c>
      <c r="F9" s="204">
        <v>293</v>
      </c>
      <c r="G9" s="204">
        <v>62</v>
      </c>
      <c r="H9" s="204">
        <v>22</v>
      </c>
      <c r="I9" s="205">
        <v>17.142857142857142</v>
      </c>
      <c r="J9" s="206">
        <v>64.395604395604394</v>
      </c>
      <c r="K9" s="206">
        <v>13.626373626373626</v>
      </c>
      <c r="L9" s="206">
        <v>4.8351648351648358</v>
      </c>
      <c r="M9" s="74">
        <v>401</v>
      </c>
      <c r="N9" s="207">
        <v>55</v>
      </c>
      <c r="O9" s="76">
        <v>87.938596491228068</v>
      </c>
      <c r="P9" s="77">
        <v>12.06140350877193</v>
      </c>
      <c r="Q9" s="74">
        <v>436</v>
      </c>
      <c r="R9" s="207">
        <v>19</v>
      </c>
      <c r="S9" s="76">
        <v>95.824175824175825</v>
      </c>
      <c r="T9" s="77">
        <v>4.1758241758241752</v>
      </c>
      <c r="U9" s="193"/>
      <c r="V9" s="194"/>
      <c r="W9" s="194"/>
      <c r="X9" s="194"/>
      <c r="Y9" s="194"/>
      <c r="Z9" s="194"/>
      <c r="AA9" s="194"/>
      <c r="AB9" s="194"/>
      <c r="AC9" s="194"/>
      <c r="AD9" s="194"/>
      <c r="AE9" s="194"/>
      <c r="AF9" s="194"/>
      <c r="AG9" s="194"/>
    </row>
    <row r="10" spans="1:33" ht="12.75" customHeight="1" x14ac:dyDescent="0.2">
      <c r="B10" s="208"/>
      <c r="C10" s="209"/>
      <c r="D10" s="210"/>
      <c r="E10" s="211"/>
      <c r="F10" s="211"/>
      <c r="G10" s="211"/>
      <c r="H10" s="211"/>
      <c r="I10" s="212"/>
      <c r="J10" s="212"/>
      <c r="K10" s="212"/>
      <c r="L10" s="212"/>
      <c r="T10" s="97" t="s">
        <v>1090</v>
      </c>
    </row>
    <row r="11" spans="1:33" ht="12.75" customHeight="1" x14ac:dyDescent="0.2">
      <c r="B11" s="208"/>
      <c r="C11" s="209"/>
      <c r="D11" s="210"/>
      <c r="E11" s="211"/>
      <c r="F11" s="211"/>
      <c r="G11" s="211"/>
      <c r="H11" s="211"/>
      <c r="I11" s="212"/>
      <c r="J11" s="212"/>
      <c r="K11" s="212"/>
      <c r="L11" s="212"/>
      <c r="T11" s="98"/>
    </row>
    <row r="12" spans="1:33" ht="12.75" customHeight="1" x14ac:dyDescent="0.2">
      <c r="B12" s="231" t="s">
        <v>1093</v>
      </c>
      <c r="C12" s="209"/>
      <c r="D12" s="210"/>
      <c r="E12" s="211"/>
      <c r="F12" s="211"/>
      <c r="G12" s="211"/>
      <c r="H12" s="211"/>
      <c r="I12" s="212"/>
      <c r="J12" s="212"/>
      <c r="K12" s="212"/>
      <c r="L12" s="212"/>
      <c r="T12" s="98"/>
    </row>
    <row r="13" spans="1:33" ht="12.75" customHeight="1" x14ac:dyDescent="0.2">
      <c r="B13" s="40" t="s">
        <v>228</v>
      </c>
      <c r="C13" s="209"/>
      <c r="D13" s="210"/>
      <c r="E13" s="211"/>
      <c r="F13" s="211"/>
      <c r="G13" s="211"/>
      <c r="H13" s="211"/>
      <c r="I13" s="212"/>
      <c r="J13" s="212"/>
      <c r="K13" s="212"/>
      <c r="L13" s="212"/>
      <c r="T13" s="98"/>
    </row>
    <row r="14" spans="1:33" ht="13.15" customHeight="1" x14ac:dyDescent="0.2">
      <c r="B14" s="40" t="s">
        <v>229</v>
      </c>
    </row>
    <row r="15" spans="1:33" ht="13.15" customHeight="1" x14ac:dyDescent="0.2">
      <c r="B15" s="40" t="s">
        <v>249</v>
      </c>
    </row>
    <row r="16" spans="1:33" ht="26.45" customHeight="1" x14ac:dyDescent="0.2">
      <c r="B16" s="308" t="s">
        <v>1094</v>
      </c>
      <c r="C16" s="306"/>
      <c r="D16" s="306"/>
      <c r="E16" s="306"/>
      <c r="F16" s="306"/>
      <c r="G16" s="306"/>
      <c r="H16" s="306"/>
      <c r="I16" s="306"/>
      <c r="J16" s="306"/>
      <c r="K16" s="306"/>
      <c r="L16" s="306"/>
    </row>
    <row r="17" spans="1:16384" ht="31.5" customHeight="1" x14ac:dyDescent="0.2">
      <c r="B17" s="308" t="s">
        <v>2928</v>
      </c>
      <c r="C17" s="308"/>
      <c r="D17" s="308"/>
      <c r="E17" s="308"/>
      <c r="F17" s="308"/>
      <c r="G17" s="308"/>
      <c r="H17" s="308"/>
      <c r="I17" s="308"/>
      <c r="J17" s="308"/>
      <c r="K17" s="308"/>
      <c r="L17" s="308"/>
    </row>
    <row r="18" spans="1:16384" ht="13.15" customHeight="1" x14ac:dyDescent="0.2"/>
    <row r="19" spans="1:16384" ht="16.899999999999999" customHeight="1" x14ac:dyDescent="0.2">
      <c r="A19" s="30"/>
      <c r="B19" s="30" t="s">
        <v>2925</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c r="AML19" s="30"/>
      <c r="AMM19" s="30"/>
      <c r="AMN19" s="30"/>
      <c r="AMO19" s="30"/>
      <c r="AMP19" s="30"/>
      <c r="AMQ19" s="30"/>
      <c r="AMR19" s="30"/>
      <c r="AMS19" s="30"/>
      <c r="AMT19" s="30"/>
      <c r="AMU19" s="30"/>
      <c r="AMV19" s="30"/>
      <c r="AMW19" s="30"/>
      <c r="AMX19" s="30"/>
      <c r="AMY19" s="30"/>
      <c r="AMZ19" s="30"/>
      <c r="ANA19" s="30"/>
      <c r="ANB19" s="30"/>
      <c r="ANC19" s="30"/>
      <c r="AND19" s="30"/>
      <c r="ANE19" s="30"/>
      <c r="ANF19" s="30"/>
      <c r="ANG19" s="30"/>
      <c r="ANH19" s="30"/>
      <c r="ANI19" s="30"/>
      <c r="ANJ19" s="30"/>
      <c r="ANK19" s="30"/>
      <c r="ANL19" s="30"/>
      <c r="ANM19" s="30"/>
      <c r="ANN19" s="30"/>
      <c r="ANO19" s="30"/>
      <c r="ANP19" s="30"/>
      <c r="ANQ19" s="30"/>
      <c r="ANR19" s="30"/>
      <c r="ANS19" s="30"/>
      <c r="ANT19" s="30"/>
      <c r="ANU19" s="30"/>
      <c r="ANV19" s="30"/>
      <c r="ANW19" s="30"/>
      <c r="ANX19" s="30"/>
      <c r="ANY19" s="30"/>
      <c r="ANZ19" s="30"/>
      <c r="AOA19" s="30"/>
      <c r="AOB19" s="30"/>
      <c r="AOC19" s="30"/>
      <c r="AOD19" s="30"/>
      <c r="AOE19" s="30"/>
      <c r="AOF19" s="30"/>
      <c r="AOG19" s="30"/>
      <c r="AOH19" s="30"/>
      <c r="AOI19" s="30"/>
      <c r="AOJ19" s="30"/>
      <c r="AOK19" s="30"/>
      <c r="AOL19" s="30"/>
      <c r="AOM19" s="30"/>
      <c r="AON19" s="30"/>
      <c r="AOO19" s="30"/>
      <c r="AOP19" s="30"/>
      <c r="AOQ19" s="30"/>
      <c r="AOR19" s="30"/>
      <c r="AOS19" s="30"/>
      <c r="AOT19" s="30"/>
      <c r="AOU19" s="30"/>
      <c r="AOV19" s="30"/>
      <c r="AOW19" s="30"/>
      <c r="AOX19" s="30"/>
      <c r="AOY19" s="30"/>
      <c r="AOZ19" s="30"/>
      <c r="APA19" s="30"/>
      <c r="APB19" s="30"/>
      <c r="APC19" s="30"/>
      <c r="APD19" s="30"/>
      <c r="APE19" s="30"/>
      <c r="APF19" s="30"/>
      <c r="APG19" s="30"/>
      <c r="APH19" s="30"/>
      <c r="API19" s="30"/>
      <c r="APJ19" s="30"/>
      <c r="APK19" s="30"/>
      <c r="APL19" s="30"/>
      <c r="APM19" s="30"/>
      <c r="APN19" s="30"/>
      <c r="APO19" s="30"/>
      <c r="APP19" s="30"/>
      <c r="APQ19" s="30"/>
      <c r="APR19" s="30"/>
      <c r="APS19" s="30"/>
      <c r="APT19" s="30"/>
      <c r="APU19" s="30"/>
      <c r="APV19" s="30"/>
      <c r="APW19" s="30"/>
      <c r="APX19" s="30"/>
      <c r="APY19" s="30"/>
      <c r="APZ19" s="30"/>
      <c r="AQA19" s="30"/>
      <c r="AQB19" s="30"/>
      <c r="AQC19" s="30"/>
      <c r="AQD19" s="30"/>
      <c r="AQE19" s="30"/>
      <c r="AQF19" s="30"/>
      <c r="AQG19" s="30"/>
      <c r="AQH19" s="30"/>
      <c r="AQI19" s="30"/>
      <c r="AQJ19" s="30"/>
      <c r="AQK19" s="30"/>
      <c r="AQL19" s="30"/>
      <c r="AQM19" s="30"/>
      <c r="AQN19" s="30"/>
      <c r="AQO19" s="30"/>
      <c r="AQP19" s="30"/>
      <c r="AQQ19" s="30"/>
      <c r="AQR19" s="30"/>
      <c r="AQS19" s="30"/>
      <c r="AQT19" s="30"/>
      <c r="AQU19" s="30"/>
      <c r="AQV19" s="30"/>
      <c r="AQW19" s="30"/>
      <c r="AQX19" s="30"/>
      <c r="AQY19" s="30"/>
      <c r="AQZ19" s="30"/>
      <c r="ARA19" s="30"/>
      <c r="ARB19" s="30"/>
      <c r="ARC19" s="30"/>
      <c r="ARD19" s="30"/>
      <c r="ARE19" s="30"/>
      <c r="ARF19" s="30"/>
      <c r="ARG19" s="30"/>
      <c r="ARH19" s="30"/>
      <c r="ARI19" s="30"/>
      <c r="ARJ19" s="30"/>
      <c r="ARK19" s="30"/>
      <c r="ARL19" s="30"/>
      <c r="ARM19" s="30"/>
      <c r="ARN19" s="30"/>
      <c r="ARO19" s="30"/>
      <c r="ARP19" s="30"/>
      <c r="ARQ19" s="30"/>
      <c r="ARR19" s="30"/>
      <c r="ARS19" s="30"/>
      <c r="ART19" s="30"/>
      <c r="ARU19" s="30"/>
      <c r="ARV19" s="30"/>
      <c r="ARW19" s="30"/>
      <c r="ARX19" s="30"/>
      <c r="ARY19" s="30"/>
      <c r="ARZ19" s="30"/>
      <c r="ASA19" s="30"/>
      <c r="ASB19" s="30"/>
      <c r="ASC19" s="30"/>
      <c r="ASD19" s="30"/>
      <c r="ASE19" s="30"/>
      <c r="ASF19" s="30"/>
      <c r="ASG19" s="30"/>
      <c r="ASH19" s="30"/>
      <c r="ASI19" s="30"/>
      <c r="ASJ19" s="30"/>
      <c r="ASK19" s="30"/>
      <c r="ASL19" s="30"/>
      <c r="ASM19" s="30"/>
      <c r="ASN19" s="30"/>
      <c r="ASO19" s="30"/>
      <c r="ASP19" s="30"/>
      <c r="ASQ19" s="30"/>
      <c r="ASR19" s="30"/>
      <c r="ASS19" s="30"/>
      <c r="AST19" s="30"/>
      <c r="ASU19" s="30"/>
      <c r="ASV19" s="30"/>
      <c r="ASW19" s="30"/>
      <c r="ASX19" s="30"/>
      <c r="ASY19" s="30"/>
      <c r="ASZ19" s="30"/>
      <c r="ATA19" s="30"/>
      <c r="ATB19" s="30"/>
      <c r="ATC19" s="30"/>
      <c r="ATD19" s="30"/>
      <c r="ATE19" s="30"/>
      <c r="ATF19" s="30"/>
      <c r="ATG19" s="30"/>
      <c r="ATH19" s="30"/>
      <c r="ATI19" s="30"/>
      <c r="ATJ19" s="30"/>
      <c r="ATK19" s="30"/>
      <c r="ATL19" s="30"/>
      <c r="ATM19" s="30"/>
      <c r="ATN19" s="30"/>
      <c r="ATO19" s="30"/>
      <c r="ATP19" s="30"/>
      <c r="ATQ19" s="30"/>
      <c r="ATR19" s="30"/>
      <c r="ATS19" s="30"/>
      <c r="ATT19" s="30"/>
      <c r="ATU19" s="30"/>
      <c r="ATV19" s="30"/>
      <c r="ATW19" s="30"/>
      <c r="ATX19" s="30"/>
      <c r="ATY19" s="30"/>
      <c r="ATZ19" s="30"/>
      <c r="AUA19" s="30"/>
      <c r="AUB19" s="30"/>
      <c r="AUC19" s="30"/>
      <c r="AUD19" s="30"/>
      <c r="AUE19" s="30"/>
      <c r="AUF19" s="30"/>
      <c r="AUG19" s="30"/>
      <c r="AUH19" s="30"/>
      <c r="AUI19" s="30"/>
      <c r="AUJ19" s="30"/>
      <c r="AUK19" s="30"/>
      <c r="AUL19" s="30"/>
      <c r="AUM19" s="30"/>
      <c r="AUN19" s="30"/>
      <c r="AUO19" s="30"/>
      <c r="AUP19" s="30"/>
      <c r="AUQ19" s="30"/>
      <c r="AUR19" s="30"/>
      <c r="AUS19" s="30"/>
      <c r="AUT19" s="30"/>
      <c r="AUU19" s="30"/>
      <c r="AUV19" s="30"/>
      <c r="AUW19" s="30"/>
      <c r="AUX19" s="30"/>
      <c r="AUY19" s="30"/>
      <c r="AUZ19" s="30"/>
      <c r="AVA19" s="30"/>
      <c r="AVB19" s="30"/>
      <c r="AVC19" s="30"/>
      <c r="AVD19" s="30"/>
      <c r="AVE19" s="30"/>
      <c r="AVF19" s="30"/>
      <c r="AVG19" s="30"/>
      <c r="AVH19" s="30"/>
      <c r="AVI19" s="30"/>
      <c r="AVJ19" s="30"/>
      <c r="AVK19" s="30"/>
      <c r="AVL19" s="30"/>
      <c r="AVM19" s="30"/>
      <c r="AVN19" s="30"/>
      <c r="AVO19" s="30"/>
      <c r="AVP19" s="30"/>
      <c r="AVQ19" s="30"/>
      <c r="AVR19" s="30"/>
      <c r="AVS19" s="30"/>
      <c r="AVT19" s="30"/>
      <c r="AVU19" s="30"/>
      <c r="AVV19" s="30"/>
      <c r="AVW19" s="30"/>
      <c r="AVX19" s="30"/>
      <c r="AVY19" s="30"/>
      <c r="AVZ19" s="30"/>
      <c r="AWA19" s="30"/>
      <c r="AWB19" s="30"/>
      <c r="AWC19" s="30"/>
      <c r="AWD19" s="30"/>
      <c r="AWE19" s="30"/>
      <c r="AWF19" s="30"/>
      <c r="AWG19" s="30"/>
      <c r="AWH19" s="30"/>
      <c r="AWI19" s="30"/>
      <c r="AWJ19" s="30"/>
      <c r="AWK19" s="30"/>
      <c r="AWL19" s="30"/>
      <c r="AWM19" s="30"/>
      <c r="AWN19" s="30"/>
      <c r="AWO19" s="30"/>
      <c r="AWP19" s="30"/>
      <c r="AWQ19" s="30"/>
      <c r="AWR19" s="30"/>
      <c r="AWS19" s="30"/>
      <c r="AWT19" s="30"/>
      <c r="AWU19" s="30"/>
      <c r="AWV19" s="30"/>
      <c r="AWW19" s="30"/>
      <c r="AWX19" s="30"/>
      <c r="AWY19" s="30"/>
      <c r="AWZ19" s="30"/>
      <c r="AXA19" s="30"/>
      <c r="AXB19" s="30"/>
      <c r="AXC19" s="30"/>
      <c r="AXD19" s="30"/>
      <c r="AXE19" s="30"/>
      <c r="AXF19" s="30"/>
      <c r="AXG19" s="30"/>
      <c r="AXH19" s="30"/>
      <c r="AXI19" s="30"/>
      <c r="AXJ19" s="30"/>
      <c r="AXK19" s="30"/>
      <c r="AXL19" s="30"/>
      <c r="AXM19" s="30"/>
      <c r="AXN19" s="30"/>
      <c r="AXO19" s="30"/>
      <c r="AXP19" s="30"/>
      <c r="AXQ19" s="30"/>
      <c r="AXR19" s="30"/>
      <c r="AXS19" s="30"/>
      <c r="AXT19" s="30"/>
      <c r="AXU19" s="30"/>
      <c r="AXV19" s="30"/>
      <c r="AXW19" s="30"/>
      <c r="AXX19" s="30"/>
      <c r="AXY19" s="30"/>
      <c r="AXZ19" s="30"/>
      <c r="AYA19" s="30"/>
      <c r="AYB19" s="30"/>
      <c r="AYC19" s="30"/>
      <c r="AYD19" s="30"/>
      <c r="AYE19" s="30"/>
      <c r="AYF19" s="30"/>
      <c r="AYG19" s="30"/>
      <c r="AYH19" s="30"/>
      <c r="AYI19" s="30"/>
      <c r="AYJ19" s="30"/>
      <c r="AYK19" s="30"/>
      <c r="AYL19" s="30"/>
      <c r="AYM19" s="30"/>
      <c r="AYN19" s="30"/>
      <c r="AYO19" s="30"/>
      <c r="AYP19" s="30"/>
      <c r="AYQ19" s="30"/>
      <c r="AYR19" s="30"/>
      <c r="AYS19" s="30"/>
      <c r="AYT19" s="30"/>
      <c r="AYU19" s="30"/>
      <c r="AYV19" s="30"/>
      <c r="AYW19" s="30"/>
      <c r="AYX19" s="30"/>
      <c r="AYY19" s="30"/>
      <c r="AYZ19" s="30"/>
      <c r="AZA19" s="30"/>
      <c r="AZB19" s="30"/>
      <c r="AZC19" s="30"/>
      <c r="AZD19" s="30"/>
      <c r="AZE19" s="30"/>
      <c r="AZF19" s="30"/>
      <c r="AZG19" s="30"/>
      <c r="AZH19" s="30"/>
      <c r="AZI19" s="30"/>
      <c r="AZJ19" s="30"/>
      <c r="AZK19" s="30"/>
      <c r="AZL19" s="30"/>
      <c r="AZM19" s="30"/>
      <c r="AZN19" s="30"/>
      <c r="AZO19" s="30"/>
      <c r="AZP19" s="30"/>
      <c r="AZQ19" s="30"/>
      <c r="AZR19" s="30"/>
      <c r="AZS19" s="30"/>
      <c r="AZT19" s="30"/>
      <c r="AZU19" s="30"/>
      <c r="AZV19" s="30"/>
      <c r="AZW19" s="30"/>
      <c r="AZX19" s="30"/>
      <c r="AZY19" s="30"/>
      <c r="AZZ19" s="30"/>
      <c r="BAA19" s="30"/>
      <c r="BAB19" s="30"/>
      <c r="BAC19" s="30"/>
      <c r="BAD19" s="30"/>
      <c r="BAE19" s="30"/>
      <c r="BAF19" s="30"/>
      <c r="BAG19" s="30"/>
      <c r="BAH19" s="30"/>
      <c r="BAI19" s="30"/>
      <c r="BAJ19" s="30"/>
      <c r="BAK19" s="30"/>
      <c r="BAL19" s="30"/>
      <c r="BAM19" s="30"/>
      <c r="BAN19" s="30"/>
      <c r="BAO19" s="30"/>
      <c r="BAP19" s="30"/>
      <c r="BAQ19" s="30"/>
      <c r="BAR19" s="30"/>
      <c r="BAS19" s="30"/>
      <c r="BAT19" s="30"/>
      <c r="BAU19" s="30"/>
      <c r="BAV19" s="30"/>
      <c r="BAW19" s="30"/>
      <c r="BAX19" s="30"/>
      <c r="BAY19" s="30"/>
      <c r="BAZ19" s="30"/>
      <c r="BBA19" s="30"/>
      <c r="BBB19" s="30"/>
      <c r="BBC19" s="30"/>
      <c r="BBD19" s="30"/>
      <c r="BBE19" s="30"/>
      <c r="BBF19" s="30"/>
      <c r="BBG19" s="30"/>
      <c r="BBH19" s="30"/>
      <c r="BBI19" s="30"/>
      <c r="BBJ19" s="30"/>
      <c r="BBK19" s="30"/>
      <c r="BBL19" s="30"/>
      <c r="BBM19" s="30"/>
      <c r="BBN19" s="30"/>
      <c r="BBO19" s="30"/>
      <c r="BBP19" s="30"/>
      <c r="BBQ19" s="30"/>
      <c r="BBR19" s="30"/>
      <c r="BBS19" s="30"/>
      <c r="BBT19" s="30"/>
      <c r="BBU19" s="30"/>
      <c r="BBV19" s="30"/>
      <c r="BBW19" s="30"/>
      <c r="BBX19" s="30"/>
      <c r="BBY19" s="30"/>
      <c r="BBZ19" s="30"/>
      <c r="BCA19" s="30"/>
      <c r="BCB19" s="30"/>
      <c r="BCC19" s="30"/>
      <c r="BCD19" s="30"/>
      <c r="BCE19" s="30"/>
      <c r="BCF19" s="30"/>
      <c r="BCG19" s="30"/>
      <c r="BCH19" s="30"/>
      <c r="BCI19" s="30"/>
      <c r="BCJ19" s="30"/>
      <c r="BCK19" s="30"/>
      <c r="BCL19" s="30"/>
      <c r="BCM19" s="30"/>
      <c r="BCN19" s="30"/>
      <c r="BCO19" s="30"/>
      <c r="BCP19" s="30"/>
      <c r="BCQ19" s="30"/>
      <c r="BCR19" s="30"/>
      <c r="BCS19" s="30"/>
      <c r="BCT19" s="30"/>
      <c r="BCU19" s="30"/>
      <c r="BCV19" s="30"/>
      <c r="BCW19" s="30"/>
      <c r="BCX19" s="30"/>
      <c r="BCY19" s="30"/>
      <c r="BCZ19" s="30"/>
      <c r="BDA19" s="30"/>
      <c r="BDB19" s="30"/>
      <c r="BDC19" s="30"/>
      <c r="BDD19" s="30"/>
      <c r="BDE19" s="30"/>
      <c r="BDF19" s="30"/>
      <c r="BDG19" s="30"/>
      <c r="BDH19" s="30"/>
      <c r="BDI19" s="30"/>
      <c r="BDJ19" s="30"/>
      <c r="BDK19" s="30"/>
      <c r="BDL19" s="30"/>
      <c r="BDM19" s="30"/>
      <c r="BDN19" s="30"/>
      <c r="BDO19" s="30"/>
      <c r="BDP19" s="30"/>
      <c r="BDQ19" s="30"/>
      <c r="BDR19" s="30"/>
      <c r="BDS19" s="30"/>
      <c r="BDT19" s="30"/>
      <c r="BDU19" s="30"/>
      <c r="BDV19" s="30"/>
      <c r="BDW19" s="30"/>
      <c r="BDX19" s="30"/>
      <c r="BDY19" s="30"/>
      <c r="BDZ19" s="30"/>
      <c r="BEA19" s="30"/>
      <c r="BEB19" s="30"/>
      <c r="BEC19" s="30"/>
      <c r="BED19" s="30"/>
      <c r="BEE19" s="30"/>
      <c r="BEF19" s="30"/>
      <c r="BEG19" s="30"/>
      <c r="BEH19" s="30"/>
      <c r="BEI19" s="30"/>
      <c r="BEJ19" s="30"/>
      <c r="BEK19" s="30"/>
      <c r="BEL19" s="30"/>
      <c r="BEM19" s="30"/>
      <c r="BEN19" s="30"/>
      <c r="BEO19" s="30"/>
      <c r="BEP19" s="30"/>
      <c r="BEQ19" s="30"/>
      <c r="BER19" s="30"/>
      <c r="BES19" s="30"/>
      <c r="BET19" s="30"/>
      <c r="BEU19" s="30"/>
      <c r="BEV19" s="30"/>
      <c r="BEW19" s="30"/>
      <c r="BEX19" s="30"/>
      <c r="BEY19" s="30"/>
      <c r="BEZ19" s="30"/>
      <c r="BFA19" s="30"/>
      <c r="BFB19" s="30"/>
      <c r="BFC19" s="30"/>
      <c r="BFD19" s="30"/>
      <c r="BFE19" s="30"/>
      <c r="BFF19" s="30"/>
      <c r="BFG19" s="30"/>
      <c r="BFH19" s="30"/>
      <c r="BFI19" s="30"/>
      <c r="BFJ19" s="30"/>
      <c r="BFK19" s="30"/>
      <c r="BFL19" s="30"/>
      <c r="BFM19" s="30"/>
      <c r="BFN19" s="30"/>
      <c r="BFO19" s="30"/>
      <c r="BFP19" s="30"/>
      <c r="BFQ19" s="30"/>
      <c r="BFR19" s="30"/>
      <c r="BFS19" s="30"/>
      <c r="BFT19" s="30"/>
      <c r="BFU19" s="30"/>
      <c r="BFV19" s="30"/>
      <c r="BFW19" s="30"/>
      <c r="BFX19" s="30"/>
      <c r="BFY19" s="30"/>
      <c r="BFZ19" s="30"/>
      <c r="BGA19" s="30"/>
      <c r="BGB19" s="30"/>
      <c r="BGC19" s="30"/>
      <c r="BGD19" s="30"/>
      <c r="BGE19" s="30"/>
      <c r="BGF19" s="30"/>
      <c r="BGG19" s="30"/>
      <c r="BGH19" s="30"/>
      <c r="BGI19" s="30"/>
      <c r="BGJ19" s="30"/>
      <c r="BGK19" s="30"/>
      <c r="BGL19" s="30"/>
      <c r="BGM19" s="30"/>
      <c r="BGN19" s="30"/>
      <c r="BGO19" s="30"/>
      <c r="BGP19" s="30"/>
      <c r="BGQ19" s="30"/>
      <c r="BGR19" s="30"/>
      <c r="BGS19" s="30"/>
      <c r="BGT19" s="30"/>
      <c r="BGU19" s="30"/>
      <c r="BGV19" s="30"/>
      <c r="BGW19" s="30"/>
      <c r="BGX19" s="30"/>
      <c r="BGY19" s="30"/>
      <c r="BGZ19" s="30"/>
      <c r="BHA19" s="30"/>
      <c r="BHB19" s="30"/>
      <c r="BHC19" s="30"/>
      <c r="BHD19" s="30"/>
      <c r="BHE19" s="30"/>
      <c r="BHF19" s="30"/>
      <c r="BHG19" s="30"/>
      <c r="BHH19" s="30"/>
      <c r="BHI19" s="30"/>
      <c r="BHJ19" s="30"/>
      <c r="BHK19" s="30"/>
      <c r="BHL19" s="30"/>
      <c r="BHM19" s="30"/>
      <c r="BHN19" s="30"/>
      <c r="BHO19" s="30"/>
      <c r="BHP19" s="30"/>
      <c r="BHQ19" s="30"/>
      <c r="BHR19" s="30"/>
      <c r="BHS19" s="30"/>
      <c r="BHT19" s="30"/>
      <c r="BHU19" s="30"/>
      <c r="BHV19" s="30"/>
      <c r="BHW19" s="30"/>
      <c r="BHX19" s="30"/>
      <c r="BHY19" s="30"/>
      <c r="BHZ19" s="30"/>
      <c r="BIA19" s="30"/>
      <c r="BIB19" s="30"/>
      <c r="BIC19" s="30"/>
      <c r="BID19" s="30"/>
      <c r="BIE19" s="30"/>
      <c r="BIF19" s="30"/>
      <c r="BIG19" s="30"/>
      <c r="BIH19" s="30"/>
      <c r="BII19" s="30"/>
      <c r="BIJ19" s="30"/>
      <c r="BIK19" s="30"/>
      <c r="BIL19" s="30"/>
      <c r="BIM19" s="30"/>
      <c r="BIN19" s="30"/>
      <c r="BIO19" s="30"/>
      <c r="BIP19" s="30"/>
      <c r="BIQ19" s="30"/>
      <c r="BIR19" s="30"/>
      <c r="BIS19" s="30"/>
      <c r="BIT19" s="30"/>
      <c r="BIU19" s="30"/>
      <c r="BIV19" s="30"/>
      <c r="BIW19" s="30"/>
      <c r="BIX19" s="30"/>
      <c r="BIY19" s="30"/>
      <c r="BIZ19" s="30"/>
      <c r="BJA19" s="30"/>
      <c r="BJB19" s="30"/>
      <c r="BJC19" s="30"/>
      <c r="BJD19" s="30"/>
      <c r="BJE19" s="30"/>
      <c r="BJF19" s="30"/>
      <c r="BJG19" s="30"/>
      <c r="BJH19" s="30"/>
      <c r="BJI19" s="30"/>
      <c r="BJJ19" s="30"/>
      <c r="BJK19" s="30"/>
      <c r="BJL19" s="30"/>
      <c r="BJM19" s="30"/>
      <c r="BJN19" s="30"/>
      <c r="BJO19" s="30"/>
      <c r="BJP19" s="30"/>
      <c r="BJQ19" s="30"/>
      <c r="BJR19" s="30"/>
      <c r="BJS19" s="30"/>
      <c r="BJT19" s="30"/>
      <c r="BJU19" s="30"/>
      <c r="BJV19" s="30"/>
      <c r="BJW19" s="30"/>
      <c r="BJX19" s="30"/>
      <c r="BJY19" s="30"/>
      <c r="BJZ19" s="30"/>
      <c r="BKA19" s="30"/>
      <c r="BKB19" s="30"/>
      <c r="BKC19" s="30"/>
      <c r="BKD19" s="30"/>
      <c r="BKE19" s="30"/>
      <c r="BKF19" s="30"/>
      <c r="BKG19" s="30"/>
      <c r="BKH19" s="30"/>
      <c r="BKI19" s="30"/>
      <c r="BKJ19" s="30"/>
      <c r="BKK19" s="30"/>
      <c r="BKL19" s="30"/>
      <c r="BKM19" s="30"/>
      <c r="BKN19" s="30"/>
      <c r="BKO19" s="30"/>
      <c r="BKP19" s="30"/>
      <c r="BKQ19" s="30"/>
      <c r="BKR19" s="30"/>
      <c r="BKS19" s="30"/>
      <c r="BKT19" s="30"/>
      <c r="BKU19" s="30"/>
      <c r="BKV19" s="30"/>
      <c r="BKW19" s="30"/>
      <c r="BKX19" s="30"/>
      <c r="BKY19" s="30"/>
      <c r="BKZ19" s="30"/>
      <c r="BLA19" s="30"/>
      <c r="BLB19" s="30"/>
      <c r="BLC19" s="30"/>
      <c r="BLD19" s="30"/>
      <c r="BLE19" s="30"/>
      <c r="BLF19" s="30"/>
      <c r="BLG19" s="30"/>
      <c r="BLH19" s="30"/>
      <c r="BLI19" s="30"/>
      <c r="BLJ19" s="30"/>
      <c r="BLK19" s="30"/>
      <c r="BLL19" s="30"/>
      <c r="BLM19" s="30"/>
      <c r="BLN19" s="30"/>
      <c r="BLO19" s="30"/>
      <c r="BLP19" s="30"/>
      <c r="BLQ19" s="30"/>
      <c r="BLR19" s="30"/>
      <c r="BLS19" s="30"/>
      <c r="BLT19" s="30"/>
      <c r="BLU19" s="30"/>
      <c r="BLV19" s="30"/>
      <c r="BLW19" s="30"/>
      <c r="BLX19" s="30"/>
      <c r="BLY19" s="30"/>
      <c r="BLZ19" s="30"/>
      <c r="BMA19" s="30"/>
      <c r="BMB19" s="30"/>
      <c r="BMC19" s="30"/>
      <c r="BMD19" s="30"/>
      <c r="BME19" s="30"/>
      <c r="BMF19" s="30"/>
      <c r="BMG19" s="30"/>
      <c r="BMH19" s="30"/>
      <c r="BMI19" s="30"/>
      <c r="BMJ19" s="30"/>
      <c r="BMK19" s="30"/>
      <c r="BML19" s="30"/>
      <c r="BMM19" s="30"/>
      <c r="BMN19" s="30"/>
      <c r="BMO19" s="30"/>
      <c r="BMP19" s="30"/>
      <c r="BMQ19" s="30"/>
      <c r="BMR19" s="30"/>
      <c r="BMS19" s="30"/>
      <c r="BMT19" s="30"/>
      <c r="BMU19" s="30"/>
      <c r="BMV19" s="30"/>
      <c r="BMW19" s="30"/>
      <c r="BMX19" s="30"/>
      <c r="BMY19" s="30"/>
      <c r="BMZ19" s="30"/>
      <c r="BNA19" s="30"/>
      <c r="BNB19" s="30"/>
      <c r="BNC19" s="30"/>
      <c r="BND19" s="30"/>
      <c r="BNE19" s="30"/>
      <c r="BNF19" s="30"/>
      <c r="BNG19" s="30"/>
      <c r="BNH19" s="30"/>
      <c r="BNI19" s="30"/>
      <c r="BNJ19" s="30"/>
      <c r="BNK19" s="30"/>
      <c r="BNL19" s="30"/>
      <c r="BNM19" s="30"/>
      <c r="BNN19" s="30"/>
      <c r="BNO19" s="30"/>
      <c r="BNP19" s="30"/>
      <c r="BNQ19" s="30"/>
      <c r="BNR19" s="30"/>
      <c r="BNS19" s="30"/>
      <c r="BNT19" s="30"/>
      <c r="BNU19" s="30"/>
      <c r="BNV19" s="30"/>
      <c r="BNW19" s="30"/>
      <c r="BNX19" s="30"/>
      <c r="BNY19" s="30"/>
      <c r="BNZ19" s="30"/>
      <c r="BOA19" s="30"/>
      <c r="BOB19" s="30"/>
      <c r="BOC19" s="30"/>
      <c r="BOD19" s="30"/>
      <c r="BOE19" s="30"/>
      <c r="BOF19" s="30"/>
      <c r="BOG19" s="30"/>
      <c r="BOH19" s="30"/>
      <c r="BOI19" s="30"/>
      <c r="BOJ19" s="30"/>
      <c r="BOK19" s="30"/>
      <c r="BOL19" s="30"/>
      <c r="BOM19" s="30"/>
      <c r="BON19" s="30"/>
      <c r="BOO19" s="30"/>
      <c r="BOP19" s="30"/>
      <c r="BOQ19" s="30"/>
      <c r="BOR19" s="30"/>
      <c r="BOS19" s="30"/>
      <c r="BOT19" s="30"/>
      <c r="BOU19" s="30"/>
      <c r="BOV19" s="30"/>
      <c r="BOW19" s="30"/>
      <c r="BOX19" s="30"/>
      <c r="BOY19" s="30"/>
      <c r="BOZ19" s="30"/>
      <c r="BPA19" s="30"/>
      <c r="BPB19" s="30"/>
      <c r="BPC19" s="30"/>
      <c r="BPD19" s="30"/>
      <c r="BPE19" s="30"/>
      <c r="BPF19" s="30"/>
      <c r="BPG19" s="30"/>
      <c r="BPH19" s="30"/>
      <c r="BPI19" s="30"/>
      <c r="BPJ19" s="30"/>
      <c r="BPK19" s="30"/>
      <c r="BPL19" s="30"/>
      <c r="BPM19" s="30"/>
      <c r="BPN19" s="30"/>
      <c r="BPO19" s="30"/>
      <c r="BPP19" s="30"/>
      <c r="BPQ19" s="30"/>
      <c r="BPR19" s="30"/>
      <c r="BPS19" s="30"/>
      <c r="BPT19" s="30"/>
      <c r="BPU19" s="30"/>
      <c r="BPV19" s="30"/>
      <c r="BPW19" s="30"/>
      <c r="BPX19" s="30"/>
      <c r="BPY19" s="30"/>
      <c r="BPZ19" s="30"/>
      <c r="BQA19" s="30"/>
      <c r="BQB19" s="30"/>
      <c r="BQC19" s="30"/>
      <c r="BQD19" s="30"/>
      <c r="BQE19" s="30"/>
      <c r="BQF19" s="30"/>
      <c r="BQG19" s="30"/>
      <c r="BQH19" s="30"/>
      <c r="BQI19" s="30"/>
      <c r="BQJ19" s="30"/>
      <c r="BQK19" s="30"/>
      <c r="BQL19" s="30"/>
      <c r="BQM19" s="30"/>
      <c r="BQN19" s="30"/>
      <c r="BQO19" s="30"/>
      <c r="BQP19" s="30"/>
      <c r="BQQ19" s="30"/>
      <c r="BQR19" s="30"/>
      <c r="BQS19" s="30"/>
      <c r="BQT19" s="30"/>
      <c r="BQU19" s="30"/>
      <c r="BQV19" s="30"/>
      <c r="BQW19" s="30"/>
      <c r="BQX19" s="30"/>
      <c r="BQY19" s="30"/>
      <c r="BQZ19" s="30"/>
      <c r="BRA19" s="30"/>
      <c r="BRB19" s="30"/>
      <c r="BRC19" s="30"/>
      <c r="BRD19" s="30"/>
      <c r="BRE19" s="30"/>
      <c r="BRF19" s="30"/>
      <c r="BRG19" s="30"/>
      <c r="BRH19" s="30"/>
      <c r="BRI19" s="30"/>
      <c r="BRJ19" s="30"/>
      <c r="BRK19" s="30"/>
      <c r="BRL19" s="30"/>
      <c r="BRM19" s="30"/>
      <c r="BRN19" s="30"/>
      <c r="BRO19" s="30"/>
      <c r="BRP19" s="30"/>
      <c r="BRQ19" s="30"/>
      <c r="BRR19" s="30"/>
      <c r="BRS19" s="30"/>
      <c r="BRT19" s="30"/>
      <c r="BRU19" s="30"/>
      <c r="BRV19" s="30"/>
      <c r="BRW19" s="30"/>
      <c r="BRX19" s="30"/>
      <c r="BRY19" s="30"/>
      <c r="BRZ19" s="30"/>
      <c r="BSA19" s="30"/>
      <c r="BSB19" s="30"/>
      <c r="BSC19" s="30"/>
      <c r="BSD19" s="30"/>
      <c r="BSE19" s="30"/>
      <c r="BSF19" s="30"/>
      <c r="BSG19" s="30"/>
      <c r="BSH19" s="30"/>
      <c r="BSI19" s="30"/>
      <c r="BSJ19" s="30"/>
      <c r="BSK19" s="30"/>
      <c r="BSL19" s="30"/>
      <c r="BSM19" s="30"/>
      <c r="BSN19" s="30"/>
      <c r="BSO19" s="30"/>
      <c r="BSP19" s="30"/>
      <c r="BSQ19" s="30"/>
      <c r="BSR19" s="30"/>
      <c r="BSS19" s="30"/>
      <c r="BST19" s="30"/>
      <c r="BSU19" s="30"/>
      <c r="BSV19" s="30"/>
      <c r="BSW19" s="30"/>
      <c r="BSX19" s="30"/>
      <c r="BSY19" s="30"/>
      <c r="BSZ19" s="30"/>
      <c r="BTA19" s="30"/>
      <c r="BTB19" s="30"/>
      <c r="BTC19" s="30"/>
      <c r="BTD19" s="30"/>
      <c r="BTE19" s="30"/>
      <c r="BTF19" s="30"/>
      <c r="BTG19" s="30"/>
      <c r="BTH19" s="30"/>
      <c r="BTI19" s="30"/>
      <c r="BTJ19" s="30"/>
      <c r="BTK19" s="30"/>
      <c r="BTL19" s="30"/>
      <c r="BTM19" s="30"/>
      <c r="BTN19" s="30"/>
      <c r="BTO19" s="30"/>
      <c r="BTP19" s="30"/>
      <c r="BTQ19" s="30"/>
      <c r="BTR19" s="30"/>
      <c r="BTS19" s="30"/>
      <c r="BTT19" s="30"/>
      <c r="BTU19" s="30"/>
      <c r="BTV19" s="30"/>
      <c r="BTW19" s="30"/>
      <c r="BTX19" s="30"/>
      <c r="BTY19" s="30"/>
      <c r="BTZ19" s="30"/>
      <c r="BUA19" s="30"/>
      <c r="BUB19" s="30"/>
      <c r="BUC19" s="30"/>
      <c r="BUD19" s="30"/>
      <c r="BUE19" s="30"/>
      <c r="BUF19" s="30"/>
      <c r="BUG19" s="30"/>
      <c r="BUH19" s="30"/>
      <c r="BUI19" s="30"/>
      <c r="BUJ19" s="30"/>
      <c r="BUK19" s="30"/>
      <c r="BUL19" s="30"/>
      <c r="BUM19" s="30"/>
      <c r="BUN19" s="30"/>
      <c r="BUO19" s="30"/>
      <c r="BUP19" s="30"/>
      <c r="BUQ19" s="30"/>
      <c r="BUR19" s="30"/>
      <c r="BUS19" s="30"/>
      <c r="BUT19" s="30"/>
      <c r="BUU19" s="30"/>
      <c r="BUV19" s="30"/>
      <c r="BUW19" s="30"/>
      <c r="BUX19" s="30"/>
      <c r="BUY19" s="30"/>
      <c r="BUZ19" s="30"/>
      <c r="BVA19" s="30"/>
      <c r="BVB19" s="30"/>
      <c r="BVC19" s="30"/>
      <c r="BVD19" s="30"/>
      <c r="BVE19" s="30"/>
      <c r="BVF19" s="30"/>
      <c r="BVG19" s="30"/>
      <c r="BVH19" s="30"/>
      <c r="BVI19" s="30"/>
      <c r="BVJ19" s="30"/>
      <c r="BVK19" s="30"/>
      <c r="BVL19" s="30"/>
      <c r="BVM19" s="30"/>
      <c r="BVN19" s="30"/>
      <c r="BVO19" s="30"/>
      <c r="BVP19" s="30"/>
      <c r="BVQ19" s="30"/>
      <c r="BVR19" s="30"/>
      <c r="BVS19" s="30"/>
      <c r="BVT19" s="30"/>
      <c r="BVU19" s="30"/>
      <c r="BVV19" s="30"/>
      <c r="BVW19" s="30"/>
      <c r="BVX19" s="30"/>
      <c r="BVY19" s="30"/>
      <c r="BVZ19" s="30"/>
      <c r="BWA19" s="30"/>
      <c r="BWB19" s="30"/>
      <c r="BWC19" s="30"/>
      <c r="BWD19" s="30"/>
      <c r="BWE19" s="30"/>
      <c r="BWF19" s="30"/>
      <c r="BWG19" s="30"/>
      <c r="BWH19" s="30"/>
      <c r="BWI19" s="30"/>
      <c r="BWJ19" s="30"/>
      <c r="BWK19" s="30"/>
      <c r="BWL19" s="30"/>
      <c r="BWM19" s="30"/>
      <c r="BWN19" s="30"/>
      <c r="BWO19" s="30"/>
      <c r="BWP19" s="30"/>
      <c r="BWQ19" s="30"/>
      <c r="BWR19" s="30"/>
      <c r="BWS19" s="30"/>
      <c r="BWT19" s="30"/>
      <c r="BWU19" s="30"/>
      <c r="BWV19" s="30"/>
      <c r="BWW19" s="30"/>
      <c r="BWX19" s="30"/>
      <c r="BWY19" s="30"/>
      <c r="BWZ19" s="30"/>
      <c r="BXA19" s="30"/>
      <c r="BXB19" s="30"/>
      <c r="BXC19" s="30"/>
      <c r="BXD19" s="30"/>
      <c r="BXE19" s="30"/>
      <c r="BXF19" s="30"/>
      <c r="BXG19" s="30"/>
      <c r="BXH19" s="30"/>
      <c r="BXI19" s="30"/>
      <c r="BXJ19" s="30"/>
      <c r="BXK19" s="30"/>
      <c r="BXL19" s="30"/>
      <c r="BXM19" s="30"/>
      <c r="BXN19" s="30"/>
      <c r="BXO19" s="30"/>
      <c r="BXP19" s="30"/>
      <c r="BXQ19" s="30"/>
      <c r="BXR19" s="30"/>
      <c r="BXS19" s="30"/>
      <c r="BXT19" s="30"/>
      <c r="BXU19" s="30"/>
      <c r="BXV19" s="30"/>
      <c r="BXW19" s="30"/>
      <c r="BXX19" s="30"/>
      <c r="BXY19" s="30"/>
      <c r="BXZ19" s="30"/>
      <c r="BYA19" s="30"/>
      <c r="BYB19" s="30"/>
      <c r="BYC19" s="30"/>
      <c r="BYD19" s="30"/>
      <c r="BYE19" s="30"/>
      <c r="BYF19" s="30"/>
      <c r="BYG19" s="30"/>
      <c r="BYH19" s="30"/>
      <c r="BYI19" s="30"/>
      <c r="BYJ19" s="30"/>
      <c r="BYK19" s="30"/>
      <c r="BYL19" s="30"/>
      <c r="BYM19" s="30"/>
      <c r="BYN19" s="30"/>
      <c r="BYO19" s="30"/>
      <c r="BYP19" s="30"/>
      <c r="BYQ19" s="30"/>
      <c r="BYR19" s="30"/>
      <c r="BYS19" s="30"/>
      <c r="BYT19" s="30"/>
      <c r="BYU19" s="30"/>
      <c r="BYV19" s="30"/>
      <c r="BYW19" s="30"/>
      <c r="BYX19" s="30"/>
      <c r="BYY19" s="30"/>
      <c r="BYZ19" s="30"/>
      <c r="BZA19" s="30"/>
      <c r="BZB19" s="30"/>
      <c r="BZC19" s="30"/>
      <c r="BZD19" s="30"/>
      <c r="BZE19" s="30"/>
      <c r="BZF19" s="30"/>
      <c r="BZG19" s="30"/>
      <c r="BZH19" s="30"/>
      <c r="BZI19" s="30"/>
      <c r="BZJ19" s="30"/>
      <c r="BZK19" s="30"/>
      <c r="BZL19" s="30"/>
      <c r="BZM19" s="30"/>
      <c r="BZN19" s="30"/>
      <c r="BZO19" s="30"/>
      <c r="BZP19" s="30"/>
      <c r="BZQ19" s="30"/>
      <c r="BZR19" s="30"/>
      <c r="BZS19" s="30"/>
      <c r="BZT19" s="30"/>
      <c r="BZU19" s="30"/>
      <c r="BZV19" s="30"/>
      <c r="BZW19" s="30"/>
      <c r="BZX19" s="30"/>
      <c r="BZY19" s="30"/>
      <c r="BZZ19" s="30"/>
      <c r="CAA19" s="30"/>
      <c r="CAB19" s="30"/>
      <c r="CAC19" s="30"/>
      <c r="CAD19" s="30"/>
      <c r="CAE19" s="30"/>
      <c r="CAF19" s="30"/>
      <c r="CAG19" s="30"/>
      <c r="CAH19" s="30"/>
      <c r="CAI19" s="30"/>
      <c r="CAJ19" s="30"/>
      <c r="CAK19" s="30"/>
      <c r="CAL19" s="30"/>
      <c r="CAM19" s="30"/>
      <c r="CAN19" s="30"/>
      <c r="CAO19" s="30"/>
      <c r="CAP19" s="30"/>
      <c r="CAQ19" s="30"/>
      <c r="CAR19" s="30"/>
      <c r="CAS19" s="30"/>
      <c r="CAT19" s="30"/>
      <c r="CAU19" s="30"/>
      <c r="CAV19" s="30"/>
      <c r="CAW19" s="30"/>
      <c r="CAX19" s="30"/>
      <c r="CAY19" s="30"/>
      <c r="CAZ19" s="30"/>
      <c r="CBA19" s="30"/>
      <c r="CBB19" s="30"/>
      <c r="CBC19" s="30"/>
      <c r="CBD19" s="30"/>
      <c r="CBE19" s="30"/>
      <c r="CBF19" s="30"/>
      <c r="CBG19" s="30"/>
      <c r="CBH19" s="30"/>
      <c r="CBI19" s="30"/>
      <c r="CBJ19" s="30"/>
      <c r="CBK19" s="30"/>
      <c r="CBL19" s="30"/>
      <c r="CBM19" s="30"/>
      <c r="CBN19" s="30"/>
      <c r="CBO19" s="30"/>
      <c r="CBP19" s="30"/>
      <c r="CBQ19" s="30"/>
      <c r="CBR19" s="30"/>
      <c r="CBS19" s="30"/>
      <c r="CBT19" s="30"/>
      <c r="CBU19" s="30"/>
      <c r="CBV19" s="30"/>
      <c r="CBW19" s="30"/>
      <c r="CBX19" s="30"/>
      <c r="CBY19" s="30"/>
      <c r="CBZ19" s="30"/>
      <c r="CCA19" s="30"/>
      <c r="CCB19" s="30"/>
      <c r="CCC19" s="30"/>
      <c r="CCD19" s="30"/>
      <c r="CCE19" s="30"/>
      <c r="CCF19" s="30"/>
      <c r="CCG19" s="30"/>
      <c r="CCH19" s="30"/>
      <c r="CCI19" s="30"/>
      <c r="CCJ19" s="30"/>
      <c r="CCK19" s="30"/>
      <c r="CCL19" s="30"/>
      <c r="CCM19" s="30"/>
      <c r="CCN19" s="30"/>
      <c r="CCO19" s="30"/>
      <c r="CCP19" s="30"/>
      <c r="CCQ19" s="30"/>
      <c r="CCR19" s="30"/>
      <c r="CCS19" s="30"/>
      <c r="CCT19" s="30"/>
      <c r="CCU19" s="30"/>
      <c r="CCV19" s="30"/>
      <c r="CCW19" s="30"/>
      <c r="CCX19" s="30"/>
      <c r="CCY19" s="30"/>
      <c r="CCZ19" s="30"/>
      <c r="CDA19" s="30"/>
      <c r="CDB19" s="30"/>
      <c r="CDC19" s="30"/>
      <c r="CDD19" s="30"/>
      <c r="CDE19" s="30"/>
      <c r="CDF19" s="30"/>
      <c r="CDG19" s="30"/>
      <c r="CDH19" s="30"/>
      <c r="CDI19" s="30"/>
      <c r="CDJ19" s="30"/>
      <c r="CDK19" s="30"/>
      <c r="CDL19" s="30"/>
      <c r="CDM19" s="30"/>
      <c r="CDN19" s="30"/>
      <c r="CDO19" s="30"/>
      <c r="CDP19" s="30"/>
      <c r="CDQ19" s="30"/>
      <c r="CDR19" s="30"/>
      <c r="CDS19" s="30"/>
      <c r="CDT19" s="30"/>
      <c r="CDU19" s="30"/>
      <c r="CDV19" s="30"/>
      <c r="CDW19" s="30"/>
      <c r="CDX19" s="30"/>
      <c r="CDY19" s="30"/>
      <c r="CDZ19" s="30"/>
      <c r="CEA19" s="30"/>
      <c r="CEB19" s="30"/>
      <c r="CEC19" s="30"/>
      <c r="CED19" s="30"/>
      <c r="CEE19" s="30"/>
      <c r="CEF19" s="30"/>
      <c r="CEG19" s="30"/>
      <c r="CEH19" s="30"/>
      <c r="CEI19" s="30"/>
      <c r="CEJ19" s="30"/>
      <c r="CEK19" s="30"/>
      <c r="CEL19" s="30"/>
      <c r="CEM19" s="30"/>
      <c r="CEN19" s="30"/>
      <c r="CEO19" s="30"/>
      <c r="CEP19" s="30"/>
      <c r="CEQ19" s="30"/>
      <c r="CER19" s="30"/>
      <c r="CES19" s="30"/>
      <c r="CET19" s="30"/>
      <c r="CEU19" s="30"/>
      <c r="CEV19" s="30"/>
      <c r="CEW19" s="30"/>
      <c r="CEX19" s="30"/>
      <c r="CEY19" s="30"/>
      <c r="CEZ19" s="30"/>
      <c r="CFA19" s="30"/>
      <c r="CFB19" s="30"/>
      <c r="CFC19" s="30"/>
      <c r="CFD19" s="30"/>
      <c r="CFE19" s="30"/>
      <c r="CFF19" s="30"/>
      <c r="CFG19" s="30"/>
      <c r="CFH19" s="30"/>
      <c r="CFI19" s="30"/>
      <c r="CFJ19" s="30"/>
      <c r="CFK19" s="30"/>
      <c r="CFL19" s="30"/>
      <c r="CFM19" s="30"/>
      <c r="CFN19" s="30"/>
      <c r="CFO19" s="30"/>
      <c r="CFP19" s="30"/>
      <c r="CFQ19" s="30"/>
      <c r="CFR19" s="30"/>
      <c r="CFS19" s="30"/>
      <c r="CFT19" s="30"/>
      <c r="CFU19" s="30"/>
      <c r="CFV19" s="30"/>
      <c r="CFW19" s="30"/>
      <c r="CFX19" s="30"/>
      <c r="CFY19" s="30"/>
      <c r="CFZ19" s="30"/>
      <c r="CGA19" s="30"/>
      <c r="CGB19" s="30"/>
      <c r="CGC19" s="30"/>
      <c r="CGD19" s="30"/>
      <c r="CGE19" s="30"/>
      <c r="CGF19" s="30"/>
      <c r="CGG19" s="30"/>
      <c r="CGH19" s="30"/>
      <c r="CGI19" s="30"/>
      <c r="CGJ19" s="30"/>
      <c r="CGK19" s="30"/>
      <c r="CGL19" s="30"/>
      <c r="CGM19" s="30"/>
      <c r="CGN19" s="30"/>
      <c r="CGO19" s="30"/>
      <c r="CGP19" s="30"/>
      <c r="CGQ19" s="30"/>
      <c r="CGR19" s="30"/>
      <c r="CGS19" s="30"/>
      <c r="CGT19" s="30"/>
      <c r="CGU19" s="30"/>
      <c r="CGV19" s="30"/>
      <c r="CGW19" s="30"/>
      <c r="CGX19" s="30"/>
      <c r="CGY19" s="30"/>
      <c r="CGZ19" s="30"/>
      <c r="CHA19" s="30"/>
      <c r="CHB19" s="30"/>
      <c r="CHC19" s="30"/>
      <c r="CHD19" s="30"/>
      <c r="CHE19" s="30"/>
      <c r="CHF19" s="30"/>
      <c r="CHG19" s="30"/>
      <c r="CHH19" s="30"/>
      <c r="CHI19" s="30"/>
      <c r="CHJ19" s="30"/>
      <c r="CHK19" s="30"/>
      <c r="CHL19" s="30"/>
      <c r="CHM19" s="30"/>
      <c r="CHN19" s="30"/>
      <c r="CHO19" s="30"/>
      <c r="CHP19" s="30"/>
      <c r="CHQ19" s="30"/>
      <c r="CHR19" s="30"/>
      <c r="CHS19" s="30"/>
      <c r="CHT19" s="30"/>
      <c r="CHU19" s="30"/>
      <c r="CHV19" s="30"/>
      <c r="CHW19" s="30"/>
      <c r="CHX19" s="30"/>
      <c r="CHY19" s="30"/>
      <c r="CHZ19" s="30"/>
      <c r="CIA19" s="30"/>
      <c r="CIB19" s="30"/>
      <c r="CIC19" s="30"/>
      <c r="CID19" s="30"/>
      <c r="CIE19" s="30"/>
      <c r="CIF19" s="30"/>
      <c r="CIG19" s="30"/>
      <c r="CIH19" s="30"/>
      <c r="CII19" s="30"/>
      <c r="CIJ19" s="30"/>
      <c r="CIK19" s="30"/>
      <c r="CIL19" s="30"/>
      <c r="CIM19" s="30"/>
      <c r="CIN19" s="30"/>
      <c r="CIO19" s="30"/>
      <c r="CIP19" s="30"/>
      <c r="CIQ19" s="30"/>
      <c r="CIR19" s="30"/>
      <c r="CIS19" s="30"/>
      <c r="CIT19" s="30"/>
      <c r="CIU19" s="30"/>
      <c r="CIV19" s="30"/>
      <c r="CIW19" s="30"/>
      <c r="CIX19" s="30"/>
      <c r="CIY19" s="30"/>
      <c r="CIZ19" s="30"/>
      <c r="CJA19" s="30"/>
      <c r="CJB19" s="30"/>
      <c r="CJC19" s="30"/>
      <c r="CJD19" s="30"/>
      <c r="CJE19" s="30"/>
      <c r="CJF19" s="30"/>
      <c r="CJG19" s="30"/>
      <c r="CJH19" s="30"/>
      <c r="CJI19" s="30"/>
      <c r="CJJ19" s="30"/>
      <c r="CJK19" s="30"/>
      <c r="CJL19" s="30"/>
      <c r="CJM19" s="30"/>
      <c r="CJN19" s="30"/>
      <c r="CJO19" s="30"/>
      <c r="CJP19" s="30"/>
      <c r="CJQ19" s="30"/>
      <c r="CJR19" s="30"/>
      <c r="CJS19" s="30"/>
      <c r="CJT19" s="30"/>
      <c r="CJU19" s="30"/>
      <c r="CJV19" s="30"/>
      <c r="CJW19" s="30"/>
      <c r="CJX19" s="30"/>
      <c r="CJY19" s="30"/>
      <c r="CJZ19" s="30"/>
      <c r="CKA19" s="30"/>
      <c r="CKB19" s="30"/>
      <c r="CKC19" s="30"/>
      <c r="CKD19" s="30"/>
      <c r="CKE19" s="30"/>
      <c r="CKF19" s="30"/>
      <c r="CKG19" s="30"/>
      <c r="CKH19" s="30"/>
      <c r="CKI19" s="30"/>
      <c r="CKJ19" s="30"/>
      <c r="CKK19" s="30"/>
      <c r="CKL19" s="30"/>
      <c r="CKM19" s="30"/>
      <c r="CKN19" s="30"/>
      <c r="CKO19" s="30"/>
      <c r="CKP19" s="30"/>
      <c r="CKQ19" s="30"/>
      <c r="CKR19" s="30"/>
      <c r="CKS19" s="30"/>
      <c r="CKT19" s="30"/>
      <c r="CKU19" s="30"/>
      <c r="CKV19" s="30"/>
      <c r="CKW19" s="30"/>
      <c r="CKX19" s="30"/>
      <c r="CKY19" s="30"/>
      <c r="CKZ19" s="30"/>
      <c r="CLA19" s="30"/>
      <c r="CLB19" s="30"/>
      <c r="CLC19" s="30"/>
      <c r="CLD19" s="30"/>
      <c r="CLE19" s="30"/>
      <c r="CLF19" s="30"/>
      <c r="CLG19" s="30"/>
      <c r="CLH19" s="30"/>
      <c r="CLI19" s="30"/>
      <c r="CLJ19" s="30"/>
      <c r="CLK19" s="30"/>
      <c r="CLL19" s="30"/>
      <c r="CLM19" s="30"/>
      <c r="CLN19" s="30"/>
      <c r="CLO19" s="30"/>
      <c r="CLP19" s="30"/>
      <c r="CLQ19" s="30"/>
      <c r="CLR19" s="30"/>
      <c r="CLS19" s="30"/>
      <c r="CLT19" s="30"/>
      <c r="CLU19" s="30"/>
      <c r="CLV19" s="30"/>
      <c r="CLW19" s="30"/>
      <c r="CLX19" s="30"/>
      <c r="CLY19" s="30"/>
      <c r="CLZ19" s="30"/>
      <c r="CMA19" s="30"/>
      <c r="CMB19" s="30"/>
      <c r="CMC19" s="30"/>
      <c r="CMD19" s="30"/>
      <c r="CME19" s="30"/>
      <c r="CMF19" s="30"/>
      <c r="CMG19" s="30"/>
      <c r="CMH19" s="30"/>
      <c r="CMI19" s="30"/>
      <c r="CMJ19" s="30"/>
      <c r="CMK19" s="30"/>
      <c r="CML19" s="30"/>
      <c r="CMM19" s="30"/>
      <c r="CMN19" s="30"/>
      <c r="CMO19" s="30"/>
      <c r="CMP19" s="30"/>
      <c r="CMQ19" s="30"/>
      <c r="CMR19" s="30"/>
      <c r="CMS19" s="30"/>
      <c r="CMT19" s="30"/>
      <c r="CMU19" s="30"/>
      <c r="CMV19" s="30"/>
      <c r="CMW19" s="30"/>
      <c r="CMX19" s="30"/>
      <c r="CMY19" s="30"/>
      <c r="CMZ19" s="30"/>
      <c r="CNA19" s="30"/>
      <c r="CNB19" s="30"/>
      <c r="CNC19" s="30"/>
      <c r="CND19" s="30"/>
      <c r="CNE19" s="30"/>
      <c r="CNF19" s="30"/>
      <c r="CNG19" s="30"/>
      <c r="CNH19" s="30"/>
      <c r="CNI19" s="30"/>
      <c r="CNJ19" s="30"/>
      <c r="CNK19" s="30"/>
      <c r="CNL19" s="30"/>
      <c r="CNM19" s="30"/>
      <c r="CNN19" s="30"/>
      <c r="CNO19" s="30"/>
      <c r="CNP19" s="30"/>
      <c r="CNQ19" s="30"/>
      <c r="CNR19" s="30"/>
      <c r="CNS19" s="30"/>
      <c r="CNT19" s="30"/>
      <c r="CNU19" s="30"/>
      <c r="CNV19" s="30"/>
      <c r="CNW19" s="30"/>
      <c r="CNX19" s="30"/>
      <c r="CNY19" s="30"/>
      <c r="CNZ19" s="30"/>
      <c r="COA19" s="30"/>
      <c r="COB19" s="30"/>
      <c r="COC19" s="30"/>
      <c r="COD19" s="30"/>
      <c r="COE19" s="30"/>
      <c r="COF19" s="30"/>
      <c r="COG19" s="30"/>
      <c r="COH19" s="30"/>
      <c r="COI19" s="30"/>
      <c r="COJ19" s="30"/>
      <c r="COK19" s="30"/>
      <c r="COL19" s="30"/>
      <c r="COM19" s="30"/>
      <c r="CON19" s="30"/>
      <c r="COO19" s="30"/>
      <c r="COP19" s="30"/>
      <c r="COQ19" s="30"/>
      <c r="COR19" s="30"/>
      <c r="COS19" s="30"/>
      <c r="COT19" s="30"/>
      <c r="COU19" s="30"/>
      <c r="COV19" s="30"/>
      <c r="COW19" s="30"/>
      <c r="COX19" s="30"/>
      <c r="COY19" s="30"/>
      <c r="COZ19" s="30"/>
      <c r="CPA19" s="30"/>
      <c r="CPB19" s="30"/>
      <c r="CPC19" s="30"/>
      <c r="CPD19" s="30"/>
      <c r="CPE19" s="30"/>
      <c r="CPF19" s="30"/>
      <c r="CPG19" s="30"/>
      <c r="CPH19" s="30"/>
      <c r="CPI19" s="30"/>
      <c r="CPJ19" s="30"/>
      <c r="CPK19" s="30"/>
      <c r="CPL19" s="30"/>
      <c r="CPM19" s="30"/>
      <c r="CPN19" s="30"/>
      <c r="CPO19" s="30"/>
      <c r="CPP19" s="30"/>
      <c r="CPQ19" s="30"/>
      <c r="CPR19" s="30"/>
      <c r="CPS19" s="30"/>
      <c r="CPT19" s="30"/>
      <c r="CPU19" s="30"/>
      <c r="CPV19" s="30"/>
      <c r="CPW19" s="30"/>
      <c r="CPX19" s="30"/>
      <c r="CPY19" s="30"/>
      <c r="CPZ19" s="30"/>
      <c r="CQA19" s="30"/>
      <c r="CQB19" s="30"/>
      <c r="CQC19" s="30"/>
      <c r="CQD19" s="30"/>
      <c r="CQE19" s="30"/>
      <c r="CQF19" s="30"/>
      <c r="CQG19" s="30"/>
      <c r="CQH19" s="30"/>
      <c r="CQI19" s="30"/>
      <c r="CQJ19" s="30"/>
      <c r="CQK19" s="30"/>
      <c r="CQL19" s="30"/>
      <c r="CQM19" s="30"/>
      <c r="CQN19" s="30"/>
      <c r="CQO19" s="30"/>
      <c r="CQP19" s="30"/>
      <c r="CQQ19" s="30"/>
      <c r="CQR19" s="30"/>
      <c r="CQS19" s="30"/>
      <c r="CQT19" s="30"/>
      <c r="CQU19" s="30"/>
      <c r="CQV19" s="30"/>
      <c r="CQW19" s="30"/>
      <c r="CQX19" s="30"/>
      <c r="CQY19" s="30"/>
      <c r="CQZ19" s="30"/>
      <c r="CRA19" s="30"/>
      <c r="CRB19" s="30"/>
      <c r="CRC19" s="30"/>
      <c r="CRD19" s="30"/>
      <c r="CRE19" s="30"/>
      <c r="CRF19" s="30"/>
      <c r="CRG19" s="30"/>
      <c r="CRH19" s="30"/>
      <c r="CRI19" s="30"/>
      <c r="CRJ19" s="30"/>
      <c r="CRK19" s="30"/>
      <c r="CRL19" s="30"/>
      <c r="CRM19" s="30"/>
      <c r="CRN19" s="30"/>
      <c r="CRO19" s="30"/>
      <c r="CRP19" s="30"/>
      <c r="CRQ19" s="30"/>
      <c r="CRR19" s="30"/>
      <c r="CRS19" s="30"/>
      <c r="CRT19" s="30"/>
      <c r="CRU19" s="30"/>
      <c r="CRV19" s="30"/>
      <c r="CRW19" s="30"/>
      <c r="CRX19" s="30"/>
      <c r="CRY19" s="30"/>
      <c r="CRZ19" s="30"/>
      <c r="CSA19" s="30"/>
      <c r="CSB19" s="30"/>
      <c r="CSC19" s="30"/>
      <c r="CSD19" s="30"/>
      <c r="CSE19" s="30"/>
      <c r="CSF19" s="30"/>
      <c r="CSG19" s="30"/>
      <c r="CSH19" s="30"/>
      <c r="CSI19" s="30"/>
      <c r="CSJ19" s="30"/>
      <c r="CSK19" s="30"/>
      <c r="CSL19" s="30"/>
      <c r="CSM19" s="30"/>
      <c r="CSN19" s="30"/>
      <c r="CSO19" s="30"/>
      <c r="CSP19" s="30"/>
      <c r="CSQ19" s="30"/>
      <c r="CSR19" s="30"/>
      <c r="CSS19" s="30"/>
      <c r="CST19" s="30"/>
      <c r="CSU19" s="30"/>
      <c r="CSV19" s="30"/>
      <c r="CSW19" s="30"/>
      <c r="CSX19" s="30"/>
      <c r="CSY19" s="30"/>
      <c r="CSZ19" s="30"/>
      <c r="CTA19" s="30"/>
      <c r="CTB19" s="30"/>
      <c r="CTC19" s="30"/>
      <c r="CTD19" s="30"/>
      <c r="CTE19" s="30"/>
      <c r="CTF19" s="30"/>
      <c r="CTG19" s="30"/>
      <c r="CTH19" s="30"/>
      <c r="CTI19" s="30"/>
      <c r="CTJ19" s="30"/>
      <c r="CTK19" s="30"/>
      <c r="CTL19" s="30"/>
      <c r="CTM19" s="30"/>
      <c r="CTN19" s="30"/>
      <c r="CTO19" s="30"/>
      <c r="CTP19" s="30"/>
      <c r="CTQ19" s="30"/>
      <c r="CTR19" s="30"/>
      <c r="CTS19" s="30"/>
      <c r="CTT19" s="30"/>
      <c r="CTU19" s="30"/>
      <c r="CTV19" s="30"/>
      <c r="CTW19" s="30"/>
      <c r="CTX19" s="30"/>
      <c r="CTY19" s="30"/>
      <c r="CTZ19" s="30"/>
      <c r="CUA19" s="30"/>
      <c r="CUB19" s="30"/>
      <c r="CUC19" s="30"/>
      <c r="CUD19" s="30"/>
      <c r="CUE19" s="30"/>
      <c r="CUF19" s="30"/>
      <c r="CUG19" s="30"/>
      <c r="CUH19" s="30"/>
      <c r="CUI19" s="30"/>
      <c r="CUJ19" s="30"/>
      <c r="CUK19" s="30"/>
      <c r="CUL19" s="30"/>
      <c r="CUM19" s="30"/>
      <c r="CUN19" s="30"/>
      <c r="CUO19" s="30"/>
      <c r="CUP19" s="30"/>
      <c r="CUQ19" s="30"/>
      <c r="CUR19" s="30"/>
      <c r="CUS19" s="30"/>
      <c r="CUT19" s="30"/>
      <c r="CUU19" s="30"/>
      <c r="CUV19" s="30"/>
      <c r="CUW19" s="30"/>
      <c r="CUX19" s="30"/>
      <c r="CUY19" s="30"/>
      <c r="CUZ19" s="30"/>
      <c r="CVA19" s="30"/>
      <c r="CVB19" s="30"/>
      <c r="CVC19" s="30"/>
      <c r="CVD19" s="30"/>
      <c r="CVE19" s="30"/>
      <c r="CVF19" s="30"/>
      <c r="CVG19" s="30"/>
      <c r="CVH19" s="30"/>
      <c r="CVI19" s="30"/>
      <c r="CVJ19" s="30"/>
      <c r="CVK19" s="30"/>
      <c r="CVL19" s="30"/>
      <c r="CVM19" s="30"/>
      <c r="CVN19" s="30"/>
      <c r="CVO19" s="30"/>
      <c r="CVP19" s="30"/>
      <c r="CVQ19" s="30"/>
      <c r="CVR19" s="30"/>
      <c r="CVS19" s="30"/>
      <c r="CVT19" s="30"/>
      <c r="CVU19" s="30"/>
      <c r="CVV19" s="30"/>
      <c r="CVW19" s="30"/>
      <c r="CVX19" s="30"/>
      <c r="CVY19" s="30"/>
      <c r="CVZ19" s="30"/>
      <c r="CWA19" s="30"/>
      <c r="CWB19" s="30"/>
      <c r="CWC19" s="30"/>
      <c r="CWD19" s="30"/>
      <c r="CWE19" s="30"/>
      <c r="CWF19" s="30"/>
      <c r="CWG19" s="30"/>
      <c r="CWH19" s="30"/>
      <c r="CWI19" s="30"/>
      <c r="CWJ19" s="30"/>
      <c r="CWK19" s="30"/>
      <c r="CWL19" s="30"/>
      <c r="CWM19" s="30"/>
      <c r="CWN19" s="30"/>
      <c r="CWO19" s="30"/>
      <c r="CWP19" s="30"/>
      <c r="CWQ19" s="30"/>
      <c r="CWR19" s="30"/>
      <c r="CWS19" s="30"/>
      <c r="CWT19" s="30"/>
      <c r="CWU19" s="30"/>
      <c r="CWV19" s="30"/>
      <c r="CWW19" s="30"/>
      <c r="CWX19" s="30"/>
      <c r="CWY19" s="30"/>
      <c r="CWZ19" s="30"/>
      <c r="CXA19" s="30"/>
      <c r="CXB19" s="30"/>
      <c r="CXC19" s="30"/>
      <c r="CXD19" s="30"/>
      <c r="CXE19" s="30"/>
      <c r="CXF19" s="30"/>
      <c r="CXG19" s="30"/>
      <c r="CXH19" s="30"/>
      <c r="CXI19" s="30"/>
      <c r="CXJ19" s="30"/>
      <c r="CXK19" s="30"/>
      <c r="CXL19" s="30"/>
      <c r="CXM19" s="30"/>
      <c r="CXN19" s="30"/>
      <c r="CXO19" s="30"/>
      <c r="CXP19" s="30"/>
      <c r="CXQ19" s="30"/>
      <c r="CXR19" s="30"/>
      <c r="CXS19" s="30"/>
      <c r="CXT19" s="30"/>
      <c r="CXU19" s="30"/>
      <c r="CXV19" s="30"/>
      <c r="CXW19" s="30"/>
      <c r="CXX19" s="30"/>
      <c r="CXY19" s="30"/>
      <c r="CXZ19" s="30"/>
      <c r="CYA19" s="30"/>
      <c r="CYB19" s="30"/>
      <c r="CYC19" s="30"/>
      <c r="CYD19" s="30"/>
      <c r="CYE19" s="30"/>
      <c r="CYF19" s="30"/>
      <c r="CYG19" s="30"/>
      <c r="CYH19" s="30"/>
      <c r="CYI19" s="30"/>
      <c r="CYJ19" s="30"/>
      <c r="CYK19" s="30"/>
      <c r="CYL19" s="30"/>
      <c r="CYM19" s="30"/>
      <c r="CYN19" s="30"/>
      <c r="CYO19" s="30"/>
      <c r="CYP19" s="30"/>
      <c r="CYQ19" s="30"/>
      <c r="CYR19" s="30"/>
      <c r="CYS19" s="30"/>
      <c r="CYT19" s="30"/>
      <c r="CYU19" s="30"/>
      <c r="CYV19" s="30"/>
      <c r="CYW19" s="30"/>
      <c r="CYX19" s="30"/>
      <c r="CYY19" s="30"/>
      <c r="CYZ19" s="30"/>
      <c r="CZA19" s="30"/>
      <c r="CZB19" s="30"/>
      <c r="CZC19" s="30"/>
      <c r="CZD19" s="30"/>
      <c r="CZE19" s="30"/>
      <c r="CZF19" s="30"/>
      <c r="CZG19" s="30"/>
      <c r="CZH19" s="30"/>
      <c r="CZI19" s="30"/>
      <c r="CZJ19" s="30"/>
      <c r="CZK19" s="30"/>
      <c r="CZL19" s="30"/>
      <c r="CZM19" s="30"/>
      <c r="CZN19" s="30"/>
      <c r="CZO19" s="30"/>
      <c r="CZP19" s="30"/>
      <c r="CZQ19" s="30"/>
      <c r="CZR19" s="30"/>
      <c r="CZS19" s="30"/>
      <c r="CZT19" s="30"/>
      <c r="CZU19" s="30"/>
      <c r="CZV19" s="30"/>
      <c r="CZW19" s="30"/>
      <c r="CZX19" s="30"/>
      <c r="CZY19" s="30"/>
      <c r="CZZ19" s="30"/>
      <c r="DAA19" s="30"/>
      <c r="DAB19" s="30"/>
      <c r="DAC19" s="30"/>
      <c r="DAD19" s="30"/>
      <c r="DAE19" s="30"/>
      <c r="DAF19" s="30"/>
      <c r="DAG19" s="30"/>
      <c r="DAH19" s="30"/>
      <c r="DAI19" s="30"/>
      <c r="DAJ19" s="30"/>
      <c r="DAK19" s="30"/>
      <c r="DAL19" s="30"/>
      <c r="DAM19" s="30"/>
      <c r="DAN19" s="30"/>
      <c r="DAO19" s="30"/>
      <c r="DAP19" s="30"/>
      <c r="DAQ19" s="30"/>
      <c r="DAR19" s="30"/>
      <c r="DAS19" s="30"/>
      <c r="DAT19" s="30"/>
      <c r="DAU19" s="30"/>
      <c r="DAV19" s="30"/>
      <c r="DAW19" s="30"/>
      <c r="DAX19" s="30"/>
      <c r="DAY19" s="30"/>
      <c r="DAZ19" s="30"/>
      <c r="DBA19" s="30"/>
      <c r="DBB19" s="30"/>
      <c r="DBC19" s="30"/>
      <c r="DBD19" s="30"/>
      <c r="DBE19" s="30"/>
      <c r="DBF19" s="30"/>
      <c r="DBG19" s="30"/>
      <c r="DBH19" s="30"/>
      <c r="DBI19" s="30"/>
      <c r="DBJ19" s="30"/>
      <c r="DBK19" s="30"/>
      <c r="DBL19" s="30"/>
      <c r="DBM19" s="30"/>
      <c r="DBN19" s="30"/>
      <c r="DBO19" s="30"/>
      <c r="DBP19" s="30"/>
      <c r="DBQ19" s="30"/>
      <c r="DBR19" s="30"/>
      <c r="DBS19" s="30"/>
      <c r="DBT19" s="30"/>
      <c r="DBU19" s="30"/>
      <c r="DBV19" s="30"/>
      <c r="DBW19" s="30"/>
      <c r="DBX19" s="30"/>
      <c r="DBY19" s="30"/>
      <c r="DBZ19" s="30"/>
      <c r="DCA19" s="30"/>
      <c r="DCB19" s="30"/>
      <c r="DCC19" s="30"/>
      <c r="DCD19" s="30"/>
      <c r="DCE19" s="30"/>
      <c r="DCF19" s="30"/>
      <c r="DCG19" s="30"/>
      <c r="DCH19" s="30"/>
      <c r="DCI19" s="30"/>
      <c r="DCJ19" s="30"/>
      <c r="DCK19" s="30"/>
      <c r="DCL19" s="30"/>
      <c r="DCM19" s="30"/>
      <c r="DCN19" s="30"/>
      <c r="DCO19" s="30"/>
      <c r="DCP19" s="30"/>
      <c r="DCQ19" s="30"/>
      <c r="DCR19" s="30"/>
      <c r="DCS19" s="30"/>
      <c r="DCT19" s="30"/>
      <c r="DCU19" s="30"/>
      <c r="DCV19" s="30"/>
      <c r="DCW19" s="30"/>
      <c r="DCX19" s="30"/>
      <c r="DCY19" s="30"/>
      <c r="DCZ19" s="30"/>
      <c r="DDA19" s="30"/>
      <c r="DDB19" s="30"/>
      <c r="DDC19" s="30"/>
      <c r="DDD19" s="30"/>
      <c r="DDE19" s="30"/>
      <c r="DDF19" s="30"/>
      <c r="DDG19" s="30"/>
      <c r="DDH19" s="30"/>
      <c r="DDI19" s="30"/>
      <c r="DDJ19" s="30"/>
      <c r="DDK19" s="30"/>
      <c r="DDL19" s="30"/>
      <c r="DDM19" s="30"/>
      <c r="DDN19" s="30"/>
      <c r="DDO19" s="30"/>
      <c r="DDP19" s="30"/>
      <c r="DDQ19" s="30"/>
      <c r="DDR19" s="30"/>
      <c r="DDS19" s="30"/>
      <c r="DDT19" s="30"/>
      <c r="DDU19" s="30"/>
      <c r="DDV19" s="30"/>
      <c r="DDW19" s="30"/>
      <c r="DDX19" s="30"/>
      <c r="DDY19" s="30"/>
      <c r="DDZ19" s="30"/>
      <c r="DEA19" s="30"/>
      <c r="DEB19" s="30"/>
      <c r="DEC19" s="30"/>
      <c r="DED19" s="30"/>
      <c r="DEE19" s="30"/>
      <c r="DEF19" s="30"/>
      <c r="DEG19" s="30"/>
      <c r="DEH19" s="30"/>
      <c r="DEI19" s="30"/>
      <c r="DEJ19" s="30"/>
      <c r="DEK19" s="30"/>
      <c r="DEL19" s="30"/>
      <c r="DEM19" s="30"/>
      <c r="DEN19" s="30"/>
      <c r="DEO19" s="30"/>
      <c r="DEP19" s="30"/>
      <c r="DEQ19" s="30"/>
      <c r="DER19" s="30"/>
      <c r="DES19" s="30"/>
      <c r="DET19" s="30"/>
      <c r="DEU19" s="30"/>
      <c r="DEV19" s="30"/>
      <c r="DEW19" s="30"/>
      <c r="DEX19" s="30"/>
      <c r="DEY19" s="30"/>
      <c r="DEZ19" s="30"/>
      <c r="DFA19" s="30"/>
      <c r="DFB19" s="30"/>
      <c r="DFC19" s="30"/>
      <c r="DFD19" s="30"/>
      <c r="DFE19" s="30"/>
      <c r="DFF19" s="30"/>
      <c r="DFG19" s="30"/>
      <c r="DFH19" s="30"/>
      <c r="DFI19" s="30"/>
      <c r="DFJ19" s="30"/>
      <c r="DFK19" s="30"/>
      <c r="DFL19" s="30"/>
      <c r="DFM19" s="30"/>
      <c r="DFN19" s="30"/>
      <c r="DFO19" s="30"/>
      <c r="DFP19" s="30"/>
      <c r="DFQ19" s="30"/>
      <c r="DFR19" s="30"/>
      <c r="DFS19" s="30"/>
      <c r="DFT19" s="30"/>
      <c r="DFU19" s="30"/>
      <c r="DFV19" s="30"/>
      <c r="DFW19" s="30"/>
      <c r="DFX19" s="30"/>
      <c r="DFY19" s="30"/>
      <c r="DFZ19" s="30"/>
      <c r="DGA19" s="30"/>
      <c r="DGB19" s="30"/>
      <c r="DGC19" s="30"/>
      <c r="DGD19" s="30"/>
      <c r="DGE19" s="30"/>
      <c r="DGF19" s="30"/>
      <c r="DGG19" s="30"/>
      <c r="DGH19" s="30"/>
      <c r="DGI19" s="30"/>
      <c r="DGJ19" s="30"/>
      <c r="DGK19" s="30"/>
      <c r="DGL19" s="30"/>
      <c r="DGM19" s="30"/>
      <c r="DGN19" s="30"/>
      <c r="DGO19" s="30"/>
      <c r="DGP19" s="30"/>
      <c r="DGQ19" s="30"/>
      <c r="DGR19" s="30"/>
      <c r="DGS19" s="30"/>
      <c r="DGT19" s="30"/>
      <c r="DGU19" s="30"/>
      <c r="DGV19" s="30"/>
      <c r="DGW19" s="30"/>
      <c r="DGX19" s="30"/>
      <c r="DGY19" s="30"/>
      <c r="DGZ19" s="30"/>
      <c r="DHA19" s="30"/>
      <c r="DHB19" s="30"/>
      <c r="DHC19" s="30"/>
      <c r="DHD19" s="30"/>
      <c r="DHE19" s="30"/>
      <c r="DHF19" s="30"/>
      <c r="DHG19" s="30"/>
      <c r="DHH19" s="30"/>
      <c r="DHI19" s="30"/>
      <c r="DHJ19" s="30"/>
      <c r="DHK19" s="30"/>
      <c r="DHL19" s="30"/>
      <c r="DHM19" s="30"/>
      <c r="DHN19" s="30"/>
      <c r="DHO19" s="30"/>
      <c r="DHP19" s="30"/>
      <c r="DHQ19" s="30"/>
      <c r="DHR19" s="30"/>
      <c r="DHS19" s="30"/>
      <c r="DHT19" s="30"/>
      <c r="DHU19" s="30"/>
      <c r="DHV19" s="30"/>
      <c r="DHW19" s="30"/>
      <c r="DHX19" s="30"/>
      <c r="DHY19" s="30"/>
      <c r="DHZ19" s="30"/>
      <c r="DIA19" s="30"/>
      <c r="DIB19" s="30"/>
      <c r="DIC19" s="30"/>
      <c r="DID19" s="30"/>
      <c r="DIE19" s="30"/>
      <c r="DIF19" s="30"/>
      <c r="DIG19" s="30"/>
      <c r="DIH19" s="30"/>
      <c r="DII19" s="30"/>
      <c r="DIJ19" s="30"/>
      <c r="DIK19" s="30"/>
      <c r="DIL19" s="30"/>
      <c r="DIM19" s="30"/>
      <c r="DIN19" s="30"/>
      <c r="DIO19" s="30"/>
      <c r="DIP19" s="30"/>
      <c r="DIQ19" s="30"/>
      <c r="DIR19" s="30"/>
      <c r="DIS19" s="30"/>
      <c r="DIT19" s="30"/>
      <c r="DIU19" s="30"/>
      <c r="DIV19" s="30"/>
      <c r="DIW19" s="30"/>
      <c r="DIX19" s="30"/>
      <c r="DIY19" s="30"/>
      <c r="DIZ19" s="30"/>
      <c r="DJA19" s="30"/>
      <c r="DJB19" s="30"/>
      <c r="DJC19" s="30"/>
      <c r="DJD19" s="30"/>
      <c r="DJE19" s="30"/>
      <c r="DJF19" s="30"/>
      <c r="DJG19" s="30"/>
      <c r="DJH19" s="30"/>
      <c r="DJI19" s="30"/>
      <c r="DJJ19" s="30"/>
      <c r="DJK19" s="30"/>
      <c r="DJL19" s="30"/>
      <c r="DJM19" s="30"/>
      <c r="DJN19" s="30"/>
      <c r="DJO19" s="30"/>
      <c r="DJP19" s="30"/>
      <c r="DJQ19" s="30"/>
      <c r="DJR19" s="30"/>
      <c r="DJS19" s="30"/>
      <c r="DJT19" s="30"/>
      <c r="DJU19" s="30"/>
      <c r="DJV19" s="30"/>
      <c r="DJW19" s="30"/>
      <c r="DJX19" s="30"/>
      <c r="DJY19" s="30"/>
      <c r="DJZ19" s="30"/>
      <c r="DKA19" s="30"/>
      <c r="DKB19" s="30"/>
      <c r="DKC19" s="30"/>
      <c r="DKD19" s="30"/>
      <c r="DKE19" s="30"/>
      <c r="DKF19" s="30"/>
      <c r="DKG19" s="30"/>
      <c r="DKH19" s="30"/>
      <c r="DKI19" s="30"/>
      <c r="DKJ19" s="30"/>
      <c r="DKK19" s="30"/>
      <c r="DKL19" s="30"/>
      <c r="DKM19" s="30"/>
      <c r="DKN19" s="30"/>
      <c r="DKO19" s="30"/>
      <c r="DKP19" s="30"/>
      <c r="DKQ19" s="30"/>
      <c r="DKR19" s="30"/>
      <c r="DKS19" s="30"/>
      <c r="DKT19" s="30"/>
      <c r="DKU19" s="30"/>
      <c r="DKV19" s="30"/>
      <c r="DKW19" s="30"/>
      <c r="DKX19" s="30"/>
      <c r="DKY19" s="30"/>
      <c r="DKZ19" s="30"/>
      <c r="DLA19" s="30"/>
      <c r="DLB19" s="30"/>
      <c r="DLC19" s="30"/>
      <c r="DLD19" s="30"/>
      <c r="DLE19" s="30"/>
      <c r="DLF19" s="30"/>
      <c r="DLG19" s="30"/>
      <c r="DLH19" s="30"/>
      <c r="DLI19" s="30"/>
      <c r="DLJ19" s="30"/>
      <c r="DLK19" s="30"/>
      <c r="DLL19" s="30"/>
      <c r="DLM19" s="30"/>
      <c r="DLN19" s="30"/>
      <c r="DLO19" s="30"/>
      <c r="DLP19" s="30"/>
      <c r="DLQ19" s="30"/>
      <c r="DLR19" s="30"/>
      <c r="DLS19" s="30"/>
      <c r="DLT19" s="30"/>
      <c r="DLU19" s="30"/>
      <c r="DLV19" s="30"/>
      <c r="DLW19" s="30"/>
      <c r="DLX19" s="30"/>
      <c r="DLY19" s="30"/>
      <c r="DLZ19" s="30"/>
      <c r="DMA19" s="30"/>
      <c r="DMB19" s="30"/>
      <c r="DMC19" s="30"/>
      <c r="DMD19" s="30"/>
      <c r="DME19" s="30"/>
      <c r="DMF19" s="30"/>
      <c r="DMG19" s="30"/>
      <c r="DMH19" s="30"/>
      <c r="DMI19" s="30"/>
      <c r="DMJ19" s="30"/>
      <c r="DMK19" s="30"/>
      <c r="DML19" s="30"/>
      <c r="DMM19" s="30"/>
      <c r="DMN19" s="30"/>
      <c r="DMO19" s="30"/>
      <c r="DMP19" s="30"/>
      <c r="DMQ19" s="30"/>
      <c r="DMR19" s="30"/>
      <c r="DMS19" s="30"/>
      <c r="DMT19" s="30"/>
      <c r="DMU19" s="30"/>
      <c r="DMV19" s="30"/>
      <c r="DMW19" s="30"/>
      <c r="DMX19" s="30"/>
      <c r="DMY19" s="30"/>
      <c r="DMZ19" s="30"/>
      <c r="DNA19" s="30"/>
      <c r="DNB19" s="30"/>
      <c r="DNC19" s="30"/>
      <c r="DND19" s="30"/>
      <c r="DNE19" s="30"/>
      <c r="DNF19" s="30"/>
      <c r="DNG19" s="30"/>
      <c r="DNH19" s="30"/>
      <c r="DNI19" s="30"/>
      <c r="DNJ19" s="30"/>
      <c r="DNK19" s="30"/>
      <c r="DNL19" s="30"/>
      <c r="DNM19" s="30"/>
      <c r="DNN19" s="30"/>
      <c r="DNO19" s="30"/>
      <c r="DNP19" s="30"/>
      <c r="DNQ19" s="30"/>
      <c r="DNR19" s="30"/>
      <c r="DNS19" s="30"/>
      <c r="DNT19" s="30"/>
      <c r="DNU19" s="30"/>
      <c r="DNV19" s="30"/>
      <c r="DNW19" s="30"/>
      <c r="DNX19" s="30"/>
      <c r="DNY19" s="30"/>
      <c r="DNZ19" s="30"/>
      <c r="DOA19" s="30"/>
      <c r="DOB19" s="30"/>
      <c r="DOC19" s="30"/>
      <c r="DOD19" s="30"/>
      <c r="DOE19" s="30"/>
      <c r="DOF19" s="30"/>
      <c r="DOG19" s="30"/>
      <c r="DOH19" s="30"/>
      <c r="DOI19" s="30"/>
      <c r="DOJ19" s="30"/>
      <c r="DOK19" s="30"/>
      <c r="DOL19" s="30"/>
      <c r="DOM19" s="30"/>
      <c r="DON19" s="30"/>
      <c r="DOO19" s="30"/>
      <c r="DOP19" s="30"/>
      <c r="DOQ19" s="30"/>
      <c r="DOR19" s="30"/>
      <c r="DOS19" s="30"/>
      <c r="DOT19" s="30"/>
      <c r="DOU19" s="30"/>
      <c r="DOV19" s="30"/>
      <c r="DOW19" s="30"/>
      <c r="DOX19" s="30"/>
      <c r="DOY19" s="30"/>
      <c r="DOZ19" s="30"/>
      <c r="DPA19" s="30"/>
      <c r="DPB19" s="30"/>
      <c r="DPC19" s="30"/>
      <c r="DPD19" s="30"/>
      <c r="DPE19" s="30"/>
      <c r="DPF19" s="30"/>
      <c r="DPG19" s="30"/>
      <c r="DPH19" s="30"/>
      <c r="DPI19" s="30"/>
      <c r="DPJ19" s="30"/>
      <c r="DPK19" s="30"/>
      <c r="DPL19" s="30"/>
      <c r="DPM19" s="30"/>
      <c r="DPN19" s="30"/>
      <c r="DPO19" s="30"/>
      <c r="DPP19" s="30"/>
      <c r="DPQ19" s="30"/>
      <c r="DPR19" s="30"/>
      <c r="DPS19" s="30"/>
      <c r="DPT19" s="30"/>
      <c r="DPU19" s="30"/>
      <c r="DPV19" s="30"/>
      <c r="DPW19" s="30"/>
      <c r="DPX19" s="30"/>
      <c r="DPY19" s="30"/>
      <c r="DPZ19" s="30"/>
      <c r="DQA19" s="30"/>
      <c r="DQB19" s="30"/>
      <c r="DQC19" s="30"/>
      <c r="DQD19" s="30"/>
      <c r="DQE19" s="30"/>
      <c r="DQF19" s="30"/>
      <c r="DQG19" s="30"/>
      <c r="DQH19" s="30"/>
      <c r="DQI19" s="30"/>
      <c r="DQJ19" s="30"/>
      <c r="DQK19" s="30"/>
      <c r="DQL19" s="30"/>
      <c r="DQM19" s="30"/>
      <c r="DQN19" s="30"/>
      <c r="DQO19" s="30"/>
      <c r="DQP19" s="30"/>
      <c r="DQQ19" s="30"/>
      <c r="DQR19" s="30"/>
      <c r="DQS19" s="30"/>
      <c r="DQT19" s="30"/>
      <c r="DQU19" s="30"/>
      <c r="DQV19" s="30"/>
      <c r="DQW19" s="30"/>
      <c r="DQX19" s="30"/>
      <c r="DQY19" s="30"/>
      <c r="DQZ19" s="30"/>
      <c r="DRA19" s="30"/>
      <c r="DRB19" s="30"/>
      <c r="DRC19" s="30"/>
      <c r="DRD19" s="30"/>
      <c r="DRE19" s="30"/>
      <c r="DRF19" s="30"/>
      <c r="DRG19" s="30"/>
      <c r="DRH19" s="30"/>
      <c r="DRI19" s="30"/>
      <c r="DRJ19" s="30"/>
      <c r="DRK19" s="30"/>
      <c r="DRL19" s="30"/>
      <c r="DRM19" s="30"/>
      <c r="DRN19" s="30"/>
      <c r="DRO19" s="30"/>
      <c r="DRP19" s="30"/>
      <c r="DRQ19" s="30"/>
      <c r="DRR19" s="30"/>
      <c r="DRS19" s="30"/>
      <c r="DRT19" s="30"/>
      <c r="DRU19" s="30"/>
      <c r="DRV19" s="30"/>
      <c r="DRW19" s="30"/>
      <c r="DRX19" s="30"/>
      <c r="DRY19" s="30"/>
      <c r="DRZ19" s="30"/>
      <c r="DSA19" s="30"/>
      <c r="DSB19" s="30"/>
      <c r="DSC19" s="30"/>
      <c r="DSD19" s="30"/>
      <c r="DSE19" s="30"/>
      <c r="DSF19" s="30"/>
      <c r="DSG19" s="30"/>
      <c r="DSH19" s="30"/>
      <c r="DSI19" s="30"/>
      <c r="DSJ19" s="30"/>
      <c r="DSK19" s="30"/>
      <c r="DSL19" s="30"/>
      <c r="DSM19" s="30"/>
      <c r="DSN19" s="30"/>
      <c r="DSO19" s="30"/>
      <c r="DSP19" s="30"/>
      <c r="DSQ19" s="30"/>
      <c r="DSR19" s="30"/>
      <c r="DSS19" s="30"/>
      <c r="DST19" s="30"/>
      <c r="DSU19" s="30"/>
      <c r="DSV19" s="30"/>
      <c r="DSW19" s="30"/>
      <c r="DSX19" s="30"/>
      <c r="DSY19" s="30"/>
      <c r="DSZ19" s="30"/>
      <c r="DTA19" s="30"/>
      <c r="DTB19" s="30"/>
      <c r="DTC19" s="30"/>
      <c r="DTD19" s="30"/>
      <c r="DTE19" s="30"/>
      <c r="DTF19" s="30"/>
      <c r="DTG19" s="30"/>
      <c r="DTH19" s="30"/>
      <c r="DTI19" s="30"/>
      <c r="DTJ19" s="30"/>
      <c r="DTK19" s="30"/>
      <c r="DTL19" s="30"/>
      <c r="DTM19" s="30"/>
      <c r="DTN19" s="30"/>
      <c r="DTO19" s="30"/>
      <c r="DTP19" s="30"/>
      <c r="DTQ19" s="30"/>
      <c r="DTR19" s="30"/>
      <c r="DTS19" s="30"/>
      <c r="DTT19" s="30"/>
      <c r="DTU19" s="30"/>
      <c r="DTV19" s="30"/>
      <c r="DTW19" s="30"/>
      <c r="DTX19" s="30"/>
      <c r="DTY19" s="30"/>
      <c r="DTZ19" s="30"/>
      <c r="DUA19" s="30"/>
      <c r="DUB19" s="30"/>
      <c r="DUC19" s="30"/>
      <c r="DUD19" s="30"/>
      <c r="DUE19" s="30"/>
      <c r="DUF19" s="30"/>
      <c r="DUG19" s="30"/>
      <c r="DUH19" s="30"/>
      <c r="DUI19" s="30"/>
      <c r="DUJ19" s="30"/>
      <c r="DUK19" s="30"/>
      <c r="DUL19" s="30"/>
      <c r="DUM19" s="30"/>
      <c r="DUN19" s="30"/>
      <c r="DUO19" s="30"/>
      <c r="DUP19" s="30"/>
      <c r="DUQ19" s="30"/>
      <c r="DUR19" s="30"/>
      <c r="DUS19" s="30"/>
      <c r="DUT19" s="30"/>
      <c r="DUU19" s="30"/>
      <c r="DUV19" s="30"/>
      <c r="DUW19" s="30"/>
      <c r="DUX19" s="30"/>
      <c r="DUY19" s="30"/>
      <c r="DUZ19" s="30"/>
      <c r="DVA19" s="30"/>
      <c r="DVB19" s="30"/>
      <c r="DVC19" s="30"/>
      <c r="DVD19" s="30"/>
      <c r="DVE19" s="30"/>
      <c r="DVF19" s="30"/>
      <c r="DVG19" s="30"/>
      <c r="DVH19" s="30"/>
      <c r="DVI19" s="30"/>
      <c r="DVJ19" s="30"/>
      <c r="DVK19" s="30"/>
      <c r="DVL19" s="30"/>
      <c r="DVM19" s="30"/>
      <c r="DVN19" s="30"/>
      <c r="DVO19" s="30"/>
      <c r="DVP19" s="30"/>
      <c r="DVQ19" s="30"/>
      <c r="DVR19" s="30"/>
      <c r="DVS19" s="30"/>
      <c r="DVT19" s="30"/>
      <c r="DVU19" s="30"/>
      <c r="DVV19" s="30"/>
      <c r="DVW19" s="30"/>
      <c r="DVX19" s="30"/>
      <c r="DVY19" s="30"/>
      <c r="DVZ19" s="30"/>
      <c r="DWA19" s="30"/>
      <c r="DWB19" s="30"/>
      <c r="DWC19" s="30"/>
      <c r="DWD19" s="30"/>
      <c r="DWE19" s="30"/>
      <c r="DWF19" s="30"/>
      <c r="DWG19" s="30"/>
      <c r="DWH19" s="30"/>
      <c r="DWI19" s="30"/>
      <c r="DWJ19" s="30"/>
      <c r="DWK19" s="30"/>
      <c r="DWL19" s="30"/>
      <c r="DWM19" s="30"/>
      <c r="DWN19" s="30"/>
      <c r="DWO19" s="30"/>
      <c r="DWP19" s="30"/>
      <c r="DWQ19" s="30"/>
      <c r="DWR19" s="30"/>
      <c r="DWS19" s="30"/>
      <c r="DWT19" s="30"/>
      <c r="DWU19" s="30"/>
      <c r="DWV19" s="30"/>
      <c r="DWW19" s="30"/>
      <c r="DWX19" s="30"/>
      <c r="DWY19" s="30"/>
      <c r="DWZ19" s="30"/>
      <c r="DXA19" s="30"/>
      <c r="DXB19" s="30"/>
      <c r="DXC19" s="30"/>
      <c r="DXD19" s="30"/>
      <c r="DXE19" s="30"/>
      <c r="DXF19" s="30"/>
      <c r="DXG19" s="30"/>
      <c r="DXH19" s="30"/>
      <c r="DXI19" s="30"/>
      <c r="DXJ19" s="30"/>
      <c r="DXK19" s="30"/>
      <c r="DXL19" s="30"/>
      <c r="DXM19" s="30"/>
      <c r="DXN19" s="30"/>
      <c r="DXO19" s="30"/>
      <c r="DXP19" s="30"/>
      <c r="DXQ19" s="30"/>
      <c r="DXR19" s="30"/>
      <c r="DXS19" s="30"/>
      <c r="DXT19" s="30"/>
      <c r="DXU19" s="30"/>
      <c r="DXV19" s="30"/>
      <c r="DXW19" s="30"/>
      <c r="DXX19" s="30"/>
      <c r="DXY19" s="30"/>
      <c r="DXZ19" s="30"/>
      <c r="DYA19" s="30"/>
      <c r="DYB19" s="30"/>
      <c r="DYC19" s="30"/>
      <c r="DYD19" s="30"/>
      <c r="DYE19" s="30"/>
      <c r="DYF19" s="30"/>
      <c r="DYG19" s="30"/>
      <c r="DYH19" s="30"/>
      <c r="DYI19" s="30"/>
      <c r="DYJ19" s="30"/>
      <c r="DYK19" s="30"/>
      <c r="DYL19" s="30"/>
      <c r="DYM19" s="30"/>
      <c r="DYN19" s="30"/>
      <c r="DYO19" s="30"/>
      <c r="DYP19" s="30"/>
      <c r="DYQ19" s="30"/>
      <c r="DYR19" s="30"/>
      <c r="DYS19" s="30"/>
      <c r="DYT19" s="30"/>
      <c r="DYU19" s="30"/>
      <c r="DYV19" s="30"/>
      <c r="DYW19" s="30"/>
      <c r="DYX19" s="30"/>
      <c r="DYY19" s="30"/>
      <c r="DYZ19" s="30"/>
      <c r="DZA19" s="30"/>
      <c r="DZB19" s="30"/>
      <c r="DZC19" s="30"/>
      <c r="DZD19" s="30"/>
      <c r="DZE19" s="30"/>
      <c r="DZF19" s="30"/>
      <c r="DZG19" s="30"/>
      <c r="DZH19" s="30"/>
      <c r="DZI19" s="30"/>
      <c r="DZJ19" s="30"/>
      <c r="DZK19" s="30"/>
      <c r="DZL19" s="30"/>
      <c r="DZM19" s="30"/>
      <c r="DZN19" s="30"/>
      <c r="DZO19" s="30"/>
      <c r="DZP19" s="30"/>
      <c r="DZQ19" s="30"/>
      <c r="DZR19" s="30"/>
      <c r="DZS19" s="30"/>
      <c r="DZT19" s="30"/>
      <c r="DZU19" s="30"/>
      <c r="DZV19" s="30"/>
      <c r="DZW19" s="30"/>
      <c r="DZX19" s="30"/>
      <c r="DZY19" s="30"/>
      <c r="DZZ19" s="30"/>
      <c r="EAA19" s="30"/>
      <c r="EAB19" s="30"/>
      <c r="EAC19" s="30"/>
      <c r="EAD19" s="30"/>
      <c r="EAE19" s="30"/>
      <c r="EAF19" s="30"/>
      <c r="EAG19" s="30"/>
      <c r="EAH19" s="30"/>
      <c r="EAI19" s="30"/>
      <c r="EAJ19" s="30"/>
      <c r="EAK19" s="30"/>
      <c r="EAL19" s="30"/>
      <c r="EAM19" s="30"/>
      <c r="EAN19" s="30"/>
      <c r="EAO19" s="30"/>
      <c r="EAP19" s="30"/>
      <c r="EAQ19" s="30"/>
      <c r="EAR19" s="30"/>
      <c r="EAS19" s="30"/>
      <c r="EAT19" s="30"/>
      <c r="EAU19" s="30"/>
      <c r="EAV19" s="30"/>
      <c r="EAW19" s="30"/>
      <c r="EAX19" s="30"/>
      <c r="EAY19" s="30"/>
      <c r="EAZ19" s="30"/>
      <c r="EBA19" s="30"/>
      <c r="EBB19" s="30"/>
      <c r="EBC19" s="30"/>
      <c r="EBD19" s="30"/>
      <c r="EBE19" s="30"/>
      <c r="EBF19" s="30"/>
      <c r="EBG19" s="30"/>
      <c r="EBH19" s="30"/>
      <c r="EBI19" s="30"/>
      <c r="EBJ19" s="30"/>
      <c r="EBK19" s="30"/>
      <c r="EBL19" s="30"/>
      <c r="EBM19" s="30"/>
      <c r="EBN19" s="30"/>
      <c r="EBO19" s="30"/>
      <c r="EBP19" s="30"/>
      <c r="EBQ19" s="30"/>
      <c r="EBR19" s="30"/>
      <c r="EBS19" s="30"/>
      <c r="EBT19" s="30"/>
      <c r="EBU19" s="30"/>
      <c r="EBV19" s="30"/>
      <c r="EBW19" s="30"/>
      <c r="EBX19" s="30"/>
      <c r="EBY19" s="30"/>
      <c r="EBZ19" s="30"/>
      <c r="ECA19" s="30"/>
      <c r="ECB19" s="30"/>
      <c r="ECC19" s="30"/>
      <c r="ECD19" s="30"/>
      <c r="ECE19" s="30"/>
      <c r="ECF19" s="30"/>
      <c r="ECG19" s="30"/>
      <c r="ECH19" s="30"/>
      <c r="ECI19" s="30"/>
      <c r="ECJ19" s="30"/>
      <c r="ECK19" s="30"/>
      <c r="ECL19" s="30"/>
      <c r="ECM19" s="30"/>
      <c r="ECN19" s="30"/>
      <c r="ECO19" s="30"/>
      <c r="ECP19" s="30"/>
      <c r="ECQ19" s="30"/>
      <c r="ECR19" s="30"/>
      <c r="ECS19" s="30"/>
      <c r="ECT19" s="30"/>
      <c r="ECU19" s="30"/>
      <c r="ECV19" s="30"/>
      <c r="ECW19" s="30"/>
      <c r="ECX19" s="30"/>
      <c r="ECY19" s="30"/>
      <c r="ECZ19" s="30"/>
      <c r="EDA19" s="30"/>
      <c r="EDB19" s="30"/>
      <c r="EDC19" s="30"/>
      <c r="EDD19" s="30"/>
      <c r="EDE19" s="30"/>
      <c r="EDF19" s="30"/>
      <c r="EDG19" s="30"/>
      <c r="EDH19" s="30"/>
      <c r="EDI19" s="30"/>
      <c r="EDJ19" s="30"/>
      <c r="EDK19" s="30"/>
      <c r="EDL19" s="30"/>
      <c r="EDM19" s="30"/>
      <c r="EDN19" s="30"/>
      <c r="EDO19" s="30"/>
      <c r="EDP19" s="30"/>
      <c r="EDQ19" s="30"/>
      <c r="EDR19" s="30"/>
      <c r="EDS19" s="30"/>
      <c r="EDT19" s="30"/>
      <c r="EDU19" s="30"/>
      <c r="EDV19" s="30"/>
      <c r="EDW19" s="30"/>
      <c r="EDX19" s="30"/>
      <c r="EDY19" s="30"/>
      <c r="EDZ19" s="30"/>
      <c r="EEA19" s="30"/>
      <c r="EEB19" s="30"/>
      <c r="EEC19" s="30"/>
      <c r="EED19" s="30"/>
      <c r="EEE19" s="30"/>
      <c r="EEF19" s="30"/>
      <c r="EEG19" s="30"/>
      <c r="EEH19" s="30"/>
      <c r="EEI19" s="30"/>
      <c r="EEJ19" s="30"/>
      <c r="EEK19" s="30"/>
      <c r="EEL19" s="30"/>
      <c r="EEM19" s="30"/>
      <c r="EEN19" s="30"/>
      <c r="EEO19" s="30"/>
      <c r="EEP19" s="30"/>
      <c r="EEQ19" s="30"/>
      <c r="EER19" s="30"/>
      <c r="EES19" s="30"/>
      <c r="EET19" s="30"/>
      <c r="EEU19" s="30"/>
      <c r="EEV19" s="30"/>
      <c r="EEW19" s="30"/>
      <c r="EEX19" s="30"/>
      <c r="EEY19" s="30"/>
      <c r="EEZ19" s="30"/>
      <c r="EFA19" s="30"/>
      <c r="EFB19" s="30"/>
      <c r="EFC19" s="30"/>
      <c r="EFD19" s="30"/>
      <c r="EFE19" s="30"/>
      <c r="EFF19" s="30"/>
      <c r="EFG19" s="30"/>
      <c r="EFH19" s="30"/>
      <c r="EFI19" s="30"/>
      <c r="EFJ19" s="30"/>
      <c r="EFK19" s="30"/>
      <c r="EFL19" s="30"/>
      <c r="EFM19" s="30"/>
      <c r="EFN19" s="30"/>
      <c r="EFO19" s="30"/>
      <c r="EFP19" s="30"/>
      <c r="EFQ19" s="30"/>
      <c r="EFR19" s="30"/>
      <c r="EFS19" s="30"/>
      <c r="EFT19" s="30"/>
      <c r="EFU19" s="30"/>
      <c r="EFV19" s="30"/>
      <c r="EFW19" s="30"/>
      <c r="EFX19" s="30"/>
      <c r="EFY19" s="30"/>
      <c r="EFZ19" s="30"/>
      <c r="EGA19" s="30"/>
      <c r="EGB19" s="30"/>
      <c r="EGC19" s="30"/>
      <c r="EGD19" s="30"/>
      <c r="EGE19" s="30"/>
      <c r="EGF19" s="30"/>
      <c r="EGG19" s="30"/>
      <c r="EGH19" s="30"/>
      <c r="EGI19" s="30"/>
      <c r="EGJ19" s="30"/>
      <c r="EGK19" s="30"/>
      <c r="EGL19" s="30"/>
      <c r="EGM19" s="30"/>
      <c r="EGN19" s="30"/>
      <c r="EGO19" s="30"/>
      <c r="EGP19" s="30"/>
      <c r="EGQ19" s="30"/>
      <c r="EGR19" s="30"/>
      <c r="EGS19" s="30"/>
      <c r="EGT19" s="30"/>
      <c r="EGU19" s="30"/>
      <c r="EGV19" s="30"/>
      <c r="EGW19" s="30"/>
      <c r="EGX19" s="30"/>
      <c r="EGY19" s="30"/>
      <c r="EGZ19" s="30"/>
      <c r="EHA19" s="30"/>
      <c r="EHB19" s="30"/>
      <c r="EHC19" s="30"/>
      <c r="EHD19" s="30"/>
      <c r="EHE19" s="30"/>
      <c r="EHF19" s="30"/>
      <c r="EHG19" s="30"/>
      <c r="EHH19" s="30"/>
      <c r="EHI19" s="30"/>
      <c r="EHJ19" s="30"/>
      <c r="EHK19" s="30"/>
      <c r="EHL19" s="30"/>
      <c r="EHM19" s="30"/>
      <c r="EHN19" s="30"/>
      <c r="EHO19" s="30"/>
      <c r="EHP19" s="30"/>
      <c r="EHQ19" s="30"/>
      <c r="EHR19" s="30"/>
      <c r="EHS19" s="30"/>
      <c r="EHT19" s="30"/>
      <c r="EHU19" s="30"/>
      <c r="EHV19" s="30"/>
      <c r="EHW19" s="30"/>
      <c r="EHX19" s="30"/>
      <c r="EHY19" s="30"/>
      <c r="EHZ19" s="30"/>
      <c r="EIA19" s="30"/>
      <c r="EIB19" s="30"/>
      <c r="EIC19" s="30"/>
      <c r="EID19" s="30"/>
      <c r="EIE19" s="30"/>
      <c r="EIF19" s="30"/>
      <c r="EIG19" s="30"/>
      <c r="EIH19" s="30"/>
      <c r="EII19" s="30"/>
      <c r="EIJ19" s="30"/>
      <c r="EIK19" s="30"/>
      <c r="EIL19" s="30"/>
      <c r="EIM19" s="30"/>
      <c r="EIN19" s="30"/>
      <c r="EIO19" s="30"/>
      <c r="EIP19" s="30"/>
      <c r="EIQ19" s="30"/>
      <c r="EIR19" s="30"/>
      <c r="EIS19" s="30"/>
      <c r="EIT19" s="30"/>
      <c r="EIU19" s="30"/>
      <c r="EIV19" s="30"/>
      <c r="EIW19" s="30"/>
      <c r="EIX19" s="30"/>
      <c r="EIY19" s="30"/>
      <c r="EIZ19" s="30"/>
      <c r="EJA19" s="30"/>
      <c r="EJB19" s="30"/>
      <c r="EJC19" s="30"/>
      <c r="EJD19" s="30"/>
      <c r="EJE19" s="30"/>
      <c r="EJF19" s="30"/>
      <c r="EJG19" s="30"/>
      <c r="EJH19" s="30"/>
      <c r="EJI19" s="30"/>
      <c r="EJJ19" s="30"/>
      <c r="EJK19" s="30"/>
      <c r="EJL19" s="30"/>
      <c r="EJM19" s="30"/>
      <c r="EJN19" s="30"/>
      <c r="EJO19" s="30"/>
      <c r="EJP19" s="30"/>
      <c r="EJQ19" s="30"/>
      <c r="EJR19" s="30"/>
      <c r="EJS19" s="30"/>
      <c r="EJT19" s="30"/>
      <c r="EJU19" s="30"/>
      <c r="EJV19" s="30"/>
      <c r="EJW19" s="30"/>
      <c r="EJX19" s="30"/>
      <c r="EJY19" s="30"/>
      <c r="EJZ19" s="30"/>
      <c r="EKA19" s="30"/>
      <c r="EKB19" s="30"/>
      <c r="EKC19" s="30"/>
      <c r="EKD19" s="30"/>
      <c r="EKE19" s="30"/>
      <c r="EKF19" s="30"/>
      <c r="EKG19" s="30"/>
      <c r="EKH19" s="30"/>
      <c r="EKI19" s="30"/>
      <c r="EKJ19" s="30"/>
      <c r="EKK19" s="30"/>
      <c r="EKL19" s="30"/>
      <c r="EKM19" s="30"/>
      <c r="EKN19" s="30"/>
      <c r="EKO19" s="30"/>
      <c r="EKP19" s="30"/>
      <c r="EKQ19" s="30"/>
      <c r="EKR19" s="30"/>
      <c r="EKS19" s="30"/>
      <c r="EKT19" s="30"/>
      <c r="EKU19" s="30"/>
      <c r="EKV19" s="30"/>
      <c r="EKW19" s="30"/>
      <c r="EKX19" s="30"/>
      <c r="EKY19" s="30"/>
      <c r="EKZ19" s="30"/>
      <c r="ELA19" s="30"/>
      <c r="ELB19" s="30"/>
      <c r="ELC19" s="30"/>
      <c r="ELD19" s="30"/>
      <c r="ELE19" s="30"/>
      <c r="ELF19" s="30"/>
      <c r="ELG19" s="30"/>
      <c r="ELH19" s="30"/>
      <c r="ELI19" s="30"/>
      <c r="ELJ19" s="30"/>
      <c r="ELK19" s="30"/>
      <c r="ELL19" s="30"/>
      <c r="ELM19" s="30"/>
      <c r="ELN19" s="30"/>
      <c r="ELO19" s="30"/>
      <c r="ELP19" s="30"/>
      <c r="ELQ19" s="30"/>
      <c r="ELR19" s="30"/>
      <c r="ELS19" s="30"/>
      <c r="ELT19" s="30"/>
      <c r="ELU19" s="30"/>
      <c r="ELV19" s="30"/>
      <c r="ELW19" s="30"/>
      <c r="ELX19" s="30"/>
      <c r="ELY19" s="30"/>
      <c r="ELZ19" s="30"/>
      <c r="EMA19" s="30"/>
      <c r="EMB19" s="30"/>
      <c r="EMC19" s="30"/>
      <c r="EMD19" s="30"/>
      <c r="EME19" s="30"/>
      <c r="EMF19" s="30"/>
      <c r="EMG19" s="30"/>
      <c r="EMH19" s="30"/>
      <c r="EMI19" s="30"/>
      <c r="EMJ19" s="30"/>
      <c r="EMK19" s="30"/>
      <c r="EML19" s="30"/>
      <c r="EMM19" s="30"/>
      <c r="EMN19" s="30"/>
      <c r="EMO19" s="30"/>
      <c r="EMP19" s="30"/>
      <c r="EMQ19" s="30"/>
      <c r="EMR19" s="30"/>
      <c r="EMS19" s="30"/>
      <c r="EMT19" s="30"/>
      <c r="EMU19" s="30"/>
      <c r="EMV19" s="30"/>
      <c r="EMW19" s="30"/>
      <c r="EMX19" s="30"/>
      <c r="EMY19" s="30"/>
      <c r="EMZ19" s="30"/>
      <c r="ENA19" s="30"/>
      <c r="ENB19" s="30"/>
      <c r="ENC19" s="30"/>
      <c r="END19" s="30"/>
      <c r="ENE19" s="30"/>
      <c r="ENF19" s="30"/>
      <c r="ENG19" s="30"/>
      <c r="ENH19" s="30"/>
      <c r="ENI19" s="30"/>
      <c r="ENJ19" s="30"/>
      <c r="ENK19" s="30"/>
      <c r="ENL19" s="30"/>
      <c r="ENM19" s="30"/>
      <c r="ENN19" s="30"/>
      <c r="ENO19" s="30"/>
      <c r="ENP19" s="30"/>
      <c r="ENQ19" s="30"/>
      <c r="ENR19" s="30"/>
      <c r="ENS19" s="30"/>
      <c r="ENT19" s="30"/>
      <c r="ENU19" s="30"/>
      <c r="ENV19" s="30"/>
      <c r="ENW19" s="30"/>
      <c r="ENX19" s="30"/>
      <c r="ENY19" s="30"/>
      <c r="ENZ19" s="30"/>
      <c r="EOA19" s="30"/>
      <c r="EOB19" s="30"/>
      <c r="EOC19" s="30"/>
      <c r="EOD19" s="30"/>
      <c r="EOE19" s="30"/>
      <c r="EOF19" s="30"/>
      <c r="EOG19" s="30"/>
      <c r="EOH19" s="30"/>
      <c r="EOI19" s="30"/>
      <c r="EOJ19" s="30"/>
      <c r="EOK19" s="30"/>
      <c r="EOL19" s="30"/>
      <c r="EOM19" s="30"/>
      <c r="EON19" s="30"/>
      <c r="EOO19" s="30"/>
      <c r="EOP19" s="30"/>
      <c r="EOQ19" s="30"/>
      <c r="EOR19" s="30"/>
      <c r="EOS19" s="30"/>
      <c r="EOT19" s="30"/>
      <c r="EOU19" s="30"/>
      <c r="EOV19" s="30"/>
      <c r="EOW19" s="30"/>
      <c r="EOX19" s="30"/>
      <c r="EOY19" s="30"/>
      <c r="EOZ19" s="30"/>
      <c r="EPA19" s="30"/>
      <c r="EPB19" s="30"/>
      <c r="EPC19" s="30"/>
      <c r="EPD19" s="30"/>
      <c r="EPE19" s="30"/>
      <c r="EPF19" s="30"/>
      <c r="EPG19" s="30"/>
      <c r="EPH19" s="30"/>
      <c r="EPI19" s="30"/>
      <c r="EPJ19" s="30"/>
      <c r="EPK19" s="30"/>
      <c r="EPL19" s="30"/>
      <c r="EPM19" s="30"/>
      <c r="EPN19" s="30"/>
      <c r="EPO19" s="30"/>
      <c r="EPP19" s="30"/>
      <c r="EPQ19" s="30"/>
      <c r="EPR19" s="30"/>
      <c r="EPS19" s="30"/>
      <c r="EPT19" s="30"/>
      <c r="EPU19" s="30"/>
      <c r="EPV19" s="30"/>
      <c r="EPW19" s="30"/>
      <c r="EPX19" s="30"/>
      <c r="EPY19" s="30"/>
      <c r="EPZ19" s="30"/>
      <c r="EQA19" s="30"/>
      <c r="EQB19" s="30"/>
      <c r="EQC19" s="30"/>
      <c r="EQD19" s="30"/>
      <c r="EQE19" s="30"/>
      <c r="EQF19" s="30"/>
      <c r="EQG19" s="30"/>
      <c r="EQH19" s="30"/>
      <c r="EQI19" s="30"/>
      <c r="EQJ19" s="30"/>
      <c r="EQK19" s="30"/>
      <c r="EQL19" s="30"/>
      <c r="EQM19" s="30"/>
      <c r="EQN19" s="30"/>
      <c r="EQO19" s="30"/>
      <c r="EQP19" s="30"/>
      <c r="EQQ19" s="30"/>
      <c r="EQR19" s="30"/>
      <c r="EQS19" s="30"/>
      <c r="EQT19" s="30"/>
      <c r="EQU19" s="30"/>
      <c r="EQV19" s="30"/>
      <c r="EQW19" s="30"/>
      <c r="EQX19" s="30"/>
      <c r="EQY19" s="30"/>
      <c r="EQZ19" s="30"/>
      <c r="ERA19" s="30"/>
      <c r="ERB19" s="30"/>
      <c r="ERC19" s="30"/>
      <c r="ERD19" s="30"/>
      <c r="ERE19" s="30"/>
      <c r="ERF19" s="30"/>
      <c r="ERG19" s="30"/>
      <c r="ERH19" s="30"/>
      <c r="ERI19" s="30"/>
      <c r="ERJ19" s="30"/>
      <c r="ERK19" s="30"/>
      <c r="ERL19" s="30"/>
      <c r="ERM19" s="30"/>
      <c r="ERN19" s="30"/>
      <c r="ERO19" s="30"/>
      <c r="ERP19" s="30"/>
      <c r="ERQ19" s="30"/>
      <c r="ERR19" s="30"/>
      <c r="ERS19" s="30"/>
      <c r="ERT19" s="30"/>
      <c r="ERU19" s="30"/>
      <c r="ERV19" s="30"/>
      <c r="ERW19" s="30"/>
      <c r="ERX19" s="30"/>
      <c r="ERY19" s="30"/>
      <c r="ERZ19" s="30"/>
      <c r="ESA19" s="30"/>
      <c r="ESB19" s="30"/>
      <c r="ESC19" s="30"/>
      <c r="ESD19" s="30"/>
      <c r="ESE19" s="30"/>
      <c r="ESF19" s="30"/>
      <c r="ESG19" s="30"/>
      <c r="ESH19" s="30"/>
      <c r="ESI19" s="30"/>
      <c r="ESJ19" s="30"/>
      <c r="ESK19" s="30"/>
      <c r="ESL19" s="30"/>
      <c r="ESM19" s="30"/>
      <c r="ESN19" s="30"/>
      <c r="ESO19" s="30"/>
      <c r="ESP19" s="30"/>
      <c r="ESQ19" s="30"/>
      <c r="ESR19" s="30"/>
      <c r="ESS19" s="30"/>
      <c r="EST19" s="30"/>
      <c r="ESU19" s="30"/>
      <c r="ESV19" s="30"/>
      <c r="ESW19" s="30"/>
      <c r="ESX19" s="30"/>
      <c r="ESY19" s="30"/>
      <c r="ESZ19" s="30"/>
      <c r="ETA19" s="30"/>
      <c r="ETB19" s="30"/>
      <c r="ETC19" s="30"/>
      <c r="ETD19" s="30"/>
      <c r="ETE19" s="30"/>
      <c r="ETF19" s="30"/>
      <c r="ETG19" s="30"/>
      <c r="ETH19" s="30"/>
      <c r="ETI19" s="30"/>
      <c r="ETJ19" s="30"/>
      <c r="ETK19" s="30"/>
      <c r="ETL19" s="30"/>
      <c r="ETM19" s="30"/>
      <c r="ETN19" s="30"/>
      <c r="ETO19" s="30"/>
      <c r="ETP19" s="30"/>
      <c r="ETQ19" s="30"/>
      <c r="ETR19" s="30"/>
      <c r="ETS19" s="30"/>
      <c r="ETT19" s="30"/>
      <c r="ETU19" s="30"/>
      <c r="ETV19" s="30"/>
      <c r="ETW19" s="30"/>
      <c r="ETX19" s="30"/>
      <c r="ETY19" s="30"/>
      <c r="ETZ19" s="30"/>
      <c r="EUA19" s="30"/>
      <c r="EUB19" s="30"/>
      <c r="EUC19" s="30"/>
      <c r="EUD19" s="30"/>
      <c r="EUE19" s="30"/>
      <c r="EUF19" s="30"/>
      <c r="EUG19" s="30"/>
      <c r="EUH19" s="30"/>
      <c r="EUI19" s="30"/>
      <c r="EUJ19" s="30"/>
      <c r="EUK19" s="30"/>
      <c r="EUL19" s="30"/>
      <c r="EUM19" s="30"/>
      <c r="EUN19" s="30"/>
      <c r="EUO19" s="30"/>
      <c r="EUP19" s="30"/>
      <c r="EUQ19" s="30"/>
      <c r="EUR19" s="30"/>
      <c r="EUS19" s="30"/>
      <c r="EUT19" s="30"/>
      <c r="EUU19" s="30"/>
      <c r="EUV19" s="30"/>
      <c r="EUW19" s="30"/>
      <c r="EUX19" s="30"/>
      <c r="EUY19" s="30"/>
      <c r="EUZ19" s="30"/>
      <c r="EVA19" s="30"/>
      <c r="EVB19" s="30"/>
      <c r="EVC19" s="30"/>
      <c r="EVD19" s="30"/>
      <c r="EVE19" s="30"/>
      <c r="EVF19" s="30"/>
      <c r="EVG19" s="30"/>
      <c r="EVH19" s="30"/>
      <c r="EVI19" s="30"/>
      <c r="EVJ19" s="30"/>
      <c r="EVK19" s="30"/>
      <c r="EVL19" s="30"/>
      <c r="EVM19" s="30"/>
      <c r="EVN19" s="30"/>
      <c r="EVO19" s="30"/>
      <c r="EVP19" s="30"/>
      <c r="EVQ19" s="30"/>
      <c r="EVR19" s="30"/>
      <c r="EVS19" s="30"/>
      <c r="EVT19" s="30"/>
      <c r="EVU19" s="30"/>
      <c r="EVV19" s="30"/>
      <c r="EVW19" s="30"/>
      <c r="EVX19" s="30"/>
      <c r="EVY19" s="30"/>
      <c r="EVZ19" s="30"/>
      <c r="EWA19" s="30"/>
      <c r="EWB19" s="30"/>
      <c r="EWC19" s="30"/>
      <c r="EWD19" s="30"/>
      <c r="EWE19" s="30"/>
      <c r="EWF19" s="30"/>
      <c r="EWG19" s="30"/>
      <c r="EWH19" s="30"/>
      <c r="EWI19" s="30"/>
      <c r="EWJ19" s="30"/>
      <c r="EWK19" s="30"/>
      <c r="EWL19" s="30"/>
      <c r="EWM19" s="30"/>
      <c r="EWN19" s="30"/>
      <c r="EWO19" s="30"/>
      <c r="EWP19" s="30"/>
      <c r="EWQ19" s="30"/>
      <c r="EWR19" s="30"/>
      <c r="EWS19" s="30"/>
      <c r="EWT19" s="30"/>
      <c r="EWU19" s="30"/>
      <c r="EWV19" s="30"/>
      <c r="EWW19" s="30"/>
      <c r="EWX19" s="30"/>
      <c r="EWY19" s="30"/>
      <c r="EWZ19" s="30"/>
      <c r="EXA19" s="30"/>
      <c r="EXB19" s="30"/>
      <c r="EXC19" s="30"/>
      <c r="EXD19" s="30"/>
      <c r="EXE19" s="30"/>
      <c r="EXF19" s="30"/>
      <c r="EXG19" s="30"/>
      <c r="EXH19" s="30"/>
      <c r="EXI19" s="30"/>
      <c r="EXJ19" s="30"/>
      <c r="EXK19" s="30"/>
      <c r="EXL19" s="30"/>
      <c r="EXM19" s="30"/>
      <c r="EXN19" s="30"/>
      <c r="EXO19" s="30"/>
      <c r="EXP19" s="30"/>
      <c r="EXQ19" s="30"/>
      <c r="EXR19" s="30"/>
      <c r="EXS19" s="30"/>
      <c r="EXT19" s="30"/>
      <c r="EXU19" s="30"/>
      <c r="EXV19" s="30"/>
      <c r="EXW19" s="30"/>
      <c r="EXX19" s="30"/>
      <c r="EXY19" s="30"/>
      <c r="EXZ19" s="30"/>
      <c r="EYA19" s="30"/>
      <c r="EYB19" s="30"/>
      <c r="EYC19" s="30"/>
      <c r="EYD19" s="30"/>
      <c r="EYE19" s="30"/>
      <c r="EYF19" s="30"/>
      <c r="EYG19" s="30"/>
      <c r="EYH19" s="30"/>
      <c r="EYI19" s="30"/>
      <c r="EYJ19" s="30"/>
      <c r="EYK19" s="30"/>
      <c r="EYL19" s="30"/>
      <c r="EYM19" s="30"/>
      <c r="EYN19" s="30"/>
      <c r="EYO19" s="30"/>
      <c r="EYP19" s="30"/>
      <c r="EYQ19" s="30"/>
      <c r="EYR19" s="30"/>
      <c r="EYS19" s="30"/>
      <c r="EYT19" s="30"/>
      <c r="EYU19" s="30"/>
      <c r="EYV19" s="30"/>
      <c r="EYW19" s="30"/>
      <c r="EYX19" s="30"/>
      <c r="EYY19" s="30"/>
      <c r="EYZ19" s="30"/>
      <c r="EZA19" s="30"/>
      <c r="EZB19" s="30"/>
      <c r="EZC19" s="30"/>
      <c r="EZD19" s="30"/>
      <c r="EZE19" s="30"/>
      <c r="EZF19" s="30"/>
      <c r="EZG19" s="30"/>
      <c r="EZH19" s="30"/>
      <c r="EZI19" s="30"/>
      <c r="EZJ19" s="30"/>
      <c r="EZK19" s="30"/>
      <c r="EZL19" s="30"/>
      <c r="EZM19" s="30"/>
      <c r="EZN19" s="30"/>
      <c r="EZO19" s="30"/>
      <c r="EZP19" s="30"/>
      <c r="EZQ19" s="30"/>
      <c r="EZR19" s="30"/>
      <c r="EZS19" s="30"/>
      <c r="EZT19" s="30"/>
      <c r="EZU19" s="30"/>
      <c r="EZV19" s="30"/>
      <c r="EZW19" s="30"/>
      <c r="EZX19" s="30"/>
      <c r="EZY19" s="30"/>
      <c r="EZZ19" s="30"/>
      <c r="FAA19" s="30"/>
      <c r="FAB19" s="30"/>
      <c r="FAC19" s="30"/>
      <c r="FAD19" s="30"/>
      <c r="FAE19" s="30"/>
      <c r="FAF19" s="30"/>
      <c r="FAG19" s="30"/>
      <c r="FAH19" s="30"/>
      <c r="FAI19" s="30"/>
      <c r="FAJ19" s="30"/>
      <c r="FAK19" s="30"/>
      <c r="FAL19" s="30"/>
      <c r="FAM19" s="30"/>
      <c r="FAN19" s="30"/>
      <c r="FAO19" s="30"/>
      <c r="FAP19" s="30"/>
      <c r="FAQ19" s="30"/>
      <c r="FAR19" s="30"/>
      <c r="FAS19" s="30"/>
      <c r="FAT19" s="30"/>
      <c r="FAU19" s="30"/>
      <c r="FAV19" s="30"/>
      <c r="FAW19" s="30"/>
      <c r="FAX19" s="30"/>
      <c r="FAY19" s="30"/>
      <c r="FAZ19" s="30"/>
      <c r="FBA19" s="30"/>
      <c r="FBB19" s="30"/>
      <c r="FBC19" s="30"/>
      <c r="FBD19" s="30"/>
      <c r="FBE19" s="30"/>
      <c r="FBF19" s="30"/>
      <c r="FBG19" s="30"/>
      <c r="FBH19" s="30"/>
      <c r="FBI19" s="30"/>
      <c r="FBJ19" s="30"/>
      <c r="FBK19" s="30"/>
      <c r="FBL19" s="30"/>
      <c r="FBM19" s="30"/>
      <c r="FBN19" s="30"/>
      <c r="FBO19" s="30"/>
      <c r="FBP19" s="30"/>
      <c r="FBQ19" s="30"/>
      <c r="FBR19" s="30"/>
      <c r="FBS19" s="30"/>
      <c r="FBT19" s="30"/>
      <c r="FBU19" s="30"/>
      <c r="FBV19" s="30"/>
      <c r="FBW19" s="30"/>
      <c r="FBX19" s="30"/>
      <c r="FBY19" s="30"/>
      <c r="FBZ19" s="30"/>
      <c r="FCA19" s="30"/>
      <c r="FCB19" s="30"/>
      <c r="FCC19" s="30"/>
      <c r="FCD19" s="30"/>
      <c r="FCE19" s="30"/>
      <c r="FCF19" s="30"/>
      <c r="FCG19" s="30"/>
      <c r="FCH19" s="30"/>
      <c r="FCI19" s="30"/>
      <c r="FCJ19" s="30"/>
      <c r="FCK19" s="30"/>
      <c r="FCL19" s="30"/>
      <c r="FCM19" s="30"/>
      <c r="FCN19" s="30"/>
      <c r="FCO19" s="30"/>
      <c r="FCP19" s="30"/>
      <c r="FCQ19" s="30"/>
      <c r="FCR19" s="30"/>
      <c r="FCS19" s="30"/>
      <c r="FCT19" s="30"/>
      <c r="FCU19" s="30"/>
      <c r="FCV19" s="30"/>
      <c r="FCW19" s="30"/>
      <c r="FCX19" s="30"/>
      <c r="FCY19" s="30"/>
      <c r="FCZ19" s="30"/>
      <c r="FDA19" s="30"/>
      <c r="FDB19" s="30"/>
      <c r="FDC19" s="30"/>
      <c r="FDD19" s="30"/>
      <c r="FDE19" s="30"/>
      <c r="FDF19" s="30"/>
      <c r="FDG19" s="30"/>
      <c r="FDH19" s="30"/>
      <c r="FDI19" s="30"/>
      <c r="FDJ19" s="30"/>
      <c r="FDK19" s="30"/>
      <c r="FDL19" s="30"/>
      <c r="FDM19" s="30"/>
      <c r="FDN19" s="30"/>
      <c r="FDO19" s="30"/>
      <c r="FDP19" s="30"/>
      <c r="FDQ19" s="30"/>
      <c r="FDR19" s="30"/>
      <c r="FDS19" s="30"/>
      <c r="FDT19" s="30"/>
      <c r="FDU19" s="30"/>
      <c r="FDV19" s="30"/>
      <c r="FDW19" s="30"/>
      <c r="FDX19" s="30"/>
      <c r="FDY19" s="30"/>
      <c r="FDZ19" s="30"/>
      <c r="FEA19" s="30"/>
      <c r="FEB19" s="30"/>
      <c r="FEC19" s="30"/>
      <c r="FED19" s="30"/>
      <c r="FEE19" s="30"/>
      <c r="FEF19" s="30"/>
      <c r="FEG19" s="30"/>
      <c r="FEH19" s="30"/>
      <c r="FEI19" s="30"/>
      <c r="FEJ19" s="30"/>
      <c r="FEK19" s="30"/>
      <c r="FEL19" s="30"/>
      <c r="FEM19" s="30"/>
      <c r="FEN19" s="30"/>
      <c r="FEO19" s="30"/>
      <c r="FEP19" s="30"/>
      <c r="FEQ19" s="30"/>
      <c r="FER19" s="30"/>
      <c r="FES19" s="30"/>
      <c r="FET19" s="30"/>
      <c r="FEU19" s="30"/>
      <c r="FEV19" s="30"/>
      <c r="FEW19" s="30"/>
      <c r="FEX19" s="30"/>
      <c r="FEY19" s="30"/>
      <c r="FEZ19" s="30"/>
      <c r="FFA19" s="30"/>
      <c r="FFB19" s="30"/>
      <c r="FFC19" s="30"/>
      <c r="FFD19" s="30"/>
      <c r="FFE19" s="30"/>
      <c r="FFF19" s="30"/>
      <c r="FFG19" s="30"/>
      <c r="FFH19" s="30"/>
      <c r="FFI19" s="30"/>
      <c r="FFJ19" s="30"/>
      <c r="FFK19" s="30"/>
      <c r="FFL19" s="30"/>
      <c r="FFM19" s="30"/>
      <c r="FFN19" s="30"/>
      <c r="FFO19" s="30"/>
      <c r="FFP19" s="30"/>
      <c r="FFQ19" s="30"/>
      <c r="FFR19" s="30"/>
      <c r="FFS19" s="30"/>
      <c r="FFT19" s="30"/>
      <c r="FFU19" s="30"/>
      <c r="FFV19" s="30"/>
      <c r="FFW19" s="30"/>
      <c r="FFX19" s="30"/>
      <c r="FFY19" s="30"/>
      <c r="FFZ19" s="30"/>
      <c r="FGA19" s="30"/>
      <c r="FGB19" s="30"/>
      <c r="FGC19" s="30"/>
      <c r="FGD19" s="30"/>
      <c r="FGE19" s="30"/>
      <c r="FGF19" s="30"/>
      <c r="FGG19" s="30"/>
      <c r="FGH19" s="30"/>
      <c r="FGI19" s="30"/>
      <c r="FGJ19" s="30"/>
      <c r="FGK19" s="30"/>
      <c r="FGL19" s="30"/>
      <c r="FGM19" s="30"/>
      <c r="FGN19" s="30"/>
      <c r="FGO19" s="30"/>
      <c r="FGP19" s="30"/>
      <c r="FGQ19" s="30"/>
      <c r="FGR19" s="30"/>
      <c r="FGS19" s="30"/>
      <c r="FGT19" s="30"/>
      <c r="FGU19" s="30"/>
      <c r="FGV19" s="30"/>
      <c r="FGW19" s="30"/>
      <c r="FGX19" s="30"/>
      <c r="FGY19" s="30"/>
      <c r="FGZ19" s="30"/>
      <c r="FHA19" s="30"/>
      <c r="FHB19" s="30"/>
      <c r="FHC19" s="30"/>
      <c r="FHD19" s="30"/>
      <c r="FHE19" s="30"/>
      <c r="FHF19" s="30"/>
      <c r="FHG19" s="30"/>
      <c r="FHH19" s="30"/>
      <c r="FHI19" s="30"/>
      <c r="FHJ19" s="30"/>
      <c r="FHK19" s="30"/>
      <c r="FHL19" s="30"/>
      <c r="FHM19" s="30"/>
      <c r="FHN19" s="30"/>
      <c r="FHO19" s="30"/>
      <c r="FHP19" s="30"/>
      <c r="FHQ19" s="30"/>
      <c r="FHR19" s="30"/>
      <c r="FHS19" s="30"/>
      <c r="FHT19" s="30"/>
      <c r="FHU19" s="30"/>
      <c r="FHV19" s="30"/>
      <c r="FHW19" s="30"/>
      <c r="FHX19" s="30"/>
      <c r="FHY19" s="30"/>
      <c r="FHZ19" s="30"/>
      <c r="FIA19" s="30"/>
      <c r="FIB19" s="30"/>
      <c r="FIC19" s="30"/>
      <c r="FID19" s="30"/>
      <c r="FIE19" s="30"/>
      <c r="FIF19" s="30"/>
      <c r="FIG19" s="30"/>
      <c r="FIH19" s="30"/>
      <c r="FII19" s="30"/>
      <c r="FIJ19" s="30"/>
      <c r="FIK19" s="30"/>
      <c r="FIL19" s="30"/>
      <c r="FIM19" s="30"/>
      <c r="FIN19" s="30"/>
      <c r="FIO19" s="30"/>
      <c r="FIP19" s="30"/>
      <c r="FIQ19" s="30"/>
      <c r="FIR19" s="30"/>
      <c r="FIS19" s="30"/>
      <c r="FIT19" s="30"/>
      <c r="FIU19" s="30"/>
      <c r="FIV19" s="30"/>
      <c r="FIW19" s="30"/>
      <c r="FIX19" s="30"/>
      <c r="FIY19" s="30"/>
      <c r="FIZ19" s="30"/>
      <c r="FJA19" s="30"/>
      <c r="FJB19" s="30"/>
      <c r="FJC19" s="30"/>
      <c r="FJD19" s="30"/>
      <c r="FJE19" s="30"/>
      <c r="FJF19" s="30"/>
      <c r="FJG19" s="30"/>
      <c r="FJH19" s="30"/>
      <c r="FJI19" s="30"/>
      <c r="FJJ19" s="30"/>
      <c r="FJK19" s="30"/>
      <c r="FJL19" s="30"/>
      <c r="FJM19" s="30"/>
      <c r="FJN19" s="30"/>
      <c r="FJO19" s="30"/>
      <c r="FJP19" s="30"/>
      <c r="FJQ19" s="30"/>
      <c r="FJR19" s="30"/>
      <c r="FJS19" s="30"/>
      <c r="FJT19" s="30"/>
      <c r="FJU19" s="30"/>
      <c r="FJV19" s="30"/>
      <c r="FJW19" s="30"/>
      <c r="FJX19" s="30"/>
      <c r="FJY19" s="30"/>
      <c r="FJZ19" s="30"/>
      <c r="FKA19" s="30"/>
      <c r="FKB19" s="30"/>
      <c r="FKC19" s="30"/>
      <c r="FKD19" s="30"/>
      <c r="FKE19" s="30"/>
      <c r="FKF19" s="30"/>
      <c r="FKG19" s="30"/>
      <c r="FKH19" s="30"/>
      <c r="FKI19" s="30"/>
      <c r="FKJ19" s="30"/>
      <c r="FKK19" s="30"/>
      <c r="FKL19" s="30"/>
      <c r="FKM19" s="30"/>
      <c r="FKN19" s="30"/>
      <c r="FKO19" s="30"/>
      <c r="FKP19" s="30"/>
      <c r="FKQ19" s="30"/>
      <c r="FKR19" s="30"/>
      <c r="FKS19" s="30"/>
      <c r="FKT19" s="30"/>
      <c r="FKU19" s="30"/>
      <c r="FKV19" s="30"/>
      <c r="FKW19" s="30"/>
      <c r="FKX19" s="30"/>
      <c r="FKY19" s="30"/>
      <c r="FKZ19" s="30"/>
      <c r="FLA19" s="30"/>
      <c r="FLB19" s="30"/>
      <c r="FLC19" s="30"/>
      <c r="FLD19" s="30"/>
      <c r="FLE19" s="30"/>
      <c r="FLF19" s="30"/>
      <c r="FLG19" s="30"/>
      <c r="FLH19" s="30"/>
      <c r="FLI19" s="30"/>
      <c r="FLJ19" s="30"/>
      <c r="FLK19" s="30"/>
      <c r="FLL19" s="30"/>
      <c r="FLM19" s="30"/>
      <c r="FLN19" s="30"/>
      <c r="FLO19" s="30"/>
      <c r="FLP19" s="30"/>
      <c r="FLQ19" s="30"/>
      <c r="FLR19" s="30"/>
      <c r="FLS19" s="30"/>
      <c r="FLT19" s="30"/>
      <c r="FLU19" s="30"/>
      <c r="FLV19" s="30"/>
      <c r="FLW19" s="30"/>
      <c r="FLX19" s="30"/>
      <c r="FLY19" s="30"/>
      <c r="FLZ19" s="30"/>
      <c r="FMA19" s="30"/>
      <c r="FMB19" s="30"/>
      <c r="FMC19" s="30"/>
      <c r="FMD19" s="30"/>
      <c r="FME19" s="30"/>
      <c r="FMF19" s="30"/>
      <c r="FMG19" s="30"/>
      <c r="FMH19" s="30"/>
      <c r="FMI19" s="30"/>
      <c r="FMJ19" s="30"/>
      <c r="FMK19" s="30"/>
      <c r="FML19" s="30"/>
      <c r="FMM19" s="30"/>
      <c r="FMN19" s="30"/>
      <c r="FMO19" s="30"/>
      <c r="FMP19" s="30"/>
      <c r="FMQ19" s="30"/>
      <c r="FMR19" s="30"/>
      <c r="FMS19" s="30"/>
      <c r="FMT19" s="30"/>
      <c r="FMU19" s="30"/>
      <c r="FMV19" s="30"/>
      <c r="FMW19" s="30"/>
      <c r="FMX19" s="30"/>
      <c r="FMY19" s="30"/>
      <c r="FMZ19" s="30"/>
      <c r="FNA19" s="30"/>
      <c r="FNB19" s="30"/>
      <c r="FNC19" s="30"/>
      <c r="FND19" s="30"/>
      <c r="FNE19" s="30"/>
      <c r="FNF19" s="30"/>
      <c r="FNG19" s="30"/>
      <c r="FNH19" s="30"/>
      <c r="FNI19" s="30"/>
      <c r="FNJ19" s="30"/>
      <c r="FNK19" s="30"/>
      <c r="FNL19" s="30"/>
      <c r="FNM19" s="30"/>
      <c r="FNN19" s="30"/>
      <c r="FNO19" s="30"/>
      <c r="FNP19" s="30"/>
      <c r="FNQ19" s="30"/>
      <c r="FNR19" s="30"/>
      <c r="FNS19" s="30"/>
      <c r="FNT19" s="30"/>
      <c r="FNU19" s="30"/>
      <c r="FNV19" s="30"/>
      <c r="FNW19" s="30"/>
      <c r="FNX19" s="30"/>
      <c r="FNY19" s="30"/>
      <c r="FNZ19" s="30"/>
      <c r="FOA19" s="30"/>
      <c r="FOB19" s="30"/>
      <c r="FOC19" s="30"/>
      <c r="FOD19" s="30"/>
      <c r="FOE19" s="30"/>
      <c r="FOF19" s="30"/>
      <c r="FOG19" s="30"/>
      <c r="FOH19" s="30"/>
      <c r="FOI19" s="30"/>
      <c r="FOJ19" s="30"/>
      <c r="FOK19" s="30"/>
      <c r="FOL19" s="30"/>
      <c r="FOM19" s="30"/>
      <c r="FON19" s="30"/>
      <c r="FOO19" s="30"/>
      <c r="FOP19" s="30"/>
      <c r="FOQ19" s="30"/>
      <c r="FOR19" s="30"/>
      <c r="FOS19" s="30"/>
      <c r="FOT19" s="30"/>
      <c r="FOU19" s="30"/>
      <c r="FOV19" s="30"/>
      <c r="FOW19" s="30"/>
      <c r="FOX19" s="30"/>
      <c r="FOY19" s="30"/>
      <c r="FOZ19" s="30"/>
      <c r="FPA19" s="30"/>
      <c r="FPB19" s="30"/>
      <c r="FPC19" s="30"/>
      <c r="FPD19" s="30"/>
      <c r="FPE19" s="30"/>
      <c r="FPF19" s="30"/>
      <c r="FPG19" s="30"/>
      <c r="FPH19" s="30"/>
      <c r="FPI19" s="30"/>
      <c r="FPJ19" s="30"/>
      <c r="FPK19" s="30"/>
      <c r="FPL19" s="30"/>
      <c r="FPM19" s="30"/>
      <c r="FPN19" s="30"/>
      <c r="FPO19" s="30"/>
      <c r="FPP19" s="30"/>
      <c r="FPQ19" s="30"/>
      <c r="FPR19" s="30"/>
      <c r="FPS19" s="30"/>
      <c r="FPT19" s="30"/>
      <c r="FPU19" s="30"/>
      <c r="FPV19" s="30"/>
      <c r="FPW19" s="30"/>
      <c r="FPX19" s="30"/>
      <c r="FPY19" s="30"/>
      <c r="FPZ19" s="30"/>
      <c r="FQA19" s="30"/>
      <c r="FQB19" s="30"/>
      <c r="FQC19" s="30"/>
      <c r="FQD19" s="30"/>
      <c r="FQE19" s="30"/>
      <c r="FQF19" s="30"/>
      <c r="FQG19" s="30"/>
      <c r="FQH19" s="30"/>
      <c r="FQI19" s="30"/>
      <c r="FQJ19" s="30"/>
      <c r="FQK19" s="30"/>
      <c r="FQL19" s="30"/>
      <c r="FQM19" s="30"/>
      <c r="FQN19" s="30"/>
      <c r="FQO19" s="30"/>
      <c r="FQP19" s="30"/>
      <c r="FQQ19" s="30"/>
      <c r="FQR19" s="30"/>
      <c r="FQS19" s="30"/>
      <c r="FQT19" s="30"/>
      <c r="FQU19" s="30"/>
      <c r="FQV19" s="30"/>
      <c r="FQW19" s="30"/>
      <c r="FQX19" s="30"/>
      <c r="FQY19" s="30"/>
      <c r="FQZ19" s="30"/>
      <c r="FRA19" s="30"/>
      <c r="FRB19" s="30"/>
      <c r="FRC19" s="30"/>
      <c r="FRD19" s="30"/>
      <c r="FRE19" s="30"/>
      <c r="FRF19" s="30"/>
      <c r="FRG19" s="30"/>
      <c r="FRH19" s="30"/>
      <c r="FRI19" s="30"/>
      <c r="FRJ19" s="30"/>
      <c r="FRK19" s="30"/>
      <c r="FRL19" s="30"/>
      <c r="FRM19" s="30"/>
      <c r="FRN19" s="30"/>
      <c r="FRO19" s="30"/>
      <c r="FRP19" s="30"/>
      <c r="FRQ19" s="30"/>
      <c r="FRR19" s="30"/>
      <c r="FRS19" s="30"/>
      <c r="FRT19" s="30"/>
      <c r="FRU19" s="30"/>
      <c r="FRV19" s="30"/>
      <c r="FRW19" s="30"/>
      <c r="FRX19" s="30"/>
      <c r="FRY19" s="30"/>
      <c r="FRZ19" s="30"/>
      <c r="FSA19" s="30"/>
      <c r="FSB19" s="30"/>
      <c r="FSC19" s="30"/>
      <c r="FSD19" s="30"/>
      <c r="FSE19" s="30"/>
      <c r="FSF19" s="30"/>
      <c r="FSG19" s="30"/>
      <c r="FSH19" s="30"/>
      <c r="FSI19" s="30"/>
      <c r="FSJ19" s="30"/>
      <c r="FSK19" s="30"/>
      <c r="FSL19" s="30"/>
      <c r="FSM19" s="30"/>
      <c r="FSN19" s="30"/>
      <c r="FSO19" s="30"/>
      <c r="FSP19" s="30"/>
      <c r="FSQ19" s="30"/>
      <c r="FSR19" s="30"/>
      <c r="FSS19" s="30"/>
      <c r="FST19" s="30"/>
      <c r="FSU19" s="30"/>
      <c r="FSV19" s="30"/>
      <c r="FSW19" s="30"/>
      <c r="FSX19" s="30"/>
      <c r="FSY19" s="30"/>
      <c r="FSZ19" s="30"/>
      <c r="FTA19" s="30"/>
      <c r="FTB19" s="30"/>
      <c r="FTC19" s="30"/>
      <c r="FTD19" s="30"/>
      <c r="FTE19" s="30"/>
      <c r="FTF19" s="30"/>
      <c r="FTG19" s="30"/>
      <c r="FTH19" s="30"/>
      <c r="FTI19" s="30"/>
      <c r="FTJ19" s="30"/>
      <c r="FTK19" s="30"/>
      <c r="FTL19" s="30"/>
      <c r="FTM19" s="30"/>
      <c r="FTN19" s="30"/>
      <c r="FTO19" s="30"/>
      <c r="FTP19" s="30"/>
      <c r="FTQ19" s="30"/>
      <c r="FTR19" s="30"/>
      <c r="FTS19" s="30"/>
      <c r="FTT19" s="30"/>
      <c r="FTU19" s="30"/>
      <c r="FTV19" s="30"/>
      <c r="FTW19" s="30"/>
      <c r="FTX19" s="30"/>
      <c r="FTY19" s="30"/>
      <c r="FTZ19" s="30"/>
      <c r="FUA19" s="30"/>
      <c r="FUB19" s="30"/>
      <c r="FUC19" s="30"/>
      <c r="FUD19" s="30"/>
      <c r="FUE19" s="30"/>
      <c r="FUF19" s="30"/>
      <c r="FUG19" s="30"/>
      <c r="FUH19" s="30"/>
      <c r="FUI19" s="30"/>
      <c r="FUJ19" s="30"/>
      <c r="FUK19" s="30"/>
      <c r="FUL19" s="30"/>
      <c r="FUM19" s="30"/>
      <c r="FUN19" s="30"/>
      <c r="FUO19" s="30"/>
      <c r="FUP19" s="30"/>
      <c r="FUQ19" s="30"/>
      <c r="FUR19" s="30"/>
      <c r="FUS19" s="30"/>
      <c r="FUT19" s="30"/>
      <c r="FUU19" s="30"/>
      <c r="FUV19" s="30"/>
      <c r="FUW19" s="30"/>
      <c r="FUX19" s="30"/>
      <c r="FUY19" s="30"/>
      <c r="FUZ19" s="30"/>
      <c r="FVA19" s="30"/>
      <c r="FVB19" s="30"/>
      <c r="FVC19" s="30"/>
      <c r="FVD19" s="30"/>
      <c r="FVE19" s="30"/>
      <c r="FVF19" s="30"/>
      <c r="FVG19" s="30"/>
      <c r="FVH19" s="30"/>
      <c r="FVI19" s="30"/>
      <c r="FVJ19" s="30"/>
      <c r="FVK19" s="30"/>
      <c r="FVL19" s="30"/>
      <c r="FVM19" s="30"/>
      <c r="FVN19" s="30"/>
      <c r="FVO19" s="30"/>
      <c r="FVP19" s="30"/>
      <c r="FVQ19" s="30"/>
      <c r="FVR19" s="30"/>
      <c r="FVS19" s="30"/>
      <c r="FVT19" s="30"/>
      <c r="FVU19" s="30"/>
      <c r="FVV19" s="30"/>
      <c r="FVW19" s="30"/>
      <c r="FVX19" s="30"/>
      <c r="FVY19" s="30"/>
      <c r="FVZ19" s="30"/>
      <c r="FWA19" s="30"/>
      <c r="FWB19" s="30"/>
      <c r="FWC19" s="30"/>
      <c r="FWD19" s="30"/>
      <c r="FWE19" s="30"/>
      <c r="FWF19" s="30"/>
      <c r="FWG19" s="30"/>
      <c r="FWH19" s="30"/>
      <c r="FWI19" s="30"/>
      <c r="FWJ19" s="30"/>
      <c r="FWK19" s="30"/>
      <c r="FWL19" s="30"/>
      <c r="FWM19" s="30"/>
      <c r="FWN19" s="30"/>
      <c r="FWO19" s="30"/>
      <c r="FWP19" s="30"/>
      <c r="FWQ19" s="30"/>
      <c r="FWR19" s="30"/>
      <c r="FWS19" s="30"/>
      <c r="FWT19" s="30"/>
      <c r="FWU19" s="30"/>
      <c r="FWV19" s="30"/>
      <c r="FWW19" s="30"/>
      <c r="FWX19" s="30"/>
      <c r="FWY19" s="30"/>
      <c r="FWZ19" s="30"/>
      <c r="FXA19" s="30"/>
      <c r="FXB19" s="30"/>
      <c r="FXC19" s="30"/>
      <c r="FXD19" s="30"/>
      <c r="FXE19" s="30"/>
      <c r="FXF19" s="30"/>
      <c r="FXG19" s="30"/>
      <c r="FXH19" s="30"/>
      <c r="FXI19" s="30"/>
      <c r="FXJ19" s="30"/>
      <c r="FXK19" s="30"/>
      <c r="FXL19" s="30"/>
      <c r="FXM19" s="30"/>
      <c r="FXN19" s="30"/>
      <c r="FXO19" s="30"/>
      <c r="FXP19" s="30"/>
      <c r="FXQ19" s="30"/>
      <c r="FXR19" s="30"/>
      <c r="FXS19" s="30"/>
      <c r="FXT19" s="30"/>
      <c r="FXU19" s="30"/>
      <c r="FXV19" s="30"/>
      <c r="FXW19" s="30"/>
      <c r="FXX19" s="30"/>
      <c r="FXY19" s="30"/>
      <c r="FXZ19" s="30"/>
      <c r="FYA19" s="30"/>
      <c r="FYB19" s="30"/>
      <c r="FYC19" s="30"/>
      <c r="FYD19" s="30"/>
      <c r="FYE19" s="30"/>
      <c r="FYF19" s="30"/>
      <c r="FYG19" s="30"/>
      <c r="FYH19" s="30"/>
      <c r="FYI19" s="30"/>
      <c r="FYJ19" s="30"/>
      <c r="FYK19" s="30"/>
      <c r="FYL19" s="30"/>
      <c r="FYM19" s="30"/>
      <c r="FYN19" s="30"/>
      <c r="FYO19" s="30"/>
      <c r="FYP19" s="30"/>
      <c r="FYQ19" s="30"/>
      <c r="FYR19" s="30"/>
      <c r="FYS19" s="30"/>
      <c r="FYT19" s="30"/>
      <c r="FYU19" s="30"/>
      <c r="FYV19" s="30"/>
      <c r="FYW19" s="30"/>
      <c r="FYX19" s="30"/>
      <c r="FYY19" s="30"/>
      <c r="FYZ19" s="30"/>
      <c r="FZA19" s="30"/>
      <c r="FZB19" s="30"/>
      <c r="FZC19" s="30"/>
      <c r="FZD19" s="30"/>
      <c r="FZE19" s="30"/>
      <c r="FZF19" s="30"/>
      <c r="FZG19" s="30"/>
      <c r="FZH19" s="30"/>
      <c r="FZI19" s="30"/>
      <c r="FZJ19" s="30"/>
      <c r="FZK19" s="30"/>
      <c r="FZL19" s="30"/>
      <c r="FZM19" s="30"/>
      <c r="FZN19" s="30"/>
      <c r="FZO19" s="30"/>
      <c r="FZP19" s="30"/>
      <c r="FZQ19" s="30"/>
      <c r="FZR19" s="30"/>
      <c r="FZS19" s="30"/>
      <c r="FZT19" s="30"/>
      <c r="FZU19" s="30"/>
      <c r="FZV19" s="30"/>
      <c r="FZW19" s="30"/>
      <c r="FZX19" s="30"/>
      <c r="FZY19" s="30"/>
      <c r="FZZ19" s="30"/>
      <c r="GAA19" s="30"/>
      <c r="GAB19" s="30"/>
      <c r="GAC19" s="30"/>
      <c r="GAD19" s="30"/>
      <c r="GAE19" s="30"/>
      <c r="GAF19" s="30"/>
      <c r="GAG19" s="30"/>
      <c r="GAH19" s="30"/>
      <c r="GAI19" s="30"/>
      <c r="GAJ19" s="30"/>
      <c r="GAK19" s="30"/>
      <c r="GAL19" s="30"/>
      <c r="GAM19" s="30"/>
      <c r="GAN19" s="30"/>
      <c r="GAO19" s="30"/>
      <c r="GAP19" s="30"/>
      <c r="GAQ19" s="30"/>
      <c r="GAR19" s="30"/>
      <c r="GAS19" s="30"/>
      <c r="GAT19" s="30"/>
      <c r="GAU19" s="30"/>
      <c r="GAV19" s="30"/>
      <c r="GAW19" s="30"/>
      <c r="GAX19" s="30"/>
      <c r="GAY19" s="30"/>
      <c r="GAZ19" s="30"/>
      <c r="GBA19" s="30"/>
      <c r="GBB19" s="30"/>
      <c r="GBC19" s="30"/>
      <c r="GBD19" s="30"/>
      <c r="GBE19" s="30"/>
      <c r="GBF19" s="30"/>
      <c r="GBG19" s="30"/>
      <c r="GBH19" s="30"/>
      <c r="GBI19" s="30"/>
      <c r="GBJ19" s="30"/>
      <c r="GBK19" s="30"/>
      <c r="GBL19" s="30"/>
      <c r="GBM19" s="30"/>
      <c r="GBN19" s="30"/>
      <c r="GBO19" s="30"/>
      <c r="GBP19" s="30"/>
      <c r="GBQ19" s="30"/>
      <c r="GBR19" s="30"/>
      <c r="GBS19" s="30"/>
      <c r="GBT19" s="30"/>
      <c r="GBU19" s="30"/>
      <c r="GBV19" s="30"/>
      <c r="GBW19" s="30"/>
      <c r="GBX19" s="30"/>
      <c r="GBY19" s="30"/>
      <c r="GBZ19" s="30"/>
      <c r="GCA19" s="30"/>
      <c r="GCB19" s="30"/>
      <c r="GCC19" s="30"/>
      <c r="GCD19" s="30"/>
      <c r="GCE19" s="30"/>
      <c r="GCF19" s="30"/>
      <c r="GCG19" s="30"/>
      <c r="GCH19" s="30"/>
      <c r="GCI19" s="30"/>
      <c r="GCJ19" s="30"/>
      <c r="GCK19" s="30"/>
      <c r="GCL19" s="30"/>
      <c r="GCM19" s="30"/>
      <c r="GCN19" s="30"/>
      <c r="GCO19" s="30"/>
      <c r="GCP19" s="30"/>
      <c r="GCQ19" s="30"/>
      <c r="GCR19" s="30"/>
      <c r="GCS19" s="30"/>
      <c r="GCT19" s="30"/>
      <c r="GCU19" s="30"/>
      <c r="GCV19" s="30"/>
      <c r="GCW19" s="30"/>
      <c r="GCX19" s="30"/>
      <c r="GCY19" s="30"/>
      <c r="GCZ19" s="30"/>
      <c r="GDA19" s="30"/>
      <c r="GDB19" s="30"/>
      <c r="GDC19" s="30"/>
      <c r="GDD19" s="30"/>
      <c r="GDE19" s="30"/>
      <c r="GDF19" s="30"/>
      <c r="GDG19" s="30"/>
      <c r="GDH19" s="30"/>
      <c r="GDI19" s="30"/>
      <c r="GDJ19" s="30"/>
      <c r="GDK19" s="30"/>
      <c r="GDL19" s="30"/>
      <c r="GDM19" s="30"/>
      <c r="GDN19" s="30"/>
      <c r="GDO19" s="30"/>
      <c r="GDP19" s="30"/>
      <c r="GDQ19" s="30"/>
      <c r="GDR19" s="30"/>
      <c r="GDS19" s="30"/>
      <c r="GDT19" s="30"/>
      <c r="GDU19" s="30"/>
      <c r="GDV19" s="30"/>
      <c r="GDW19" s="30"/>
      <c r="GDX19" s="30"/>
      <c r="GDY19" s="30"/>
      <c r="GDZ19" s="30"/>
      <c r="GEA19" s="30"/>
      <c r="GEB19" s="30"/>
      <c r="GEC19" s="30"/>
      <c r="GED19" s="30"/>
      <c r="GEE19" s="30"/>
      <c r="GEF19" s="30"/>
      <c r="GEG19" s="30"/>
      <c r="GEH19" s="30"/>
      <c r="GEI19" s="30"/>
      <c r="GEJ19" s="30"/>
      <c r="GEK19" s="30"/>
      <c r="GEL19" s="30"/>
      <c r="GEM19" s="30"/>
      <c r="GEN19" s="30"/>
      <c r="GEO19" s="30"/>
      <c r="GEP19" s="30"/>
      <c r="GEQ19" s="30"/>
      <c r="GER19" s="30"/>
      <c r="GES19" s="30"/>
      <c r="GET19" s="30"/>
      <c r="GEU19" s="30"/>
      <c r="GEV19" s="30"/>
      <c r="GEW19" s="30"/>
      <c r="GEX19" s="30"/>
      <c r="GEY19" s="30"/>
      <c r="GEZ19" s="30"/>
      <c r="GFA19" s="30"/>
      <c r="GFB19" s="30"/>
      <c r="GFC19" s="30"/>
      <c r="GFD19" s="30"/>
      <c r="GFE19" s="30"/>
      <c r="GFF19" s="30"/>
      <c r="GFG19" s="30"/>
      <c r="GFH19" s="30"/>
      <c r="GFI19" s="30"/>
      <c r="GFJ19" s="30"/>
      <c r="GFK19" s="30"/>
      <c r="GFL19" s="30"/>
      <c r="GFM19" s="30"/>
      <c r="GFN19" s="30"/>
      <c r="GFO19" s="30"/>
      <c r="GFP19" s="30"/>
      <c r="GFQ19" s="30"/>
      <c r="GFR19" s="30"/>
      <c r="GFS19" s="30"/>
      <c r="GFT19" s="30"/>
      <c r="GFU19" s="30"/>
      <c r="GFV19" s="30"/>
      <c r="GFW19" s="30"/>
      <c r="GFX19" s="30"/>
      <c r="GFY19" s="30"/>
      <c r="GFZ19" s="30"/>
      <c r="GGA19" s="30"/>
      <c r="GGB19" s="30"/>
      <c r="GGC19" s="30"/>
      <c r="GGD19" s="30"/>
      <c r="GGE19" s="30"/>
      <c r="GGF19" s="30"/>
      <c r="GGG19" s="30"/>
      <c r="GGH19" s="30"/>
      <c r="GGI19" s="30"/>
      <c r="GGJ19" s="30"/>
      <c r="GGK19" s="30"/>
      <c r="GGL19" s="30"/>
      <c r="GGM19" s="30"/>
      <c r="GGN19" s="30"/>
      <c r="GGO19" s="30"/>
      <c r="GGP19" s="30"/>
      <c r="GGQ19" s="30"/>
      <c r="GGR19" s="30"/>
      <c r="GGS19" s="30"/>
      <c r="GGT19" s="30"/>
      <c r="GGU19" s="30"/>
      <c r="GGV19" s="30"/>
      <c r="GGW19" s="30"/>
      <c r="GGX19" s="30"/>
      <c r="GGY19" s="30"/>
      <c r="GGZ19" s="30"/>
      <c r="GHA19" s="30"/>
      <c r="GHB19" s="30"/>
      <c r="GHC19" s="30"/>
      <c r="GHD19" s="30"/>
      <c r="GHE19" s="30"/>
      <c r="GHF19" s="30"/>
      <c r="GHG19" s="30"/>
      <c r="GHH19" s="30"/>
      <c r="GHI19" s="30"/>
      <c r="GHJ19" s="30"/>
      <c r="GHK19" s="30"/>
      <c r="GHL19" s="30"/>
      <c r="GHM19" s="30"/>
      <c r="GHN19" s="30"/>
      <c r="GHO19" s="30"/>
      <c r="GHP19" s="30"/>
      <c r="GHQ19" s="30"/>
      <c r="GHR19" s="30"/>
      <c r="GHS19" s="30"/>
      <c r="GHT19" s="30"/>
      <c r="GHU19" s="30"/>
      <c r="GHV19" s="30"/>
      <c r="GHW19" s="30"/>
      <c r="GHX19" s="30"/>
      <c r="GHY19" s="30"/>
      <c r="GHZ19" s="30"/>
      <c r="GIA19" s="30"/>
      <c r="GIB19" s="30"/>
      <c r="GIC19" s="30"/>
      <c r="GID19" s="30"/>
      <c r="GIE19" s="30"/>
      <c r="GIF19" s="30"/>
      <c r="GIG19" s="30"/>
      <c r="GIH19" s="30"/>
      <c r="GII19" s="30"/>
      <c r="GIJ19" s="30"/>
      <c r="GIK19" s="30"/>
      <c r="GIL19" s="30"/>
      <c r="GIM19" s="30"/>
      <c r="GIN19" s="30"/>
      <c r="GIO19" s="30"/>
      <c r="GIP19" s="30"/>
      <c r="GIQ19" s="30"/>
      <c r="GIR19" s="30"/>
      <c r="GIS19" s="30"/>
      <c r="GIT19" s="30"/>
      <c r="GIU19" s="30"/>
      <c r="GIV19" s="30"/>
      <c r="GIW19" s="30"/>
      <c r="GIX19" s="30"/>
      <c r="GIY19" s="30"/>
      <c r="GIZ19" s="30"/>
      <c r="GJA19" s="30"/>
      <c r="GJB19" s="30"/>
      <c r="GJC19" s="30"/>
      <c r="GJD19" s="30"/>
      <c r="GJE19" s="30"/>
      <c r="GJF19" s="30"/>
      <c r="GJG19" s="30"/>
      <c r="GJH19" s="30"/>
      <c r="GJI19" s="30"/>
      <c r="GJJ19" s="30"/>
      <c r="GJK19" s="30"/>
      <c r="GJL19" s="30"/>
      <c r="GJM19" s="30"/>
      <c r="GJN19" s="30"/>
      <c r="GJO19" s="30"/>
      <c r="GJP19" s="30"/>
      <c r="GJQ19" s="30"/>
      <c r="GJR19" s="30"/>
      <c r="GJS19" s="30"/>
      <c r="GJT19" s="30"/>
      <c r="GJU19" s="30"/>
      <c r="GJV19" s="30"/>
      <c r="GJW19" s="30"/>
      <c r="GJX19" s="30"/>
      <c r="GJY19" s="30"/>
      <c r="GJZ19" s="30"/>
      <c r="GKA19" s="30"/>
      <c r="GKB19" s="30"/>
      <c r="GKC19" s="30"/>
      <c r="GKD19" s="30"/>
      <c r="GKE19" s="30"/>
      <c r="GKF19" s="30"/>
      <c r="GKG19" s="30"/>
      <c r="GKH19" s="30"/>
      <c r="GKI19" s="30"/>
      <c r="GKJ19" s="30"/>
      <c r="GKK19" s="30"/>
      <c r="GKL19" s="30"/>
      <c r="GKM19" s="30"/>
      <c r="GKN19" s="30"/>
      <c r="GKO19" s="30"/>
      <c r="GKP19" s="30"/>
      <c r="GKQ19" s="30"/>
      <c r="GKR19" s="30"/>
      <c r="GKS19" s="30"/>
      <c r="GKT19" s="30"/>
      <c r="GKU19" s="30"/>
      <c r="GKV19" s="30"/>
      <c r="GKW19" s="30"/>
      <c r="GKX19" s="30"/>
      <c r="GKY19" s="30"/>
      <c r="GKZ19" s="30"/>
      <c r="GLA19" s="30"/>
      <c r="GLB19" s="30"/>
      <c r="GLC19" s="30"/>
      <c r="GLD19" s="30"/>
      <c r="GLE19" s="30"/>
      <c r="GLF19" s="30"/>
      <c r="GLG19" s="30"/>
      <c r="GLH19" s="30"/>
      <c r="GLI19" s="30"/>
      <c r="GLJ19" s="30"/>
      <c r="GLK19" s="30"/>
      <c r="GLL19" s="30"/>
      <c r="GLM19" s="30"/>
      <c r="GLN19" s="30"/>
      <c r="GLO19" s="30"/>
      <c r="GLP19" s="30"/>
      <c r="GLQ19" s="30"/>
      <c r="GLR19" s="30"/>
      <c r="GLS19" s="30"/>
      <c r="GLT19" s="30"/>
      <c r="GLU19" s="30"/>
      <c r="GLV19" s="30"/>
      <c r="GLW19" s="30"/>
      <c r="GLX19" s="30"/>
      <c r="GLY19" s="30"/>
      <c r="GLZ19" s="30"/>
      <c r="GMA19" s="30"/>
      <c r="GMB19" s="30"/>
      <c r="GMC19" s="30"/>
      <c r="GMD19" s="30"/>
      <c r="GME19" s="30"/>
      <c r="GMF19" s="30"/>
      <c r="GMG19" s="30"/>
      <c r="GMH19" s="30"/>
      <c r="GMI19" s="30"/>
      <c r="GMJ19" s="30"/>
      <c r="GMK19" s="30"/>
      <c r="GML19" s="30"/>
      <c r="GMM19" s="30"/>
      <c r="GMN19" s="30"/>
      <c r="GMO19" s="30"/>
      <c r="GMP19" s="30"/>
      <c r="GMQ19" s="30"/>
      <c r="GMR19" s="30"/>
      <c r="GMS19" s="30"/>
      <c r="GMT19" s="30"/>
      <c r="GMU19" s="30"/>
      <c r="GMV19" s="30"/>
      <c r="GMW19" s="30"/>
      <c r="GMX19" s="30"/>
      <c r="GMY19" s="30"/>
      <c r="GMZ19" s="30"/>
      <c r="GNA19" s="30"/>
      <c r="GNB19" s="30"/>
      <c r="GNC19" s="30"/>
      <c r="GND19" s="30"/>
      <c r="GNE19" s="30"/>
      <c r="GNF19" s="30"/>
      <c r="GNG19" s="30"/>
      <c r="GNH19" s="30"/>
      <c r="GNI19" s="30"/>
      <c r="GNJ19" s="30"/>
      <c r="GNK19" s="30"/>
      <c r="GNL19" s="30"/>
      <c r="GNM19" s="30"/>
      <c r="GNN19" s="30"/>
      <c r="GNO19" s="30"/>
      <c r="GNP19" s="30"/>
      <c r="GNQ19" s="30"/>
      <c r="GNR19" s="30"/>
      <c r="GNS19" s="30"/>
      <c r="GNT19" s="30"/>
      <c r="GNU19" s="30"/>
      <c r="GNV19" s="30"/>
      <c r="GNW19" s="30"/>
      <c r="GNX19" s="30"/>
      <c r="GNY19" s="30"/>
      <c r="GNZ19" s="30"/>
      <c r="GOA19" s="30"/>
      <c r="GOB19" s="30"/>
      <c r="GOC19" s="30"/>
      <c r="GOD19" s="30"/>
      <c r="GOE19" s="30"/>
      <c r="GOF19" s="30"/>
      <c r="GOG19" s="30"/>
      <c r="GOH19" s="30"/>
      <c r="GOI19" s="30"/>
      <c r="GOJ19" s="30"/>
      <c r="GOK19" s="30"/>
      <c r="GOL19" s="30"/>
      <c r="GOM19" s="30"/>
      <c r="GON19" s="30"/>
      <c r="GOO19" s="30"/>
      <c r="GOP19" s="30"/>
      <c r="GOQ19" s="30"/>
      <c r="GOR19" s="30"/>
      <c r="GOS19" s="30"/>
      <c r="GOT19" s="30"/>
      <c r="GOU19" s="30"/>
      <c r="GOV19" s="30"/>
      <c r="GOW19" s="30"/>
      <c r="GOX19" s="30"/>
      <c r="GOY19" s="30"/>
      <c r="GOZ19" s="30"/>
      <c r="GPA19" s="30"/>
      <c r="GPB19" s="30"/>
      <c r="GPC19" s="30"/>
      <c r="GPD19" s="30"/>
      <c r="GPE19" s="30"/>
      <c r="GPF19" s="30"/>
      <c r="GPG19" s="30"/>
      <c r="GPH19" s="30"/>
      <c r="GPI19" s="30"/>
      <c r="GPJ19" s="30"/>
      <c r="GPK19" s="30"/>
      <c r="GPL19" s="30"/>
      <c r="GPM19" s="30"/>
      <c r="GPN19" s="30"/>
      <c r="GPO19" s="30"/>
      <c r="GPP19" s="30"/>
      <c r="GPQ19" s="30"/>
      <c r="GPR19" s="30"/>
      <c r="GPS19" s="30"/>
      <c r="GPT19" s="30"/>
      <c r="GPU19" s="30"/>
      <c r="GPV19" s="30"/>
      <c r="GPW19" s="30"/>
      <c r="GPX19" s="30"/>
      <c r="GPY19" s="30"/>
      <c r="GPZ19" s="30"/>
      <c r="GQA19" s="30"/>
      <c r="GQB19" s="30"/>
      <c r="GQC19" s="30"/>
      <c r="GQD19" s="30"/>
      <c r="GQE19" s="30"/>
      <c r="GQF19" s="30"/>
      <c r="GQG19" s="30"/>
      <c r="GQH19" s="30"/>
      <c r="GQI19" s="30"/>
      <c r="GQJ19" s="30"/>
      <c r="GQK19" s="30"/>
      <c r="GQL19" s="30"/>
      <c r="GQM19" s="30"/>
      <c r="GQN19" s="30"/>
      <c r="GQO19" s="30"/>
      <c r="GQP19" s="30"/>
      <c r="GQQ19" s="30"/>
      <c r="GQR19" s="30"/>
      <c r="GQS19" s="30"/>
      <c r="GQT19" s="30"/>
      <c r="GQU19" s="30"/>
      <c r="GQV19" s="30"/>
      <c r="GQW19" s="30"/>
      <c r="GQX19" s="30"/>
      <c r="GQY19" s="30"/>
      <c r="GQZ19" s="30"/>
      <c r="GRA19" s="30"/>
      <c r="GRB19" s="30"/>
      <c r="GRC19" s="30"/>
      <c r="GRD19" s="30"/>
      <c r="GRE19" s="30"/>
      <c r="GRF19" s="30"/>
      <c r="GRG19" s="30"/>
      <c r="GRH19" s="30"/>
      <c r="GRI19" s="30"/>
      <c r="GRJ19" s="30"/>
      <c r="GRK19" s="30"/>
      <c r="GRL19" s="30"/>
      <c r="GRM19" s="30"/>
      <c r="GRN19" s="30"/>
      <c r="GRO19" s="30"/>
      <c r="GRP19" s="30"/>
      <c r="GRQ19" s="30"/>
      <c r="GRR19" s="30"/>
      <c r="GRS19" s="30"/>
      <c r="GRT19" s="30"/>
      <c r="GRU19" s="30"/>
      <c r="GRV19" s="30"/>
      <c r="GRW19" s="30"/>
      <c r="GRX19" s="30"/>
      <c r="GRY19" s="30"/>
      <c r="GRZ19" s="30"/>
      <c r="GSA19" s="30"/>
      <c r="GSB19" s="30"/>
      <c r="GSC19" s="30"/>
      <c r="GSD19" s="30"/>
      <c r="GSE19" s="30"/>
      <c r="GSF19" s="30"/>
      <c r="GSG19" s="30"/>
      <c r="GSH19" s="30"/>
      <c r="GSI19" s="30"/>
      <c r="GSJ19" s="30"/>
      <c r="GSK19" s="30"/>
      <c r="GSL19" s="30"/>
      <c r="GSM19" s="30"/>
      <c r="GSN19" s="30"/>
      <c r="GSO19" s="30"/>
      <c r="GSP19" s="30"/>
      <c r="GSQ19" s="30"/>
      <c r="GSR19" s="30"/>
      <c r="GSS19" s="30"/>
      <c r="GST19" s="30"/>
      <c r="GSU19" s="30"/>
      <c r="GSV19" s="30"/>
      <c r="GSW19" s="30"/>
      <c r="GSX19" s="30"/>
      <c r="GSY19" s="30"/>
      <c r="GSZ19" s="30"/>
      <c r="GTA19" s="30"/>
      <c r="GTB19" s="30"/>
      <c r="GTC19" s="30"/>
      <c r="GTD19" s="30"/>
      <c r="GTE19" s="30"/>
      <c r="GTF19" s="30"/>
      <c r="GTG19" s="30"/>
      <c r="GTH19" s="30"/>
      <c r="GTI19" s="30"/>
      <c r="GTJ19" s="30"/>
      <c r="GTK19" s="30"/>
      <c r="GTL19" s="30"/>
      <c r="GTM19" s="30"/>
      <c r="GTN19" s="30"/>
      <c r="GTO19" s="30"/>
      <c r="GTP19" s="30"/>
      <c r="GTQ19" s="30"/>
      <c r="GTR19" s="30"/>
      <c r="GTS19" s="30"/>
      <c r="GTT19" s="30"/>
      <c r="GTU19" s="30"/>
      <c r="GTV19" s="30"/>
      <c r="GTW19" s="30"/>
      <c r="GTX19" s="30"/>
      <c r="GTY19" s="30"/>
      <c r="GTZ19" s="30"/>
      <c r="GUA19" s="30"/>
      <c r="GUB19" s="30"/>
      <c r="GUC19" s="30"/>
      <c r="GUD19" s="30"/>
      <c r="GUE19" s="30"/>
      <c r="GUF19" s="30"/>
      <c r="GUG19" s="30"/>
      <c r="GUH19" s="30"/>
      <c r="GUI19" s="30"/>
      <c r="GUJ19" s="30"/>
      <c r="GUK19" s="30"/>
      <c r="GUL19" s="30"/>
      <c r="GUM19" s="30"/>
      <c r="GUN19" s="30"/>
      <c r="GUO19" s="30"/>
      <c r="GUP19" s="30"/>
      <c r="GUQ19" s="30"/>
      <c r="GUR19" s="30"/>
      <c r="GUS19" s="30"/>
      <c r="GUT19" s="30"/>
      <c r="GUU19" s="30"/>
      <c r="GUV19" s="30"/>
      <c r="GUW19" s="30"/>
      <c r="GUX19" s="30"/>
      <c r="GUY19" s="30"/>
      <c r="GUZ19" s="30"/>
      <c r="GVA19" s="30"/>
      <c r="GVB19" s="30"/>
      <c r="GVC19" s="30"/>
      <c r="GVD19" s="30"/>
      <c r="GVE19" s="30"/>
      <c r="GVF19" s="30"/>
      <c r="GVG19" s="30"/>
      <c r="GVH19" s="30"/>
      <c r="GVI19" s="30"/>
      <c r="GVJ19" s="30"/>
      <c r="GVK19" s="30"/>
      <c r="GVL19" s="30"/>
      <c r="GVM19" s="30"/>
      <c r="GVN19" s="30"/>
      <c r="GVO19" s="30"/>
      <c r="GVP19" s="30"/>
      <c r="GVQ19" s="30"/>
      <c r="GVR19" s="30"/>
      <c r="GVS19" s="30"/>
      <c r="GVT19" s="30"/>
      <c r="GVU19" s="30"/>
      <c r="GVV19" s="30"/>
      <c r="GVW19" s="30"/>
      <c r="GVX19" s="30"/>
      <c r="GVY19" s="30"/>
      <c r="GVZ19" s="30"/>
      <c r="GWA19" s="30"/>
      <c r="GWB19" s="30"/>
      <c r="GWC19" s="30"/>
      <c r="GWD19" s="30"/>
      <c r="GWE19" s="30"/>
      <c r="GWF19" s="30"/>
      <c r="GWG19" s="30"/>
      <c r="GWH19" s="30"/>
      <c r="GWI19" s="30"/>
      <c r="GWJ19" s="30"/>
      <c r="GWK19" s="30"/>
      <c r="GWL19" s="30"/>
      <c r="GWM19" s="30"/>
      <c r="GWN19" s="30"/>
      <c r="GWO19" s="30"/>
      <c r="GWP19" s="30"/>
      <c r="GWQ19" s="30"/>
      <c r="GWR19" s="30"/>
      <c r="GWS19" s="30"/>
      <c r="GWT19" s="30"/>
      <c r="GWU19" s="30"/>
      <c r="GWV19" s="30"/>
      <c r="GWW19" s="30"/>
      <c r="GWX19" s="30"/>
      <c r="GWY19" s="30"/>
      <c r="GWZ19" s="30"/>
      <c r="GXA19" s="30"/>
      <c r="GXB19" s="30"/>
      <c r="GXC19" s="30"/>
      <c r="GXD19" s="30"/>
      <c r="GXE19" s="30"/>
      <c r="GXF19" s="30"/>
      <c r="GXG19" s="30"/>
      <c r="GXH19" s="30"/>
      <c r="GXI19" s="30"/>
      <c r="GXJ19" s="30"/>
      <c r="GXK19" s="30"/>
      <c r="GXL19" s="30"/>
      <c r="GXM19" s="30"/>
      <c r="GXN19" s="30"/>
      <c r="GXO19" s="30"/>
      <c r="GXP19" s="30"/>
      <c r="GXQ19" s="30"/>
      <c r="GXR19" s="30"/>
      <c r="GXS19" s="30"/>
      <c r="GXT19" s="30"/>
      <c r="GXU19" s="30"/>
      <c r="GXV19" s="30"/>
      <c r="GXW19" s="30"/>
      <c r="GXX19" s="30"/>
      <c r="GXY19" s="30"/>
      <c r="GXZ19" s="30"/>
      <c r="GYA19" s="30"/>
      <c r="GYB19" s="30"/>
      <c r="GYC19" s="30"/>
      <c r="GYD19" s="30"/>
      <c r="GYE19" s="30"/>
      <c r="GYF19" s="30"/>
      <c r="GYG19" s="30"/>
      <c r="GYH19" s="30"/>
      <c r="GYI19" s="30"/>
      <c r="GYJ19" s="30"/>
      <c r="GYK19" s="30"/>
      <c r="GYL19" s="30"/>
      <c r="GYM19" s="30"/>
      <c r="GYN19" s="30"/>
      <c r="GYO19" s="30"/>
      <c r="GYP19" s="30"/>
      <c r="GYQ19" s="30"/>
      <c r="GYR19" s="30"/>
      <c r="GYS19" s="30"/>
      <c r="GYT19" s="30"/>
      <c r="GYU19" s="30"/>
      <c r="GYV19" s="30"/>
      <c r="GYW19" s="30"/>
      <c r="GYX19" s="30"/>
      <c r="GYY19" s="30"/>
      <c r="GYZ19" s="30"/>
      <c r="GZA19" s="30"/>
      <c r="GZB19" s="30"/>
      <c r="GZC19" s="30"/>
      <c r="GZD19" s="30"/>
      <c r="GZE19" s="30"/>
      <c r="GZF19" s="30"/>
      <c r="GZG19" s="30"/>
      <c r="GZH19" s="30"/>
      <c r="GZI19" s="30"/>
      <c r="GZJ19" s="30"/>
      <c r="GZK19" s="30"/>
      <c r="GZL19" s="30"/>
      <c r="GZM19" s="30"/>
      <c r="GZN19" s="30"/>
      <c r="GZO19" s="30"/>
      <c r="GZP19" s="30"/>
      <c r="GZQ19" s="30"/>
      <c r="GZR19" s="30"/>
      <c r="GZS19" s="30"/>
      <c r="GZT19" s="30"/>
      <c r="GZU19" s="30"/>
      <c r="GZV19" s="30"/>
      <c r="GZW19" s="30"/>
      <c r="GZX19" s="30"/>
      <c r="GZY19" s="30"/>
      <c r="GZZ19" s="30"/>
      <c r="HAA19" s="30"/>
      <c r="HAB19" s="30"/>
      <c r="HAC19" s="30"/>
      <c r="HAD19" s="30"/>
      <c r="HAE19" s="30"/>
      <c r="HAF19" s="30"/>
      <c r="HAG19" s="30"/>
      <c r="HAH19" s="30"/>
      <c r="HAI19" s="30"/>
      <c r="HAJ19" s="30"/>
      <c r="HAK19" s="30"/>
      <c r="HAL19" s="30"/>
      <c r="HAM19" s="30"/>
      <c r="HAN19" s="30"/>
      <c r="HAO19" s="30"/>
      <c r="HAP19" s="30"/>
      <c r="HAQ19" s="30"/>
      <c r="HAR19" s="30"/>
      <c r="HAS19" s="30"/>
      <c r="HAT19" s="30"/>
      <c r="HAU19" s="30"/>
      <c r="HAV19" s="30"/>
      <c r="HAW19" s="30"/>
      <c r="HAX19" s="30"/>
      <c r="HAY19" s="30"/>
      <c r="HAZ19" s="30"/>
      <c r="HBA19" s="30"/>
      <c r="HBB19" s="30"/>
      <c r="HBC19" s="30"/>
      <c r="HBD19" s="30"/>
      <c r="HBE19" s="30"/>
      <c r="HBF19" s="30"/>
      <c r="HBG19" s="30"/>
      <c r="HBH19" s="30"/>
      <c r="HBI19" s="30"/>
      <c r="HBJ19" s="30"/>
      <c r="HBK19" s="30"/>
      <c r="HBL19" s="30"/>
      <c r="HBM19" s="30"/>
      <c r="HBN19" s="30"/>
      <c r="HBO19" s="30"/>
      <c r="HBP19" s="30"/>
      <c r="HBQ19" s="30"/>
      <c r="HBR19" s="30"/>
      <c r="HBS19" s="30"/>
      <c r="HBT19" s="30"/>
      <c r="HBU19" s="30"/>
      <c r="HBV19" s="30"/>
      <c r="HBW19" s="30"/>
      <c r="HBX19" s="30"/>
      <c r="HBY19" s="30"/>
      <c r="HBZ19" s="30"/>
      <c r="HCA19" s="30"/>
      <c r="HCB19" s="30"/>
      <c r="HCC19" s="30"/>
      <c r="HCD19" s="30"/>
      <c r="HCE19" s="30"/>
      <c r="HCF19" s="30"/>
      <c r="HCG19" s="30"/>
      <c r="HCH19" s="30"/>
      <c r="HCI19" s="30"/>
      <c r="HCJ19" s="30"/>
      <c r="HCK19" s="30"/>
      <c r="HCL19" s="30"/>
      <c r="HCM19" s="30"/>
      <c r="HCN19" s="30"/>
      <c r="HCO19" s="30"/>
      <c r="HCP19" s="30"/>
      <c r="HCQ19" s="30"/>
      <c r="HCR19" s="30"/>
      <c r="HCS19" s="30"/>
      <c r="HCT19" s="30"/>
      <c r="HCU19" s="30"/>
      <c r="HCV19" s="30"/>
      <c r="HCW19" s="30"/>
      <c r="HCX19" s="30"/>
      <c r="HCY19" s="30"/>
      <c r="HCZ19" s="30"/>
      <c r="HDA19" s="30"/>
      <c r="HDB19" s="30"/>
      <c r="HDC19" s="30"/>
      <c r="HDD19" s="30"/>
      <c r="HDE19" s="30"/>
      <c r="HDF19" s="30"/>
      <c r="HDG19" s="30"/>
      <c r="HDH19" s="30"/>
      <c r="HDI19" s="30"/>
      <c r="HDJ19" s="30"/>
      <c r="HDK19" s="30"/>
      <c r="HDL19" s="30"/>
      <c r="HDM19" s="30"/>
      <c r="HDN19" s="30"/>
      <c r="HDO19" s="30"/>
      <c r="HDP19" s="30"/>
      <c r="HDQ19" s="30"/>
      <c r="HDR19" s="30"/>
      <c r="HDS19" s="30"/>
      <c r="HDT19" s="30"/>
      <c r="HDU19" s="30"/>
      <c r="HDV19" s="30"/>
      <c r="HDW19" s="30"/>
      <c r="HDX19" s="30"/>
      <c r="HDY19" s="30"/>
      <c r="HDZ19" s="30"/>
      <c r="HEA19" s="30"/>
      <c r="HEB19" s="30"/>
      <c r="HEC19" s="30"/>
      <c r="HED19" s="30"/>
      <c r="HEE19" s="30"/>
      <c r="HEF19" s="30"/>
      <c r="HEG19" s="30"/>
      <c r="HEH19" s="30"/>
      <c r="HEI19" s="30"/>
      <c r="HEJ19" s="30"/>
      <c r="HEK19" s="30"/>
      <c r="HEL19" s="30"/>
      <c r="HEM19" s="30"/>
      <c r="HEN19" s="30"/>
      <c r="HEO19" s="30"/>
      <c r="HEP19" s="30"/>
      <c r="HEQ19" s="30"/>
      <c r="HER19" s="30"/>
      <c r="HES19" s="30"/>
      <c r="HET19" s="30"/>
      <c r="HEU19" s="30"/>
      <c r="HEV19" s="30"/>
      <c r="HEW19" s="30"/>
      <c r="HEX19" s="30"/>
      <c r="HEY19" s="30"/>
      <c r="HEZ19" s="30"/>
      <c r="HFA19" s="30"/>
      <c r="HFB19" s="30"/>
      <c r="HFC19" s="30"/>
      <c r="HFD19" s="30"/>
      <c r="HFE19" s="30"/>
      <c r="HFF19" s="30"/>
      <c r="HFG19" s="30"/>
      <c r="HFH19" s="30"/>
      <c r="HFI19" s="30"/>
      <c r="HFJ19" s="30"/>
      <c r="HFK19" s="30"/>
      <c r="HFL19" s="30"/>
      <c r="HFM19" s="30"/>
      <c r="HFN19" s="30"/>
      <c r="HFO19" s="30"/>
      <c r="HFP19" s="30"/>
      <c r="HFQ19" s="30"/>
      <c r="HFR19" s="30"/>
      <c r="HFS19" s="30"/>
      <c r="HFT19" s="30"/>
      <c r="HFU19" s="30"/>
      <c r="HFV19" s="30"/>
      <c r="HFW19" s="30"/>
      <c r="HFX19" s="30"/>
      <c r="HFY19" s="30"/>
      <c r="HFZ19" s="30"/>
      <c r="HGA19" s="30"/>
      <c r="HGB19" s="30"/>
      <c r="HGC19" s="30"/>
      <c r="HGD19" s="30"/>
      <c r="HGE19" s="30"/>
      <c r="HGF19" s="30"/>
      <c r="HGG19" s="30"/>
      <c r="HGH19" s="30"/>
      <c r="HGI19" s="30"/>
      <c r="HGJ19" s="30"/>
      <c r="HGK19" s="30"/>
      <c r="HGL19" s="30"/>
      <c r="HGM19" s="30"/>
      <c r="HGN19" s="30"/>
      <c r="HGO19" s="30"/>
      <c r="HGP19" s="30"/>
      <c r="HGQ19" s="30"/>
      <c r="HGR19" s="30"/>
      <c r="HGS19" s="30"/>
      <c r="HGT19" s="30"/>
      <c r="HGU19" s="30"/>
      <c r="HGV19" s="30"/>
      <c r="HGW19" s="30"/>
      <c r="HGX19" s="30"/>
      <c r="HGY19" s="30"/>
      <c r="HGZ19" s="30"/>
      <c r="HHA19" s="30"/>
      <c r="HHB19" s="30"/>
      <c r="HHC19" s="30"/>
      <c r="HHD19" s="30"/>
      <c r="HHE19" s="30"/>
      <c r="HHF19" s="30"/>
      <c r="HHG19" s="30"/>
      <c r="HHH19" s="30"/>
      <c r="HHI19" s="30"/>
      <c r="HHJ19" s="30"/>
      <c r="HHK19" s="30"/>
      <c r="HHL19" s="30"/>
      <c r="HHM19" s="30"/>
      <c r="HHN19" s="30"/>
      <c r="HHO19" s="30"/>
      <c r="HHP19" s="30"/>
      <c r="HHQ19" s="30"/>
      <c r="HHR19" s="30"/>
      <c r="HHS19" s="30"/>
      <c r="HHT19" s="30"/>
      <c r="HHU19" s="30"/>
      <c r="HHV19" s="30"/>
      <c r="HHW19" s="30"/>
      <c r="HHX19" s="30"/>
      <c r="HHY19" s="30"/>
      <c r="HHZ19" s="30"/>
      <c r="HIA19" s="30"/>
      <c r="HIB19" s="30"/>
      <c r="HIC19" s="30"/>
      <c r="HID19" s="30"/>
      <c r="HIE19" s="30"/>
      <c r="HIF19" s="30"/>
      <c r="HIG19" s="30"/>
      <c r="HIH19" s="30"/>
      <c r="HII19" s="30"/>
      <c r="HIJ19" s="30"/>
      <c r="HIK19" s="30"/>
      <c r="HIL19" s="30"/>
      <c r="HIM19" s="30"/>
      <c r="HIN19" s="30"/>
      <c r="HIO19" s="30"/>
      <c r="HIP19" s="30"/>
      <c r="HIQ19" s="30"/>
      <c r="HIR19" s="30"/>
      <c r="HIS19" s="30"/>
      <c r="HIT19" s="30"/>
      <c r="HIU19" s="30"/>
      <c r="HIV19" s="30"/>
      <c r="HIW19" s="30"/>
      <c r="HIX19" s="30"/>
      <c r="HIY19" s="30"/>
      <c r="HIZ19" s="30"/>
      <c r="HJA19" s="30"/>
      <c r="HJB19" s="30"/>
      <c r="HJC19" s="30"/>
      <c r="HJD19" s="30"/>
      <c r="HJE19" s="30"/>
      <c r="HJF19" s="30"/>
      <c r="HJG19" s="30"/>
      <c r="HJH19" s="30"/>
      <c r="HJI19" s="30"/>
      <c r="HJJ19" s="30"/>
      <c r="HJK19" s="30"/>
      <c r="HJL19" s="30"/>
      <c r="HJM19" s="30"/>
      <c r="HJN19" s="30"/>
      <c r="HJO19" s="30"/>
      <c r="HJP19" s="30"/>
      <c r="HJQ19" s="30"/>
      <c r="HJR19" s="30"/>
      <c r="HJS19" s="30"/>
      <c r="HJT19" s="30"/>
      <c r="HJU19" s="30"/>
      <c r="HJV19" s="30"/>
      <c r="HJW19" s="30"/>
      <c r="HJX19" s="30"/>
      <c r="HJY19" s="30"/>
      <c r="HJZ19" s="30"/>
      <c r="HKA19" s="30"/>
      <c r="HKB19" s="30"/>
      <c r="HKC19" s="30"/>
      <c r="HKD19" s="30"/>
      <c r="HKE19" s="30"/>
      <c r="HKF19" s="30"/>
      <c r="HKG19" s="30"/>
      <c r="HKH19" s="30"/>
      <c r="HKI19" s="30"/>
      <c r="HKJ19" s="30"/>
      <c r="HKK19" s="30"/>
      <c r="HKL19" s="30"/>
      <c r="HKM19" s="30"/>
      <c r="HKN19" s="30"/>
      <c r="HKO19" s="30"/>
      <c r="HKP19" s="30"/>
      <c r="HKQ19" s="30"/>
      <c r="HKR19" s="30"/>
      <c r="HKS19" s="30"/>
      <c r="HKT19" s="30"/>
      <c r="HKU19" s="30"/>
      <c r="HKV19" s="30"/>
      <c r="HKW19" s="30"/>
      <c r="HKX19" s="30"/>
      <c r="HKY19" s="30"/>
      <c r="HKZ19" s="30"/>
      <c r="HLA19" s="30"/>
      <c r="HLB19" s="30"/>
      <c r="HLC19" s="30"/>
      <c r="HLD19" s="30"/>
      <c r="HLE19" s="30"/>
      <c r="HLF19" s="30"/>
      <c r="HLG19" s="30"/>
      <c r="HLH19" s="30"/>
      <c r="HLI19" s="30"/>
      <c r="HLJ19" s="30"/>
      <c r="HLK19" s="30"/>
      <c r="HLL19" s="30"/>
      <c r="HLM19" s="30"/>
      <c r="HLN19" s="30"/>
      <c r="HLO19" s="30"/>
      <c r="HLP19" s="30"/>
      <c r="HLQ19" s="30"/>
      <c r="HLR19" s="30"/>
      <c r="HLS19" s="30"/>
      <c r="HLT19" s="30"/>
      <c r="HLU19" s="30"/>
      <c r="HLV19" s="30"/>
      <c r="HLW19" s="30"/>
      <c r="HLX19" s="30"/>
      <c r="HLY19" s="30"/>
      <c r="HLZ19" s="30"/>
      <c r="HMA19" s="30"/>
      <c r="HMB19" s="30"/>
      <c r="HMC19" s="30"/>
      <c r="HMD19" s="30"/>
      <c r="HME19" s="30"/>
      <c r="HMF19" s="30"/>
      <c r="HMG19" s="30"/>
      <c r="HMH19" s="30"/>
      <c r="HMI19" s="30"/>
      <c r="HMJ19" s="30"/>
      <c r="HMK19" s="30"/>
      <c r="HML19" s="30"/>
      <c r="HMM19" s="30"/>
      <c r="HMN19" s="30"/>
      <c r="HMO19" s="30"/>
      <c r="HMP19" s="30"/>
      <c r="HMQ19" s="30"/>
      <c r="HMR19" s="30"/>
      <c r="HMS19" s="30"/>
      <c r="HMT19" s="30"/>
      <c r="HMU19" s="30"/>
      <c r="HMV19" s="30"/>
      <c r="HMW19" s="30"/>
      <c r="HMX19" s="30"/>
      <c r="HMY19" s="30"/>
      <c r="HMZ19" s="30"/>
      <c r="HNA19" s="30"/>
      <c r="HNB19" s="30"/>
      <c r="HNC19" s="30"/>
      <c r="HND19" s="30"/>
      <c r="HNE19" s="30"/>
      <c r="HNF19" s="30"/>
      <c r="HNG19" s="30"/>
      <c r="HNH19" s="30"/>
      <c r="HNI19" s="30"/>
      <c r="HNJ19" s="30"/>
      <c r="HNK19" s="30"/>
      <c r="HNL19" s="30"/>
      <c r="HNM19" s="30"/>
      <c r="HNN19" s="30"/>
      <c r="HNO19" s="30"/>
      <c r="HNP19" s="30"/>
      <c r="HNQ19" s="30"/>
      <c r="HNR19" s="30"/>
      <c r="HNS19" s="30"/>
      <c r="HNT19" s="30"/>
      <c r="HNU19" s="30"/>
      <c r="HNV19" s="30"/>
      <c r="HNW19" s="30"/>
      <c r="HNX19" s="30"/>
      <c r="HNY19" s="30"/>
      <c r="HNZ19" s="30"/>
      <c r="HOA19" s="30"/>
      <c r="HOB19" s="30"/>
      <c r="HOC19" s="30"/>
      <c r="HOD19" s="30"/>
      <c r="HOE19" s="30"/>
      <c r="HOF19" s="30"/>
      <c r="HOG19" s="30"/>
      <c r="HOH19" s="30"/>
      <c r="HOI19" s="30"/>
      <c r="HOJ19" s="30"/>
      <c r="HOK19" s="30"/>
      <c r="HOL19" s="30"/>
      <c r="HOM19" s="30"/>
      <c r="HON19" s="30"/>
      <c r="HOO19" s="30"/>
      <c r="HOP19" s="30"/>
      <c r="HOQ19" s="30"/>
      <c r="HOR19" s="30"/>
      <c r="HOS19" s="30"/>
      <c r="HOT19" s="30"/>
      <c r="HOU19" s="30"/>
      <c r="HOV19" s="30"/>
      <c r="HOW19" s="30"/>
      <c r="HOX19" s="30"/>
      <c r="HOY19" s="30"/>
      <c r="HOZ19" s="30"/>
      <c r="HPA19" s="30"/>
      <c r="HPB19" s="30"/>
      <c r="HPC19" s="30"/>
      <c r="HPD19" s="30"/>
      <c r="HPE19" s="30"/>
      <c r="HPF19" s="30"/>
      <c r="HPG19" s="30"/>
      <c r="HPH19" s="30"/>
      <c r="HPI19" s="30"/>
      <c r="HPJ19" s="30"/>
      <c r="HPK19" s="30"/>
      <c r="HPL19" s="30"/>
      <c r="HPM19" s="30"/>
      <c r="HPN19" s="30"/>
      <c r="HPO19" s="30"/>
      <c r="HPP19" s="30"/>
      <c r="HPQ19" s="30"/>
      <c r="HPR19" s="30"/>
      <c r="HPS19" s="30"/>
      <c r="HPT19" s="30"/>
      <c r="HPU19" s="30"/>
      <c r="HPV19" s="30"/>
      <c r="HPW19" s="30"/>
      <c r="HPX19" s="30"/>
      <c r="HPY19" s="30"/>
      <c r="HPZ19" s="30"/>
      <c r="HQA19" s="30"/>
      <c r="HQB19" s="30"/>
      <c r="HQC19" s="30"/>
      <c r="HQD19" s="30"/>
      <c r="HQE19" s="30"/>
      <c r="HQF19" s="30"/>
      <c r="HQG19" s="30"/>
      <c r="HQH19" s="30"/>
      <c r="HQI19" s="30"/>
      <c r="HQJ19" s="30"/>
      <c r="HQK19" s="30"/>
      <c r="HQL19" s="30"/>
      <c r="HQM19" s="30"/>
      <c r="HQN19" s="30"/>
      <c r="HQO19" s="30"/>
      <c r="HQP19" s="30"/>
      <c r="HQQ19" s="30"/>
      <c r="HQR19" s="30"/>
      <c r="HQS19" s="30"/>
      <c r="HQT19" s="30"/>
      <c r="HQU19" s="30"/>
      <c r="HQV19" s="30"/>
      <c r="HQW19" s="30"/>
      <c r="HQX19" s="30"/>
      <c r="HQY19" s="30"/>
      <c r="HQZ19" s="30"/>
      <c r="HRA19" s="30"/>
      <c r="HRB19" s="30"/>
      <c r="HRC19" s="30"/>
      <c r="HRD19" s="30"/>
      <c r="HRE19" s="30"/>
      <c r="HRF19" s="30"/>
      <c r="HRG19" s="30"/>
      <c r="HRH19" s="30"/>
      <c r="HRI19" s="30"/>
      <c r="HRJ19" s="30"/>
      <c r="HRK19" s="30"/>
      <c r="HRL19" s="30"/>
      <c r="HRM19" s="30"/>
      <c r="HRN19" s="30"/>
      <c r="HRO19" s="30"/>
      <c r="HRP19" s="30"/>
      <c r="HRQ19" s="30"/>
      <c r="HRR19" s="30"/>
      <c r="HRS19" s="30"/>
      <c r="HRT19" s="30"/>
      <c r="HRU19" s="30"/>
      <c r="HRV19" s="30"/>
      <c r="HRW19" s="30"/>
      <c r="HRX19" s="30"/>
      <c r="HRY19" s="30"/>
      <c r="HRZ19" s="30"/>
      <c r="HSA19" s="30"/>
      <c r="HSB19" s="30"/>
      <c r="HSC19" s="30"/>
      <c r="HSD19" s="30"/>
      <c r="HSE19" s="30"/>
      <c r="HSF19" s="30"/>
      <c r="HSG19" s="30"/>
      <c r="HSH19" s="30"/>
      <c r="HSI19" s="30"/>
      <c r="HSJ19" s="30"/>
      <c r="HSK19" s="30"/>
      <c r="HSL19" s="30"/>
      <c r="HSM19" s="30"/>
      <c r="HSN19" s="30"/>
      <c r="HSO19" s="30"/>
      <c r="HSP19" s="30"/>
      <c r="HSQ19" s="30"/>
      <c r="HSR19" s="30"/>
      <c r="HSS19" s="30"/>
      <c r="HST19" s="30"/>
      <c r="HSU19" s="30"/>
      <c r="HSV19" s="30"/>
      <c r="HSW19" s="30"/>
      <c r="HSX19" s="30"/>
      <c r="HSY19" s="30"/>
      <c r="HSZ19" s="30"/>
      <c r="HTA19" s="30"/>
      <c r="HTB19" s="30"/>
      <c r="HTC19" s="30"/>
      <c r="HTD19" s="30"/>
      <c r="HTE19" s="30"/>
      <c r="HTF19" s="30"/>
      <c r="HTG19" s="30"/>
      <c r="HTH19" s="30"/>
      <c r="HTI19" s="30"/>
      <c r="HTJ19" s="30"/>
      <c r="HTK19" s="30"/>
      <c r="HTL19" s="30"/>
      <c r="HTM19" s="30"/>
      <c r="HTN19" s="30"/>
      <c r="HTO19" s="30"/>
      <c r="HTP19" s="30"/>
      <c r="HTQ19" s="30"/>
      <c r="HTR19" s="30"/>
      <c r="HTS19" s="30"/>
      <c r="HTT19" s="30"/>
      <c r="HTU19" s="30"/>
      <c r="HTV19" s="30"/>
      <c r="HTW19" s="30"/>
      <c r="HTX19" s="30"/>
      <c r="HTY19" s="30"/>
      <c r="HTZ19" s="30"/>
      <c r="HUA19" s="30"/>
      <c r="HUB19" s="30"/>
      <c r="HUC19" s="30"/>
      <c r="HUD19" s="30"/>
      <c r="HUE19" s="30"/>
      <c r="HUF19" s="30"/>
      <c r="HUG19" s="30"/>
      <c r="HUH19" s="30"/>
      <c r="HUI19" s="30"/>
      <c r="HUJ19" s="30"/>
      <c r="HUK19" s="30"/>
      <c r="HUL19" s="30"/>
      <c r="HUM19" s="30"/>
      <c r="HUN19" s="30"/>
      <c r="HUO19" s="30"/>
      <c r="HUP19" s="30"/>
      <c r="HUQ19" s="30"/>
      <c r="HUR19" s="30"/>
      <c r="HUS19" s="30"/>
      <c r="HUT19" s="30"/>
      <c r="HUU19" s="30"/>
      <c r="HUV19" s="30"/>
      <c r="HUW19" s="30"/>
      <c r="HUX19" s="30"/>
      <c r="HUY19" s="30"/>
      <c r="HUZ19" s="30"/>
      <c r="HVA19" s="30"/>
      <c r="HVB19" s="30"/>
      <c r="HVC19" s="30"/>
      <c r="HVD19" s="30"/>
      <c r="HVE19" s="30"/>
      <c r="HVF19" s="30"/>
      <c r="HVG19" s="30"/>
      <c r="HVH19" s="30"/>
      <c r="HVI19" s="30"/>
      <c r="HVJ19" s="30"/>
      <c r="HVK19" s="30"/>
      <c r="HVL19" s="30"/>
      <c r="HVM19" s="30"/>
      <c r="HVN19" s="30"/>
      <c r="HVO19" s="30"/>
      <c r="HVP19" s="30"/>
      <c r="HVQ19" s="30"/>
      <c r="HVR19" s="30"/>
      <c r="HVS19" s="30"/>
      <c r="HVT19" s="30"/>
      <c r="HVU19" s="30"/>
      <c r="HVV19" s="30"/>
      <c r="HVW19" s="30"/>
      <c r="HVX19" s="30"/>
      <c r="HVY19" s="30"/>
      <c r="HVZ19" s="30"/>
      <c r="HWA19" s="30"/>
      <c r="HWB19" s="30"/>
      <c r="HWC19" s="30"/>
      <c r="HWD19" s="30"/>
      <c r="HWE19" s="30"/>
      <c r="HWF19" s="30"/>
      <c r="HWG19" s="30"/>
      <c r="HWH19" s="30"/>
      <c r="HWI19" s="30"/>
      <c r="HWJ19" s="30"/>
      <c r="HWK19" s="30"/>
      <c r="HWL19" s="30"/>
      <c r="HWM19" s="30"/>
      <c r="HWN19" s="30"/>
      <c r="HWO19" s="30"/>
      <c r="HWP19" s="30"/>
      <c r="HWQ19" s="30"/>
      <c r="HWR19" s="30"/>
      <c r="HWS19" s="30"/>
      <c r="HWT19" s="30"/>
      <c r="HWU19" s="30"/>
      <c r="HWV19" s="30"/>
      <c r="HWW19" s="30"/>
      <c r="HWX19" s="30"/>
      <c r="HWY19" s="30"/>
      <c r="HWZ19" s="30"/>
      <c r="HXA19" s="30"/>
      <c r="HXB19" s="30"/>
      <c r="HXC19" s="30"/>
      <c r="HXD19" s="30"/>
      <c r="HXE19" s="30"/>
      <c r="HXF19" s="30"/>
      <c r="HXG19" s="30"/>
      <c r="HXH19" s="30"/>
      <c r="HXI19" s="30"/>
      <c r="HXJ19" s="30"/>
      <c r="HXK19" s="30"/>
      <c r="HXL19" s="30"/>
      <c r="HXM19" s="30"/>
      <c r="HXN19" s="30"/>
      <c r="HXO19" s="30"/>
      <c r="HXP19" s="30"/>
      <c r="HXQ19" s="30"/>
      <c r="HXR19" s="30"/>
      <c r="HXS19" s="30"/>
      <c r="HXT19" s="30"/>
      <c r="HXU19" s="30"/>
      <c r="HXV19" s="30"/>
      <c r="HXW19" s="30"/>
      <c r="HXX19" s="30"/>
      <c r="HXY19" s="30"/>
      <c r="HXZ19" s="30"/>
      <c r="HYA19" s="30"/>
      <c r="HYB19" s="30"/>
      <c r="HYC19" s="30"/>
      <c r="HYD19" s="30"/>
      <c r="HYE19" s="30"/>
      <c r="HYF19" s="30"/>
      <c r="HYG19" s="30"/>
      <c r="HYH19" s="30"/>
      <c r="HYI19" s="30"/>
      <c r="HYJ19" s="30"/>
      <c r="HYK19" s="30"/>
      <c r="HYL19" s="30"/>
      <c r="HYM19" s="30"/>
      <c r="HYN19" s="30"/>
      <c r="HYO19" s="30"/>
      <c r="HYP19" s="30"/>
      <c r="HYQ19" s="30"/>
      <c r="HYR19" s="30"/>
      <c r="HYS19" s="30"/>
      <c r="HYT19" s="30"/>
      <c r="HYU19" s="30"/>
      <c r="HYV19" s="30"/>
      <c r="HYW19" s="30"/>
      <c r="HYX19" s="30"/>
      <c r="HYY19" s="30"/>
      <c r="HYZ19" s="30"/>
      <c r="HZA19" s="30"/>
      <c r="HZB19" s="30"/>
      <c r="HZC19" s="30"/>
      <c r="HZD19" s="30"/>
      <c r="HZE19" s="30"/>
      <c r="HZF19" s="30"/>
      <c r="HZG19" s="30"/>
      <c r="HZH19" s="30"/>
      <c r="HZI19" s="30"/>
      <c r="HZJ19" s="30"/>
      <c r="HZK19" s="30"/>
      <c r="HZL19" s="30"/>
      <c r="HZM19" s="30"/>
      <c r="HZN19" s="30"/>
      <c r="HZO19" s="30"/>
      <c r="HZP19" s="30"/>
      <c r="HZQ19" s="30"/>
      <c r="HZR19" s="30"/>
      <c r="HZS19" s="30"/>
      <c r="HZT19" s="30"/>
      <c r="HZU19" s="30"/>
      <c r="HZV19" s="30"/>
      <c r="HZW19" s="30"/>
      <c r="HZX19" s="30"/>
      <c r="HZY19" s="30"/>
      <c r="HZZ19" s="30"/>
      <c r="IAA19" s="30"/>
      <c r="IAB19" s="30"/>
      <c r="IAC19" s="30"/>
      <c r="IAD19" s="30"/>
      <c r="IAE19" s="30"/>
      <c r="IAF19" s="30"/>
      <c r="IAG19" s="30"/>
      <c r="IAH19" s="30"/>
      <c r="IAI19" s="30"/>
      <c r="IAJ19" s="30"/>
      <c r="IAK19" s="30"/>
      <c r="IAL19" s="30"/>
      <c r="IAM19" s="30"/>
      <c r="IAN19" s="30"/>
      <c r="IAO19" s="30"/>
      <c r="IAP19" s="30"/>
      <c r="IAQ19" s="30"/>
      <c r="IAR19" s="30"/>
      <c r="IAS19" s="30"/>
      <c r="IAT19" s="30"/>
      <c r="IAU19" s="30"/>
      <c r="IAV19" s="30"/>
      <c r="IAW19" s="30"/>
      <c r="IAX19" s="30"/>
      <c r="IAY19" s="30"/>
      <c r="IAZ19" s="30"/>
      <c r="IBA19" s="30"/>
      <c r="IBB19" s="30"/>
      <c r="IBC19" s="30"/>
      <c r="IBD19" s="30"/>
      <c r="IBE19" s="30"/>
      <c r="IBF19" s="30"/>
      <c r="IBG19" s="30"/>
      <c r="IBH19" s="30"/>
      <c r="IBI19" s="30"/>
      <c r="IBJ19" s="30"/>
      <c r="IBK19" s="30"/>
      <c r="IBL19" s="30"/>
      <c r="IBM19" s="30"/>
      <c r="IBN19" s="30"/>
      <c r="IBO19" s="30"/>
      <c r="IBP19" s="30"/>
      <c r="IBQ19" s="30"/>
      <c r="IBR19" s="30"/>
      <c r="IBS19" s="30"/>
      <c r="IBT19" s="30"/>
      <c r="IBU19" s="30"/>
      <c r="IBV19" s="30"/>
      <c r="IBW19" s="30"/>
      <c r="IBX19" s="30"/>
      <c r="IBY19" s="30"/>
      <c r="IBZ19" s="30"/>
      <c r="ICA19" s="30"/>
      <c r="ICB19" s="30"/>
      <c r="ICC19" s="30"/>
      <c r="ICD19" s="30"/>
      <c r="ICE19" s="30"/>
      <c r="ICF19" s="30"/>
      <c r="ICG19" s="30"/>
      <c r="ICH19" s="30"/>
      <c r="ICI19" s="30"/>
      <c r="ICJ19" s="30"/>
      <c r="ICK19" s="30"/>
      <c r="ICL19" s="30"/>
      <c r="ICM19" s="30"/>
      <c r="ICN19" s="30"/>
      <c r="ICO19" s="30"/>
      <c r="ICP19" s="30"/>
      <c r="ICQ19" s="30"/>
      <c r="ICR19" s="30"/>
      <c r="ICS19" s="30"/>
      <c r="ICT19" s="30"/>
      <c r="ICU19" s="30"/>
      <c r="ICV19" s="30"/>
      <c r="ICW19" s="30"/>
      <c r="ICX19" s="30"/>
      <c r="ICY19" s="30"/>
      <c r="ICZ19" s="30"/>
      <c r="IDA19" s="30"/>
      <c r="IDB19" s="30"/>
      <c r="IDC19" s="30"/>
      <c r="IDD19" s="30"/>
      <c r="IDE19" s="30"/>
      <c r="IDF19" s="30"/>
      <c r="IDG19" s="30"/>
      <c r="IDH19" s="30"/>
      <c r="IDI19" s="30"/>
      <c r="IDJ19" s="30"/>
      <c r="IDK19" s="30"/>
      <c r="IDL19" s="30"/>
      <c r="IDM19" s="30"/>
      <c r="IDN19" s="30"/>
      <c r="IDO19" s="30"/>
      <c r="IDP19" s="30"/>
      <c r="IDQ19" s="30"/>
      <c r="IDR19" s="30"/>
      <c r="IDS19" s="30"/>
      <c r="IDT19" s="30"/>
      <c r="IDU19" s="30"/>
      <c r="IDV19" s="30"/>
      <c r="IDW19" s="30"/>
      <c r="IDX19" s="30"/>
      <c r="IDY19" s="30"/>
      <c r="IDZ19" s="30"/>
      <c r="IEA19" s="30"/>
      <c r="IEB19" s="30"/>
      <c r="IEC19" s="30"/>
      <c r="IED19" s="30"/>
      <c r="IEE19" s="30"/>
      <c r="IEF19" s="30"/>
      <c r="IEG19" s="30"/>
      <c r="IEH19" s="30"/>
      <c r="IEI19" s="30"/>
      <c r="IEJ19" s="30"/>
      <c r="IEK19" s="30"/>
      <c r="IEL19" s="30"/>
      <c r="IEM19" s="30"/>
      <c r="IEN19" s="30"/>
      <c r="IEO19" s="30"/>
      <c r="IEP19" s="30"/>
      <c r="IEQ19" s="30"/>
      <c r="IER19" s="30"/>
      <c r="IES19" s="30"/>
      <c r="IET19" s="30"/>
      <c r="IEU19" s="30"/>
      <c r="IEV19" s="30"/>
      <c r="IEW19" s="30"/>
      <c r="IEX19" s="30"/>
      <c r="IEY19" s="30"/>
      <c r="IEZ19" s="30"/>
      <c r="IFA19" s="30"/>
      <c r="IFB19" s="30"/>
      <c r="IFC19" s="30"/>
      <c r="IFD19" s="30"/>
      <c r="IFE19" s="30"/>
      <c r="IFF19" s="30"/>
      <c r="IFG19" s="30"/>
      <c r="IFH19" s="30"/>
      <c r="IFI19" s="30"/>
      <c r="IFJ19" s="30"/>
      <c r="IFK19" s="30"/>
      <c r="IFL19" s="30"/>
      <c r="IFM19" s="30"/>
      <c r="IFN19" s="30"/>
      <c r="IFO19" s="30"/>
      <c r="IFP19" s="30"/>
      <c r="IFQ19" s="30"/>
      <c r="IFR19" s="30"/>
      <c r="IFS19" s="30"/>
      <c r="IFT19" s="30"/>
      <c r="IFU19" s="30"/>
      <c r="IFV19" s="30"/>
      <c r="IFW19" s="30"/>
      <c r="IFX19" s="30"/>
      <c r="IFY19" s="30"/>
      <c r="IFZ19" s="30"/>
      <c r="IGA19" s="30"/>
      <c r="IGB19" s="30"/>
      <c r="IGC19" s="30"/>
      <c r="IGD19" s="30"/>
      <c r="IGE19" s="30"/>
      <c r="IGF19" s="30"/>
      <c r="IGG19" s="30"/>
      <c r="IGH19" s="30"/>
      <c r="IGI19" s="30"/>
      <c r="IGJ19" s="30"/>
      <c r="IGK19" s="30"/>
      <c r="IGL19" s="30"/>
      <c r="IGM19" s="30"/>
      <c r="IGN19" s="30"/>
      <c r="IGO19" s="30"/>
      <c r="IGP19" s="30"/>
      <c r="IGQ19" s="30"/>
      <c r="IGR19" s="30"/>
      <c r="IGS19" s="30"/>
      <c r="IGT19" s="30"/>
      <c r="IGU19" s="30"/>
      <c r="IGV19" s="30"/>
      <c r="IGW19" s="30"/>
      <c r="IGX19" s="30"/>
      <c r="IGY19" s="30"/>
      <c r="IGZ19" s="30"/>
      <c r="IHA19" s="30"/>
      <c r="IHB19" s="30"/>
      <c r="IHC19" s="30"/>
      <c r="IHD19" s="30"/>
      <c r="IHE19" s="30"/>
      <c r="IHF19" s="30"/>
      <c r="IHG19" s="30"/>
      <c r="IHH19" s="30"/>
      <c r="IHI19" s="30"/>
      <c r="IHJ19" s="30"/>
      <c r="IHK19" s="30"/>
      <c r="IHL19" s="30"/>
      <c r="IHM19" s="30"/>
      <c r="IHN19" s="30"/>
      <c r="IHO19" s="30"/>
      <c r="IHP19" s="30"/>
      <c r="IHQ19" s="30"/>
      <c r="IHR19" s="30"/>
      <c r="IHS19" s="30"/>
      <c r="IHT19" s="30"/>
      <c r="IHU19" s="30"/>
      <c r="IHV19" s="30"/>
      <c r="IHW19" s="30"/>
      <c r="IHX19" s="30"/>
      <c r="IHY19" s="30"/>
      <c r="IHZ19" s="30"/>
      <c r="IIA19" s="30"/>
      <c r="IIB19" s="30"/>
      <c r="IIC19" s="30"/>
      <c r="IID19" s="30"/>
      <c r="IIE19" s="30"/>
      <c r="IIF19" s="30"/>
      <c r="IIG19" s="30"/>
      <c r="IIH19" s="30"/>
      <c r="III19" s="30"/>
      <c r="IIJ19" s="30"/>
      <c r="IIK19" s="30"/>
      <c r="IIL19" s="30"/>
      <c r="IIM19" s="30"/>
      <c r="IIN19" s="30"/>
      <c r="IIO19" s="30"/>
      <c r="IIP19" s="30"/>
      <c r="IIQ19" s="30"/>
      <c r="IIR19" s="30"/>
      <c r="IIS19" s="30"/>
      <c r="IIT19" s="30"/>
      <c r="IIU19" s="30"/>
      <c r="IIV19" s="30"/>
      <c r="IIW19" s="30"/>
      <c r="IIX19" s="30"/>
      <c r="IIY19" s="30"/>
      <c r="IIZ19" s="30"/>
      <c r="IJA19" s="30"/>
      <c r="IJB19" s="30"/>
      <c r="IJC19" s="30"/>
      <c r="IJD19" s="30"/>
      <c r="IJE19" s="30"/>
      <c r="IJF19" s="30"/>
      <c r="IJG19" s="30"/>
      <c r="IJH19" s="30"/>
      <c r="IJI19" s="30"/>
      <c r="IJJ19" s="30"/>
      <c r="IJK19" s="30"/>
      <c r="IJL19" s="30"/>
      <c r="IJM19" s="30"/>
      <c r="IJN19" s="30"/>
      <c r="IJO19" s="30"/>
      <c r="IJP19" s="30"/>
      <c r="IJQ19" s="30"/>
      <c r="IJR19" s="30"/>
      <c r="IJS19" s="30"/>
      <c r="IJT19" s="30"/>
      <c r="IJU19" s="30"/>
      <c r="IJV19" s="30"/>
      <c r="IJW19" s="30"/>
      <c r="IJX19" s="30"/>
      <c r="IJY19" s="30"/>
      <c r="IJZ19" s="30"/>
      <c r="IKA19" s="30"/>
      <c r="IKB19" s="30"/>
      <c r="IKC19" s="30"/>
      <c r="IKD19" s="30"/>
      <c r="IKE19" s="30"/>
      <c r="IKF19" s="30"/>
      <c r="IKG19" s="30"/>
      <c r="IKH19" s="30"/>
      <c r="IKI19" s="30"/>
      <c r="IKJ19" s="30"/>
      <c r="IKK19" s="30"/>
      <c r="IKL19" s="30"/>
      <c r="IKM19" s="30"/>
      <c r="IKN19" s="30"/>
      <c r="IKO19" s="30"/>
      <c r="IKP19" s="30"/>
      <c r="IKQ19" s="30"/>
      <c r="IKR19" s="30"/>
      <c r="IKS19" s="30"/>
      <c r="IKT19" s="30"/>
      <c r="IKU19" s="30"/>
      <c r="IKV19" s="30"/>
      <c r="IKW19" s="30"/>
      <c r="IKX19" s="30"/>
      <c r="IKY19" s="30"/>
      <c r="IKZ19" s="30"/>
      <c r="ILA19" s="30"/>
      <c r="ILB19" s="30"/>
      <c r="ILC19" s="30"/>
      <c r="ILD19" s="30"/>
      <c r="ILE19" s="30"/>
      <c r="ILF19" s="30"/>
      <c r="ILG19" s="30"/>
      <c r="ILH19" s="30"/>
      <c r="ILI19" s="30"/>
      <c r="ILJ19" s="30"/>
      <c r="ILK19" s="30"/>
      <c r="ILL19" s="30"/>
      <c r="ILM19" s="30"/>
      <c r="ILN19" s="30"/>
      <c r="ILO19" s="30"/>
      <c r="ILP19" s="30"/>
      <c r="ILQ19" s="30"/>
      <c r="ILR19" s="30"/>
      <c r="ILS19" s="30"/>
      <c r="ILT19" s="30"/>
      <c r="ILU19" s="30"/>
      <c r="ILV19" s="30"/>
      <c r="ILW19" s="30"/>
      <c r="ILX19" s="30"/>
      <c r="ILY19" s="30"/>
      <c r="ILZ19" s="30"/>
      <c r="IMA19" s="30"/>
      <c r="IMB19" s="30"/>
      <c r="IMC19" s="30"/>
      <c r="IMD19" s="30"/>
      <c r="IME19" s="30"/>
      <c r="IMF19" s="30"/>
      <c r="IMG19" s="30"/>
      <c r="IMH19" s="30"/>
      <c r="IMI19" s="30"/>
      <c r="IMJ19" s="30"/>
      <c r="IMK19" s="30"/>
      <c r="IML19" s="30"/>
      <c r="IMM19" s="30"/>
      <c r="IMN19" s="30"/>
      <c r="IMO19" s="30"/>
      <c r="IMP19" s="30"/>
      <c r="IMQ19" s="30"/>
      <c r="IMR19" s="30"/>
      <c r="IMS19" s="30"/>
      <c r="IMT19" s="30"/>
      <c r="IMU19" s="30"/>
      <c r="IMV19" s="30"/>
      <c r="IMW19" s="30"/>
      <c r="IMX19" s="30"/>
      <c r="IMY19" s="30"/>
      <c r="IMZ19" s="30"/>
      <c r="INA19" s="30"/>
      <c r="INB19" s="30"/>
      <c r="INC19" s="30"/>
      <c r="IND19" s="30"/>
      <c r="INE19" s="30"/>
      <c r="INF19" s="30"/>
      <c r="ING19" s="30"/>
      <c r="INH19" s="30"/>
      <c r="INI19" s="30"/>
      <c r="INJ19" s="30"/>
      <c r="INK19" s="30"/>
      <c r="INL19" s="30"/>
      <c r="INM19" s="30"/>
      <c r="INN19" s="30"/>
      <c r="INO19" s="30"/>
      <c r="INP19" s="30"/>
      <c r="INQ19" s="30"/>
      <c r="INR19" s="30"/>
      <c r="INS19" s="30"/>
      <c r="INT19" s="30"/>
      <c r="INU19" s="30"/>
      <c r="INV19" s="30"/>
      <c r="INW19" s="30"/>
      <c r="INX19" s="30"/>
      <c r="INY19" s="30"/>
      <c r="INZ19" s="30"/>
      <c r="IOA19" s="30"/>
      <c r="IOB19" s="30"/>
      <c r="IOC19" s="30"/>
      <c r="IOD19" s="30"/>
      <c r="IOE19" s="30"/>
      <c r="IOF19" s="30"/>
      <c r="IOG19" s="30"/>
      <c r="IOH19" s="30"/>
      <c r="IOI19" s="30"/>
      <c r="IOJ19" s="30"/>
      <c r="IOK19" s="30"/>
      <c r="IOL19" s="30"/>
      <c r="IOM19" s="30"/>
      <c r="ION19" s="30"/>
      <c r="IOO19" s="30"/>
      <c r="IOP19" s="30"/>
      <c r="IOQ19" s="30"/>
      <c r="IOR19" s="30"/>
      <c r="IOS19" s="30"/>
      <c r="IOT19" s="30"/>
      <c r="IOU19" s="30"/>
      <c r="IOV19" s="30"/>
      <c r="IOW19" s="30"/>
      <c r="IOX19" s="30"/>
      <c r="IOY19" s="30"/>
      <c r="IOZ19" s="30"/>
      <c r="IPA19" s="30"/>
      <c r="IPB19" s="30"/>
      <c r="IPC19" s="30"/>
      <c r="IPD19" s="30"/>
      <c r="IPE19" s="30"/>
      <c r="IPF19" s="30"/>
      <c r="IPG19" s="30"/>
      <c r="IPH19" s="30"/>
      <c r="IPI19" s="30"/>
      <c r="IPJ19" s="30"/>
      <c r="IPK19" s="30"/>
      <c r="IPL19" s="30"/>
      <c r="IPM19" s="30"/>
      <c r="IPN19" s="30"/>
      <c r="IPO19" s="30"/>
      <c r="IPP19" s="30"/>
      <c r="IPQ19" s="30"/>
      <c r="IPR19" s="30"/>
      <c r="IPS19" s="30"/>
      <c r="IPT19" s="30"/>
      <c r="IPU19" s="30"/>
      <c r="IPV19" s="30"/>
      <c r="IPW19" s="30"/>
      <c r="IPX19" s="30"/>
      <c r="IPY19" s="30"/>
      <c r="IPZ19" s="30"/>
      <c r="IQA19" s="30"/>
      <c r="IQB19" s="30"/>
      <c r="IQC19" s="30"/>
      <c r="IQD19" s="30"/>
      <c r="IQE19" s="30"/>
      <c r="IQF19" s="30"/>
      <c r="IQG19" s="30"/>
      <c r="IQH19" s="30"/>
      <c r="IQI19" s="30"/>
      <c r="IQJ19" s="30"/>
      <c r="IQK19" s="30"/>
      <c r="IQL19" s="30"/>
      <c r="IQM19" s="30"/>
      <c r="IQN19" s="30"/>
      <c r="IQO19" s="30"/>
      <c r="IQP19" s="30"/>
      <c r="IQQ19" s="30"/>
      <c r="IQR19" s="30"/>
      <c r="IQS19" s="30"/>
      <c r="IQT19" s="30"/>
      <c r="IQU19" s="30"/>
      <c r="IQV19" s="30"/>
      <c r="IQW19" s="30"/>
      <c r="IQX19" s="30"/>
      <c r="IQY19" s="30"/>
      <c r="IQZ19" s="30"/>
      <c r="IRA19" s="30"/>
      <c r="IRB19" s="30"/>
      <c r="IRC19" s="30"/>
      <c r="IRD19" s="30"/>
      <c r="IRE19" s="30"/>
      <c r="IRF19" s="30"/>
      <c r="IRG19" s="30"/>
      <c r="IRH19" s="30"/>
      <c r="IRI19" s="30"/>
      <c r="IRJ19" s="30"/>
      <c r="IRK19" s="30"/>
      <c r="IRL19" s="30"/>
      <c r="IRM19" s="30"/>
      <c r="IRN19" s="30"/>
      <c r="IRO19" s="30"/>
      <c r="IRP19" s="30"/>
      <c r="IRQ19" s="30"/>
      <c r="IRR19" s="30"/>
      <c r="IRS19" s="30"/>
      <c r="IRT19" s="30"/>
      <c r="IRU19" s="30"/>
      <c r="IRV19" s="30"/>
      <c r="IRW19" s="30"/>
      <c r="IRX19" s="30"/>
      <c r="IRY19" s="30"/>
      <c r="IRZ19" s="30"/>
      <c r="ISA19" s="30"/>
      <c r="ISB19" s="30"/>
      <c r="ISC19" s="30"/>
      <c r="ISD19" s="30"/>
      <c r="ISE19" s="30"/>
      <c r="ISF19" s="30"/>
      <c r="ISG19" s="30"/>
      <c r="ISH19" s="30"/>
      <c r="ISI19" s="30"/>
      <c r="ISJ19" s="30"/>
      <c r="ISK19" s="30"/>
      <c r="ISL19" s="30"/>
      <c r="ISM19" s="30"/>
      <c r="ISN19" s="30"/>
      <c r="ISO19" s="30"/>
      <c r="ISP19" s="30"/>
      <c r="ISQ19" s="30"/>
      <c r="ISR19" s="30"/>
      <c r="ISS19" s="30"/>
      <c r="IST19" s="30"/>
      <c r="ISU19" s="30"/>
      <c r="ISV19" s="30"/>
      <c r="ISW19" s="30"/>
      <c r="ISX19" s="30"/>
      <c r="ISY19" s="30"/>
      <c r="ISZ19" s="30"/>
      <c r="ITA19" s="30"/>
      <c r="ITB19" s="30"/>
      <c r="ITC19" s="30"/>
      <c r="ITD19" s="30"/>
      <c r="ITE19" s="30"/>
      <c r="ITF19" s="30"/>
      <c r="ITG19" s="30"/>
      <c r="ITH19" s="30"/>
      <c r="ITI19" s="30"/>
      <c r="ITJ19" s="30"/>
      <c r="ITK19" s="30"/>
      <c r="ITL19" s="30"/>
      <c r="ITM19" s="30"/>
      <c r="ITN19" s="30"/>
      <c r="ITO19" s="30"/>
      <c r="ITP19" s="30"/>
      <c r="ITQ19" s="30"/>
      <c r="ITR19" s="30"/>
      <c r="ITS19" s="30"/>
      <c r="ITT19" s="30"/>
      <c r="ITU19" s="30"/>
      <c r="ITV19" s="30"/>
      <c r="ITW19" s="30"/>
      <c r="ITX19" s="30"/>
      <c r="ITY19" s="30"/>
      <c r="ITZ19" s="30"/>
      <c r="IUA19" s="30"/>
      <c r="IUB19" s="30"/>
      <c r="IUC19" s="30"/>
      <c r="IUD19" s="30"/>
      <c r="IUE19" s="30"/>
      <c r="IUF19" s="30"/>
      <c r="IUG19" s="30"/>
      <c r="IUH19" s="30"/>
      <c r="IUI19" s="30"/>
      <c r="IUJ19" s="30"/>
      <c r="IUK19" s="30"/>
      <c r="IUL19" s="30"/>
      <c r="IUM19" s="30"/>
      <c r="IUN19" s="30"/>
      <c r="IUO19" s="30"/>
      <c r="IUP19" s="30"/>
      <c r="IUQ19" s="30"/>
      <c r="IUR19" s="30"/>
      <c r="IUS19" s="30"/>
      <c r="IUT19" s="30"/>
      <c r="IUU19" s="30"/>
      <c r="IUV19" s="30"/>
      <c r="IUW19" s="30"/>
      <c r="IUX19" s="30"/>
      <c r="IUY19" s="30"/>
      <c r="IUZ19" s="30"/>
      <c r="IVA19" s="30"/>
      <c r="IVB19" s="30"/>
      <c r="IVC19" s="30"/>
      <c r="IVD19" s="30"/>
      <c r="IVE19" s="30"/>
      <c r="IVF19" s="30"/>
      <c r="IVG19" s="30"/>
      <c r="IVH19" s="30"/>
      <c r="IVI19" s="30"/>
      <c r="IVJ19" s="30"/>
      <c r="IVK19" s="30"/>
      <c r="IVL19" s="30"/>
      <c r="IVM19" s="30"/>
      <c r="IVN19" s="30"/>
      <c r="IVO19" s="30"/>
      <c r="IVP19" s="30"/>
      <c r="IVQ19" s="30"/>
      <c r="IVR19" s="30"/>
      <c r="IVS19" s="30"/>
      <c r="IVT19" s="30"/>
      <c r="IVU19" s="30"/>
      <c r="IVV19" s="30"/>
      <c r="IVW19" s="30"/>
      <c r="IVX19" s="30"/>
      <c r="IVY19" s="30"/>
      <c r="IVZ19" s="30"/>
      <c r="IWA19" s="30"/>
      <c r="IWB19" s="30"/>
      <c r="IWC19" s="30"/>
      <c r="IWD19" s="30"/>
      <c r="IWE19" s="30"/>
      <c r="IWF19" s="30"/>
      <c r="IWG19" s="30"/>
      <c r="IWH19" s="30"/>
      <c r="IWI19" s="30"/>
      <c r="IWJ19" s="30"/>
      <c r="IWK19" s="30"/>
      <c r="IWL19" s="30"/>
      <c r="IWM19" s="30"/>
      <c r="IWN19" s="30"/>
      <c r="IWO19" s="30"/>
      <c r="IWP19" s="30"/>
      <c r="IWQ19" s="30"/>
      <c r="IWR19" s="30"/>
      <c r="IWS19" s="30"/>
      <c r="IWT19" s="30"/>
      <c r="IWU19" s="30"/>
      <c r="IWV19" s="30"/>
      <c r="IWW19" s="30"/>
      <c r="IWX19" s="30"/>
      <c r="IWY19" s="30"/>
      <c r="IWZ19" s="30"/>
      <c r="IXA19" s="30"/>
      <c r="IXB19" s="30"/>
      <c r="IXC19" s="30"/>
      <c r="IXD19" s="30"/>
      <c r="IXE19" s="30"/>
      <c r="IXF19" s="30"/>
      <c r="IXG19" s="30"/>
      <c r="IXH19" s="30"/>
      <c r="IXI19" s="30"/>
      <c r="IXJ19" s="30"/>
      <c r="IXK19" s="30"/>
      <c r="IXL19" s="30"/>
      <c r="IXM19" s="30"/>
      <c r="IXN19" s="30"/>
      <c r="IXO19" s="30"/>
      <c r="IXP19" s="30"/>
      <c r="IXQ19" s="30"/>
      <c r="IXR19" s="30"/>
      <c r="IXS19" s="30"/>
      <c r="IXT19" s="30"/>
      <c r="IXU19" s="30"/>
      <c r="IXV19" s="30"/>
      <c r="IXW19" s="30"/>
      <c r="IXX19" s="30"/>
      <c r="IXY19" s="30"/>
      <c r="IXZ19" s="30"/>
      <c r="IYA19" s="30"/>
      <c r="IYB19" s="30"/>
      <c r="IYC19" s="30"/>
      <c r="IYD19" s="30"/>
      <c r="IYE19" s="30"/>
      <c r="IYF19" s="30"/>
      <c r="IYG19" s="30"/>
      <c r="IYH19" s="30"/>
      <c r="IYI19" s="30"/>
      <c r="IYJ19" s="30"/>
      <c r="IYK19" s="30"/>
      <c r="IYL19" s="30"/>
      <c r="IYM19" s="30"/>
      <c r="IYN19" s="30"/>
      <c r="IYO19" s="30"/>
      <c r="IYP19" s="30"/>
      <c r="IYQ19" s="30"/>
      <c r="IYR19" s="30"/>
      <c r="IYS19" s="30"/>
      <c r="IYT19" s="30"/>
      <c r="IYU19" s="30"/>
      <c r="IYV19" s="30"/>
      <c r="IYW19" s="30"/>
      <c r="IYX19" s="30"/>
      <c r="IYY19" s="30"/>
      <c r="IYZ19" s="30"/>
      <c r="IZA19" s="30"/>
      <c r="IZB19" s="30"/>
      <c r="IZC19" s="30"/>
      <c r="IZD19" s="30"/>
      <c r="IZE19" s="30"/>
      <c r="IZF19" s="30"/>
      <c r="IZG19" s="30"/>
      <c r="IZH19" s="30"/>
      <c r="IZI19" s="30"/>
      <c r="IZJ19" s="30"/>
      <c r="IZK19" s="30"/>
      <c r="IZL19" s="30"/>
      <c r="IZM19" s="30"/>
      <c r="IZN19" s="30"/>
      <c r="IZO19" s="30"/>
      <c r="IZP19" s="30"/>
      <c r="IZQ19" s="30"/>
      <c r="IZR19" s="30"/>
      <c r="IZS19" s="30"/>
      <c r="IZT19" s="30"/>
      <c r="IZU19" s="30"/>
      <c r="IZV19" s="30"/>
      <c r="IZW19" s="30"/>
      <c r="IZX19" s="30"/>
      <c r="IZY19" s="30"/>
      <c r="IZZ19" s="30"/>
      <c r="JAA19" s="30"/>
      <c r="JAB19" s="30"/>
      <c r="JAC19" s="30"/>
      <c r="JAD19" s="30"/>
      <c r="JAE19" s="30"/>
      <c r="JAF19" s="30"/>
      <c r="JAG19" s="30"/>
      <c r="JAH19" s="30"/>
      <c r="JAI19" s="30"/>
      <c r="JAJ19" s="30"/>
      <c r="JAK19" s="30"/>
      <c r="JAL19" s="30"/>
      <c r="JAM19" s="30"/>
      <c r="JAN19" s="30"/>
      <c r="JAO19" s="30"/>
      <c r="JAP19" s="30"/>
      <c r="JAQ19" s="30"/>
      <c r="JAR19" s="30"/>
      <c r="JAS19" s="30"/>
      <c r="JAT19" s="30"/>
      <c r="JAU19" s="30"/>
      <c r="JAV19" s="30"/>
      <c r="JAW19" s="30"/>
      <c r="JAX19" s="30"/>
      <c r="JAY19" s="30"/>
      <c r="JAZ19" s="30"/>
      <c r="JBA19" s="30"/>
      <c r="JBB19" s="30"/>
      <c r="JBC19" s="30"/>
      <c r="JBD19" s="30"/>
      <c r="JBE19" s="30"/>
      <c r="JBF19" s="30"/>
      <c r="JBG19" s="30"/>
      <c r="JBH19" s="30"/>
      <c r="JBI19" s="30"/>
      <c r="JBJ19" s="30"/>
      <c r="JBK19" s="30"/>
      <c r="JBL19" s="30"/>
      <c r="JBM19" s="30"/>
      <c r="JBN19" s="30"/>
      <c r="JBO19" s="30"/>
      <c r="JBP19" s="30"/>
      <c r="JBQ19" s="30"/>
      <c r="JBR19" s="30"/>
      <c r="JBS19" s="30"/>
      <c r="JBT19" s="30"/>
      <c r="JBU19" s="30"/>
      <c r="JBV19" s="30"/>
      <c r="JBW19" s="30"/>
      <c r="JBX19" s="30"/>
      <c r="JBY19" s="30"/>
      <c r="JBZ19" s="30"/>
      <c r="JCA19" s="30"/>
      <c r="JCB19" s="30"/>
      <c r="JCC19" s="30"/>
      <c r="JCD19" s="30"/>
      <c r="JCE19" s="30"/>
      <c r="JCF19" s="30"/>
      <c r="JCG19" s="30"/>
      <c r="JCH19" s="30"/>
      <c r="JCI19" s="30"/>
      <c r="JCJ19" s="30"/>
      <c r="JCK19" s="30"/>
      <c r="JCL19" s="30"/>
      <c r="JCM19" s="30"/>
      <c r="JCN19" s="30"/>
      <c r="JCO19" s="30"/>
      <c r="JCP19" s="30"/>
      <c r="JCQ19" s="30"/>
      <c r="JCR19" s="30"/>
      <c r="JCS19" s="30"/>
      <c r="JCT19" s="30"/>
      <c r="JCU19" s="30"/>
      <c r="JCV19" s="30"/>
      <c r="JCW19" s="30"/>
      <c r="JCX19" s="30"/>
      <c r="JCY19" s="30"/>
      <c r="JCZ19" s="30"/>
      <c r="JDA19" s="30"/>
      <c r="JDB19" s="30"/>
      <c r="JDC19" s="30"/>
      <c r="JDD19" s="30"/>
      <c r="JDE19" s="30"/>
      <c r="JDF19" s="30"/>
      <c r="JDG19" s="30"/>
      <c r="JDH19" s="30"/>
      <c r="JDI19" s="30"/>
      <c r="JDJ19" s="30"/>
      <c r="JDK19" s="30"/>
      <c r="JDL19" s="30"/>
      <c r="JDM19" s="30"/>
      <c r="JDN19" s="30"/>
      <c r="JDO19" s="30"/>
      <c r="JDP19" s="30"/>
      <c r="JDQ19" s="30"/>
      <c r="JDR19" s="30"/>
      <c r="JDS19" s="30"/>
      <c r="JDT19" s="30"/>
      <c r="JDU19" s="30"/>
      <c r="JDV19" s="30"/>
      <c r="JDW19" s="30"/>
      <c r="JDX19" s="30"/>
      <c r="JDY19" s="30"/>
      <c r="JDZ19" s="30"/>
      <c r="JEA19" s="30"/>
      <c r="JEB19" s="30"/>
      <c r="JEC19" s="30"/>
      <c r="JED19" s="30"/>
      <c r="JEE19" s="30"/>
      <c r="JEF19" s="30"/>
      <c r="JEG19" s="30"/>
      <c r="JEH19" s="30"/>
      <c r="JEI19" s="30"/>
      <c r="JEJ19" s="30"/>
      <c r="JEK19" s="30"/>
      <c r="JEL19" s="30"/>
      <c r="JEM19" s="30"/>
      <c r="JEN19" s="30"/>
      <c r="JEO19" s="30"/>
      <c r="JEP19" s="30"/>
      <c r="JEQ19" s="30"/>
      <c r="JER19" s="30"/>
      <c r="JES19" s="30"/>
      <c r="JET19" s="30"/>
      <c r="JEU19" s="30"/>
      <c r="JEV19" s="30"/>
      <c r="JEW19" s="30"/>
      <c r="JEX19" s="30"/>
      <c r="JEY19" s="30"/>
      <c r="JEZ19" s="30"/>
      <c r="JFA19" s="30"/>
      <c r="JFB19" s="30"/>
      <c r="JFC19" s="30"/>
      <c r="JFD19" s="30"/>
      <c r="JFE19" s="30"/>
      <c r="JFF19" s="30"/>
      <c r="JFG19" s="30"/>
      <c r="JFH19" s="30"/>
      <c r="JFI19" s="30"/>
      <c r="JFJ19" s="30"/>
      <c r="JFK19" s="30"/>
      <c r="JFL19" s="30"/>
      <c r="JFM19" s="30"/>
      <c r="JFN19" s="30"/>
      <c r="JFO19" s="30"/>
      <c r="JFP19" s="30"/>
      <c r="JFQ19" s="30"/>
      <c r="JFR19" s="30"/>
      <c r="JFS19" s="30"/>
      <c r="JFT19" s="30"/>
      <c r="JFU19" s="30"/>
      <c r="JFV19" s="30"/>
      <c r="JFW19" s="30"/>
      <c r="JFX19" s="30"/>
      <c r="JFY19" s="30"/>
      <c r="JFZ19" s="30"/>
      <c r="JGA19" s="30"/>
      <c r="JGB19" s="30"/>
      <c r="JGC19" s="30"/>
      <c r="JGD19" s="30"/>
      <c r="JGE19" s="30"/>
      <c r="JGF19" s="30"/>
      <c r="JGG19" s="30"/>
      <c r="JGH19" s="30"/>
      <c r="JGI19" s="30"/>
      <c r="JGJ19" s="30"/>
      <c r="JGK19" s="30"/>
      <c r="JGL19" s="30"/>
      <c r="JGM19" s="30"/>
      <c r="JGN19" s="30"/>
      <c r="JGO19" s="30"/>
      <c r="JGP19" s="30"/>
      <c r="JGQ19" s="30"/>
      <c r="JGR19" s="30"/>
      <c r="JGS19" s="30"/>
      <c r="JGT19" s="30"/>
      <c r="JGU19" s="30"/>
      <c r="JGV19" s="30"/>
      <c r="JGW19" s="30"/>
      <c r="JGX19" s="30"/>
      <c r="JGY19" s="30"/>
      <c r="JGZ19" s="30"/>
      <c r="JHA19" s="30"/>
      <c r="JHB19" s="30"/>
      <c r="JHC19" s="30"/>
      <c r="JHD19" s="30"/>
      <c r="JHE19" s="30"/>
      <c r="JHF19" s="30"/>
      <c r="JHG19" s="30"/>
      <c r="JHH19" s="30"/>
      <c r="JHI19" s="30"/>
      <c r="JHJ19" s="30"/>
      <c r="JHK19" s="30"/>
      <c r="JHL19" s="30"/>
      <c r="JHM19" s="30"/>
      <c r="JHN19" s="30"/>
      <c r="JHO19" s="30"/>
      <c r="JHP19" s="30"/>
      <c r="JHQ19" s="30"/>
      <c r="JHR19" s="30"/>
      <c r="JHS19" s="30"/>
      <c r="JHT19" s="30"/>
      <c r="JHU19" s="30"/>
      <c r="JHV19" s="30"/>
      <c r="JHW19" s="30"/>
      <c r="JHX19" s="30"/>
      <c r="JHY19" s="30"/>
      <c r="JHZ19" s="30"/>
      <c r="JIA19" s="30"/>
      <c r="JIB19" s="30"/>
      <c r="JIC19" s="30"/>
      <c r="JID19" s="30"/>
      <c r="JIE19" s="30"/>
      <c r="JIF19" s="30"/>
      <c r="JIG19" s="30"/>
      <c r="JIH19" s="30"/>
      <c r="JII19" s="30"/>
      <c r="JIJ19" s="30"/>
      <c r="JIK19" s="30"/>
      <c r="JIL19" s="30"/>
      <c r="JIM19" s="30"/>
      <c r="JIN19" s="30"/>
      <c r="JIO19" s="30"/>
      <c r="JIP19" s="30"/>
      <c r="JIQ19" s="30"/>
      <c r="JIR19" s="30"/>
      <c r="JIS19" s="30"/>
      <c r="JIT19" s="30"/>
      <c r="JIU19" s="30"/>
      <c r="JIV19" s="30"/>
      <c r="JIW19" s="30"/>
      <c r="JIX19" s="30"/>
      <c r="JIY19" s="30"/>
      <c r="JIZ19" s="30"/>
      <c r="JJA19" s="30"/>
      <c r="JJB19" s="30"/>
      <c r="JJC19" s="30"/>
      <c r="JJD19" s="30"/>
      <c r="JJE19" s="30"/>
      <c r="JJF19" s="30"/>
      <c r="JJG19" s="30"/>
      <c r="JJH19" s="30"/>
      <c r="JJI19" s="30"/>
      <c r="JJJ19" s="30"/>
      <c r="JJK19" s="30"/>
      <c r="JJL19" s="30"/>
      <c r="JJM19" s="30"/>
      <c r="JJN19" s="30"/>
      <c r="JJO19" s="30"/>
      <c r="JJP19" s="30"/>
      <c r="JJQ19" s="30"/>
      <c r="JJR19" s="30"/>
      <c r="JJS19" s="30"/>
      <c r="JJT19" s="30"/>
      <c r="JJU19" s="30"/>
      <c r="JJV19" s="30"/>
      <c r="JJW19" s="30"/>
      <c r="JJX19" s="30"/>
      <c r="JJY19" s="30"/>
      <c r="JJZ19" s="30"/>
      <c r="JKA19" s="30"/>
      <c r="JKB19" s="30"/>
      <c r="JKC19" s="30"/>
      <c r="JKD19" s="30"/>
      <c r="JKE19" s="30"/>
      <c r="JKF19" s="30"/>
      <c r="JKG19" s="30"/>
      <c r="JKH19" s="30"/>
      <c r="JKI19" s="30"/>
      <c r="JKJ19" s="30"/>
      <c r="JKK19" s="30"/>
      <c r="JKL19" s="30"/>
      <c r="JKM19" s="30"/>
      <c r="JKN19" s="30"/>
      <c r="JKO19" s="30"/>
      <c r="JKP19" s="30"/>
      <c r="JKQ19" s="30"/>
      <c r="JKR19" s="30"/>
      <c r="JKS19" s="30"/>
      <c r="JKT19" s="30"/>
      <c r="JKU19" s="30"/>
      <c r="JKV19" s="30"/>
      <c r="JKW19" s="30"/>
      <c r="JKX19" s="30"/>
      <c r="JKY19" s="30"/>
      <c r="JKZ19" s="30"/>
      <c r="JLA19" s="30"/>
      <c r="JLB19" s="30"/>
      <c r="JLC19" s="30"/>
      <c r="JLD19" s="30"/>
      <c r="JLE19" s="30"/>
      <c r="JLF19" s="30"/>
      <c r="JLG19" s="30"/>
      <c r="JLH19" s="30"/>
      <c r="JLI19" s="30"/>
      <c r="JLJ19" s="30"/>
      <c r="JLK19" s="30"/>
      <c r="JLL19" s="30"/>
      <c r="JLM19" s="30"/>
      <c r="JLN19" s="30"/>
      <c r="JLO19" s="30"/>
      <c r="JLP19" s="30"/>
      <c r="JLQ19" s="30"/>
      <c r="JLR19" s="30"/>
      <c r="JLS19" s="30"/>
      <c r="JLT19" s="30"/>
      <c r="JLU19" s="30"/>
      <c r="JLV19" s="30"/>
      <c r="JLW19" s="30"/>
      <c r="JLX19" s="30"/>
      <c r="JLY19" s="30"/>
      <c r="JLZ19" s="30"/>
      <c r="JMA19" s="30"/>
      <c r="JMB19" s="30"/>
      <c r="JMC19" s="30"/>
      <c r="JMD19" s="30"/>
      <c r="JME19" s="30"/>
      <c r="JMF19" s="30"/>
      <c r="JMG19" s="30"/>
      <c r="JMH19" s="30"/>
      <c r="JMI19" s="30"/>
      <c r="JMJ19" s="30"/>
      <c r="JMK19" s="30"/>
      <c r="JML19" s="30"/>
      <c r="JMM19" s="30"/>
      <c r="JMN19" s="30"/>
      <c r="JMO19" s="30"/>
      <c r="JMP19" s="30"/>
      <c r="JMQ19" s="30"/>
      <c r="JMR19" s="30"/>
      <c r="JMS19" s="30"/>
      <c r="JMT19" s="30"/>
      <c r="JMU19" s="30"/>
      <c r="JMV19" s="30"/>
      <c r="JMW19" s="30"/>
      <c r="JMX19" s="30"/>
      <c r="JMY19" s="30"/>
      <c r="JMZ19" s="30"/>
      <c r="JNA19" s="30"/>
      <c r="JNB19" s="30"/>
      <c r="JNC19" s="30"/>
      <c r="JND19" s="30"/>
      <c r="JNE19" s="30"/>
      <c r="JNF19" s="30"/>
      <c r="JNG19" s="30"/>
      <c r="JNH19" s="30"/>
      <c r="JNI19" s="30"/>
      <c r="JNJ19" s="30"/>
      <c r="JNK19" s="30"/>
      <c r="JNL19" s="30"/>
      <c r="JNM19" s="30"/>
      <c r="JNN19" s="30"/>
      <c r="JNO19" s="30"/>
      <c r="JNP19" s="30"/>
      <c r="JNQ19" s="30"/>
      <c r="JNR19" s="30"/>
      <c r="JNS19" s="30"/>
      <c r="JNT19" s="30"/>
      <c r="JNU19" s="30"/>
      <c r="JNV19" s="30"/>
      <c r="JNW19" s="30"/>
      <c r="JNX19" s="30"/>
      <c r="JNY19" s="30"/>
      <c r="JNZ19" s="30"/>
      <c r="JOA19" s="30"/>
      <c r="JOB19" s="30"/>
      <c r="JOC19" s="30"/>
      <c r="JOD19" s="30"/>
      <c r="JOE19" s="30"/>
      <c r="JOF19" s="30"/>
      <c r="JOG19" s="30"/>
      <c r="JOH19" s="30"/>
      <c r="JOI19" s="30"/>
      <c r="JOJ19" s="30"/>
      <c r="JOK19" s="30"/>
      <c r="JOL19" s="30"/>
      <c r="JOM19" s="30"/>
      <c r="JON19" s="30"/>
      <c r="JOO19" s="30"/>
      <c r="JOP19" s="30"/>
      <c r="JOQ19" s="30"/>
      <c r="JOR19" s="30"/>
      <c r="JOS19" s="30"/>
      <c r="JOT19" s="30"/>
      <c r="JOU19" s="30"/>
      <c r="JOV19" s="30"/>
      <c r="JOW19" s="30"/>
      <c r="JOX19" s="30"/>
      <c r="JOY19" s="30"/>
      <c r="JOZ19" s="30"/>
      <c r="JPA19" s="30"/>
      <c r="JPB19" s="30"/>
      <c r="JPC19" s="30"/>
      <c r="JPD19" s="30"/>
      <c r="JPE19" s="30"/>
      <c r="JPF19" s="30"/>
      <c r="JPG19" s="30"/>
      <c r="JPH19" s="30"/>
      <c r="JPI19" s="30"/>
      <c r="JPJ19" s="30"/>
      <c r="JPK19" s="30"/>
      <c r="JPL19" s="30"/>
      <c r="JPM19" s="30"/>
      <c r="JPN19" s="30"/>
      <c r="JPO19" s="30"/>
      <c r="JPP19" s="30"/>
      <c r="JPQ19" s="30"/>
      <c r="JPR19" s="30"/>
      <c r="JPS19" s="30"/>
      <c r="JPT19" s="30"/>
      <c r="JPU19" s="30"/>
      <c r="JPV19" s="30"/>
      <c r="JPW19" s="30"/>
      <c r="JPX19" s="30"/>
      <c r="JPY19" s="30"/>
      <c r="JPZ19" s="30"/>
      <c r="JQA19" s="30"/>
      <c r="JQB19" s="30"/>
      <c r="JQC19" s="30"/>
      <c r="JQD19" s="30"/>
      <c r="JQE19" s="30"/>
      <c r="JQF19" s="30"/>
      <c r="JQG19" s="30"/>
      <c r="JQH19" s="30"/>
      <c r="JQI19" s="30"/>
      <c r="JQJ19" s="30"/>
      <c r="JQK19" s="30"/>
      <c r="JQL19" s="30"/>
      <c r="JQM19" s="30"/>
      <c r="JQN19" s="30"/>
      <c r="JQO19" s="30"/>
      <c r="JQP19" s="30"/>
      <c r="JQQ19" s="30"/>
      <c r="JQR19" s="30"/>
      <c r="JQS19" s="30"/>
      <c r="JQT19" s="30"/>
      <c r="JQU19" s="30"/>
      <c r="JQV19" s="30"/>
      <c r="JQW19" s="30"/>
      <c r="JQX19" s="30"/>
      <c r="JQY19" s="30"/>
      <c r="JQZ19" s="30"/>
      <c r="JRA19" s="30"/>
      <c r="JRB19" s="30"/>
      <c r="JRC19" s="30"/>
      <c r="JRD19" s="30"/>
      <c r="JRE19" s="30"/>
      <c r="JRF19" s="30"/>
      <c r="JRG19" s="30"/>
      <c r="JRH19" s="30"/>
      <c r="JRI19" s="30"/>
      <c r="JRJ19" s="30"/>
      <c r="JRK19" s="30"/>
      <c r="JRL19" s="30"/>
      <c r="JRM19" s="30"/>
      <c r="JRN19" s="30"/>
      <c r="JRO19" s="30"/>
      <c r="JRP19" s="30"/>
      <c r="JRQ19" s="30"/>
      <c r="JRR19" s="30"/>
      <c r="JRS19" s="30"/>
      <c r="JRT19" s="30"/>
      <c r="JRU19" s="30"/>
      <c r="JRV19" s="30"/>
      <c r="JRW19" s="30"/>
      <c r="JRX19" s="30"/>
      <c r="JRY19" s="30"/>
      <c r="JRZ19" s="30"/>
      <c r="JSA19" s="30"/>
      <c r="JSB19" s="30"/>
      <c r="JSC19" s="30"/>
      <c r="JSD19" s="30"/>
      <c r="JSE19" s="30"/>
      <c r="JSF19" s="30"/>
      <c r="JSG19" s="30"/>
      <c r="JSH19" s="30"/>
      <c r="JSI19" s="30"/>
      <c r="JSJ19" s="30"/>
      <c r="JSK19" s="30"/>
      <c r="JSL19" s="30"/>
      <c r="JSM19" s="30"/>
      <c r="JSN19" s="30"/>
      <c r="JSO19" s="30"/>
      <c r="JSP19" s="30"/>
      <c r="JSQ19" s="30"/>
      <c r="JSR19" s="30"/>
      <c r="JSS19" s="30"/>
      <c r="JST19" s="30"/>
      <c r="JSU19" s="30"/>
      <c r="JSV19" s="30"/>
      <c r="JSW19" s="30"/>
      <c r="JSX19" s="30"/>
      <c r="JSY19" s="30"/>
      <c r="JSZ19" s="30"/>
      <c r="JTA19" s="30"/>
      <c r="JTB19" s="30"/>
      <c r="JTC19" s="30"/>
      <c r="JTD19" s="30"/>
      <c r="JTE19" s="30"/>
      <c r="JTF19" s="30"/>
      <c r="JTG19" s="30"/>
      <c r="JTH19" s="30"/>
      <c r="JTI19" s="30"/>
      <c r="JTJ19" s="30"/>
      <c r="JTK19" s="30"/>
      <c r="JTL19" s="30"/>
      <c r="JTM19" s="30"/>
      <c r="JTN19" s="30"/>
      <c r="JTO19" s="30"/>
      <c r="JTP19" s="30"/>
      <c r="JTQ19" s="30"/>
      <c r="JTR19" s="30"/>
      <c r="JTS19" s="30"/>
      <c r="JTT19" s="30"/>
      <c r="JTU19" s="30"/>
      <c r="JTV19" s="30"/>
      <c r="JTW19" s="30"/>
      <c r="JTX19" s="30"/>
      <c r="JTY19" s="30"/>
      <c r="JTZ19" s="30"/>
      <c r="JUA19" s="30"/>
      <c r="JUB19" s="30"/>
      <c r="JUC19" s="30"/>
      <c r="JUD19" s="30"/>
      <c r="JUE19" s="30"/>
      <c r="JUF19" s="30"/>
      <c r="JUG19" s="30"/>
      <c r="JUH19" s="30"/>
      <c r="JUI19" s="30"/>
      <c r="JUJ19" s="30"/>
      <c r="JUK19" s="30"/>
      <c r="JUL19" s="30"/>
      <c r="JUM19" s="30"/>
      <c r="JUN19" s="30"/>
      <c r="JUO19" s="30"/>
      <c r="JUP19" s="30"/>
      <c r="JUQ19" s="30"/>
      <c r="JUR19" s="30"/>
      <c r="JUS19" s="30"/>
      <c r="JUT19" s="30"/>
      <c r="JUU19" s="30"/>
      <c r="JUV19" s="30"/>
      <c r="JUW19" s="30"/>
      <c r="JUX19" s="30"/>
      <c r="JUY19" s="30"/>
      <c r="JUZ19" s="30"/>
      <c r="JVA19" s="30"/>
      <c r="JVB19" s="30"/>
      <c r="JVC19" s="30"/>
      <c r="JVD19" s="30"/>
      <c r="JVE19" s="30"/>
      <c r="JVF19" s="30"/>
      <c r="JVG19" s="30"/>
      <c r="JVH19" s="30"/>
      <c r="JVI19" s="30"/>
      <c r="JVJ19" s="30"/>
      <c r="JVK19" s="30"/>
      <c r="JVL19" s="30"/>
      <c r="JVM19" s="30"/>
      <c r="JVN19" s="30"/>
      <c r="JVO19" s="30"/>
      <c r="JVP19" s="30"/>
      <c r="JVQ19" s="30"/>
      <c r="JVR19" s="30"/>
      <c r="JVS19" s="30"/>
      <c r="JVT19" s="30"/>
      <c r="JVU19" s="30"/>
      <c r="JVV19" s="30"/>
      <c r="JVW19" s="30"/>
      <c r="JVX19" s="30"/>
      <c r="JVY19" s="30"/>
      <c r="JVZ19" s="30"/>
      <c r="JWA19" s="30"/>
      <c r="JWB19" s="30"/>
      <c r="JWC19" s="30"/>
      <c r="JWD19" s="30"/>
      <c r="JWE19" s="30"/>
      <c r="JWF19" s="30"/>
      <c r="JWG19" s="30"/>
      <c r="JWH19" s="30"/>
      <c r="JWI19" s="30"/>
      <c r="JWJ19" s="30"/>
      <c r="JWK19" s="30"/>
      <c r="JWL19" s="30"/>
      <c r="JWM19" s="30"/>
      <c r="JWN19" s="30"/>
      <c r="JWO19" s="30"/>
      <c r="JWP19" s="30"/>
      <c r="JWQ19" s="30"/>
      <c r="JWR19" s="30"/>
      <c r="JWS19" s="30"/>
      <c r="JWT19" s="30"/>
      <c r="JWU19" s="30"/>
      <c r="JWV19" s="30"/>
      <c r="JWW19" s="30"/>
      <c r="JWX19" s="30"/>
      <c r="JWY19" s="30"/>
      <c r="JWZ19" s="30"/>
      <c r="JXA19" s="30"/>
      <c r="JXB19" s="30"/>
      <c r="JXC19" s="30"/>
      <c r="JXD19" s="30"/>
      <c r="JXE19" s="30"/>
      <c r="JXF19" s="30"/>
      <c r="JXG19" s="30"/>
      <c r="JXH19" s="30"/>
      <c r="JXI19" s="30"/>
      <c r="JXJ19" s="30"/>
      <c r="JXK19" s="30"/>
      <c r="JXL19" s="30"/>
      <c r="JXM19" s="30"/>
      <c r="JXN19" s="30"/>
      <c r="JXO19" s="30"/>
      <c r="JXP19" s="30"/>
      <c r="JXQ19" s="30"/>
      <c r="JXR19" s="30"/>
      <c r="JXS19" s="30"/>
      <c r="JXT19" s="30"/>
      <c r="JXU19" s="30"/>
      <c r="JXV19" s="30"/>
      <c r="JXW19" s="30"/>
      <c r="JXX19" s="30"/>
      <c r="JXY19" s="30"/>
      <c r="JXZ19" s="30"/>
      <c r="JYA19" s="30"/>
      <c r="JYB19" s="30"/>
      <c r="JYC19" s="30"/>
      <c r="JYD19" s="30"/>
      <c r="JYE19" s="30"/>
      <c r="JYF19" s="30"/>
      <c r="JYG19" s="30"/>
      <c r="JYH19" s="30"/>
      <c r="JYI19" s="30"/>
      <c r="JYJ19" s="30"/>
      <c r="JYK19" s="30"/>
      <c r="JYL19" s="30"/>
      <c r="JYM19" s="30"/>
      <c r="JYN19" s="30"/>
      <c r="JYO19" s="30"/>
      <c r="JYP19" s="30"/>
      <c r="JYQ19" s="30"/>
      <c r="JYR19" s="30"/>
      <c r="JYS19" s="30"/>
      <c r="JYT19" s="30"/>
      <c r="JYU19" s="30"/>
      <c r="JYV19" s="30"/>
      <c r="JYW19" s="30"/>
      <c r="JYX19" s="30"/>
      <c r="JYY19" s="30"/>
      <c r="JYZ19" s="30"/>
      <c r="JZA19" s="30"/>
      <c r="JZB19" s="30"/>
      <c r="JZC19" s="30"/>
      <c r="JZD19" s="30"/>
      <c r="JZE19" s="30"/>
      <c r="JZF19" s="30"/>
      <c r="JZG19" s="30"/>
      <c r="JZH19" s="30"/>
      <c r="JZI19" s="30"/>
      <c r="JZJ19" s="30"/>
      <c r="JZK19" s="30"/>
      <c r="JZL19" s="30"/>
      <c r="JZM19" s="30"/>
      <c r="JZN19" s="30"/>
      <c r="JZO19" s="30"/>
      <c r="JZP19" s="30"/>
      <c r="JZQ19" s="30"/>
      <c r="JZR19" s="30"/>
      <c r="JZS19" s="30"/>
      <c r="JZT19" s="30"/>
      <c r="JZU19" s="30"/>
      <c r="JZV19" s="30"/>
      <c r="JZW19" s="30"/>
      <c r="JZX19" s="30"/>
      <c r="JZY19" s="30"/>
      <c r="JZZ19" s="30"/>
      <c r="KAA19" s="30"/>
      <c r="KAB19" s="30"/>
      <c r="KAC19" s="30"/>
      <c r="KAD19" s="30"/>
      <c r="KAE19" s="30"/>
      <c r="KAF19" s="30"/>
      <c r="KAG19" s="30"/>
      <c r="KAH19" s="30"/>
      <c r="KAI19" s="30"/>
      <c r="KAJ19" s="30"/>
      <c r="KAK19" s="30"/>
      <c r="KAL19" s="30"/>
      <c r="KAM19" s="30"/>
      <c r="KAN19" s="30"/>
      <c r="KAO19" s="30"/>
      <c r="KAP19" s="30"/>
      <c r="KAQ19" s="30"/>
      <c r="KAR19" s="30"/>
      <c r="KAS19" s="30"/>
      <c r="KAT19" s="30"/>
      <c r="KAU19" s="30"/>
      <c r="KAV19" s="30"/>
      <c r="KAW19" s="30"/>
      <c r="KAX19" s="30"/>
      <c r="KAY19" s="30"/>
      <c r="KAZ19" s="30"/>
      <c r="KBA19" s="30"/>
      <c r="KBB19" s="30"/>
      <c r="KBC19" s="30"/>
      <c r="KBD19" s="30"/>
      <c r="KBE19" s="30"/>
      <c r="KBF19" s="30"/>
      <c r="KBG19" s="30"/>
      <c r="KBH19" s="30"/>
      <c r="KBI19" s="30"/>
      <c r="KBJ19" s="30"/>
      <c r="KBK19" s="30"/>
      <c r="KBL19" s="30"/>
      <c r="KBM19" s="30"/>
      <c r="KBN19" s="30"/>
      <c r="KBO19" s="30"/>
      <c r="KBP19" s="30"/>
      <c r="KBQ19" s="30"/>
      <c r="KBR19" s="30"/>
      <c r="KBS19" s="30"/>
      <c r="KBT19" s="30"/>
      <c r="KBU19" s="30"/>
      <c r="KBV19" s="30"/>
      <c r="KBW19" s="30"/>
      <c r="KBX19" s="30"/>
      <c r="KBY19" s="30"/>
      <c r="KBZ19" s="30"/>
      <c r="KCA19" s="30"/>
      <c r="KCB19" s="30"/>
      <c r="KCC19" s="30"/>
      <c r="KCD19" s="30"/>
      <c r="KCE19" s="30"/>
      <c r="KCF19" s="30"/>
      <c r="KCG19" s="30"/>
      <c r="KCH19" s="30"/>
      <c r="KCI19" s="30"/>
      <c r="KCJ19" s="30"/>
      <c r="KCK19" s="30"/>
      <c r="KCL19" s="30"/>
      <c r="KCM19" s="30"/>
      <c r="KCN19" s="30"/>
      <c r="KCO19" s="30"/>
      <c r="KCP19" s="30"/>
      <c r="KCQ19" s="30"/>
      <c r="KCR19" s="30"/>
      <c r="KCS19" s="30"/>
      <c r="KCT19" s="30"/>
      <c r="KCU19" s="30"/>
      <c r="KCV19" s="30"/>
      <c r="KCW19" s="30"/>
      <c r="KCX19" s="30"/>
      <c r="KCY19" s="30"/>
      <c r="KCZ19" s="30"/>
      <c r="KDA19" s="30"/>
      <c r="KDB19" s="30"/>
      <c r="KDC19" s="30"/>
      <c r="KDD19" s="30"/>
      <c r="KDE19" s="30"/>
      <c r="KDF19" s="30"/>
      <c r="KDG19" s="30"/>
      <c r="KDH19" s="30"/>
      <c r="KDI19" s="30"/>
      <c r="KDJ19" s="30"/>
      <c r="KDK19" s="30"/>
      <c r="KDL19" s="30"/>
      <c r="KDM19" s="30"/>
      <c r="KDN19" s="30"/>
      <c r="KDO19" s="30"/>
      <c r="KDP19" s="30"/>
      <c r="KDQ19" s="30"/>
      <c r="KDR19" s="30"/>
      <c r="KDS19" s="30"/>
      <c r="KDT19" s="30"/>
      <c r="KDU19" s="30"/>
      <c r="KDV19" s="30"/>
      <c r="KDW19" s="30"/>
      <c r="KDX19" s="30"/>
      <c r="KDY19" s="30"/>
      <c r="KDZ19" s="30"/>
      <c r="KEA19" s="30"/>
      <c r="KEB19" s="30"/>
      <c r="KEC19" s="30"/>
      <c r="KED19" s="30"/>
      <c r="KEE19" s="30"/>
      <c r="KEF19" s="30"/>
      <c r="KEG19" s="30"/>
      <c r="KEH19" s="30"/>
      <c r="KEI19" s="30"/>
      <c r="KEJ19" s="30"/>
      <c r="KEK19" s="30"/>
      <c r="KEL19" s="30"/>
      <c r="KEM19" s="30"/>
      <c r="KEN19" s="30"/>
      <c r="KEO19" s="30"/>
      <c r="KEP19" s="30"/>
      <c r="KEQ19" s="30"/>
      <c r="KER19" s="30"/>
      <c r="KES19" s="30"/>
      <c r="KET19" s="30"/>
      <c r="KEU19" s="30"/>
      <c r="KEV19" s="30"/>
      <c r="KEW19" s="30"/>
      <c r="KEX19" s="30"/>
      <c r="KEY19" s="30"/>
      <c r="KEZ19" s="30"/>
      <c r="KFA19" s="30"/>
      <c r="KFB19" s="30"/>
      <c r="KFC19" s="30"/>
      <c r="KFD19" s="30"/>
      <c r="KFE19" s="30"/>
      <c r="KFF19" s="30"/>
      <c r="KFG19" s="30"/>
      <c r="KFH19" s="30"/>
      <c r="KFI19" s="30"/>
      <c r="KFJ19" s="30"/>
      <c r="KFK19" s="30"/>
      <c r="KFL19" s="30"/>
      <c r="KFM19" s="30"/>
      <c r="KFN19" s="30"/>
      <c r="KFO19" s="30"/>
      <c r="KFP19" s="30"/>
      <c r="KFQ19" s="30"/>
      <c r="KFR19" s="30"/>
      <c r="KFS19" s="30"/>
      <c r="KFT19" s="30"/>
      <c r="KFU19" s="30"/>
      <c r="KFV19" s="30"/>
      <c r="KFW19" s="30"/>
      <c r="KFX19" s="30"/>
      <c r="KFY19" s="30"/>
      <c r="KFZ19" s="30"/>
      <c r="KGA19" s="30"/>
      <c r="KGB19" s="30"/>
      <c r="KGC19" s="30"/>
      <c r="KGD19" s="30"/>
      <c r="KGE19" s="30"/>
      <c r="KGF19" s="30"/>
      <c r="KGG19" s="30"/>
      <c r="KGH19" s="30"/>
      <c r="KGI19" s="30"/>
      <c r="KGJ19" s="30"/>
      <c r="KGK19" s="30"/>
      <c r="KGL19" s="30"/>
      <c r="KGM19" s="30"/>
      <c r="KGN19" s="30"/>
      <c r="KGO19" s="30"/>
      <c r="KGP19" s="30"/>
      <c r="KGQ19" s="30"/>
      <c r="KGR19" s="30"/>
      <c r="KGS19" s="30"/>
      <c r="KGT19" s="30"/>
      <c r="KGU19" s="30"/>
      <c r="KGV19" s="30"/>
      <c r="KGW19" s="30"/>
      <c r="KGX19" s="30"/>
      <c r="KGY19" s="30"/>
      <c r="KGZ19" s="30"/>
      <c r="KHA19" s="30"/>
      <c r="KHB19" s="30"/>
      <c r="KHC19" s="30"/>
      <c r="KHD19" s="30"/>
      <c r="KHE19" s="30"/>
      <c r="KHF19" s="30"/>
      <c r="KHG19" s="30"/>
      <c r="KHH19" s="30"/>
      <c r="KHI19" s="30"/>
      <c r="KHJ19" s="30"/>
      <c r="KHK19" s="30"/>
      <c r="KHL19" s="30"/>
      <c r="KHM19" s="30"/>
      <c r="KHN19" s="30"/>
      <c r="KHO19" s="30"/>
      <c r="KHP19" s="30"/>
      <c r="KHQ19" s="30"/>
      <c r="KHR19" s="30"/>
      <c r="KHS19" s="30"/>
      <c r="KHT19" s="30"/>
      <c r="KHU19" s="30"/>
      <c r="KHV19" s="30"/>
      <c r="KHW19" s="30"/>
      <c r="KHX19" s="30"/>
      <c r="KHY19" s="30"/>
      <c r="KHZ19" s="30"/>
      <c r="KIA19" s="30"/>
      <c r="KIB19" s="30"/>
      <c r="KIC19" s="30"/>
      <c r="KID19" s="30"/>
      <c r="KIE19" s="30"/>
      <c r="KIF19" s="30"/>
      <c r="KIG19" s="30"/>
      <c r="KIH19" s="30"/>
      <c r="KII19" s="30"/>
      <c r="KIJ19" s="30"/>
      <c r="KIK19" s="30"/>
      <c r="KIL19" s="30"/>
      <c r="KIM19" s="30"/>
      <c r="KIN19" s="30"/>
      <c r="KIO19" s="30"/>
      <c r="KIP19" s="30"/>
      <c r="KIQ19" s="30"/>
      <c r="KIR19" s="30"/>
      <c r="KIS19" s="30"/>
      <c r="KIT19" s="30"/>
      <c r="KIU19" s="30"/>
      <c r="KIV19" s="30"/>
      <c r="KIW19" s="30"/>
      <c r="KIX19" s="30"/>
      <c r="KIY19" s="30"/>
      <c r="KIZ19" s="30"/>
      <c r="KJA19" s="30"/>
      <c r="KJB19" s="30"/>
      <c r="KJC19" s="30"/>
      <c r="KJD19" s="30"/>
      <c r="KJE19" s="30"/>
      <c r="KJF19" s="30"/>
      <c r="KJG19" s="30"/>
      <c r="KJH19" s="30"/>
      <c r="KJI19" s="30"/>
      <c r="KJJ19" s="30"/>
      <c r="KJK19" s="30"/>
      <c r="KJL19" s="30"/>
      <c r="KJM19" s="30"/>
      <c r="KJN19" s="30"/>
      <c r="KJO19" s="30"/>
      <c r="KJP19" s="30"/>
      <c r="KJQ19" s="30"/>
      <c r="KJR19" s="30"/>
      <c r="KJS19" s="30"/>
      <c r="KJT19" s="30"/>
      <c r="KJU19" s="30"/>
      <c r="KJV19" s="30"/>
      <c r="KJW19" s="30"/>
      <c r="KJX19" s="30"/>
      <c r="KJY19" s="30"/>
      <c r="KJZ19" s="30"/>
      <c r="KKA19" s="30"/>
      <c r="KKB19" s="30"/>
      <c r="KKC19" s="30"/>
      <c r="KKD19" s="30"/>
      <c r="KKE19" s="30"/>
      <c r="KKF19" s="30"/>
      <c r="KKG19" s="30"/>
      <c r="KKH19" s="30"/>
      <c r="KKI19" s="30"/>
      <c r="KKJ19" s="30"/>
      <c r="KKK19" s="30"/>
      <c r="KKL19" s="30"/>
      <c r="KKM19" s="30"/>
      <c r="KKN19" s="30"/>
      <c r="KKO19" s="30"/>
      <c r="KKP19" s="30"/>
      <c r="KKQ19" s="30"/>
      <c r="KKR19" s="30"/>
      <c r="KKS19" s="30"/>
      <c r="KKT19" s="30"/>
      <c r="KKU19" s="30"/>
      <c r="KKV19" s="30"/>
      <c r="KKW19" s="30"/>
      <c r="KKX19" s="30"/>
      <c r="KKY19" s="30"/>
      <c r="KKZ19" s="30"/>
      <c r="KLA19" s="30"/>
      <c r="KLB19" s="30"/>
      <c r="KLC19" s="30"/>
      <c r="KLD19" s="30"/>
      <c r="KLE19" s="30"/>
      <c r="KLF19" s="30"/>
      <c r="KLG19" s="30"/>
      <c r="KLH19" s="30"/>
      <c r="KLI19" s="30"/>
      <c r="KLJ19" s="30"/>
      <c r="KLK19" s="30"/>
      <c r="KLL19" s="30"/>
      <c r="KLM19" s="30"/>
      <c r="KLN19" s="30"/>
      <c r="KLO19" s="30"/>
      <c r="KLP19" s="30"/>
      <c r="KLQ19" s="30"/>
      <c r="KLR19" s="30"/>
      <c r="KLS19" s="30"/>
      <c r="KLT19" s="30"/>
      <c r="KLU19" s="30"/>
      <c r="KLV19" s="30"/>
      <c r="KLW19" s="30"/>
      <c r="KLX19" s="30"/>
      <c r="KLY19" s="30"/>
      <c r="KLZ19" s="30"/>
      <c r="KMA19" s="30"/>
      <c r="KMB19" s="30"/>
      <c r="KMC19" s="30"/>
      <c r="KMD19" s="30"/>
      <c r="KME19" s="30"/>
      <c r="KMF19" s="30"/>
      <c r="KMG19" s="30"/>
      <c r="KMH19" s="30"/>
      <c r="KMI19" s="30"/>
      <c r="KMJ19" s="30"/>
      <c r="KMK19" s="30"/>
      <c r="KML19" s="30"/>
      <c r="KMM19" s="30"/>
      <c r="KMN19" s="30"/>
      <c r="KMO19" s="30"/>
      <c r="KMP19" s="30"/>
      <c r="KMQ19" s="30"/>
      <c r="KMR19" s="30"/>
      <c r="KMS19" s="30"/>
      <c r="KMT19" s="30"/>
      <c r="KMU19" s="30"/>
      <c r="KMV19" s="30"/>
      <c r="KMW19" s="30"/>
      <c r="KMX19" s="30"/>
      <c r="KMY19" s="30"/>
      <c r="KMZ19" s="30"/>
      <c r="KNA19" s="30"/>
      <c r="KNB19" s="30"/>
      <c r="KNC19" s="30"/>
      <c r="KND19" s="30"/>
      <c r="KNE19" s="30"/>
      <c r="KNF19" s="30"/>
      <c r="KNG19" s="30"/>
      <c r="KNH19" s="30"/>
      <c r="KNI19" s="30"/>
      <c r="KNJ19" s="30"/>
      <c r="KNK19" s="30"/>
      <c r="KNL19" s="30"/>
      <c r="KNM19" s="30"/>
      <c r="KNN19" s="30"/>
      <c r="KNO19" s="30"/>
      <c r="KNP19" s="30"/>
      <c r="KNQ19" s="30"/>
      <c r="KNR19" s="30"/>
      <c r="KNS19" s="30"/>
      <c r="KNT19" s="30"/>
      <c r="KNU19" s="30"/>
      <c r="KNV19" s="30"/>
      <c r="KNW19" s="30"/>
      <c r="KNX19" s="30"/>
      <c r="KNY19" s="30"/>
      <c r="KNZ19" s="30"/>
      <c r="KOA19" s="30"/>
      <c r="KOB19" s="30"/>
      <c r="KOC19" s="30"/>
      <c r="KOD19" s="30"/>
      <c r="KOE19" s="30"/>
      <c r="KOF19" s="30"/>
      <c r="KOG19" s="30"/>
      <c r="KOH19" s="30"/>
      <c r="KOI19" s="30"/>
      <c r="KOJ19" s="30"/>
      <c r="KOK19" s="30"/>
      <c r="KOL19" s="30"/>
      <c r="KOM19" s="30"/>
      <c r="KON19" s="30"/>
      <c r="KOO19" s="30"/>
      <c r="KOP19" s="30"/>
      <c r="KOQ19" s="30"/>
      <c r="KOR19" s="30"/>
      <c r="KOS19" s="30"/>
      <c r="KOT19" s="30"/>
      <c r="KOU19" s="30"/>
      <c r="KOV19" s="30"/>
      <c r="KOW19" s="30"/>
      <c r="KOX19" s="30"/>
      <c r="KOY19" s="30"/>
      <c r="KOZ19" s="30"/>
      <c r="KPA19" s="30"/>
      <c r="KPB19" s="30"/>
      <c r="KPC19" s="30"/>
      <c r="KPD19" s="30"/>
      <c r="KPE19" s="30"/>
      <c r="KPF19" s="30"/>
      <c r="KPG19" s="30"/>
      <c r="KPH19" s="30"/>
      <c r="KPI19" s="30"/>
      <c r="KPJ19" s="30"/>
      <c r="KPK19" s="30"/>
      <c r="KPL19" s="30"/>
      <c r="KPM19" s="30"/>
      <c r="KPN19" s="30"/>
      <c r="KPO19" s="30"/>
      <c r="KPP19" s="30"/>
      <c r="KPQ19" s="30"/>
      <c r="KPR19" s="30"/>
      <c r="KPS19" s="30"/>
      <c r="KPT19" s="30"/>
      <c r="KPU19" s="30"/>
      <c r="KPV19" s="30"/>
      <c r="KPW19" s="30"/>
      <c r="KPX19" s="30"/>
      <c r="KPY19" s="30"/>
      <c r="KPZ19" s="30"/>
      <c r="KQA19" s="30"/>
      <c r="KQB19" s="30"/>
      <c r="KQC19" s="30"/>
      <c r="KQD19" s="30"/>
      <c r="KQE19" s="30"/>
      <c r="KQF19" s="30"/>
      <c r="KQG19" s="30"/>
      <c r="KQH19" s="30"/>
      <c r="KQI19" s="30"/>
      <c r="KQJ19" s="30"/>
      <c r="KQK19" s="30"/>
      <c r="KQL19" s="30"/>
      <c r="KQM19" s="30"/>
      <c r="KQN19" s="30"/>
      <c r="KQO19" s="30"/>
      <c r="KQP19" s="30"/>
      <c r="KQQ19" s="30"/>
      <c r="KQR19" s="30"/>
      <c r="KQS19" s="30"/>
      <c r="KQT19" s="30"/>
      <c r="KQU19" s="30"/>
      <c r="KQV19" s="30"/>
      <c r="KQW19" s="30"/>
      <c r="KQX19" s="30"/>
      <c r="KQY19" s="30"/>
      <c r="KQZ19" s="30"/>
      <c r="KRA19" s="30"/>
      <c r="KRB19" s="30"/>
      <c r="KRC19" s="30"/>
      <c r="KRD19" s="30"/>
      <c r="KRE19" s="30"/>
      <c r="KRF19" s="30"/>
      <c r="KRG19" s="30"/>
      <c r="KRH19" s="30"/>
      <c r="KRI19" s="30"/>
      <c r="KRJ19" s="30"/>
      <c r="KRK19" s="30"/>
      <c r="KRL19" s="30"/>
      <c r="KRM19" s="30"/>
      <c r="KRN19" s="30"/>
      <c r="KRO19" s="30"/>
      <c r="KRP19" s="30"/>
      <c r="KRQ19" s="30"/>
      <c r="KRR19" s="30"/>
      <c r="KRS19" s="30"/>
      <c r="KRT19" s="30"/>
      <c r="KRU19" s="30"/>
      <c r="KRV19" s="30"/>
      <c r="KRW19" s="30"/>
      <c r="KRX19" s="30"/>
      <c r="KRY19" s="30"/>
      <c r="KRZ19" s="30"/>
      <c r="KSA19" s="30"/>
      <c r="KSB19" s="30"/>
      <c r="KSC19" s="30"/>
      <c r="KSD19" s="30"/>
      <c r="KSE19" s="30"/>
      <c r="KSF19" s="30"/>
      <c r="KSG19" s="30"/>
      <c r="KSH19" s="30"/>
      <c r="KSI19" s="30"/>
      <c r="KSJ19" s="30"/>
      <c r="KSK19" s="30"/>
      <c r="KSL19" s="30"/>
      <c r="KSM19" s="30"/>
      <c r="KSN19" s="30"/>
      <c r="KSO19" s="30"/>
      <c r="KSP19" s="30"/>
      <c r="KSQ19" s="30"/>
      <c r="KSR19" s="30"/>
      <c r="KSS19" s="30"/>
      <c r="KST19" s="30"/>
      <c r="KSU19" s="30"/>
      <c r="KSV19" s="30"/>
      <c r="KSW19" s="30"/>
      <c r="KSX19" s="30"/>
      <c r="KSY19" s="30"/>
      <c r="KSZ19" s="30"/>
      <c r="KTA19" s="30"/>
      <c r="KTB19" s="30"/>
      <c r="KTC19" s="30"/>
      <c r="KTD19" s="30"/>
      <c r="KTE19" s="30"/>
      <c r="KTF19" s="30"/>
      <c r="KTG19" s="30"/>
      <c r="KTH19" s="30"/>
      <c r="KTI19" s="30"/>
      <c r="KTJ19" s="30"/>
      <c r="KTK19" s="30"/>
      <c r="KTL19" s="30"/>
      <c r="KTM19" s="30"/>
      <c r="KTN19" s="30"/>
      <c r="KTO19" s="30"/>
      <c r="KTP19" s="30"/>
      <c r="KTQ19" s="30"/>
      <c r="KTR19" s="30"/>
      <c r="KTS19" s="30"/>
      <c r="KTT19" s="30"/>
      <c r="KTU19" s="30"/>
      <c r="KTV19" s="30"/>
      <c r="KTW19" s="30"/>
      <c r="KTX19" s="30"/>
      <c r="KTY19" s="30"/>
      <c r="KTZ19" s="30"/>
      <c r="KUA19" s="30"/>
      <c r="KUB19" s="30"/>
      <c r="KUC19" s="30"/>
      <c r="KUD19" s="30"/>
      <c r="KUE19" s="30"/>
      <c r="KUF19" s="30"/>
      <c r="KUG19" s="30"/>
      <c r="KUH19" s="30"/>
      <c r="KUI19" s="30"/>
      <c r="KUJ19" s="30"/>
      <c r="KUK19" s="30"/>
      <c r="KUL19" s="30"/>
      <c r="KUM19" s="30"/>
      <c r="KUN19" s="30"/>
      <c r="KUO19" s="30"/>
      <c r="KUP19" s="30"/>
      <c r="KUQ19" s="30"/>
      <c r="KUR19" s="30"/>
      <c r="KUS19" s="30"/>
      <c r="KUT19" s="30"/>
      <c r="KUU19" s="30"/>
      <c r="KUV19" s="30"/>
      <c r="KUW19" s="30"/>
      <c r="KUX19" s="30"/>
      <c r="KUY19" s="30"/>
      <c r="KUZ19" s="30"/>
      <c r="KVA19" s="30"/>
      <c r="KVB19" s="30"/>
      <c r="KVC19" s="30"/>
      <c r="KVD19" s="30"/>
      <c r="KVE19" s="30"/>
      <c r="KVF19" s="30"/>
      <c r="KVG19" s="30"/>
      <c r="KVH19" s="30"/>
      <c r="KVI19" s="30"/>
      <c r="KVJ19" s="30"/>
      <c r="KVK19" s="30"/>
      <c r="KVL19" s="30"/>
      <c r="KVM19" s="30"/>
      <c r="KVN19" s="30"/>
      <c r="KVO19" s="30"/>
      <c r="KVP19" s="30"/>
      <c r="KVQ19" s="30"/>
      <c r="KVR19" s="30"/>
      <c r="KVS19" s="30"/>
      <c r="KVT19" s="30"/>
      <c r="KVU19" s="30"/>
      <c r="KVV19" s="30"/>
      <c r="KVW19" s="30"/>
      <c r="KVX19" s="30"/>
      <c r="KVY19" s="30"/>
      <c r="KVZ19" s="30"/>
      <c r="KWA19" s="30"/>
      <c r="KWB19" s="30"/>
      <c r="KWC19" s="30"/>
      <c r="KWD19" s="30"/>
      <c r="KWE19" s="30"/>
      <c r="KWF19" s="30"/>
      <c r="KWG19" s="30"/>
      <c r="KWH19" s="30"/>
      <c r="KWI19" s="30"/>
      <c r="KWJ19" s="30"/>
      <c r="KWK19" s="30"/>
      <c r="KWL19" s="30"/>
      <c r="KWM19" s="30"/>
      <c r="KWN19" s="30"/>
      <c r="KWO19" s="30"/>
      <c r="KWP19" s="30"/>
      <c r="KWQ19" s="30"/>
      <c r="KWR19" s="30"/>
      <c r="KWS19" s="30"/>
      <c r="KWT19" s="30"/>
      <c r="KWU19" s="30"/>
      <c r="KWV19" s="30"/>
      <c r="KWW19" s="30"/>
      <c r="KWX19" s="30"/>
      <c r="KWY19" s="30"/>
      <c r="KWZ19" s="30"/>
      <c r="KXA19" s="30"/>
      <c r="KXB19" s="30"/>
      <c r="KXC19" s="30"/>
      <c r="KXD19" s="30"/>
      <c r="KXE19" s="30"/>
      <c r="KXF19" s="30"/>
      <c r="KXG19" s="30"/>
      <c r="KXH19" s="30"/>
      <c r="KXI19" s="30"/>
      <c r="KXJ19" s="30"/>
      <c r="KXK19" s="30"/>
      <c r="KXL19" s="30"/>
      <c r="KXM19" s="30"/>
      <c r="KXN19" s="30"/>
      <c r="KXO19" s="30"/>
      <c r="KXP19" s="30"/>
      <c r="KXQ19" s="30"/>
      <c r="KXR19" s="30"/>
      <c r="KXS19" s="30"/>
      <c r="KXT19" s="30"/>
      <c r="KXU19" s="30"/>
      <c r="KXV19" s="30"/>
      <c r="KXW19" s="30"/>
      <c r="KXX19" s="30"/>
      <c r="KXY19" s="30"/>
      <c r="KXZ19" s="30"/>
      <c r="KYA19" s="30"/>
      <c r="KYB19" s="30"/>
      <c r="KYC19" s="30"/>
      <c r="KYD19" s="30"/>
      <c r="KYE19" s="30"/>
      <c r="KYF19" s="30"/>
      <c r="KYG19" s="30"/>
      <c r="KYH19" s="30"/>
      <c r="KYI19" s="30"/>
      <c r="KYJ19" s="30"/>
      <c r="KYK19" s="30"/>
      <c r="KYL19" s="30"/>
      <c r="KYM19" s="30"/>
      <c r="KYN19" s="30"/>
      <c r="KYO19" s="30"/>
      <c r="KYP19" s="30"/>
      <c r="KYQ19" s="30"/>
      <c r="KYR19" s="30"/>
      <c r="KYS19" s="30"/>
      <c r="KYT19" s="30"/>
      <c r="KYU19" s="30"/>
      <c r="KYV19" s="30"/>
      <c r="KYW19" s="30"/>
      <c r="KYX19" s="30"/>
      <c r="KYY19" s="30"/>
      <c r="KYZ19" s="30"/>
      <c r="KZA19" s="30"/>
      <c r="KZB19" s="30"/>
      <c r="KZC19" s="30"/>
      <c r="KZD19" s="30"/>
      <c r="KZE19" s="30"/>
      <c r="KZF19" s="30"/>
      <c r="KZG19" s="30"/>
      <c r="KZH19" s="30"/>
      <c r="KZI19" s="30"/>
      <c r="KZJ19" s="30"/>
      <c r="KZK19" s="30"/>
      <c r="KZL19" s="30"/>
      <c r="KZM19" s="30"/>
      <c r="KZN19" s="30"/>
      <c r="KZO19" s="30"/>
      <c r="KZP19" s="30"/>
      <c r="KZQ19" s="30"/>
      <c r="KZR19" s="30"/>
      <c r="KZS19" s="30"/>
      <c r="KZT19" s="30"/>
      <c r="KZU19" s="30"/>
      <c r="KZV19" s="30"/>
      <c r="KZW19" s="30"/>
      <c r="KZX19" s="30"/>
      <c r="KZY19" s="30"/>
      <c r="KZZ19" s="30"/>
      <c r="LAA19" s="30"/>
      <c r="LAB19" s="30"/>
      <c r="LAC19" s="30"/>
      <c r="LAD19" s="30"/>
      <c r="LAE19" s="30"/>
      <c r="LAF19" s="30"/>
      <c r="LAG19" s="30"/>
      <c r="LAH19" s="30"/>
      <c r="LAI19" s="30"/>
      <c r="LAJ19" s="30"/>
      <c r="LAK19" s="30"/>
      <c r="LAL19" s="30"/>
      <c r="LAM19" s="30"/>
      <c r="LAN19" s="30"/>
      <c r="LAO19" s="30"/>
      <c r="LAP19" s="30"/>
      <c r="LAQ19" s="30"/>
      <c r="LAR19" s="30"/>
      <c r="LAS19" s="30"/>
      <c r="LAT19" s="30"/>
      <c r="LAU19" s="30"/>
      <c r="LAV19" s="30"/>
      <c r="LAW19" s="30"/>
      <c r="LAX19" s="30"/>
      <c r="LAY19" s="30"/>
      <c r="LAZ19" s="30"/>
      <c r="LBA19" s="30"/>
      <c r="LBB19" s="30"/>
      <c r="LBC19" s="30"/>
      <c r="LBD19" s="30"/>
      <c r="LBE19" s="30"/>
      <c r="LBF19" s="30"/>
      <c r="LBG19" s="30"/>
      <c r="LBH19" s="30"/>
      <c r="LBI19" s="30"/>
      <c r="LBJ19" s="30"/>
      <c r="LBK19" s="30"/>
      <c r="LBL19" s="30"/>
      <c r="LBM19" s="30"/>
      <c r="LBN19" s="30"/>
      <c r="LBO19" s="30"/>
      <c r="LBP19" s="30"/>
      <c r="LBQ19" s="30"/>
      <c r="LBR19" s="30"/>
      <c r="LBS19" s="30"/>
      <c r="LBT19" s="30"/>
      <c r="LBU19" s="30"/>
      <c r="LBV19" s="30"/>
      <c r="LBW19" s="30"/>
      <c r="LBX19" s="30"/>
      <c r="LBY19" s="30"/>
      <c r="LBZ19" s="30"/>
      <c r="LCA19" s="30"/>
      <c r="LCB19" s="30"/>
      <c r="LCC19" s="30"/>
      <c r="LCD19" s="30"/>
      <c r="LCE19" s="30"/>
      <c r="LCF19" s="30"/>
      <c r="LCG19" s="30"/>
      <c r="LCH19" s="30"/>
      <c r="LCI19" s="30"/>
      <c r="LCJ19" s="30"/>
      <c r="LCK19" s="30"/>
      <c r="LCL19" s="30"/>
      <c r="LCM19" s="30"/>
      <c r="LCN19" s="30"/>
      <c r="LCO19" s="30"/>
      <c r="LCP19" s="30"/>
      <c r="LCQ19" s="30"/>
      <c r="LCR19" s="30"/>
      <c r="LCS19" s="30"/>
      <c r="LCT19" s="30"/>
      <c r="LCU19" s="30"/>
      <c r="LCV19" s="30"/>
      <c r="LCW19" s="30"/>
      <c r="LCX19" s="30"/>
      <c r="LCY19" s="30"/>
      <c r="LCZ19" s="30"/>
      <c r="LDA19" s="30"/>
      <c r="LDB19" s="30"/>
      <c r="LDC19" s="30"/>
      <c r="LDD19" s="30"/>
      <c r="LDE19" s="30"/>
      <c r="LDF19" s="30"/>
      <c r="LDG19" s="30"/>
      <c r="LDH19" s="30"/>
      <c r="LDI19" s="30"/>
      <c r="LDJ19" s="30"/>
      <c r="LDK19" s="30"/>
      <c r="LDL19" s="30"/>
      <c r="LDM19" s="30"/>
      <c r="LDN19" s="30"/>
      <c r="LDO19" s="30"/>
      <c r="LDP19" s="30"/>
      <c r="LDQ19" s="30"/>
      <c r="LDR19" s="30"/>
      <c r="LDS19" s="30"/>
      <c r="LDT19" s="30"/>
      <c r="LDU19" s="30"/>
      <c r="LDV19" s="30"/>
      <c r="LDW19" s="30"/>
      <c r="LDX19" s="30"/>
      <c r="LDY19" s="30"/>
      <c r="LDZ19" s="30"/>
      <c r="LEA19" s="30"/>
      <c r="LEB19" s="30"/>
      <c r="LEC19" s="30"/>
      <c r="LED19" s="30"/>
      <c r="LEE19" s="30"/>
      <c r="LEF19" s="30"/>
      <c r="LEG19" s="30"/>
      <c r="LEH19" s="30"/>
      <c r="LEI19" s="30"/>
      <c r="LEJ19" s="30"/>
      <c r="LEK19" s="30"/>
      <c r="LEL19" s="30"/>
      <c r="LEM19" s="30"/>
      <c r="LEN19" s="30"/>
      <c r="LEO19" s="30"/>
      <c r="LEP19" s="30"/>
      <c r="LEQ19" s="30"/>
      <c r="LER19" s="30"/>
      <c r="LES19" s="30"/>
      <c r="LET19" s="30"/>
      <c r="LEU19" s="30"/>
      <c r="LEV19" s="30"/>
      <c r="LEW19" s="30"/>
      <c r="LEX19" s="30"/>
      <c r="LEY19" s="30"/>
      <c r="LEZ19" s="30"/>
      <c r="LFA19" s="30"/>
      <c r="LFB19" s="30"/>
      <c r="LFC19" s="30"/>
      <c r="LFD19" s="30"/>
      <c r="LFE19" s="30"/>
      <c r="LFF19" s="30"/>
      <c r="LFG19" s="30"/>
      <c r="LFH19" s="30"/>
      <c r="LFI19" s="30"/>
      <c r="LFJ19" s="30"/>
      <c r="LFK19" s="30"/>
      <c r="LFL19" s="30"/>
      <c r="LFM19" s="30"/>
      <c r="LFN19" s="30"/>
      <c r="LFO19" s="30"/>
      <c r="LFP19" s="30"/>
      <c r="LFQ19" s="30"/>
      <c r="LFR19" s="30"/>
      <c r="LFS19" s="30"/>
      <c r="LFT19" s="30"/>
      <c r="LFU19" s="30"/>
      <c r="LFV19" s="30"/>
      <c r="LFW19" s="30"/>
      <c r="LFX19" s="30"/>
      <c r="LFY19" s="30"/>
      <c r="LFZ19" s="30"/>
      <c r="LGA19" s="30"/>
      <c r="LGB19" s="30"/>
      <c r="LGC19" s="30"/>
      <c r="LGD19" s="30"/>
      <c r="LGE19" s="30"/>
      <c r="LGF19" s="30"/>
      <c r="LGG19" s="30"/>
      <c r="LGH19" s="30"/>
      <c r="LGI19" s="30"/>
      <c r="LGJ19" s="30"/>
      <c r="LGK19" s="30"/>
      <c r="LGL19" s="30"/>
      <c r="LGM19" s="30"/>
      <c r="LGN19" s="30"/>
      <c r="LGO19" s="30"/>
      <c r="LGP19" s="30"/>
      <c r="LGQ19" s="30"/>
      <c r="LGR19" s="30"/>
      <c r="LGS19" s="30"/>
      <c r="LGT19" s="30"/>
      <c r="LGU19" s="30"/>
      <c r="LGV19" s="30"/>
      <c r="LGW19" s="30"/>
      <c r="LGX19" s="30"/>
      <c r="LGY19" s="30"/>
      <c r="LGZ19" s="30"/>
      <c r="LHA19" s="30"/>
      <c r="LHB19" s="30"/>
      <c r="LHC19" s="30"/>
      <c r="LHD19" s="30"/>
      <c r="LHE19" s="30"/>
      <c r="LHF19" s="30"/>
      <c r="LHG19" s="30"/>
      <c r="LHH19" s="30"/>
      <c r="LHI19" s="30"/>
      <c r="LHJ19" s="30"/>
      <c r="LHK19" s="30"/>
      <c r="LHL19" s="30"/>
      <c r="LHM19" s="30"/>
      <c r="LHN19" s="30"/>
      <c r="LHO19" s="30"/>
      <c r="LHP19" s="30"/>
      <c r="LHQ19" s="30"/>
      <c r="LHR19" s="30"/>
      <c r="LHS19" s="30"/>
      <c r="LHT19" s="30"/>
      <c r="LHU19" s="30"/>
      <c r="LHV19" s="30"/>
      <c r="LHW19" s="30"/>
      <c r="LHX19" s="30"/>
      <c r="LHY19" s="30"/>
      <c r="LHZ19" s="30"/>
      <c r="LIA19" s="30"/>
      <c r="LIB19" s="30"/>
      <c r="LIC19" s="30"/>
      <c r="LID19" s="30"/>
      <c r="LIE19" s="30"/>
      <c r="LIF19" s="30"/>
      <c r="LIG19" s="30"/>
      <c r="LIH19" s="30"/>
      <c r="LII19" s="30"/>
      <c r="LIJ19" s="30"/>
      <c r="LIK19" s="30"/>
      <c r="LIL19" s="30"/>
      <c r="LIM19" s="30"/>
      <c r="LIN19" s="30"/>
      <c r="LIO19" s="30"/>
      <c r="LIP19" s="30"/>
      <c r="LIQ19" s="30"/>
      <c r="LIR19" s="30"/>
      <c r="LIS19" s="30"/>
      <c r="LIT19" s="30"/>
      <c r="LIU19" s="30"/>
      <c r="LIV19" s="30"/>
      <c r="LIW19" s="30"/>
      <c r="LIX19" s="30"/>
      <c r="LIY19" s="30"/>
      <c r="LIZ19" s="30"/>
      <c r="LJA19" s="30"/>
      <c r="LJB19" s="30"/>
      <c r="LJC19" s="30"/>
      <c r="LJD19" s="30"/>
      <c r="LJE19" s="30"/>
      <c r="LJF19" s="30"/>
      <c r="LJG19" s="30"/>
      <c r="LJH19" s="30"/>
      <c r="LJI19" s="30"/>
      <c r="LJJ19" s="30"/>
      <c r="LJK19" s="30"/>
      <c r="LJL19" s="30"/>
      <c r="LJM19" s="30"/>
      <c r="LJN19" s="30"/>
      <c r="LJO19" s="30"/>
      <c r="LJP19" s="30"/>
      <c r="LJQ19" s="30"/>
      <c r="LJR19" s="30"/>
      <c r="LJS19" s="30"/>
      <c r="LJT19" s="30"/>
      <c r="LJU19" s="30"/>
      <c r="LJV19" s="30"/>
      <c r="LJW19" s="30"/>
      <c r="LJX19" s="30"/>
      <c r="LJY19" s="30"/>
      <c r="LJZ19" s="30"/>
      <c r="LKA19" s="30"/>
      <c r="LKB19" s="30"/>
      <c r="LKC19" s="30"/>
      <c r="LKD19" s="30"/>
      <c r="LKE19" s="30"/>
      <c r="LKF19" s="30"/>
      <c r="LKG19" s="30"/>
      <c r="LKH19" s="30"/>
      <c r="LKI19" s="30"/>
      <c r="LKJ19" s="30"/>
      <c r="LKK19" s="30"/>
      <c r="LKL19" s="30"/>
      <c r="LKM19" s="30"/>
      <c r="LKN19" s="30"/>
      <c r="LKO19" s="30"/>
      <c r="LKP19" s="30"/>
      <c r="LKQ19" s="30"/>
      <c r="LKR19" s="30"/>
      <c r="LKS19" s="30"/>
      <c r="LKT19" s="30"/>
      <c r="LKU19" s="30"/>
      <c r="LKV19" s="30"/>
      <c r="LKW19" s="30"/>
      <c r="LKX19" s="30"/>
      <c r="LKY19" s="30"/>
      <c r="LKZ19" s="30"/>
      <c r="LLA19" s="30"/>
      <c r="LLB19" s="30"/>
      <c r="LLC19" s="30"/>
      <c r="LLD19" s="30"/>
      <c r="LLE19" s="30"/>
      <c r="LLF19" s="30"/>
      <c r="LLG19" s="30"/>
      <c r="LLH19" s="30"/>
      <c r="LLI19" s="30"/>
      <c r="LLJ19" s="30"/>
      <c r="LLK19" s="30"/>
      <c r="LLL19" s="30"/>
      <c r="LLM19" s="30"/>
      <c r="LLN19" s="30"/>
      <c r="LLO19" s="30"/>
      <c r="LLP19" s="30"/>
      <c r="LLQ19" s="30"/>
      <c r="LLR19" s="30"/>
      <c r="LLS19" s="30"/>
      <c r="LLT19" s="30"/>
      <c r="LLU19" s="30"/>
      <c r="LLV19" s="30"/>
      <c r="LLW19" s="30"/>
      <c r="LLX19" s="30"/>
      <c r="LLY19" s="30"/>
      <c r="LLZ19" s="30"/>
      <c r="LMA19" s="30"/>
      <c r="LMB19" s="30"/>
      <c r="LMC19" s="30"/>
      <c r="LMD19" s="30"/>
      <c r="LME19" s="30"/>
      <c r="LMF19" s="30"/>
      <c r="LMG19" s="30"/>
      <c r="LMH19" s="30"/>
      <c r="LMI19" s="30"/>
      <c r="LMJ19" s="30"/>
      <c r="LMK19" s="30"/>
      <c r="LML19" s="30"/>
      <c r="LMM19" s="30"/>
      <c r="LMN19" s="30"/>
      <c r="LMO19" s="30"/>
      <c r="LMP19" s="30"/>
      <c r="LMQ19" s="30"/>
      <c r="LMR19" s="30"/>
      <c r="LMS19" s="30"/>
      <c r="LMT19" s="30"/>
      <c r="LMU19" s="30"/>
      <c r="LMV19" s="30"/>
      <c r="LMW19" s="30"/>
      <c r="LMX19" s="30"/>
      <c r="LMY19" s="30"/>
      <c r="LMZ19" s="30"/>
      <c r="LNA19" s="30"/>
      <c r="LNB19" s="30"/>
      <c r="LNC19" s="30"/>
      <c r="LND19" s="30"/>
      <c r="LNE19" s="30"/>
      <c r="LNF19" s="30"/>
      <c r="LNG19" s="30"/>
      <c r="LNH19" s="30"/>
      <c r="LNI19" s="30"/>
      <c r="LNJ19" s="30"/>
      <c r="LNK19" s="30"/>
      <c r="LNL19" s="30"/>
      <c r="LNM19" s="30"/>
      <c r="LNN19" s="30"/>
      <c r="LNO19" s="30"/>
      <c r="LNP19" s="30"/>
      <c r="LNQ19" s="30"/>
      <c r="LNR19" s="30"/>
      <c r="LNS19" s="30"/>
      <c r="LNT19" s="30"/>
      <c r="LNU19" s="30"/>
      <c r="LNV19" s="30"/>
      <c r="LNW19" s="30"/>
      <c r="LNX19" s="30"/>
      <c r="LNY19" s="30"/>
      <c r="LNZ19" s="30"/>
      <c r="LOA19" s="30"/>
      <c r="LOB19" s="30"/>
      <c r="LOC19" s="30"/>
      <c r="LOD19" s="30"/>
      <c r="LOE19" s="30"/>
      <c r="LOF19" s="30"/>
      <c r="LOG19" s="30"/>
      <c r="LOH19" s="30"/>
      <c r="LOI19" s="30"/>
      <c r="LOJ19" s="30"/>
      <c r="LOK19" s="30"/>
      <c r="LOL19" s="30"/>
      <c r="LOM19" s="30"/>
      <c r="LON19" s="30"/>
      <c r="LOO19" s="30"/>
      <c r="LOP19" s="30"/>
      <c r="LOQ19" s="30"/>
      <c r="LOR19" s="30"/>
      <c r="LOS19" s="30"/>
      <c r="LOT19" s="30"/>
      <c r="LOU19" s="30"/>
      <c r="LOV19" s="30"/>
      <c r="LOW19" s="30"/>
      <c r="LOX19" s="30"/>
      <c r="LOY19" s="30"/>
      <c r="LOZ19" s="30"/>
      <c r="LPA19" s="30"/>
      <c r="LPB19" s="30"/>
      <c r="LPC19" s="30"/>
      <c r="LPD19" s="30"/>
      <c r="LPE19" s="30"/>
      <c r="LPF19" s="30"/>
      <c r="LPG19" s="30"/>
      <c r="LPH19" s="30"/>
      <c r="LPI19" s="30"/>
      <c r="LPJ19" s="30"/>
      <c r="LPK19" s="30"/>
      <c r="LPL19" s="30"/>
      <c r="LPM19" s="30"/>
      <c r="LPN19" s="30"/>
      <c r="LPO19" s="30"/>
      <c r="LPP19" s="30"/>
      <c r="LPQ19" s="30"/>
      <c r="LPR19" s="30"/>
      <c r="LPS19" s="30"/>
      <c r="LPT19" s="30"/>
      <c r="LPU19" s="30"/>
      <c r="LPV19" s="30"/>
      <c r="LPW19" s="30"/>
      <c r="LPX19" s="30"/>
      <c r="LPY19" s="30"/>
      <c r="LPZ19" s="30"/>
      <c r="LQA19" s="30"/>
      <c r="LQB19" s="30"/>
      <c r="LQC19" s="30"/>
      <c r="LQD19" s="30"/>
      <c r="LQE19" s="30"/>
      <c r="LQF19" s="30"/>
      <c r="LQG19" s="30"/>
      <c r="LQH19" s="30"/>
      <c r="LQI19" s="30"/>
      <c r="LQJ19" s="30"/>
      <c r="LQK19" s="30"/>
      <c r="LQL19" s="30"/>
      <c r="LQM19" s="30"/>
      <c r="LQN19" s="30"/>
      <c r="LQO19" s="30"/>
      <c r="LQP19" s="30"/>
      <c r="LQQ19" s="30"/>
      <c r="LQR19" s="30"/>
      <c r="LQS19" s="30"/>
      <c r="LQT19" s="30"/>
      <c r="LQU19" s="30"/>
      <c r="LQV19" s="30"/>
      <c r="LQW19" s="30"/>
      <c r="LQX19" s="30"/>
      <c r="LQY19" s="30"/>
      <c r="LQZ19" s="30"/>
      <c r="LRA19" s="30"/>
      <c r="LRB19" s="30"/>
      <c r="LRC19" s="30"/>
      <c r="LRD19" s="30"/>
      <c r="LRE19" s="30"/>
      <c r="LRF19" s="30"/>
      <c r="LRG19" s="30"/>
      <c r="LRH19" s="30"/>
      <c r="LRI19" s="30"/>
      <c r="LRJ19" s="30"/>
      <c r="LRK19" s="30"/>
      <c r="LRL19" s="30"/>
      <c r="LRM19" s="30"/>
      <c r="LRN19" s="30"/>
      <c r="LRO19" s="30"/>
      <c r="LRP19" s="30"/>
      <c r="LRQ19" s="30"/>
      <c r="LRR19" s="30"/>
      <c r="LRS19" s="30"/>
      <c r="LRT19" s="30"/>
      <c r="LRU19" s="30"/>
      <c r="LRV19" s="30"/>
      <c r="LRW19" s="30"/>
      <c r="LRX19" s="30"/>
      <c r="LRY19" s="30"/>
      <c r="LRZ19" s="30"/>
      <c r="LSA19" s="30"/>
      <c r="LSB19" s="30"/>
      <c r="LSC19" s="30"/>
      <c r="LSD19" s="30"/>
      <c r="LSE19" s="30"/>
      <c r="LSF19" s="30"/>
      <c r="LSG19" s="30"/>
      <c r="LSH19" s="30"/>
      <c r="LSI19" s="30"/>
      <c r="LSJ19" s="30"/>
      <c r="LSK19" s="30"/>
      <c r="LSL19" s="30"/>
      <c r="LSM19" s="30"/>
      <c r="LSN19" s="30"/>
      <c r="LSO19" s="30"/>
      <c r="LSP19" s="30"/>
      <c r="LSQ19" s="30"/>
      <c r="LSR19" s="30"/>
      <c r="LSS19" s="30"/>
      <c r="LST19" s="30"/>
      <c r="LSU19" s="30"/>
      <c r="LSV19" s="30"/>
      <c r="LSW19" s="30"/>
      <c r="LSX19" s="30"/>
      <c r="LSY19" s="30"/>
      <c r="LSZ19" s="30"/>
      <c r="LTA19" s="30"/>
      <c r="LTB19" s="30"/>
      <c r="LTC19" s="30"/>
      <c r="LTD19" s="30"/>
      <c r="LTE19" s="30"/>
      <c r="LTF19" s="30"/>
      <c r="LTG19" s="30"/>
      <c r="LTH19" s="30"/>
      <c r="LTI19" s="30"/>
      <c r="LTJ19" s="30"/>
      <c r="LTK19" s="30"/>
      <c r="LTL19" s="30"/>
      <c r="LTM19" s="30"/>
      <c r="LTN19" s="30"/>
      <c r="LTO19" s="30"/>
      <c r="LTP19" s="30"/>
      <c r="LTQ19" s="30"/>
      <c r="LTR19" s="30"/>
      <c r="LTS19" s="30"/>
      <c r="LTT19" s="30"/>
      <c r="LTU19" s="30"/>
      <c r="LTV19" s="30"/>
      <c r="LTW19" s="30"/>
      <c r="LTX19" s="30"/>
      <c r="LTY19" s="30"/>
      <c r="LTZ19" s="30"/>
      <c r="LUA19" s="30"/>
      <c r="LUB19" s="30"/>
      <c r="LUC19" s="30"/>
      <c r="LUD19" s="30"/>
      <c r="LUE19" s="30"/>
      <c r="LUF19" s="30"/>
      <c r="LUG19" s="30"/>
      <c r="LUH19" s="30"/>
      <c r="LUI19" s="30"/>
      <c r="LUJ19" s="30"/>
      <c r="LUK19" s="30"/>
      <c r="LUL19" s="30"/>
      <c r="LUM19" s="30"/>
      <c r="LUN19" s="30"/>
      <c r="LUO19" s="30"/>
      <c r="LUP19" s="30"/>
      <c r="LUQ19" s="30"/>
      <c r="LUR19" s="30"/>
      <c r="LUS19" s="30"/>
      <c r="LUT19" s="30"/>
      <c r="LUU19" s="30"/>
      <c r="LUV19" s="30"/>
      <c r="LUW19" s="30"/>
      <c r="LUX19" s="30"/>
      <c r="LUY19" s="30"/>
      <c r="LUZ19" s="30"/>
      <c r="LVA19" s="30"/>
      <c r="LVB19" s="30"/>
      <c r="LVC19" s="30"/>
      <c r="LVD19" s="30"/>
      <c r="LVE19" s="30"/>
      <c r="LVF19" s="30"/>
      <c r="LVG19" s="30"/>
      <c r="LVH19" s="30"/>
      <c r="LVI19" s="30"/>
      <c r="LVJ19" s="30"/>
      <c r="LVK19" s="30"/>
      <c r="LVL19" s="30"/>
      <c r="LVM19" s="30"/>
      <c r="LVN19" s="30"/>
      <c r="LVO19" s="30"/>
      <c r="LVP19" s="30"/>
      <c r="LVQ19" s="30"/>
      <c r="LVR19" s="30"/>
      <c r="LVS19" s="30"/>
      <c r="LVT19" s="30"/>
      <c r="LVU19" s="30"/>
      <c r="LVV19" s="30"/>
      <c r="LVW19" s="30"/>
      <c r="LVX19" s="30"/>
      <c r="LVY19" s="30"/>
      <c r="LVZ19" s="30"/>
      <c r="LWA19" s="30"/>
      <c r="LWB19" s="30"/>
      <c r="LWC19" s="30"/>
      <c r="LWD19" s="30"/>
      <c r="LWE19" s="30"/>
      <c r="LWF19" s="30"/>
      <c r="LWG19" s="30"/>
      <c r="LWH19" s="30"/>
      <c r="LWI19" s="30"/>
      <c r="LWJ19" s="30"/>
      <c r="LWK19" s="30"/>
      <c r="LWL19" s="30"/>
      <c r="LWM19" s="30"/>
      <c r="LWN19" s="30"/>
      <c r="LWO19" s="30"/>
      <c r="LWP19" s="30"/>
      <c r="LWQ19" s="30"/>
      <c r="LWR19" s="30"/>
      <c r="LWS19" s="30"/>
      <c r="LWT19" s="30"/>
      <c r="LWU19" s="30"/>
      <c r="LWV19" s="30"/>
      <c r="LWW19" s="30"/>
      <c r="LWX19" s="30"/>
      <c r="LWY19" s="30"/>
      <c r="LWZ19" s="30"/>
      <c r="LXA19" s="30"/>
      <c r="LXB19" s="30"/>
      <c r="LXC19" s="30"/>
      <c r="LXD19" s="30"/>
      <c r="LXE19" s="30"/>
      <c r="LXF19" s="30"/>
      <c r="LXG19" s="30"/>
      <c r="LXH19" s="30"/>
      <c r="LXI19" s="30"/>
      <c r="LXJ19" s="30"/>
      <c r="LXK19" s="30"/>
      <c r="LXL19" s="30"/>
      <c r="LXM19" s="30"/>
      <c r="LXN19" s="30"/>
      <c r="LXO19" s="30"/>
      <c r="LXP19" s="30"/>
      <c r="LXQ19" s="30"/>
      <c r="LXR19" s="30"/>
      <c r="LXS19" s="30"/>
      <c r="LXT19" s="30"/>
      <c r="LXU19" s="30"/>
      <c r="LXV19" s="30"/>
      <c r="LXW19" s="30"/>
      <c r="LXX19" s="30"/>
      <c r="LXY19" s="30"/>
      <c r="LXZ19" s="30"/>
      <c r="LYA19" s="30"/>
      <c r="LYB19" s="30"/>
      <c r="LYC19" s="30"/>
      <c r="LYD19" s="30"/>
      <c r="LYE19" s="30"/>
      <c r="LYF19" s="30"/>
      <c r="LYG19" s="30"/>
      <c r="LYH19" s="30"/>
      <c r="LYI19" s="30"/>
      <c r="LYJ19" s="30"/>
      <c r="LYK19" s="30"/>
      <c r="LYL19" s="30"/>
      <c r="LYM19" s="30"/>
      <c r="LYN19" s="30"/>
      <c r="LYO19" s="30"/>
      <c r="LYP19" s="30"/>
      <c r="LYQ19" s="30"/>
      <c r="LYR19" s="30"/>
      <c r="LYS19" s="30"/>
      <c r="LYT19" s="30"/>
      <c r="LYU19" s="30"/>
      <c r="LYV19" s="30"/>
      <c r="LYW19" s="30"/>
      <c r="LYX19" s="30"/>
      <c r="LYY19" s="30"/>
      <c r="LYZ19" s="30"/>
      <c r="LZA19" s="30"/>
      <c r="LZB19" s="30"/>
      <c r="LZC19" s="30"/>
      <c r="LZD19" s="30"/>
      <c r="LZE19" s="30"/>
      <c r="LZF19" s="30"/>
      <c r="LZG19" s="30"/>
      <c r="LZH19" s="30"/>
      <c r="LZI19" s="30"/>
      <c r="LZJ19" s="30"/>
      <c r="LZK19" s="30"/>
      <c r="LZL19" s="30"/>
      <c r="LZM19" s="30"/>
      <c r="LZN19" s="30"/>
      <c r="LZO19" s="30"/>
      <c r="LZP19" s="30"/>
      <c r="LZQ19" s="30"/>
      <c r="LZR19" s="30"/>
      <c r="LZS19" s="30"/>
      <c r="LZT19" s="30"/>
      <c r="LZU19" s="30"/>
      <c r="LZV19" s="30"/>
      <c r="LZW19" s="30"/>
      <c r="LZX19" s="30"/>
      <c r="LZY19" s="30"/>
      <c r="LZZ19" s="30"/>
      <c r="MAA19" s="30"/>
      <c r="MAB19" s="30"/>
      <c r="MAC19" s="30"/>
      <c r="MAD19" s="30"/>
      <c r="MAE19" s="30"/>
      <c r="MAF19" s="30"/>
      <c r="MAG19" s="30"/>
      <c r="MAH19" s="30"/>
      <c r="MAI19" s="30"/>
      <c r="MAJ19" s="30"/>
      <c r="MAK19" s="30"/>
      <c r="MAL19" s="30"/>
      <c r="MAM19" s="30"/>
      <c r="MAN19" s="30"/>
      <c r="MAO19" s="30"/>
      <c r="MAP19" s="30"/>
      <c r="MAQ19" s="30"/>
      <c r="MAR19" s="30"/>
      <c r="MAS19" s="30"/>
      <c r="MAT19" s="30"/>
      <c r="MAU19" s="30"/>
      <c r="MAV19" s="30"/>
      <c r="MAW19" s="30"/>
      <c r="MAX19" s="30"/>
      <c r="MAY19" s="30"/>
      <c r="MAZ19" s="30"/>
      <c r="MBA19" s="30"/>
      <c r="MBB19" s="30"/>
      <c r="MBC19" s="30"/>
      <c r="MBD19" s="30"/>
      <c r="MBE19" s="30"/>
      <c r="MBF19" s="30"/>
      <c r="MBG19" s="30"/>
      <c r="MBH19" s="30"/>
      <c r="MBI19" s="30"/>
      <c r="MBJ19" s="30"/>
      <c r="MBK19" s="30"/>
      <c r="MBL19" s="30"/>
      <c r="MBM19" s="30"/>
      <c r="MBN19" s="30"/>
      <c r="MBO19" s="30"/>
      <c r="MBP19" s="30"/>
      <c r="MBQ19" s="30"/>
      <c r="MBR19" s="30"/>
      <c r="MBS19" s="30"/>
      <c r="MBT19" s="30"/>
      <c r="MBU19" s="30"/>
      <c r="MBV19" s="30"/>
      <c r="MBW19" s="30"/>
      <c r="MBX19" s="30"/>
      <c r="MBY19" s="30"/>
      <c r="MBZ19" s="30"/>
      <c r="MCA19" s="30"/>
      <c r="MCB19" s="30"/>
      <c r="MCC19" s="30"/>
      <c r="MCD19" s="30"/>
      <c r="MCE19" s="30"/>
      <c r="MCF19" s="30"/>
      <c r="MCG19" s="30"/>
      <c r="MCH19" s="30"/>
      <c r="MCI19" s="30"/>
      <c r="MCJ19" s="30"/>
      <c r="MCK19" s="30"/>
      <c r="MCL19" s="30"/>
      <c r="MCM19" s="30"/>
      <c r="MCN19" s="30"/>
      <c r="MCO19" s="30"/>
      <c r="MCP19" s="30"/>
      <c r="MCQ19" s="30"/>
      <c r="MCR19" s="30"/>
      <c r="MCS19" s="30"/>
      <c r="MCT19" s="30"/>
      <c r="MCU19" s="30"/>
      <c r="MCV19" s="30"/>
      <c r="MCW19" s="30"/>
      <c r="MCX19" s="30"/>
      <c r="MCY19" s="30"/>
      <c r="MCZ19" s="30"/>
      <c r="MDA19" s="30"/>
      <c r="MDB19" s="30"/>
      <c r="MDC19" s="30"/>
      <c r="MDD19" s="30"/>
      <c r="MDE19" s="30"/>
      <c r="MDF19" s="30"/>
      <c r="MDG19" s="30"/>
      <c r="MDH19" s="30"/>
      <c r="MDI19" s="30"/>
      <c r="MDJ19" s="30"/>
      <c r="MDK19" s="30"/>
      <c r="MDL19" s="30"/>
      <c r="MDM19" s="30"/>
      <c r="MDN19" s="30"/>
      <c r="MDO19" s="30"/>
      <c r="MDP19" s="30"/>
      <c r="MDQ19" s="30"/>
      <c r="MDR19" s="30"/>
      <c r="MDS19" s="30"/>
      <c r="MDT19" s="30"/>
      <c r="MDU19" s="30"/>
      <c r="MDV19" s="30"/>
      <c r="MDW19" s="30"/>
      <c r="MDX19" s="30"/>
      <c r="MDY19" s="30"/>
      <c r="MDZ19" s="30"/>
      <c r="MEA19" s="30"/>
      <c r="MEB19" s="30"/>
      <c r="MEC19" s="30"/>
      <c r="MED19" s="30"/>
      <c r="MEE19" s="30"/>
      <c r="MEF19" s="30"/>
      <c r="MEG19" s="30"/>
      <c r="MEH19" s="30"/>
      <c r="MEI19" s="30"/>
      <c r="MEJ19" s="30"/>
      <c r="MEK19" s="30"/>
      <c r="MEL19" s="30"/>
      <c r="MEM19" s="30"/>
      <c r="MEN19" s="30"/>
      <c r="MEO19" s="30"/>
      <c r="MEP19" s="30"/>
      <c r="MEQ19" s="30"/>
      <c r="MER19" s="30"/>
      <c r="MES19" s="30"/>
      <c r="MET19" s="30"/>
      <c r="MEU19" s="30"/>
      <c r="MEV19" s="30"/>
      <c r="MEW19" s="30"/>
      <c r="MEX19" s="30"/>
      <c r="MEY19" s="30"/>
      <c r="MEZ19" s="30"/>
      <c r="MFA19" s="30"/>
      <c r="MFB19" s="30"/>
      <c r="MFC19" s="30"/>
      <c r="MFD19" s="30"/>
      <c r="MFE19" s="30"/>
      <c r="MFF19" s="30"/>
      <c r="MFG19" s="30"/>
      <c r="MFH19" s="30"/>
      <c r="MFI19" s="30"/>
      <c r="MFJ19" s="30"/>
      <c r="MFK19" s="30"/>
      <c r="MFL19" s="30"/>
      <c r="MFM19" s="30"/>
      <c r="MFN19" s="30"/>
      <c r="MFO19" s="30"/>
      <c r="MFP19" s="30"/>
      <c r="MFQ19" s="30"/>
      <c r="MFR19" s="30"/>
      <c r="MFS19" s="30"/>
      <c r="MFT19" s="30"/>
      <c r="MFU19" s="30"/>
      <c r="MFV19" s="30"/>
      <c r="MFW19" s="30"/>
      <c r="MFX19" s="30"/>
      <c r="MFY19" s="30"/>
      <c r="MFZ19" s="30"/>
      <c r="MGA19" s="30"/>
      <c r="MGB19" s="30"/>
      <c r="MGC19" s="30"/>
      <c r="MGD19" s="30"/>
      <c r="MGE19" s="30"/>
      <c r="MGF19" s="30"/>
      <c r="MGG19" s="30"/>
      <c r="MGH19" s="30"/>
      <c r="MGI19" s="30"/>
      <c r="MGJ19" s="30"/>
      <c r="MGK19" s="30"/>
      <c r="MGL19" s="30"/>
      <c r="MGM19" s="30"/>
      <c r="MGN19" s="30"/>
      <c r="MGO19" s="30"/>
      <c r="MGP19" s="30"/>
      <c r="MGQ19" s="30"/>
      <c r="MGR19" s="30"/>
      <c r="MGS19" s="30"/>
      <c r="MGT19" s="30"/>
      <c r="MGU19" s="30"/>
      <c r="MGV19" s="30"/>
      <c r="MGW19" s="30"/>
      <c r="MGX19" s="30"/>
      <c r="MGY19" s="30"/>
      <c r="MGZ19" s="30"/>
      <c r="MHA19" s="30"/>
      <c r="MHB19" s="30"/>
      <c r="MHC19" s="30"/>
      <c r="MHD19" s="30"/>
      <c r="MHE19" s="30"/>
      <c r="MHF19" s="30"/>
      <c r="MHG19" s="30"/>
      <c r="MHH19" s="30"/>
      <c r="MHI19" s="30"/>
      <c r="MHJ19" s="30"/>
      <c r="MHK19" s="30"/>
      <c r="MHL19" s="30"/>
      <c r="MHM19" s="30"/>
      <c r="MHN19" s="30"/>
      <c r="MHO19" s="30"/>
      <c r="MHP19" s="30"/>
      <c r="MHQ19" s="30"/>
      <c r="MHR19" s="30"/>
      <c r="MHS19" s="30"/>
      <c r="MHT19" s="30"/>
      <c r="MHU19" s="30"/>
      <c r="MHV19" s="30"/>
      <c r="MHW19" s="30"/>
      <c r="MHX19" s="30"/>
      <c r="MHY19" s="30"/>
      <c r="MHZ19" s="30"/>
      <c r="MIA19" s="30"/>
      <c r="MIB19" s="30"/>
      <c r="MIC19" s="30"/>
      <c r="MID19" s="30"/>
      <c r="MIE19" s="30"/>
      <c r="MIF19" s="30"/>
      <c r="MIG19" s="30"/>
      <c r="MIH19" s="30"/>
      <c r="MII19" s="30"/>
      <c r="MIJ19" s="30"/>
      <c r="MIK19" s="30"/>
      <c r="MIL19" s="30"/>
      <c r="MIM19" s="30"/>
      <c r="MIN19" s="30"/>
      <c r="MIO19" s="30"/>
      <c r="MIP19" s="30"/>
      <c r="MIQ19" s="30"/>
      <c r="MIR19" s="30"/>
      <c r="MIS19" s="30"/>
      <c r="MIT19" s="30"/>
      <c r="MIU19" s="30"/>
      <c r="MIV19" s="30"/>
      <c r="MIW19" s="30"/>
      <c r="MIX19" s="30"/>
      <c r="MIY19" s="30"/>
      <c r="MIZ19" s="30"/>
      <c r="MJA19" s="30"/>
      <c r="MJB19" s="30"/>
      <c r="MJC19" s="30"/>
      <c r="MJD19" s="30"/>
      <c r="MJE19" s="30"/>
      <c r="MJF19" s="30"/>
      <c r="MJG19" s="30"/>
      <c r="MJH19" s="30"/>
      <c r="MJI19" s="30"/>
      <c r="MJJ19" s="30"/>
      <c r="MJK19" s="30"/>
      <c r="MJL19" s="30"/>
      <c r="MJM19" s="30"/>
      <c r="MJN19" s="30"/>
      <c r="MJO19" s="30"/>
      <c r="MJP19" s="30"/>
      <c r="MJQ19" s="30"/>
      <c r="MJR19" s="30"/>
      <c r="MJS19" s="30"/>
      <c r="MJT19" s="30"/>
      <c r="MJU19" s="30"/>
      <c r="MJV19" s="30"/>
      <c r="MJW19" s="30"/>
      <c r="MJX19" s="30"/>
      <c r="MJY19" s="30"/>
      <c r="MJZ19" s="30"/>
      <c r="MKA19" s="30"/>
      <c r="MKB19" s="30"/>
      <c r="MKC19" s="30"/>
      <c r="MKD19" s="30"/>
      <c r="MKE19" s="30"/>
      <c r="MKF19" s="30"/>
      <c r="MKG19" s="30"/>
      <c r="MKH19" s="30"/>
      <c r="MKI19" s="30"/>
      <c r="MKJ19" s="30"/>
      <c r="MKK19" s="30"/>
      <c r="MKL19" s="30"/>
      <c r="MKM19" s="30"/>
      <c r="MKN19" s="30"/>
      <c r="MKO19" s="30"/>
      <c r="MKP19" s="30"/>
      <c r="MKQ19" s="30"/>
      <c r="MKR19" s="30"/>
      <c r="MKS19" s="30"/>
      <c r="MKT19" s="30"/>
      <c r="MKU19" s="30"/>
      <c r="MKV19" s="30"/>
      <c r="MKW19" s="30"/>
      <c r="MKX19" s="30"/>
      <c r="MKY19" s="30"/>
      <c r="MKZ19" s="30"/>
      <c r="MLA19" s="30"/>
      <c r="MLB19" s="30"/>
      <c r="MLC19" s="30"/>
      <c r="MLD19" s="30"/>
      <c r="MLE19" s="30"/>
      <c r="MLF19" s="30"/>
      <c r="MLG19" s="30"/>
      <c r="MLH19" s="30"/>
      <c r="MLI19" s="30"/>
      <c r="MLJ19" s="30"/>
      <c r="MLK19" s="30"/>
      <c r="MLL19" s="30"/>
      <c r="MLM19" s="30"/>
      <c r="MLN19" s="30"/>
      <c r="MLO19" s="30"/>
      <c r="MLP19" s="30"/>
      <c r="MLQ19" s="30"/>
      <c r="MLR19" s="30"/>
      <c r="MLS19" s="30"/>
      <c r="MLT19" s="30"/>
      <c r="MLU19" s="30"/>
      <c r="MLV19" s="30"/>
      <c r="MLW19" s="30"/>
      <c r="MLX19" s="30"/>
      <c r="MLY19" s="30"/>
      <c r="MLZ19" s="30"/>
      <c r="MMA19" s="30"/>
      <c r="MMB19" s="30"/>
      <c r="MMC19" s="30"/>
      <c r="MMD19" s="30"/>
      <c r="MME19" s="30"/>
      <c r="MMF19" s="30"/>
      <c r="MMG19" s="30"/>
      <c r="MMH19" s="30"/>
      <c r="MMI19" s="30"/>
      <c r="MMJ19" s="30"/>
      <c r="MMK19" s="30"/>
      <c r="MML19" s="30"/>
      <c r="MMM19" s="30"/>
      <c r="MMN19" s="30"/>
      <c r="MMO19" s="30"/>
      <c r="MMP19" s="30"/>
      <c r="MMQ19" s="30"/>
      <c r="MMR19" s="30"/>
      <c r="MMS19" s="30"/>
      <c r="MMT19" s="30"/>
      <c r="MMU19" s="30"/>
      <c r="MMV19" s="30"/>
      <c r="MMW19" s="30"/>
      <c r="MMX19" s="30"/>
      <c r="MMY19" s="30"/>
      <c r="MMZ19" s="30"/>
      <c r="MNA19" s="30"/>
      <c r="MNB19" s="30"/>
      <c r="MNC19" s="30"/>
      <c r="MND19" s="30"/>
      <c r="MNE19" s="30"/>
      <c r="MNF19" s="30"/>
      <c r="MNG19" s="30"/>
      <c r="MNH19" s="30"/>
      <c r="MNI19" s="30"/>
      <c r="MNJ19" s="30"/>
      <c r="MNK19" s="30"/>
      <c r="MNL19" s="30"/>
      <c r="MNM19" s="30"/>
      <c r="MNN19" s="30"/>
      <c r="MNO19" s="30"/>
      <c r="MNP19" s="30"/>
      <c r="MNQ19" s="30"/>
      <c r="MNR19" s="30"/>
      <c r="MNS19" s="30"/>
      <c r="MNT19" s="30"/>
      <c r="MNU19" s="30"/>
      <c r="MNV19" s="30"/>
      <c r="MNW19" s="30"/>
      <c r="MNX19" s="30"/>
      <c r="MNY19" s="30"/>
      <c r="MNZ19" s="30"/>
      <c r="MOA19" s="30"/>
      <c r="MOB19" s="30"/>
      <c r="MOC19" s="30"/>
      <c r="MOD19" s="30"/>
      <c r="MOE19" s="30"/>
      <c r="MOF19" s="30"/>
      <c r="MOG19" s="30"/>
      <c r="MOH19" s="30"/>
      <c r="MOI19" s="30"/>
      <c r="MOJ19" s="30"/>
      <c r="MOK19" s="30"/>
      <c r="MOL19" s="30"/>
      <c r="MOM19" s="30"/>
      <c r="MON19" s="30"/>
      <c r="MOO19" s="30"/>
      <c r="MOP19" s="30"/>
      <c r="MOQ19" s="30"/>
      <c r="MOR19" s="30"/>
      <c r="MOS19" s="30"/>
      <c r="MOT19" s="30"/>
      <c r="MOU19" s="30"/>
      <c r="MOV19" s="30"/>
      <c r="MOW19" s="30"/>
      <c r="MOX19" s="30"/>
      <c r="MOY19" s="30"/>
      <c r="MOZ19" s="30"/>
      <c r="MPA19" s="30"/>
      <c r="MPB19" s="30"/>
      <c r="MPC19" s="30"/>
      <c r="MPD19" s="30"/>
      <c r="MPE19" s="30"/>
      <c r="MPF19" s="30"/>
      <c r="MPG19" s="30"/>
      <c r="MPH19" s="30"/>
      <c r="MPI19" s="30"/>
      <c r="MPJ19" s="30"/>
      <c r="MPK19" s="30"/>
      <c r="MPL19" s="30"/>
      <c r="MPM19" s="30"/>
      <c r="MPN19" s="30"/>
      <c r="MPO19" s="30"/>
      <c r="MPP19" s="30"/>
      <c r="MPQ19" s="30"/>
      <c r="MPR19" s="30"/>
      <c r="MPS19" s="30"/>
      <c r="MPT19" s="30"/>
      <c r="MPU19" s="30"/>
      <c r="MPV19" s="30"/>
      <c r="MPW19" s="30"/>
      <c r="MPX19" s="30"/>
      <c r="MPY19" s="30"/>
      <c r="MPZ19" s="30"/>
      <c r="MQA19" s="30"/>
      <c r="MQB19" s="30"/>
      <c r="MQC19" s="30"/>
      <c r="MQD19" s="30"/>
      <c r="MQE19" s="30"/>
      <c r="MQF19" s="30"/>
      <c r="MQG19" s="30"/>
      <c r="MQH19" s="30"/>
      <c r="MQI19" s="30"/>
      <c r="MQJ19" s="30"/>
      <c r="MQK19" s="30"/>
      <c r="MQL19" s="30"/>
      <c r="MQM19" s="30"/>
      <c r="MQN19" s="30"/>
      <c r="MQO19" s="30"/>
      <c r="MQP19" s="30"/>
      <c r="MQQ19" s="30"/>
      <c r="MQR19" s="30"/>
      <c r="MQS19" s="30"/>
      <c r="MQT19" s="30"/>
      <c r="MQU19" s="30"/>
      <c r="MQV19" s="30"/>
      <c r="MQW19" s="30"/>
      <c r="MQX19" s="30"/>
      <c r="MQY19" s="30"/>
      <c r="MQZ19" s="30"/>
      <c r="MRA19" s="30"/>
      <c r="MRB19" s="30"/>
      <c r="MRC19" s="30"/>
      <c r="MRD19" s="30"/>
      <c r="MRE19" s="30"/>
      <c r="MRF19" s="30"/>
      <c r="MRG19" s="30"/>
      <c r="MRH19" s="30"/>
      <c r="MRI19" s="30"/>
      <c r="MRJ19" s="30"/>
      <c r="MRK19" s="30"/>
      <c r="MRL19" s="30"/>
      <c r="MRM19" s="30"/>
      <c r="MRN19" s="30"/>
      <c r="MRO19" s="30"/>
      <c r="MRP19" s="30"/>
      <c r="MRQ19" s="30"/>
      <c r="MRR19" s="30"/>
      <c r="MRS19" s="30"/>
      <c r="MRT19" s="30"/>
      <c r="MRU19" s="30"/>
      <c r="MRV19" s="30"/>
      <c r="MRW19" s="30"/>
      <c r="MRX19" s="30"/>
      <c r="MRY19" s="30"/>
      <c r="MRZ19" s="30"/>
      <c r="MSA19" s="30"/>
      <c r="MSB19" s="30"/>
      <c r="MSC19" s="30"/>
      <c r="MSD19" s="30"/>
      <c r="MSE19" s="30"/>
      <c r="MSF19" s="30"/>
      <c r="MSG19" s="30"/>
      <c r="MSH19" s="30"/>
      <c r="MSI19" s="30"/>
      <c r="MSJ19" s="30"/>
      <c r="MSK19" s="30"/>
      <c r="MSL19" s="30"/>
      <c r="MSM19" s="30"/>
      <c r="MSN19" s="30"/>
      <c r="MSO19" s="30"/>
      <c r="MSP19" s="30"/>
      <c r="MSQ19" s="30"/>
      <c r="MSR19" s="30"/>
      <c r="MSS19" s="30"/>
      <c r="MST19" s="30"/>
      <c r="MSU19" s="30"/>
      <c r="MSV19" s="30"/>
      <c r="MSW19" s="30"/>
      <c r="MSX19" s="30"/>
      <c r="MSY19" s="30"/>
      <c r="MSZ19" s="30"/>
      <c r="MTA19" s="30"/>
      <c r="MTB19" s="30"/>
      <c r="MTC19" s="30"/>
      <c r="MTD19" s="30"/>
      <c r="MTE19" s="30"/>
      <c r="MTF19" s="30"/>
      <c r="MTG19" s="30"/>
      <c r="MTH19" s="30"/>
      <c r="MTI19" s="30"/>
      <c r="MTJ19" s="30"/>
      <c r="MTK19" s="30"/>
      <c r="MTL19" s="30"/>
      <c r="MTM19" s="30"/>
      <c r="MTN19" s="30"/>
      <c r="MTO19" s="30"/>
      <c r="MTP19" s="30"/>
      <c r="MTQ19" s="30"/>
      <c r="MTR19" s="30"/>
      <c r="MTS19" s="30"/>
      <c r="MTT19" s="30"/>
      <c r="MTU19" s="30"/>
      <c r="MTV19" s="30"/>
      <c r="MTW19" s="30"/>
      <c r="MTX19" s="30"/>
      <c r="MTY19" s="30"/>
      <c r="MTZ19" s="30"/>
      <c r="MUA19" s="30"/>
      <c r="MUB19" s="30"/>
      <c r="MUC19" s="30"/>
      <c r="MUD19" s="30"/>
      <c r="MUE19" s="30"/>
      <c r="MUF19" s="30"/>
      <c r="MUG19" s="30"/>
      <c r="MUH19" s="30"/>
      <c r="MUI19" s="30"/>
      <c r="MUJ19" s="30"/>
      <c r="MUK19" s="30"/>
      <c r="MUL19" s="30"/>
      <c r="MUM19" s="30"/>
      <c r="MUN19" s="30"/>
      <c r="MUO19" s="30"/>
      <c r="MUP19" s="30"/>
      <c r="MUQ19" s="30"/>
      <c r="MUR19" s="30"/>
      <c r="MUS19" s="30"/>
      <c r="MUT19" s="30"/>
      <c r="MUU19" s="30"/>
      <c r="MUV19" s="30"/>
      <c r="MUW19" s="30"/>
      <c r="MUX19" s="30"/>
      <c r="MUY19" s="30"/>
      <c r="MUZ19" s="30"/>
      <c r="MVA19" s="30"/>
      <c r="MVB19" s="30"/>
      <c r="MVC19" s="30"/>
      <c r="MVD19" s="30"/>
      <c r="MVE19" s="30"/>
      <c r="MVF19" s="30"/>
      <c r="MVG19" s="30"/>
      <c r="MVH19" s="30"/>
      <c r="MVI19" s="30"/>
      <c r="MVJ19" s="30"/>
      <c r="MVK19" s="30"/>
      <c r="MVL19" s="30"/>
      <c r="MVM19" s="30"/>
      <c r="MVN19" s="30"/>
      <c r="MVO19" s="30"/>
      <c r="MVP19" s="30"/>
      <c r="MVQ19" s="30"/>
      <c r="MVR19" s="30"/>
      <c r="MVS19" s="30"/>
      <c r="MVT19" s="30"/>
      <c r="MVU19" s="30"/>
      <c r="MVV19" s="30"/>
      <c r="MVW19" s="30"/>
      <c r="MVX19" s="30"/>
      <c r="MVY19" s="30"/>
      <c r="MVZ19" s="30"/>
      <c r="MWA19" s="30"/>
      <c r="MWB19" s="30"/>
      <c r="MWC19" s="30"/>
      <c r="MWD19" s="30"/>
      <c r="MWE19" s="30"/>
      <c r="MWF19" s="30"/>
      <c r="MWG19" s="30"/>
      <c r="MWH19" s="30"/>
      <c r="MWI19" s="30"/>
      <c r="MWJ19" s="30"/>
      <c r="MWK19" s="30"/>
      <c r="MWL19" s="30"/>
      <c r="MWM19" s="30"/>
      <c r="MWN19" s="30"/>
      <c r="MWO19" s="30"/>
      <c r="MWP19" s="30"/>
      <c r="MWQ19" s="30"/>
      <c r="MWR19" s="30"/>
      <c r="MWS19" s="30"/>
      <c r="MWT19" s="30"/>
      <c r="MWU19" s="30"/>
      <c r="MWV19" s="30"/>
      <c r="MWW19" s="30"/>
      <c r="MWX19" s="30"/>
      <c r="MWY19" s="30"/>
      <c r="MWZ19" s="30"/>
      <c r="MXA19" s="30"/>
      <c r="MXB19" s="30"/>
      <c r="MXC19" s="30"/>
      <c r="MXD19" s="30"/>
      <c r="MXE19" s="30"/>
      <c r="MXF19" s="30"/>
      <c r="MXG19" s="30"/>
      <c r="MXH19" s="30"/>
      <c r="MXI19" s="30"/>
      <c r="MXJ19" s="30"/>
      <c r="MXK19" s="30"/>
      <c r="MXL19" s="30"/>
      <c r="MXM19" s="30"/>
      <c r="MXN19" s="30"/>
      <c r="MXO19" s="30"/>
      <c r="MXP19" s="30"/>
      <c r="MXQ19" s="30"/>
      <c r="MXR19" s="30"/>
      <c r="MXS19" s="30"/>
      <c r="MXT19" s="30"/>
      <c r="MXU19" s="30"/>
      <c r="MXV19" s="30"/>
      <c r="MXW19" s="30"/>
      <c r="MXX19" s="30"/>
      <c r="MXY19" s="30"/>
      <c r="MXZ19" s="30"/>
      <c r="MYA19" s="30"/>
      <c r="MYB19" s="30"/>
      <c r="MYC19" s="30"/>
      <c r="MYD19" s="30"/>
      <c r="MYE19" s="30"/>
      <c r="MYF19" s="30"/>
      <c r="MYG19" s="30"/>
      <c r="MYH19" s="30"/>
      <c r="MYI19" s="30"/>
      <c r="MYJ19" s="30"/>
      <c r="MYK19" s="30"/>
      <c r="MYL19" s="30"/>
      <c r="MYM19" s="30"/>
      <c r="MYN19" s="30"/>
      <c r="MYO19" s="30"/>
      <c r="MYP19" s="30"/>
      <c r="MYQ19" s="30"/>
      <c r="MYR19" s="30"/>
      <c r="MYS19" s="30"/>
      <c r="MYT19" s="30"/>
      <c r="MYU19" s="30"/>
      <c r="MYV19" s="30"/>
      <c r="MYW19" s="30"/>
      <c r="MYX19" s="30"/>
      <c r="MYY19" s="30"/>
      <c r="MYZ19" s="30"/>
      <c r="MZA19" s="30"/>
      <c r="MZB19" s="30"/>
      <c r="MZC19" s="30"/>
      <c r="MZD19" s="30"/>
      <c r="MZE19" s="30"/>
      <c r="MZF19" s="30"/>
      <c r="MZG19" s="30"/>
      <c r="MZH19" s="30"/>
      <c r="MZI19" s="30"/>
      <c r="MZJ19" s="30"/>
      <c r="MZK19" s="30"/>
      <c r="MZL19" s="30"/>
      <c r="MZM19" s="30"/>
      <c r="MZN19" s="30"/>
      <c r="MZO19" s="30"/>
      <c r="MZP19" s="30"/>
      <c r="MZQ19" s="30"/>
      <c r="MZR19" s="30"/>
      <c r="MZS19" s="30"/>
      <c r="MZT19" s="30"/>
      <c r="MZU19" s="30"/>
      <c r="MZV19" s="30"/>
      <c r="MZW19" s="30"/>
      <c r="MZX19" s="30"/>
      <c r="MZY19" s="30"/>
      <c r="MZZ19" s="30"/>
      <c r="NAA19" s="30"/>
      <c r="NAB19" s="30"/>
      <c r="NAC19" s="30"/>
      <c r="NAD19" s="30"/>
      <c r="NAE19" s="30"/>
      <c r="NAF19" s="30"/>
      <c r="NAG19" s="30"/>
      <c r="NAH19" s="30"/>
      <c r="NAI19" s="30"/>
      <c r="NAJ19" s="30"/>
      <c r="NAK19" s="30"/>
      <c r="NAL19" s="30"/>
      <c r="NAM19" s="30"/>
      <c r="NAN19" s="30"/>
      <c r="NAO19" s="30"/>
      <c r="NAP19" s="30"/>
      <c r="NAQ19" s="30"/>
      <c r="NAR19" s="30"/>
      <c r="NAS19" s="30"/>
      <c r="NAT19" s="30"/>
      <c r="NAU19" s="30"/>
      <c r="NAV19" s="30"/>
      <c r="NAW19" s="30"/>
      <c r="NAX19" s="30"/>
      <c r="NAY19" s="30"/>
      <c r="NAZ19" s="30"/>
      <c r="NBA19" s="30"/>
      <c r="NBB19" s="30"/>
      <c r="NBC19" s="30"/>
      <c r="NBD19" s="30"/>
      <c r="NBE19" s="30"/>
      <c r="NBF19" s="30"/>
      <c r="NBG19" s="30"/>
      <c r="NBH19" s="30"/>
      <c r="NBI19" s="30"/>
      <c r="NBJ19" s="30"/>
      <c r="NBK19" s="30"/>
      <c r="NBL19" s="30"/>
      <c r="NBM19" s="30"/>
      <c r="NBN19" s="30"/>
      <c r="NBO19" s="30"/>
      <c r="NBP19" s="30"/>
      <c r="NBQ19" s="30"/>
      <c r="NBR19" s="30"/>
      <c r="NBS19" s="30"/>
      <c r="NBT19" s="30"/>
      <c r="NBU19" s="30"/>
      <c r="NBV19" s="30"/>
      <c r="NBW19" s="30"/>
      <c r="NBX19" s="30"/>
      <c r="NBY19" s="30"/>
      <c r="NBZ19" s="30"/>
      <c r="NCA19" s="30"/>
      <c r="NCB19" s="30"/>
      <c r="NCC19" s="30"/>
      <c r="NCD19" s="30"/>
      <c r="NCE19" s="30"/>
      <c r="NCF19" s="30"/>
      <c r="NCG19" s="30"/>
      <c r="NCH19" s="30"/>
      <c r="NCI19" s="30"/>
      <c r="NCJ19" s="30"/>
      <c r="NCK19" s="30"/>
      <c r="NCL19" s="30"/>
      <c r="NCM19" s="30"/>
      <c r="NCN19" s="30"/>
      <c r="NCO19" s="30"/>
      <c r="NCP19" s="30"/>
      <c r="NCQ19" s="30"/>
      <c r="NCR19" s="30"/>
      <c r="NCS19" s="30"/>
      <c r="NCT19" s="30"/>
      <c r="NCU19" s="30"/>
      <c r="NCV19" s="30"/>
      <c r="NCW19" s="30"/>
      <c r="NCX19" s="30"/>
      <c r="NCY19" s="30"/>
      <c r="NCZ19" s="30"/>
      <c r="NDA19" s="30"/>
      <c r="NDB19" s="30"/>
      <c r="NDC19" s="30"/>
      <c r="NDD19" s="30"/>
      <c r="NDE19" s="30"/>
      <c r="NDF19" s="30"/>
      <c r="NDG19" s="30"/>
      <c r="NDH19" s="30"/>
      <c r="NDI19" s="30"/>
      <c r="NDJ19" s="30"/>
      <c r="NDK19" s="30"/>
      <c r="NDL19" s="30"/>
      <c r="NDM19" s="30"/>
      <c r="NDN19" s="30"/>
      <c r="NDO19" s="30"/>
      <c r="NDP19" s="30"/>
      <c r="NDQ19" s="30"/>
      <c r="NDR19" s="30"/>
      <c r="NDS19" s="30"/>
      <c r="NDT19" s="30"/>
      <c r="NDU19" s="30"/>
      <c r="NDV19" s="30"/>
      <c r="NDW19" s="30"/>
      <c r="NDX19" s="30"/>
      <c r="NDY19" s="30"/>
      <c r="NDZ19" s="30"/>
      <c r="NEA19" s="30"/>
      <c r="NEB19" s="30"/>
      <c r="NEC19" s="30"/>
      <c r="NED19" s="30"/>
      <c r="NEE19" s="30"/>
      <c r="NEF19" s="30"/>
      <c r="NEG19" s="30"/>
      <c r="NEH19" s="30"/>
      <c r="NEI19" s="30"/>
      <c r="NEJ19" s="30"/>
      <c r="NEK19" s="30"/>
      <c r="NEL19" s="30"/>
      <c r="NEM19" s="30"/>
      <c r="NEN19" s="30"/>
      <c r="NEO19" s="30"/>
      <c r="NEP19" s="30"/>
      <c r="NEQ19" s="30"/>
      <c r="NER19" s="30"/>
      <c r="NES19" s="30"/>
      <c r="NET19" s="30"/>
      <c r="NEU19" s="30"/>
      <c r="NEV19" s="30"/>
      <c r="NEW19" s="30"/>
      <c r="NEX19" s="30"/>
      <c r="NEY19" s="30"/>
      <c r="NEZ19" s="30"/>
      <c r="NFA19" s="30"/>
      <c r="NFB19" s="30"/>
      <c r="NFC19" s="30"/>
      <c r="NFD19" s="30"/>
      <c r="NFE19" s="30"/>
      <c r="NFF19" s="30"/>
      <c r="NFG19" s="30"/>
      <c r="NFH19" s="30"/>
      <c r="NFI19" s="30"/>
      <c r="NFJ19" s="30"/>
      <c r="NFK19" s="30"/>
      <c r="NFL19" s="30"/>
      <c r="NFM19" s="30"/>
      <c r="NFN19" s="30"/>
      <c r="NFO19" s="30"/>
      <c r="NFP19" s="30"/>
      <c r="NFQ19" s="30"/>
      <c r="NFR19" s="30"/>
      <c r="NFS19" s="30"/>
      <c r="NFT19" s="30"/>
      <c r="NFU19" s="30"/>
      <c r="NFV19" s="30"/>
      <c r="NFW19" s="30"/>
      <c r="NFX19" s="30"/>
      <c r="NFY19" s="30"/>
      <c r="NFZ19" s="30"/>
      <c r="NGA19" s="30"/>
      <c r="NGB19" s="30"/>
      <c r="NGC19" s="30"/>
      <c r="NGD19" s="30"/>
      <c r="NGE19" s="30"/>
      <c r="NGF19" s="30"/>
      <c r="NGG19" s="30"/>
      <c r="NGH19" s="30"/>
      <c r="NGI19" s="30"/>
      <c r="NGJ19" s="30"/>
      <c r="NGK19" s="30"/>
      <c r="NGL19" s="30"/>
      <c r="NGM19" s="30"/>
      <c r="NGN19" s="30"/>
      <c r="NGO19" s="30"/>
      <c r="NGP19" s="30"/>
      <c r="NGQ19" s="30"/>
      <c r="NGR19" s="30"/>
      <c r="NGS19" s="30"/>
      <c r="NGT19" s="30"/>
      <c r="NGU19" s="30"/>
      <c r="NGV19" s="30"/>
      <c r="NGW19" s="30"/>
      <c r="NGX19" s="30"/>
      <c r="NGY19" s="30"/>
      <c r="NGZ19" s="30"/>
      <c r="NHA19" s="30"/>
      <c r="NHB19" s="30"/>
      <c r="NHC19" s="30"/>
      <c r="NHD19" s="30"/>
      <c r="NHE19" s="30"/>
      <c r="NHF19" s="30"/>
      <c r="NHG19" s="30"/>
      <c r="NHH19" s="30"/>
      <c r="NHI19" s="30"/>
      <c r="NHJ19" s="30"/>
      <c r="NHK19" s="30"/>
      <c r="NHL19" s="30"/>
      <c r="NHM19" s="30"/>
      <c r="NHN19" s="30"/>
      <c r="NHO19" s="30"/>
      <c r="NHP19" s="30"/>
      <c r="NHQ19" s="30"/>
      <c r="NHR19" s="30"/>
      <c r="NHS19" s="30"/>
      <c r="NHT19" s="30"/>
      <c r="NHU19" s="30"/>
      <c r="NHV19" s="30"/>
      <c r="NHW19" s="30"/>
      <c r="NHX19" s="30"/>
      <c r="NHY19" s="30"/>
      <c r="NHZ19" s="30"/>
      <c r="NIA19" s="30"/>
      <c r="NIB19" s="30"/>
      <c r="NIC19" s="30"/>
      <c r="NID19" s="30"/>
      <c r="NIE19" s="30"/>
      <c r="NIF19" s="30"/>
      <c r="NIG19" s="30"/>
      <c r="NIH19" s="30"/>
      <c r="NII19" s="30"/>
      <c r="NIJ19" s="30"/>
      <c r="NIK19" s="30"/>
      <c r="NIL19" s="30"/>
      <c r="NIM19" s="30"/>
      <c r="NIN19" s="30"/>
      <c r="NIO19" s="30"/>
      <c r="NIP19" s="30"/>
      <c r="NIQ19" s="30"/>
      <c r="NIR19" s="30"/>
      <c r="NIS19" s="30"/>
      <c r="NIT19" s="30"/>
      <c r="NIU19" s="30"/>
      <c r="NIV19" s="30"/>
      <c r="NIW19" s="30"/>
      <c r="NIX19" s="30"/>
      <c r="NIY19" s="30"/>
      <c r="NIZ19" s="30"/>
      <c r="NJA19" s="30"/>
      <c r="NJB19" s="30"/>
      <c r="NJC19" s="30"/>
      <c r="NJD19" s="30"/>
      <c r="NJE19" s="30"/>
      <c r="NJF19" s="30"/>
      <c r="NJG19" s="30"/>
      <c r="NJH19" s="30"/>
      <c r="NJI19" s="30"/>
      <c r="NJJ19" s="30"/>
      <c r="NJK19" s="30"/>
      <c r="NJL19" s="30"/>
      <c r="NJM19" s="30"/>
      <c r="NJN19" s="30"/>
      <c r="NJO19" s="30"/>
      <c r="NJP19" s="30"/>
      <c r="NJQ19" s="30"/>
      <c r="NJR19" s="30"/>
      <c r="NJS19" s="30"/>
      <c r="NJT19" s="30"/>
      <c r="NJU19" s="30"/>
      <c r="NJV19" s="30"/>
      <c r="NJW19" s="30"/>
      <c r="NJX19" s="30"/>
      <c r="NJY19" s="30"/>
      <c r="NJZ19" s="30"/>
      <c r="NKA19" s="30"/>
      <c r="NKB19" s="30"/>
      <c r="NKC19" s="30"/>
      <c r="NKD19" s="30"/>
      <c r="NKE19" s="30"/>
      <c r="NKF19" s="30"/>
      <c r="NKG19" s="30"/>
      <c r="NKH19" s="30"/>
      <c r="NKI19" s="30"/>
      <c r="NKJ19" s="30"/>
      <c r="NKK19" s="30"/>
      <c r="NKL19" s="30"/>
      <c r="NKM19" s="30"/>
      <c r="NKN19" s="30"/>
      <c r="NKO19" s="30"/>
      <c r="NKP19" s="30"/>
      <c r="NKQ19" s="30"/>
      <c r="NKR19" s="30"/>
      <c r="NKS19" s="30"/>
      <c r="NKT19" s="30"/>
      <c r="NKU19" s="30"/>
      <c r="NKV19" s="30"/>
      <c r="NKW19" s="30"/>
      <c r="NKX19" s="30"/>
      <c r="NKY19" s="30"/>
      <c r="NKZ19" s="30"/>
      <c r="NLA19" s="30"/>
      <c r="NLB19" s="30"/>
      <c r="NLC19" s="30"/>
      <c r="NLD19" s="30"/>
      <c r="NLE19" s="30"/>
      <c r="NLF19" s="30"/>
      <c r="NLG19" s="30"/>
      <c r="NLH19" s="30"/>
      <c r="NLI19" s="30"/>
      <c r="NLJ19" s="30"/>
      <c r="NLK19" s="30"/>
      <c r="NLL19" s="30"/>
      <c r="NLM19" s="30"/>
      <c r="NLN19" s="30"/>
      <c r="NLO19" s="30"/>
      <c r="NLP19" s="30"/>
      <c r="NLQ19" s="30"/>
      <c r="NLR19" s="30"/>
      <c r="NLS19" s="30"/>
      <c r="NLT19" s="30"/>
      <c r="NLU19" s="30"/>
      <c r="NLV19" s="30"/>
      <c r="NLW19" s="30"/>
      <c r="NLX19" s="30"/>
      <c r="NLY19" s="30"/>
      <c r="NLZ19" s="30"/>
      <c r="NMA19" s="30"/>
      <c r="NMB19" s="30"/>
      <c r="NMC19" s="30"/>
      <c r="NMD19" s="30"/>
      <c r="NME19" s="30"/>
      <c r="NMF19" s="30"/>
      <c r="NMG19" s="30"/>
      <c r="NMH19" s="30"/>
      <c r="NMI19" s="30"/>
      <c r="NMJ19" s="30"/>
      <c r="NMK19" s="30"/>
      <c r="NML19" s="30"/>
      <c r="NMM19" s="30"/>
      <c r="NMN19" s="30"/>
      <c r="NMO19" s="30"/>
      <c r="NMP19" s="30"/>
      <c r="NMQ19" s="30"/>
      <c r="NMR19" s="30"/>
      <c r="NMS19" s="30"/>
      <c r="NMT19" s="30"/>
      <c r="NMU19" s="30"/>
      <c r="NMV19" s="30"/>
      <c r="NMW19" s="30"/>
      <c r="NMX19" s="30"/>
      <c r="NMY19" s="30"/>
      <c r="NMZ19" s="30"/>
      <c r="NNA19" s="30"/>
      <c r="NNB19" s="30"/>
      <c r="NNC19" s="30"/>
      <c r="NND19" s="30"/>
      <c r="NNE19" s="30"/>
      <c r="NNF19" s="30"/>
      <c r="NNG19" s="30"/>
      <c r="NNH19" s="30"/>
      <c r="NNI19" s="30"/>
      <c r="NNJ19" s="30"/>
      <c r="NNK19" s="30"/>
      <c r="NNL19" s="30"/>
      <c r="NNM19" s="30"/>
      <c r="NNN19" s="30"/>
      <c r="NNO19" s="30"/>
      <c r="NNP19" s="30"/>
      <c r="NNQ19" s="30"/>
      <c r="NNR19" s="30"/>
      <c r="NNS19" s="30"/>
      <c r="NNT19" s="30"/>
      <c r="NNU19" s="30"/>
      <c r="NNV19" s="30"/>
      <c r="NNW19" s="30"/>
      <c r="NNX19" s="30"/>
      <c r="NNY19" s="30"/>
      <c r="NNZ19" s="30"/>
      <c r="NOA19" s="30"/>
      <c r="NOB19" s="30"/>
      <c r="NOC19" s="30"/>
      <c r="NOD19" s="30"/>
      <c r="NOE19" s="30"/>
      <c r="NOF19" s="30"/>
      <c r="NOG19" s="30"/>
      <c r="NOH19" s="30"/>
      <c r="NOI19" s="30"/>
      <c r="NOJ19" s="30"/>
      <c r="NOK19" s="30"/>
      <c r="NOL19" s="30"/>
      <c r="NOM19" s="30"/>
      <c r="NON19" s="30"/>
      <c r="NOO19" s="30"/>
      <c r="NOP19" s="30"/>
      <c r="NOQ19" s="30"/>
      <c r="NOR19" s="30"/>
      <c r="NOS19" s="30"/>
      <c r="NOT19" s="30"/>
      <c r="NOU19" s="30"/>
      <c r="NOV19" s="30"/>
      <c r="NOW19" s="30"/>
      <c r="NOX19" s="30"/>
      <c r="NOY19" s="30"/>
      <c r="NOZ19" s="30"/>
      <c r="NPA19" s="30"/>
      <c r="NPB19" s="30"/>
      <c r="NPC19" s="30"/>
      <c r="NPD19" s="30"/>
      <c r="NPE19" s="30"/>
      <c r="NPF19" s="30"/>
      <c r="NPG19" s="30"/>
      <c r="NPH19" s="30"/>
      <c r="NPI19" s="30"/>
      <c r="NPJ19" s="30"/>
      <c r="NPK19" s="30"/>
      <c r="NPL19" s="30"/>
      <c r="NPM19" s="30"/>
      <c r="NPN19" s="30"/>
      <c r="NPO19" s="30"/>
      <c r="NPP19" s="30"/>
      <c r="NPQ19" s="30"/>
      <c r="NPR19" s="30"/>
      <c r="NPS19" s="30"/>
      <c r="NPT19" s="30"/>
      <c r="NPU19" s="30"/>
      <c r="NPV19" s="30"/>
      <c r="NPW19" s="30"/>
      <c r="NPX19" s="30"/>
      <c r="NPY19" s="30"/>
      <c r="NPZ19" s="30"/>
      <c r="NQA19" s="30"/>
      <c r="NQB19" s="30"/>
      <c r="NQC19" s="30"/>
      <c r="NQD19" s="30"/>
      <c r="NQE19" s="30"/>
      <c r="NQF19" s="30"/>
      <c r="NQG19" s="30"/>
      <c r="NQH19" s="30"/>
      <c r="NQI19" s="30"/>
      <c r="NQJ19" s="30"/>
      <c r="NQK19" s="30"/>
      <c r="NQL19" s="30"/>
      <c r="NQM19" s="30"/>
      <c r="NQN19" s="30"/>
      <c r="NQO19" s="30"/>
      <c r="NQP19" s="30"/>
      <c r="NQQ19" s="30"/>
      <c r="NQR19" s="30"/>
      <c r="NQS19" s="30"/>
      <c r="NQT19" s="30"/>
      <c r="NQU19" s="30"/>
      <c r="NQV19" s="30"/>
      <c r="NQW19" s="30"/>
      <c r="NQX19" s="30"/>
      <c r="NQY19" s="30"/>
      <c r="NQZ19" s="30"/>
      <c r="NRA19" s="30"/>
      <c r="NRB19" s="30"/>
      <c r="NRC19" s="30"/>
      <c r="NRD19" s="30"/>
      <c r="NRE19" s="30"/>
      <c r="NRF19" s="30"/>
      <c r="NRG19" s="30"/>
      <c r="NRH19" s="30"/>
      <c r="NRI19" s="30"/>
      <c r="NRJ19" s="30"/>
      <c r="NRK19" s="30"/>
      <c r="NRL19" s="30"/>
      <c r="NRM19" s="30"/>
      <c r="NRN19" s="30"/>
      <c r="NRO19" s="30"/>
      <c r="NRP19" s="30"/>
      <c r="NRQ19" s="30"/>
      <c r="NRR19" s="30"/>
      <c r="NRS19" s="30"/>
      <c r="NRT19" s="30"/>
      <c r="NRU19" s="30"/>
      <c r="NRV19" s="30"/>
      <c r="NRW19" s="30"/>
      <c r="NRX19" s="30"/>
      <c r="NRY19" s="30"/>
      <c r="NRZ19" s="30"/>
      <c r="NSA19" s="30"/>
      <c r="NSB19" s="30"/>
      <c r="NSC19" s="30"/>
      <c r="NSD19" s="30"/>
      <c r="NSE19" s="30"/>
      <c r="NSF19" s="30"/>
      <c r="NSG19" s="30"/>
      <c r="NSH19" s="30"/>
      <c r="NSI19" s="30"/>
      <c r="NSJ19" s="30"/>
      <c r="NSK19" s="30"/>
      <c r="NSL19" s="30"/>
      <c r="NSM19" s="30"/>
      <c r="NSN19" s="30"/>
      <c r="NSO19" s="30"/>
      <c r="NSP19" s="30"/>
      <c r="NSQ19" s="30"/>
      <c r="NSR19" s="30"/>
      <c r="NSS19" s="30"/>
      <c r="NST19" s="30"/>
      <c r="NSU19" s="30"/>
      <c r="NSV19" s="30"/>
      <c r="NSW19" s="30"/>
      <c r="NSX19" s="30"/>
      <c r="NSY19" s="30"/>
      <c r="NSZ19" s="30"/>
      <c r="NTA19" s="30"/>
      <c r="NTB19" s="30"/>
      <c r="NTC19" s="30"/>
      <c r="NTD19" s="30"/>
      <c r="NTE19" s="30"/>
      <c r="NTF19" s="30"/>
      <c r="NTG19" s="30"/>
      <c r="NTH19" s="30"/>
      <c r="NTI19" s="30"/>
      <c r="NTJ19" s="30"/>
      <c r="NTK19" s="30"/>
      <c r="NTL19" s="30"/>
      <c r="NTM19" s="30"/>
      <c r="NTN19" s="30"/>
      <c r="NTO19" s="30"/>
      <c r="NTP19" s="30"/>
      <c r="NTQ19" s="30"/>
      <c r="NTR19" s="30"/>
      <c r="NTS19" s="30"/>
      <c r="NTT19" s="30"/>
      <c r="NTU19" s="30"/>
      <c r="NTV19" s="30"/>
      <c r="NTW19" s="30"/>
      <c r="NTX19" s="30"/>
      <c r="NTY19" s="30"/>
      <c r="NTZ19" s="30"/>
      <c r="NUA19" s="30"/>
      <c r="NUB19" s="30"/>
      <c r="NUC19" s="30"/>
      <c r="NUD19" s="30"/>
      <c r="NUE19" s="30"/>
      <c r="NUF19" s="30"/>
      <c r="NUG19" s="30"/>
      <c r="NUH19" s="30"/>
      <c r="NUI19" s="30"/>
      <c r="NUJ19" s="30"/>
      <c r="NUK19" s="30"/>
      <c r="NUL19" s="30"/>
      <c r="NUM19" s="30"/>
      <c r="NUN19" s="30"/>
      <c r="NUO19" s="30"/>
      <c r="NUP19" s="30"/>
      <c r="NUQ19" s="30"/>
      <c r="NUR19" s="30"/>
      <c r="NUS19" s="30"/>
      <c r="NUT19" s="30"/>
      <c r="NUU19" s="30"/>
      <c r="NUV19" s="30"/>
      <c r="NUW19" s="30"/>
      <c r="NUX19" s="30"/>
      <c r="NUY19" s="30"/>
      <c r="NUZ19" s="30"/>
      <c r="NVA19" s="30"/>
      <c r="NVB19" s="30"/>
      <c r="NVC19" s="30"/>
      <c r="NVD19" s="30"/>
      <c r="NVE19" s="30"/>
      <c r="NVF19" s="30"/>
      <c r="NVG19" s="30"/>
      <c r="NVH19" s="30"/>
      <c r="NVI19" s="30"/>
      <c r="NVJ19" s="30"/>
      <c r="NVK19" s="30"/>
      <c r="NVL19" s="30"/>
      <c r="NVM19" s="30"/>
      <c r="NVN19" s="30"/>
      <c r="NVO19" s="30"/>
      <c r="NVP19" s="30"/>
      <c r="NVQ19" s="30"/>
      <c r="NVR19" s="30"/>
      <c r="NVS19" s="30"/>
      <c r="NVT19" s="30"/>
      <c r="NVU19" s="30"/>
      <c r="NVV19" s="30"/>
      <c r="NVW19" s="30"/>
      <c r="NVX19" s="30"/>
      <c r="NVY19" s="30"/>
      <c r="NVZ19" s="30"/>
      <c r="NWA19" s="30"/>
      <c r="NWB19" s="30"/>
      <c r="NWC19" s="30"/>
      <c r="NWD19" s="30"/>
      <c r="NWE19" s="30"/>
      <c r="NWF19" s="30"/>
      <c r="NWG19" s="30"/>
      <c r="NWH19" s="30"/>
      <c r="NWI19" s="30"/>
      <c r="NWJ19" s="30"/>
      <c r="NWK19" s="30"/>
      <c r="NWL19" s="30"/>
      <c r="NWM19" s="30"/>
      <c r="NWN19" s="30"/>
      <c r="NWO19" s="30"/>
      <c r="NWP19" s="30"/>
      <c r="NWQ19" s="30"/>
      <c r="NWR19" s="30"/>
      <c r="NWS19" s="30"/>
      <c r="NWT19" s="30"/>
      <c r="NWU19" s="30"/>
      <c r="NWV19" s="30"/>
      <c r="NWW19" s="30"/>
      <c r="NWX19" s="30"/>
      <c r="NWY19" s="30"/>
      <c r="NWZ19" s="30"/>
      <c r="NXA19" s="30"/>
      <c r="NXB19" s="30"/>
      <c r="NXC19" s="30"/>
      <c r="NXD19" s="30"/>
      <c r="NXE19" s="30"/>
      <c r="NXF19" s="30"/>
      <c r="NXG19" s="30"/>
      <c r="NXH19" s="30"/>
      <c r="NXI19" s="30"/>
      <c r="NXJ19" s="30"/>
      <c r="NXK19" s="30"/>
      <c r="NXL19" s="30"/>
      <c r="NXM19" s="30"/>
      <c r="NXN19" s="30"/>
      <c r="NXO19" s="30"/>
      <c r="NXP19" s="30"/>
      <c r="NXQ19" s="30"/>
      <c r="NXR19" s="30"/>
      <c r="NXS19" s="30"/>
      <c r="NXT19" s="30"/>
      <c r="NXU19" s="30"/>
      <c r="NXV19" s="30"/>
      <c r="NXW19" s="30"/>
      <c r="NXX19" s="30"/>
      <c r="NXY19" s="30"/>
      <c r="NXZ19" s="30"/>
      <c r="NYA19" s="30"/>
      <c r="NYB19" s="30"/>
      <c r="NYC19" s="30"/>
      <c r="NYD19" s="30"/>
      <c r="NYE19" s="30"/>
      <c r="NYF19" s="30"/>
      <c r="NYG19" s="30"/>
      <c r="NYH19" s="30"/>
      <c r="NYI19" s="30"/>
      <c r="NYJ19" s="30"/>
      <c r="NYK19" s="30"/>
      <c r="NYL19" s="30"/>
      <c r="NYM19" s="30"/>
      <c r="NYN19" s="30"/>
      <c r="NYO19" s="30"/>
      <c r="NYP19" s="30"/>
      <c r="NYQ19" s="30"/>
      <c r="NYR19" s="30"/>
      <c r="NYS19" s="30"/>
      <c r="NYT19" s="30"/>
      <c r="NYU19" s="30"/>
      <c r="NYV19" s="30"/>
      <c r="NYW19" s="30"/>
      <c r="NYX19" s="30"/>
      <c r="NYY19" s="30"/>
      <c r="NYZ19" s="30"/>
      <c r="NZA19" s="30"/>
      <c r="NZB19" s="30"/>
      <c r="NZC19" s="30"/>
      <c r="NZD19" s="30"/>
      <c r="NZE19" s="30"/>
      <c r="NZF19" s="30"/>
      <c r="NZG19" s="30"/>
      <c r="NZH19" s="30"/>
      <c r="NZI19" s="30"/>
      <c r="NZJ19" s="30"/>
      <c r="NZK19" s="30"/>
      <c r="NZL19" s="30"/>
      <c r="NZM19" s="30"/>
      <c r="NZN19" s="30"/>
      <c r="NZO19" s="30"/>
      <c r="NZP19" s="30"/>
      <c r="NZQ19" s="30"/>
      <c r="NZR19" s="30"/>
      <c r="NZS19" s="30"/>
      <c r="NZT19" s="30"/>
      <c r="NZU19" s="30"/>
      <c r="NZV19" s="30"/>
      <c r="NZW19" s="30"/>
      <c r="NZX19" s="30"/>
      <c r="NZY19" s="30"/>
      <c r="NZZ19" s="30"/>
      <c r="OAA19" s="30"/>
      <c r="OAB19" s="30"/>
      <c r="OAC19" s="30"/>
      <c r="OAD19" s="30"/>
      <c r="OAE19" s="30"/>
      <c r="OAF19" s="30"/>
      <c r="OAG19" s="30"/>
      <c r="OAH19" s="30"/>
      <c r="OAI19" s="30"/>
      <c r="OAJ19" s="30"/>
      <c r="OAK19" s="30"/>
      <c r="OAL19" s="30"/>
      <c r="OAM19" s="30"/>
      <c r="OAN19" s="30"/>
      <c r="OAO19" s="30"/>
      <c r="OAP19" s="30"/>
      <c r="OAQ19" s="30"/>
      <c r="OAR19" s="30"/>
      <c r="OAS19" s="30"/>
      <c r="OAT19" s="30"/>
      <c r="OAU19" s="30"/>
      <c r="OAV19" s="30"/>
      <c r="OAW19" s="30"/>
      <c r="OAX19" s="30"/>
      <c r="OAY19" s="30"/>
      <c r="OAZ19" s="30"/>
      <c r="OBA19" s="30"/>
      <c r="OBB19" s="30"/>
      <c r="OBC19" s="30"/>
      <c r="OBD19" s="30"/>
      <c r="OBE19" s="30"/>
      <c r="OBF19" s="30"/>
      <c r="OBG19" s="30"/>
      <c r="OBH19" s="30"/>
      <c r="OBI19" s="30"/>
      <c r="OBJ19" s="30"/>
      <c r="OBK19" s="30"/>
      <c r="OBL19" s="30"/>
      <c r="OBM19" s="30"/>
      <c r="OBN19" s="30"/>
      <c r="OBO19" s="30"/>
      <c r="OBP19" s="30"/>
      <c r="OBQ19" s="30"/>
      <c r="OBR19" s="30"/>
      <c r="OBS19" s="30"/>
      <c r="OBT19" s="30"/>
      <c r="OBU19" s="30"/>
      <c r="OBV19" s="30"/>
      <c r="OBW19" s="30"/>
      <c r="OBX19" s="30"/>
      <c r="OBY19" s="30"/>
      <c r="OBZ19" s="30"/>
      <c r="OCA19" s="30"/>
      <c r="OCB19" s="30"/>
      <c r="OCC19" s="30"/>
      <c r="OCD19" s="30"/>
      <c r="OCE19" s="30"/>
      <c r="OCF19" s="30"/>
      <c r="OCG19" s="30"/>
      <c r="OCH19" s="30"/>
      <c r="OCI19" s="30"/>
      <c r="OCJ19" s="30"/>
      <c r="OCK19" s="30"/>
      <c r="OCL19" s="30"/>
      <c r="OCM19" s="30"/>
      <c r="OCN19" s="30"/>
      <c r="OCO19" s="30"/>
      <c r="OCP19" s="30"/>
      <c r="OCQ19" s="30"/>
      <c r="OCR19" s="30"/>
      <c r="OCS19" s="30"/>
      <c r="OCT19" s="30"/>
      <c r="OCU19" s="30"/>
      <c r="OCV19" s="30"/>
      <c r="OCW19" s="30"/>
      <c r="OCX19" s="30"/>
      <c r="OCY19" s="30"/>
      <c r="OCZ19" s="30"/>
      <c r="ODA19" s="30"/>
      <c r="ODB19" s="30"/>
      <c r="ODC19" s="30"/>
      <c r="ODD19" s="30"/>
      <c r="ODE19" s="30"/>
      <c r="ODF19" s="30"/>
      <c r="ODG19" s="30"/>
      <c r="ODH19" s="30"/>
      <c r="ODI19" s="30"/>
      <c r="ODJ19" s="30"/>
      <c r="ODK19" s="30"/>
      <c r="ODL19" s="30"/>
      <c r="ODM19" s="30"/>
      <c r="ODN19" s="30"/>
      <c r="ODO19" s="30"/>
      <c r="ODP19" s="30"/>
      <c r="ODQ19" s="30"/>
      <c r="ODR19" s="30"/>
      <c r="ODS19" s="30"/>
      <c r="ODT19" s="30"/>
      <c r="ODU19" s="30"/>
      <c r="ODV19" s="30"/>
      <c r="ODW19" s="30"/>
      <c r="ODX19" s="30"/>
      <c r="ODY19" s="30"/>
      <c r="ODZ19" s="30"/>
      <c r="OEA19" s="30"/>
      <c r="OEB19" s="30"/>
      <c r="OEC19" s="30"/>
      <c r="OED19" s="30"/>
      <c r="OEE19" s="30"/>
      <c r="OEF19" s="30"/>
      <c r="OEG19" s="30"/>
      <c r="OEH19" s="30"/>
      <c r="OEI19" s="30"/>
      <c r="OEJ19" s="30"/>
      <c r="OEK19" s="30"/>
      <c r="OEL19" s="30"/>
      <c r="OEM19" s="30"/>
      <c r="OEN19" s="30"/>
      <c r="OEO19" s="30"/>
      <c r="OEP19" s="30"/>
      <c r="OEQ19" s="30"/>
      <c r="OER19" s="30"/>
      <c r="OES19" s="30"/>
      <c r="OET19" s="30"/>
      <c r="OEU19" s="30"/>
      <c r="OEV19" s="30"/>
      <c r="OEW19" s="30"/>
      <c r="OEX19" s="30"/>
      <c r="OEY19" s="30"/>
      <c r="OEZ19" s="30"/>
      <c r="OFA19" s="30"/>
      <c r="OFB19" s="30"/>
      <c r="OFC19" s="30"/>
      <c r="OFD19" s="30"/>
      <c r="OFE19" s="30"/>
      <c r="OFF19" s="30"/>
      <c r="OFG19" s="30"/>
      <c r="OFH19" s="30"/>
      <c r="OFI19" s="30"/>
      <c r="OFJ19" s="30"/>
      <c r="OFK19" s="30"/>
      <c r="OFL19" s="30"/>
      <c r="OFM19" s="30"/>
      <c r="OFN19" s="30"/>
      <c r="OFO19" s="30"/>
      <c r="OFP19" s="30"/>
      <c r="OFQ19" s="30"/>
      <c r="OFR19" s="30"/>
      <c r="OFS19" s="30"/>
      <c r="OFT19" s="30"/>
      <c r="OFU19" s="30"/>
      <c r="OFV19" s="30"/>
      <c r="OFW19" s="30"/>
      <c r="OFX19" s="30"/>
      <c r="OFY19" s="30"/>
      <c r="OFZ19" s="30"/>
      <c r="OGA19" s="30"/>
      <c r="OGB19" s="30"/>
      <c r="OGC19" s="30"/>
      <c r="OGD19" s="30"/>
      <c r="OGE19" s="30"/>
      <c r="OGF19" s="30"/>
      <c r="OGG19" s="30"/>
      <c r="OGH19" s="30"/>
      <c r="OGI19" s="30"/>
      <c r="OGJ19" s="30"/>
      <c r="OGK19" s="30"/>
      <c r="OGL19" s="30"/>
      <c r="OGM19" s="30"/>
      <c r="OGN19" s="30"/>
      <c r="OGO19" s="30"/>
      <c r="OGP19" s="30"/>
      <c r="OGQ19" s="30"/>
      <c r="OGR19" s="30"/>
      <c r="OGS19" s="30"/>
      <c r="OGT19" s="30"/>
      <c r="OGU19" s="30"/>
      <c r="OGV19" s="30"/>
      <c r="OGW19" s="30"/>
      <c r="OGX19" s="30"/>
      <c r="OGY19" s="30"/>
      <c r="OGZ19" s="30"/>
      <c r="OHA19" s="30"/>
      <c r="OHB19" s="30"/>
      <c r="OHC19" s="30"/>
      <c r="OHD19" s="30"/>
      <c r="OHE19" s="30"/>
      <c r="OHF19" s="30"/>
      <c r="OHG19" s="30"/>
      <c r="OHH19" s="30"/>
      <c r="OHI19" s="30"/>
      <c r="OHJ19" s="30"/>
      <c r="OHK19" s="30"/>
      <c r="OHL19" s="30"/>
      <c r="OHM19" s="30"/>
      <c r="OHN19" s="30"/>
      <c r="OHO19" s="30"/>
      <c r="OHP19" s="30"/>
      <c r="OHQ19" s="30"/>
      <c r="OHR19" s="30"/>
      <c r="OHS19" s="30"/>
      <c r="OHT19" s="30"/>
      <c r="OHU19" s="30"/>
      <c r="OHV19" s="30"/>
      <c r="OHW19" s="30"/>
      <c r="OHX19" s="30"/>
      <c r="OHY19" s="30"/>
      <c r="OHZ19" s="30"/>
      <c r="OIA19" s="30"/>
      <c r="OIB19" s="30"/>
      <c r="OIC19" s="30"/>
      <c r="OID19" s="30"/>
      <c r="OIE19" s="30"/>
      <c r="OIF19" s="30"/>
      <c r="OIG19" s="30"/>
      <c r="OIH19" s="30"/>
      <c r="OII19" s="30"/>
      <c r="OIJ19" s="30"/>
      <c r="OIK19" s="30"/>
      <c r="OIL19" s="30"/>
      <c r="OIM19" s="30"/>
      <c r="OIN19" s="30"/>
      <c r="OIO19" s="30"/>
      <c r="OIP19" s="30"/>
      <c r="OIQ19" s="30"/>
      <c r="OIR19" s="30"/>
      <c r="OIS19" s="30"/>
      <c r="OIT19" s="30"/>
      <c r="OIU19" s="30"/>
      <c r="OIV19" s="30"/>
      <c r="OIW19" s="30"/>
      <c r="OIX19" s="30"/>
      <c r="OIY19" s="30"/>
      <c r="OIZ19" s="30"/>
      <c r="OJA19" s="30"/>
      <c r="OJB19" s="30"/>
      <c r="OJC19" s="30"/>
      <c r="OJD19" s="30"/>
      <c r="OJE19" s="30"/>
      <c r="OJF19" s="30"/>
      <c r="OJG19" s="30"/>
      <c r="OJH19" s="30"/>
      <c r="OJI19" s="30"/>
      <c r="OJJ19" s="30"/>
      <c r="OJK19" s="30"/>
      <c r="OJL19" s="30"/>
      <c r="OJM19" s="30"/>
      <c r="OJN19" s="30"/>
      <c r="OJO19" s="30"/>
      <c r="OJP19" s="30"/>
      <c r="OJQ19" s="30"/>
      <c r="OJR19" s="30"/>
      <c r="OJS19" s="30"/>
      <c r="OJT19" s="30"/>
      <c r="OJU19" s="30"/>
      <c r="OJV19" s="30"/>
      <c r="OJW19" s="30"/>
      <c r="OJX19" s="30"/>
      <c r="OJY19" s="30"/>
      <c r="OJZ19" s="30"/>
      <c r="OKA19" s="30"/>
      <c r="OKB19" s="30"/>
      <c r="OKC19" s="30"/>
      <c r="OKD19" s="30"/>
      <c r="OKE19" s="30"/>
      <c r="OKF19" s="30"/>
      <c r="OKG19" s="30"/>
      <c r="OKH19" s="30"/>
      <c r="OKI19" s="30"/>
      <c r="OKJ19" s="30"/>
      <c r="OKK19" s="30"/>
      <c r="OKL19" s="30"/>
      <c r="OKM19" s="30"/>
      <c r="OKN19" s="30"/>
      <c r="OKO19" s="30"/>
      <c r="OKP19" s="30"/>
      <c r="OKQ19" s="30"/>
      <c r="OKR19" s="30"/>
      <c r="OKS19" s="30"/>
      <c r="OKT19" s="30"/>
      <c r="OKU19" s="30"/>
      <c r="OKV19" s="30"/>
      <c r="OKW19" s="30"/>
      <c r="OKX19" s="30"/>
      <c r="OKY19" s="30"/>
      <c r="OKZ19" s="30"/>
      <c r="OLA19" s="30"/>
      <c r="OLB19" s="30"/>
      <c r="OLC19" s="30"/>
      <c r="OLD19" s="30"/>
      <c r="OLE19" s="30"/>
      <c r="OLF19" s="30"/>
      <c r="OLG19" s="30"/>
      <c r="OLH19" s="30"/>
      <c r="OLI19" s="30"/>
      <c r="OLJ19" s="30"/>
      <c r="OLK19" s="30"/>
      <c r="OLL19" s="30"/>
      <c r="OLM19" s="30"/>
      <c r="OLN19" s="30"/>
      <c r="OLO19" s="30"/>
      <c r="OLP19" s="30"/>
      <c r="OLQ19" s="30"/>
      <c r="OLR19" s="30"/>
      <c r="OLS19" s="30"/>
      <c r="OLT19" s="30"/>
      <c r="OLU19" s="30"/>
      <c r="OLV19" s="30"/>
      <c r="OLW19" s="30"/>
      <c r="OLX19" s="30"/>
      <c r="OLY19" s="30"/>
      <c r="OLZ19" s="30"/>
      <c r="OMA19" s="30"/>
      <c r="OMB19" s="30"/>
      <c r="OMC19" s="30"/>
      <c r="OMD19" s="30"/>
      <c r="OME19" s="30"/>
      <c r="OMF19" s="30"/>
      <c r="OMG19" s="30"/>
      <c r="OMH19" s="30"/>
      <c r="OMI19" s="30"/>
      <c r="OMJ19" s="30"/>
      <c r="OMK19" s="30"/>
      <c r="OML19" s="30"/>
      <c r="OMM19" s="30"/>
      <c r="OMN19" s="30"/>
      <c r="OMO19" s="30"/>
      <c r="OMP19" s="30"/>
      <c r="OMQ19" s="30"/>
      <c r="OMR19" s="30"/>
      <c r="OMS19" s="30"/>
      <c r="OMT19" s="30"/>
      <c r="OMU19" s="30"/>
      <c r="OMV19" s="30"/>
      <c r="OMW19" s="30"/>
      <c r="OMX19" s="30"/>
      <c r="OMY19" s="30"/>
      <c r="OMZ19" s="30"/>
      <c r="ONA19" s="30"/>
      <c r="ONB19" s="30"/>
      <c r="ONC19" s="30"/>
      <c r="OND19" s="30"/>
      <c r="ONE19" s="30"/>
      <c r="ONF19" s="30"/>
      <c r="ONG19" s="30"/>
      <c r="ONH19" s="30"/>
      <c r="ONI19" s="30"/>
      <c r="ONJ19" s="30"/>
      <c r="ONK19" s="30"/>
      <c r="ONL19" s="30"/>
      <c r="ONM19" s="30"/>
      <c r="ONN19" s="30"/>
      <c r="ONO19" s="30"/>
      <c r="ONP19" s="30"/>
      <c r="ONQ19" s="30"/>
      <c r="ONR19" s="30"/>
      <c r="ONS19" s="30"/>
      <c r="ONT19" s="30"/>
      <c r="ONU19" s="30"/>
      <c r="ONV19" s="30"/>
      <c r="ONW19" s="30"/>
      <c r="ONX19" s="30"/>
      <c r="ONY19" s="30"/>
      <c r="ONZ19" s="30"/>
      <c r="OOA19" s="30"/>
      <c r="OOB19" s="30"/>
      <c r="OOC19" s="30"/>
      <c r="OOD19" s="30"/>
      <c r="OOE19" s="30"/>
      <c r="OOF19" s="30"/>
      <c r="OOG19" s="30"/>
      <c r="OOH19" s="30"/>
      <c r="OOI19" s="30"/>
      <c r="OOJ19" s="30"/>
      <c r="OOK19" s="30"/>
      <c r="OOL19" s="30"/>
      <c r="OOM19" s="30"/>
      <c r="OON19" s="30"/>
      <c r="OOO19" s="30"/>
      <c r="OOP19" s="30"/>
      <c r="OOQ19" s="30"/>
      <c r="OOR19" s="30"/>
      <c r="OOS19" s="30"/>
      <c r="OOT19" s="30"/>
      <c r="OOU19" s="30"/>
      <c r="OOV19" s="30"/>
      <c r="OOW19" s="30"/>
      <c r="OOX19" s="30"/>
      <c r="OOY19" s="30"/>
      <c r="OOZ19" s="30"/>
      <c r="OPA19" s="30"/>
      <c r="OPB19" s="30"/>
      <c r="OPC19" s="30"/>
      <c r="OPD19" s="30"/>
      <c r="OPE19" s="30"/>
      <c r="OPF19" s="30"/>
      <c r="OPG19" s="30"/>
      <c r="OPH19" s="30"/>
      <c r="OPI19" s="30"/>
      <c r="OPJ19" s="30"/>
      <c r="OPK19" s="30"/>
      <c r="OPL19" s="30"/>
      <c r="OPM19" s="30"/>
      <c r="OPN19" s="30"/>
      <c r="OPO19" s="30"/>
      <c r="OPP19" s="30"/>
      <c r="OPQ19" s="30"/>
      <c r="OPR19" s="30"/>
      <c r="OPS19" s="30"/>
      <c r="OPT19" s="30"/>
      <c r="OPU19" s="30"/>
      <c r="OPV19" s="30"/>
      <c r="OPW19" s="30"/>
      <c r="OPX19" s="30"/>
      <c r="OPY19" s="30"/>
      <c r="OPZ19" s="30"/>
      <c r="OQA19" s="30"/>
      <c r="OQB19" s="30"/>
      <c r="OQC19" s="30"/>
      <c r="OQD19" s="30"/>
      <c r="OQE19" s="30"/>
      <c r="OQF19" s="30"/>
      <c r="OQG19" s="30"/>
      <c r="OQH19" s="30"/>
      <c r="OQI19" s="30"/>
      <c r="OQJ19" s="30"/>
      <c r="OQK19" s="30"/>
      <c r="OQL19" s="30"/>
      <c r="OQM19" s="30"/>
      <c r="OQN19" s="30"/>
      <c r="OQO19" s="30"/>
      <c r="OQP19" s="30"/>
      <c r="OQQ19" s="30"/>
      <c r="OQR19" s="30"/>
      <c r="OQS19" s="30"/>
      <c r="OQT19" s="30"/>
      <c r="OQU19" s="30"/>
      <c r="OQV19" s="30"/>
      <c r="OQW19" s="30"/>
      <c r="OQX19" s="30"/>
      <c r="OQY19" s="30"/>
      <c r="OQZ19" s="30"/>
      <c r="ORA19" s="30"/>
      <c r="ORB19" s="30"/>
      <c r="ORC19" s="30"/>
      <c r="ORD19" s="30"/>
      <c r="ORE19" s="30"/>
      <c r="ORF19" s="30"/>
      <c r="ORG19" s="30"/>
      <c r="ORH19" s="30"/>
      <c r="ORI19" s="30"/>
      <c r="ORJ19" s="30"/>
      <c r="ORK19" s="30"/>
      <c r="ORL19" s="30"/>
      <c r="ORM19" s="30"/>
      <c r="ORN19" s="30"/>
      <c r="ORO19" s="30"/>
      <c r="ORP19" s="30"/>
      <c r="ORQ19" s="30"/>
      <c r="ORR19" s="30"/>
      <c r="ORS19" s="30"/>
      <c r="ORT19" s="30"/>
      <c r="ORU19" s="30"/>
      <c r="ORV19" s="30"/>
      <c r="ORW19" s="30"/>
      <c r="ORX19" s="30"/>
      <c r="ORY19" s="30"/>
      <c r="ORZ19" s="30"/>
      <c r="OSA19" s="30"/>
      <c r="OSB19" s="30"/>
      <c r="OSC19" s="30"/>
      <c r="OSD19" s="30"/>
      <c r="OSE19" s="30"/>
      <c r="OSF19" s="30"/>
      <c r="OSG19" s="30"/>
      <c r="OSH19" s="30"/>
      <c r="OSI19" s="30"/>
      <c r="OSJ19" s="30"/>
      <c r="OSK19" s="30"/>
      <c r="OSL19" s="30"/>
      <c r="OSM19" s="30"/>
      <c r="OSN19" s="30"/>
      <c r="OSO19" s="30"/>
      <c r="OSP19" s="30"/>
      <c r="OSQ19" s="30"/>
      <c r="OSR19" s="30"/>
      <c r="OSS19" s="30"/>
      <c r="OST19" s="30"/>
      <c r="OSU19" s="30"/>
      <c r="OSV19" s="30"/>
      <c r="OSW19" s="30"/>
      <c r="OSX19" s="30"/>
      <c r="OSY19" s="30"/>
      <c r="OSZ19" s="30"/>
      <c r="OTA19" s="30"/>
      <c r="OTB19" s="30"/>
      <c r="OTC19" s="30"/>
      <c r="OTD19" s="30"/>
      <c r="OTE19" s="30"/>
      <c r="OTF19" s="30"/>
      <c r="OTG19" s="30"/>
      <c r="OTH19" s="30"/>
      <c r="OTI19" s="30"/>
      <c r="OTJ19" s="30"/>
      <c r="OTK19" s="30"/>
      <c r="OTL19" s="30"/>
      <c r="OTM19" s="30"/>
      <c r="OTN19" s="30"/>
      <c r="OTO19" s="30"/>
      <c r="OTP19" s="30"/>
      <c r="OTQ19" s="30"/>
      <c r="OTR19" s="30"/>
      <c r="OTS19" s="30"/>
      <c r="OTT19" s="30"/>
      <c r="OTU19" s="30"/>
      <c r="OTV19" s="30"/>
      <c r="OTW19" s="30"/>
      <c r="OTX19" s="30"/>
      <c r="OTY19" s="30"/>
      <c r="OTZ19" s="30"/>
      <c r="OUA19" s="30"/>
      <c r="OUB19" s="30"/>
      <c r="OUC19" s="30"/>
      <c r="OUD19" s="30"/>
      <c r="OUE19" s="30"/>
      <c r="OUF19" s="30"/>
      <c r="OUG19" s="30"/>
      <c r="OUH19" s="30"/>
      <c r="OUI19" s="30"/>
      <c r="OUJ19" s="30"/>
      <c r="OUK19" s="30"/>
      <c r="OUL19" s="30"/>
      <c r="OUM19" s="30"/>
      <c r="OUN19" s="30"/>
      <c r="OUO19" s="30"/>
      <c r="OUP19" s="30"/>
      <c r="OUQ19" s="30"/>
      <c r="OUR19" s="30"/>
      <c r="OUS19" s="30"/>
      <c r="OUT19" s="30"/>
      <c r="OUU19" s="30"/>
      <c r="OUV19" s="30"/>
      <c r="OUW19" s="30"/>
      <c r="OUX19" s="30"/>
      <c r="OUY19" s="30"/>
      <c r="OUZ19" s="30"/>
      <c r="OVA19" s="30"/>
      <c r="OVB19" s="30"/>
      <c r="OVC19" s="30"/>
      <c r="OVD19" s="30"/>
      <c r="OVE19" s="30"/>
      <c r="OVF19" s="30"/>
      <c r="OVG19" s="30"/>
      <c r="OVH19" s="30"/>
      <c r="OVI19" s="30"/>
      <c r="OVJ19" s="30"/>
      <c r="OVK19" s="30"/>
      <c r="OVL19" s="30"/>
      <c r="OVM19" s="30"/>
      <c r="OVN19" s="30"/>
      <c r="OVO19" s="30"/>
      <c r="OVP19" s="30"/>
      <c r="OVQ19" s="30"/>
      <c r="OVR19" s="30"/>
      <c r="OVS19" s="30"/>
      <c r="OVT19" s="30"/>
      <c r="OVU19" s="30"/>
      <c r="OVV19" s="30"/>
      <c r="OVW19" s="30"/>
      <c r="OVX19" s="30"/>
      <c r="OVY19" s="30"/>
      <c r="OVZ19" s="30"/>
      <c r="OWA19" s="30"/>
      <c r="OWB19" s="30"/>
      <c r="OWC19" s="30"/>
      <c r="OWD19" s="30"/>
      <c r="OWE19" s="30"/>
      <c r="OWF19" s="30"/>
      <c r="OWG19" s="30"/>
      <c r="OWH19" s="30"/>
      <c r="OWI19" s="30"/>
      <c r="OWJ19" s="30"/>
      <c r="OWK19" s="30"/>
      <c r="OWL19" s="30"/>
      <c r="OWM19" s="30"/>
      <c r="OWN19" s="30"/>
      <c r="OWO19" s="30"/>
      <c r="OWP19" s="30"/>
      <c r="OWQ19" s="30"/>
      <c r="OWR19" s="30"/>
      <c r="OWS19" s="30"/>
      <c r="OWT19" s="30"/>
      <c r="OWU19" s="30"/>
      <c r="OWV19" s="30"/>
      <c r="OWW19" s="30"/>
      <c r="OWX19" s="30"/>
      <c r="OWY19" s="30"/>
      <c r="OWZ19" s="30"/>
      <c r="OXA19" s="30"/>
      <c r="OXB19" s="30"/>
      <c r="OXC19" s="30"/>
      <c r="OXD19" s="30"/>
      <c r="OXE19" s="30"/>
      <c r="OXF19" s="30"/>
      <c r="OXG19" s="30"/>
      <c r="OXH19" s="30"/>
      <c r="OXI19" s="30"/>
      <c r="OXJ19" s="30"/>
      <c r="OXK19" s="30"/>
      <c r="OXL19" s="30"/>
      <c r="OXM19" s="30"/>
      <c r="OXN19" s="30"/>
      <c r="OXO19" s="30"/>
      <c r="OXP19" s="30"/>
      <c r="OXQ19" s="30"/>
      <c r="OXR19" s="30"/>
      <c r="OXS19" s="30"/>
      <c r="OXT19" s="30"/>
      <c r="OXU19" s="30"/>
      <c r="OXV19" s="30"/>
      <c r="OXW19" s="30"/>
      <c r="OXX19" s="30"/>
      <c r="OXY19" s="30"/>
      <c r="OXZ19" s="30"/>
      <c r="OYA19" s="30"/>
      <c r="OYB19" s="30"/>
      <c r="OYC19" s="30"/>
      <c r="OYD19" s="30"/>
      <c r="OYE19" s="30"/>
      <c r="OYF19" s="30"/>
      <c r="OYG19" s="30"/>
      <c r="OYH19" s="30"/>
      <c r="OYI19" s="30"/>
      <c r="OYJ19" s="30"/>
      <c r="OYK19" s="30"/>
      <c r="OYL19" s="30"/>
      <c r="OYM19" s="30"/>
      <c r="OYN19" s="30"/>
      <c r="OYO19" s="30"/>
      <c r="OYP19" s="30"/>
      <c r="OYQ19" s="30"/>
      <c r="OYR19" s="30"/>
      <c r="OYS19" s="30"/>
      <c r="OYT19" s="30"/>
      <c r="OYU19" s="30"/>
      <c r="OYV19" s="30"/>
      <c r="OYW19" s="30"/>
      <c r="OYX19" s="30"/>
      <c r="OYY19" s="30"/>
      <c r="OYZ19" s="30"/>
      <c r="OZA19" s="30"/>
      <c r="OZB19" s="30"/>
      <c r="OZC19" s="30"/>
      <c r="OZD19" s="30"/>
      <c r="OZE19" s="30"/>
      <c r="OZF19" s="30"/>
      <c r="OZG19" s="30"/>
      <c r="OZH19" s="30"/>
      <c r="OZI19" s="30"/>
      <c r="OZJ19" s="30"/>
      <c r="OZK19" s="30"/>
      <c r="OZL19" s="30"/>
      <c r="OZM19" s="30"/>
      <c r="OZN19" s="30"/>
      <c r="OZO19" s="30"/>
      <c r="OZP19" s="30"/>
      <c r="OZQ19" s="30"/>
      <c r="OZR19" s="30"/>
      <c r="OZS19" s="30"/>
      <c r="OZT19" s="30"/>
      <c r="OZU19" s="30"/>
      <c r="OZV19" s="30"/>
      <c r="OZW19" s="30"/>
      <c r="OZX19" s="30"/>
      <c r="OZY19" s="30"/>
      <c r="OZZ19" s="30"/>
      <c r="PAA19" s="30"/>
      <c r="PAB19" s="30"/>
      <c r="PAC19" s="30"/>
      <c r="PAD19" s="30"/>
      <c r="PAE19" s="30"/>
      <c r="PAF19" s="30"/>
      <c r="PAG19" s="30"/>
      <c r="PAH19" s="30"/>
      <c r="PAI19" s="30"/>
      <c r="PAJ19" s="30"/>
      <c r="PAK19" s="30"/>
      <c r="PAL19" s="30"/>
      <c r="PAM19" s="30"/>
      <c r="PAN19" s="30"/>
      <c r="PAO19" s="30"/>
      <c r="PAP19" s="30"/>
      <c r="PAQ19" s="30"/>
      <c r="PAR19" s="30"/>
      <c r="PAS19" s="30"/>
      <c r="PAT19" s="30"/>
      <c r="PAU19" s="30"/>
      <c r="PAV19" s="30"/>
      <c r="PAW19" s="30"/>
      <c r="PAX19" s="30"/>
      <c r="PAY19" s="30"/>
      <c r="PAZ19" s="30"/>
      <c r="PBA19" s="30"/>
      <c r="PBB19" s="30"/>
      <c r="PBC19" s="30"/>
      <c r="PBD19" s="30"/>
      <c r="PBE19" s="30"/>
      <c r="PBF19" s="30"/>
      <c r="PBG19" s="30"/>
      <c r="PBH19" s="30"/>
      <c r="PBI19" s="30"/>
      <c r="PBJ19" s="30"/>
      <c r="PBK19" s="30"/>
      <c r="PBL19" s="30"/>
      <c r="PBM19" s="30"/>
      <c r="PBN19" s="30"/>
      <c r="PBO19" s="30"/>
      <c r="PBP19" s="30"/>
      <c r="PBQ19" s="30"/>
      <c r="PBR19" s="30"/>
      <c r="PBS19" s="30"/>
      <c r="PBT19" s="30"/>
      <c r="PBU19" s="30"/>
      <c r="PBV19" s="30"/>
      <c r="PBW19" s="30"/>
      <c r="PBX19" s="30"/>
      <c r="PBY19" s="30"/>
      <c r="PBZ19" s="30"/>
      <c r="PCA19" s="30"/>
      <c r="PCB19" s="30"/>
      <c r="PCC19" s="30"/>
      <c r="PCD19" s="30"/>
      <c r="PCE19" s="30"/>
      <c r="PCF19" s="30"/>
      <c r="PCG19" s="30"/>
      <c r="PCH19" s="30"/>
      <c r="PCI19" s="30"/>
      <c r="PCJ19" s="30"/>
      <c r="PCK19" s="30"/>
      <c r="PCL19" s="30"/>
      <c r="PCM19" s="30"/>
      <c r="PCN19" s="30"/>
      <c r="PCO19" s="30"/>
      <c r="PCP19" s="30"/>
      <c r="PCQ19" s="30"/>
      <c r="PCR19" s="30"/>
      <c r="PCS19" s="30"/>
      <c r="PCT19" s="30"/>
      <c r="PCU19" s="30"/>
      <c r="PCV19" s="30"/>
      <c r="PCW19" s="30"/>
      <c r="PCX19" s="30"/>
      <c r="PCY19" s="30"/>
      <c r="PCZ19" s="30"/>
      <c r="PDA19" s="30"/>
      <c r="PDB19" s="30"/>
      <c r="PDC19" s="30"/>
      <c r="PDD19" s="30"/>
      <c r="PDE19" s="30"/>
      <c r="PDF19" s="30"/>
      <c r="PDG19" s="30"/>
      <c r="PDH19" s="30"/>
      <c r="PDI19" s="30"/>
      <c r="PDJ19" s="30"/>
      <c r="PDK19" s="30"/>
      <c r="PDL19" s="30"/>
      <c r="PDM19" s="30"/>
      <c r="PDN19" s="30"/>
      <c r="PDO19" s="30"/>
      <c r="PDP19" s="30"/>
      <c r="PDQ19" s="30"/>
      <c r="PDR19" s="30"/>
      <c r="PDS19" s="30"/>
      <c r="PDT19" s="30"/>
      <c r="PDU19" s="30"/>
      <c r="PDV19" s="30"/>
      <c r="PDW19" s="30"/>
      <c r="PDX19" s="30"/>
      <c r="PDY19" s="30"/>
      <c r="PDZ19" s="30"/>
      <c r="PEA19" s="30"/>
      <c r="PEB19" s="30"/>
      <c r="PEC19" s="30"/>
      <c r="PED19" s="30"/>
      <c r="PEE19" s="30"/>
      <c r="PEF19" s="30"/>
      <c r="PEG19" s="30"/>
      <c r="PEH19" s="30"/>
      <c r="PEI19" s="30"/>
      <c r="PEJ19" s="30"/>
      <c r="PEK19" s="30"/>
      <c r="PEL19" s="30"/>
      <c r="PEM19" s="30"/>
      <c r="PEN19" s="30"/>
      <c r="PEO19" s="30"/>
      <c r="PEP19" s="30"/>
      <c r="PEQ19" s="30"/>
      <c r="PER19" s="30"/>
      <c r="PES19" s="30"/>
      <c r="PET19" s="30"/>
      <c r="PEU19" s="30"/>
      <c r="PEV19" s="30"/>
      <c r="PEW19" s="30"/>
      <c r="PEX19" s="30"/>
      <c r="PEY19" s="30"/>
      <c r="PEZ19" s="30"/>
      <c r="PFA19" s="30"/>
      <c r="PFB19" s="30"/>
      <c r="PFC19" s="30"/>
      <c r="PFD19" s="30"/>
      <c r="PFE19" s="30"/>
      <c r="PFF19" s="30"/>
      <c r="PFG19" s="30"/>
      <c r="PFH19" s="30"/>
      <c r="PFI19" s="30"/>
      <c r="PFJ19" s="30"/>
      <c r="PFK19" s="30"/>
      <c r="PFL19" s="30"/>
      <c r="PFM19" s="30"/>
      <c r="PFN19" s="30"/>
      <c r="PFO19" s="30"/>
      <c r="PFP19" s="30"/>
      <c r="PFQ19" s="30"/>
      <c r="PFR19" s="30"/>
      <c r="PFS19" s="30"/>
      <c r="PFT19" s="30"/>
      <c r="PFU19" s="30"/>
      <c r="PFV19" s="30"/>
      <c r="PFW19" s="30"/>
      <c r="PFX19" s="30"/>
      <c r="PFY19" s="30"/>
      <c r="PFZ19" s="30"/>
      <c r="PGA19" s="30"/>
      <c r="PGB19" s="30"/>
      <c r="PGC19" s="30"/>
      <c r="PGD19" s="30"/>
      <c r="PGE19" s="30"/>
      <c r="PGF19" s="30"/>
      <c r="PGG19" s="30"/>
      <c r="PGH19" s="30"/>
      <c r="PGI19" s="30"/>
      <c r="PGJ19" s="30"/>
      <c r="PGK19" s="30"/>
      <c r="PGL19" s="30"/>
      <c r="PGM19" s="30"/>
      <c r="PGN19" s="30"/>
      <c r="PGO19" s="30"/>
      <c r="PGP19" s="30"/>
      <c r="PGQ19" s="30"/>
      <c r="PGR19" s="30"/>
      <c r="PGS19" s="30"/>
      <c r="PGT19" s="30"/>
      <c r="PGU19" s="30"/>
      <c r="PGV19" s="30"/>
      <c r="PGW19" s="30"/>
      <c r="PGX19" s="30"/>
      <c r="PGY19" s="30"/>
      <c r="PGZ19" s="30"/>
      <c r="PHA19" s="30"/>
      <c r="PHB19" s="30"/>
      <c r="PHC19" s="30"/>
      <c r="PHD19" s="30"/>
      <c r="PHE19" s="30"/>
      <c r="PHF19" s="30"/>
      <c r="PHG19" s="30"/>
      <c r="PHH19" s="30"/>
      <c r="PHI19" s="30"/>
      <c r="PHJ19" s="30"/>
      <c r="PHK19" s="30"/>
      <c r="PHL19" s="30"/>
      <c r="PHM19" s="30"/>
      <c r="PHN19" s="30"/>
      <c r="PHO19" s="30"/>
      <c r="PHP19" s="30"/>
      <c r="PHQ19" s="30"/>
      <c r="PHR19" s="30"/>
      <c r="PHS19" s="30"/>
      <c r="PHT19" s="30"/>
      <c r="PHU19" s="30"/>
      <c r="PHV19" s="30"/>
      <c r="PHW19" s="30"/>
      <c r="PHX19" s="30"/>
      <c r="PHY19" s="30"/>
      <c r="PHZ19" s="30"/>
      <c r="PIA19" s="30"/>
      <c r="PIB19" s="30"/>
      <c r="PIC19" s="30"/>
      <c r="PID19" s="30"/>
      <c r="PIE19" s="30"/>
      <c r="PIF19" s="30"/>
      <c r="PIG19" s="30"/>
      <c r="PIH19" s="30"/>
      <c r="PII19" s="30"/>
      <c r="PIJ19" s="30"/>
      <c r="PIK19" s="30"/>
      <c r="PIL19" s="30"/>
      <c r="PIM19" s="30"/>
      <c r="PIN19" s="30"/>
      <c r="PIO19" s="30"/>
      <c r="PIP19" s="30"/>
      <c r="PIQ19" s="30"/>
      <c r="PIR19" s="30"/>
      <c r="PIS19" s="30"/>
      <c r="PIT19" s="30"/>
      <c r="PIU19" s="30"/>
      <c r="PIV19" s="30"/>
      <c r="PIW19" s="30"/>
      <c r="PIX19" s="30"/>
      <c r="PIY19" s="30"/>
      <c r="PIZ19" s="30"/>
      <c r="PJA19" s="30"/>
      <c r="PJB19" s="30"/>
      <c r="PJC19" s="30"/>
      <c r="PJD19" s="30"/>
      <c r="PJE19" s="30"/>
      <c r="PJF19" s="30"/>
      <c r="PJG19" s="30"/>
      <c r="PJH19" s="30"/>
      <c r="PJI19" s="30"/>
      <c r="PJJ19" s="30"/>
      <c r="PJK19" s="30"/>
      <c r="PJL19" s="30"/>
      <c r="PJM19" s="30"/>
      <c r="PJN19" s="30"/>
      <c r="PJO19" s="30"/>
      <c r="PJP19" s="30"/>
      <c r="PJQ19" s="30"/>
      <c r="PJR19" s="30"/>
      <c r="PJS19" s="30"/>
      <c r="PJT19" s="30"/>
      <c r="PJU19" s="30"/>
      <c r="PJV19" s="30"/>
      <c r="PJW19" s="30"/>
      <c r="PJX19" s="30"/>
      <c r="PJY19" s="30"/>
      <c r="PJZ19" s="30"/>
      <c r="PKA19" s="30"/>
      <c r="PKB19" s="30"/>
      <c r="PKC19" s="30"/>
      <c r="PKD19" s="30"/>
      <c r="PKE19" s="30"/>
      <c r="PKF19" s="30"/>
      <c r="PKG19" s="30"/>
      <c r="PKH19" s="30"/>
      <c r="PKI19" s="30"/>
      <c r="PKJ19" s="30"/>
      <c r="PKK19" s="30"/>
      <c r="PKL19" s="30"/>
      <c r="PKM19" s="30"/>
      <c r="PKN19" s="30"/>
      <c r="PKO19" s="30"/>
      <c r="PKP19" s="30"/>
      <c r="PKQ19" s="30"/>
      <c r="PKR19" s="30"/>
      <c r="PKS19" s="30"/>
      <c r="PKT19" s="30"/>
      <c r="PKU19" s="30"/>
      <c r="PKV19" s="30"/>
      <c r="PKW19" s="30"/>
      <c r="PKX19" s="30"/>
      <c r="PKY19" s="30"/>
      <c r="PKZ19" s="30"/>
      <c r="PLA19" s="30"/>
      <c r="PLB19" s="30"/>
      <c r="PLC19" s="30"/>
      <c r="PLD19" s="30"/>
      <c r="PLE19" s="30"/>
      <c r="PLF19" s="30"/>
      <c r="PLG19" s="30"/>
      <c r="PLH19" s="30"/>
      <c r="PLI19" s="30"/>
      <c r="PLJ19" s="30"/>
      <c r="PLK19" s="30"/>
      <c r="PLL19" s="30"/>
      <c r="PLM19" s="30"/>
      <c r="PLN19" s="30"/>
      <c r="PLO19" s="30"/>
      <c r="PLP19" s="30"/>
      <c r="PLQ19" s="30"/>
      <c r="PLR19" s="30"/>
      <c r="PLS19" s="30"/>
      <c r="PLT19" s="30"/>
      <c r="PLU19" s="30"/>
      <c r="PLV19" s="30"/>
      <c r="PLW19" s="30"/>
      <c r="PLX19" s="30"/>
      <c r="PLY19" s="30"/>
      <c r="PLZ19" s="30"/>
      <c r="PMA19" s="30"/>
      <c r="PMB19" s="30"/>
      <c r="PMC19" s="30"/>
      <c r="PMD19" s="30"/>
      <c r="PME19" s="30"/>
      <c r="PMF19" s="30"/>
      <c r="PMG19" s="30"/>
      <c r="PMH19" s="30"/>
      <c r="PMI19" s="30"/>
      <c r="PMJ19" s="30"/>
      <c r="PMK19" s="30"/>
      <c r="PML19" s="30"/>
      <c r="PMM19" s="30"/>
      <c r="PMN19" s="30"/>
      <c r="PMO19" s="30"/>
      <c r="PMP19" s="30"/>
      <c r="PMQ19" s="30"/>
      <c r="PMR19" s="30"/>
      <c r="PMS19" s="30"/>
      <c r="PMT19" s="30"/>
      <c r="PMU19" s="30"/>
      <c r="PMV19" s="30"/>
      <c r="PMW19" s="30"/>
      <c r="PMX19" s="30"/>
      <c r="PMY19" s="30"/>
      <c r="PMZ19" s="30"/>
      <c r="PNA19" s="30"/>
      <c r="PNB19" s="30"/>
      <c r="PNC19" s="30"/>
      <c r="PND19" s="30"/>
      <c r="PNE19" s="30"/>
      <c r="PNF19" s="30"/>
      <c r="PNG19" s="30"/>
      <c r="PNH19" s="30"/>
      <c r="PNI19" s="30"/>
      <c r="PNJ19" s="30"/>
      <c r="PNK19" s="30"/>
      <c r="PNL19" s="30"/>
      <c r="PNM19" s="30"/>
      <c r="PNN19" s="30"/>
      <c r="PNO19" s="30"/>
      <c r="PNP19" s="30"/>
      <c r="PNQ19" s="30"/>
      <c r="PNR19" s="30"/>
      <c r="PNS19" s="30"/>
      <c r="PNT19" s="30"/>
      <c r="PNU19" s="30"/>
      <c r="PNV19" s="30"/>
      <c r="PNW19" s="30"/>
      <c r="PNX19" s="30"/>
      <c r="PNY19" s="30"/>
      <c r="PNZ19" s="30"/>
      <c r="POA19" s="30"/>
      <c r="POB19" s="30"/>
      <c r="POC19" s="30"/>
      <c r="POD19" s="30"/>
      <c r="POE19" s="30"/>
      <c r="POF19" s="30"/>
      <c r="POG19" s="30"/>
      <c r="POH19" s="30"/>
      <c r="POI19" s="30"/>
      <c r="POJ19" s="30"/>
      <c r="POK19" s="30"/>
      <c r="POL19" s="30"/>
      <c r="POM19" s="30"/>
      <c r="PON19" s="30"/>
      <c r="POO19" s="30"/>
      <c r="POP19" s="30"/>
      <c r="POQ19" s="30"/>
      <c r="POR19" s="30"/>
      <c r="POS19" s="30"/>
      <c r="POT19" s="30"/>
      <c r="POU19" s="30"/>
      <c r="POV19" s="30"/>
      <c r="POW19" s="30"/>
      <c r="POX19" s="30"/>
      <c r="POY19" s="30"/>
      <c r="POZ19" s="30"/>
      <c r="PPA19" s="30"/>
      <c r="PPB19" s="30"/>
      <c r="PPC19" s="30"/>
      <c r="PPD19" s="30"/>
      <c r="PPE19" s="30"/>
      <c r="PPF19" s="30"/>
      <c r="PPG19" s="30"/>
      <c r="PPH19" s="30"/>
      <c r="PPI19" s="30"/>
      <c r="PPJ19" s="30"/>
      <c r="PPK19" s="30"/>
      <c r="PPL19" s="30"/>
      <c r="PPM19" s="30"/>
      <c r="PPN19" s="30"/>
      <c r="PPO19" s="30"/>
      <c r="PPP19" s="30"/>
      <c r="PPQ19" s="30"/>
      <c r="PPR19" s="30"/>
      <c r="PPS19" s="30"/>
      <c r="PPT19" s="30"/>
      <c r="PPU19" s="30"/>
      <c r="PPV19" s="30"/>
      <c r="PPW19" s="30"/>
      <c r="PPX19" s="30"/>
      <c r="PPY19" s="30"/>
      <c r="PPZ19" s="30"/>
      <c r="PQA19" s="30"/>
      <c r="PQB19" s="30"/>
      <c r="PQC19" s="30"/>
      <c r="PQD19" s="30"/>
      <c r="PQE19" s="30"/>
      <c r="PQF19" s="30"/>
      <c r="PQG19" s="30"/>
      <c r="PQH19" s="30"/>
      <c r="PQI19" s="30"/>
      <c r="PQJ19" s="30"/>
      <c r="PQK19" s="30"/>
      <c r="PQL19" s="30"/>
      <c r="PQM19" s="30"/>
      <c r="PQN19" s="30"/>
      <c r="PQO19" s="30"/>
      <c r="PQP19" s="30"/>
      <c r="PQQ19" s="30"/>
      <c r="PQR19" s="30"/>
      <c r="PQS19" s="30"/>
      <c r="PQT19" s="30"/>
      <c r="PQU19" s="30"/>
      <c r="PQV19" s="30"/>
      <c r="PQW19" s="30"/>
      <c r="PQX19" s="30"/>
      <c r="PQY19" s="30"/>
      <c r="PQZ19" s="30"/>
      <c r="PRA19" s="30"/>
      <c r="PRB19" s="30"/>
      <c r="PRC19" s="30"/>
      <c r="PRD19" s="30"/>
      <c r="PRE19" s="30"/>
      <c r="PRF19" s="30"/>
      <c r="PRG19" s="30"/>
      <c r="PRH19" s="30"/>
      <c r="PRI19" s="30"/>
      <c r="PRJ19" s="30"/>
      <c r="PRK19" s="30"/>
      <c r="PRL19" s="30"/>
      <c r="PRM19" s="30"/>
      <c r="PRN19" s="30"/>
      <c r="PRO19" s="30"/>
      <c r="PRP19" s="30"/>
      <c r="PRQ19" s="30"/>
      <c r="PRR19" s="30"/>
      <c r="PRS19" s="30"/>
      <c r="PRT19" s="30"/>
      <c r="PRU19" s="30"/>
      <c r="PRV19" s="30"/>
      <c r="PRW19" s="30"/>
      <c r="PRX19" s="30"/>
      <c r="PRY19" s="30"/>
      <c r="PRZ19" s="30"/>
      <c r="PSA19" s="30"/>
      <c r="PSB19" s="30"/>
      <c r="PSC19" s="30"/>
      <c r="PSD19" s="30"/>
      <c r="PSE19" s="30"/>
      <c r="PSF19" s="30"/>
      <c r="PSG19" s="30"/>
      <c r="PSH19" s="30"/>
      <c r="PSI19" s="30"/>
      <c r="PSJ19" s="30"/>
      <c r="PSK19" s="30"/>
      <c r="PSL19" s="30"/>
      <c r="PSM19" s="30"/>
      <c r="PSN19" s="30"/>
      <c r="PSO19" s="30"/>
      <c r="PSP19" s="30"/>
      <c r="PSQ19" s="30"/>
      <c r="PSR19" s="30"/>
      <c r="PSS19" s="30"/>
      <c r="PST19" s="30"/>
      <c r="PSU19" s="30"/>
      <c r="PSV19" s="30"/>
      <c r="PSW19" s="30"/>
      <c r="PSX19" s="30"/>
      <c r="PSY19" s="30"/>
      <c r="PSZ19" s="30"/>
      <c r="PTA19" s="30"/>
      <c r="PTB19" s="30"/>
      <c r="PTC19" s="30"/>
      <c r="PTD19" s="30"/>
      <c r="PTE19" s="30"/>
      <c r="PTF19" s="30"/>
      <c r="PTG19" s="30"/>
      <c r="PTH19" s="30"/>
      <c r="PTI19" s="30"/>
      <c r="PTJ19" s="30"/>
      <c r="PTK19" s="30"/>
      <c r="PTL19" s="30"/>
      <c r="PTM19" s="30"/>
      <c r="PTN19" s="30"/>
      <c r="PTO19" s="30"/>
      <c r="PTP19" s="30"/>
      <c r="PTQ19" s="30"/>
      <c r="PTR19" s="30"/>
      <c r="PTS19" s="30"/>
      <c r="PTT19" s="30"/>
      <c r="PTU19" s="30"/>
      <c r="PTV19" s="30"/>
      <c r="PTW19" s="30"/>
      <c r="PTX19" s="30"/>
      <c r="PTY19" s="30"/>
      <c r="PTZ19" s="30"/>
      <c r="PUA19" s="30"/>
      <c r="PUB19" s="30"/>
      <c r="PUC19" s="30"/>
      <c r="PUD19" s="30"/>
      <c r="PUE19" s="30"/>
      <c r="PUF19" s="30"/>
      <c r="PUG19" s="30"/>
      <c r="PUH19" s="30"/>
      <c r="PUI19" s="30"/>
      <c r="PUJ19" s="30"/>
      <c r="PUK19" s="30"/>
      <c r="PUL19" s="30"/>
      <c r="PUM19" s="30"/>
      <c r="PUN19" s="30"/>
      <c r="PUO19" s="30"/>
      <c r="PUP19" s="30"/>
      <c r="PUQ19" s="30"/>
      <c r="PUR19" s="30"/>
      <c r="PUS19" s="30"/>
      <c r="PUT19" s="30"/>
      <c r="PUU19" s="30"/>
      <c r="PUV19" s="30"/>
      <c r="PUW19" s="30"/>
      <c r="PUX19" s="30"/>
      <c r="PUY19" s="30"/>
      <c r="PUZ19" s="30"/>
      <c r="PVA19" s="30"/>
      <c r="PVB19" s="30"/>
      <c r="PVC19" s="30"/>
      <c r="PVD19" s="30"/>
      <c r="PVE19" s="30"/>
      <c r="PVF19" s="30"/>
      <c r="PVG19" s="30"/>
      <c r="PVH19" s="30"/>
      <c r="PVI19" s="30"/>
      <c r="PVJ19" s="30"/>
      <c r="PVK19" s="30"/>
      <c r="PVL19" s="30"/>
      <c r="PVM19" s="30"/>
      <c r="PVN19" s="30"/>
      <c r="PVO19" s="30"/>
      <c r="PVP19" s="30"/>
      <c r="PVQ19" s="30"/>
      <c r="PVR19" s="30"/>
      <c r="PVS19" s="30"/>
      <c r="PVT19" s="30"/>
      <c r="PVU19" s="30"/>
      <c r="PVV19" s="30"/>
      <c r="PVW19" s="30"/>
      <c r="PVX19" s="30"/>
      <c r="PVY19" s="30"/>
      <c r="PVZ19" s="30"/>
      <c r="PWA19" s="30"/>
      <c r="PWB19" s="30"/>
      <c r="PWC19" s="30"/>
      <c r="PWD19" s="30"/>
      <c r="PWE19" s="30"/>
      <c r="PWF19" s="30"/>
      <c r="PWG19" s="30"/>
      <c r="PWH19" s="30"/>
      <c r="PWI19" s="30"/>
      <c r="PWJ19" s="30"/>
      <c r="PWK19" s="30"/>
      <c r="PWL19" s="30"/>
      <c r="PWM19" s="30"/>
      <c r="PWN19" s="30"/>
      <c r="PWO19" s="30"/>
      <c r="PWP19" s="30"/>
      <c r="PWQ19" s="30"/>
      <c r="PWR19" s="30"/>
      <c r="PWS19" s="30"/>
      <c r="PWT19" s="30"/>
      <c r="PWU19" s="30"/>
      <c r="PWV19" s="30"/>
      <c r="PWW19" s="30"/>
      <c r="PWX19" s="30"/>
      <c r="PWY19" s="30"/>
      <c r="PWZ19" s="30"/>
      <c r="PXA19" s="30"/>
      <c r="PXB19" s="30"/>
      <c r="PXC19" s="30"/>
      <c r="PXD19" s="30"/>
      <c r="PXE19" s="30"/>
      <c r="PXF19" s="30"/>
      <c r="PXG19" s="30"/>
      <c r="PXH19" s="30"/>
      <c r="PXI19" s="30"/>
      <c r="PXJ19" s="30"/>
      <c r="PXK19" s="30"/>
      <c r="PXL19" s="30"/>
      <c r="PXM19" s="30"/>
      <c r="PXN19" s="30"/>
      <c r="PXO19" s="30"/>
      <c r="PXP19" s="30"/>
      <c r="PXQ19" s="30"/>
      <c r="PXR19" s="30"/>
      <c r="PXS19" s="30"/>
      <c r="PXT19" s="30"/>
      <c r="PXU19" s="30"/>
      <c r="PXV19" s="30"/>
      <c r="PXW19" s="30"/>
      <c r="PXX19" s="30"/>
      <c r="PXY19" s="30"/>
      <c r="PXZ19" s="30"/>
      <c r="PYA19" s="30"/>
      <c r="PYB19" s="30"/>
      <c r="PYC19" s="30"/>
      <c r="PYD19" s="30"/>
      <c r="PYE19" s="30"/>
      <c r="PYF19" s="30"/>
      <c r="PYG19" s="30"/>
      <c r="PYH19" s="30"/>
      <c r="PYI19" s="30"/>
      <c r="PYJ19" s="30"/>
      <c r="PYK19" s="30"/>
      <c r="PYL19" s="30"/>
      <c r="PYM19" s="30"/>
      <c r="PYN19" s="30"/>
      <c r="PYO19" s="30"/>
      <c r="PYP19" s="30"/>
      <c r="PYQ19" s="30"/>
      <c r="PYR19" s="30"/>
      <c r="PYS19" s="30"/>
      <c r="PYT19" s="30"/>
      <c r="PYU19" s="30"/>
      <c r="PYV19" s="30"/>
      <c r="PYW19" s="30"/>
      <c r="PYX19" s="30"/>
      <c r="PYY19" s="30"/>
      <c r="PYZ19" s="30"/>
      <c r="PZA19" s="30"/>
      <c r="PZB19" s="30"/>
      <c r="PZC19" s="30"/>
      <c r="PZD19" s="30"/>
      <c r="PZE19" s="30"/>
      <c r="PZF19" s="30"/>
      <c r="PZG19" s="30"/>
      <c r="PZH19" s="30"/>
      <c r="PZI19" s="30"/>
      <c r="PZJ19" s="30"/>
      <c r="PZK19" s="30"/>
      <c r="PZL19" s="30"/>
      <c r="PZM19" s="30"/>
      <c r="PZN19" s="30"/>
      <c r="PZO19" s="30"/>
      <c r="PZP19" s="30"/>
      <c r="PZQ19" s="30"/>
      <c r="PZR19" s="30"/>
      <c r="PZS19" s="30"/>
      <c r="PZT19" s="30"/>
      <c r="PZU19" s="30"/>
      <c r="PZV19" s="30"/>
      <c r="PZW19" s="30"/>
      <c r="PZX19" s="30"/>
      <c r="PZY19" s="30"/>
      <c r="PZZ19" s="30"/>
      <c r="QAA19" s="30"/>
      <c r="QAB19" s="30"/>
      <c r="QAC19" s="30"/>
      <c r="QAD19" s="30"/>
      <c r="QAE19" s="30"/>
      <c r="QAF19" s="30"/>
      <c r="QAG19" s="30"/>
      <c r="QAH19" s="30"/>
      <c r="QAI19" s="30"/>
      <c r="QAJ19" s="30"/>
      <c r="QAK19" s="30"/>
      <c r="QAL19" s="30"/>
      <c r="QAM19" s="30"/>
      <c r="QAN19" s="30"/>
      <c r="QAO19" s="30"/>
      <c r="QAP19" s="30"/>
      <c r="QAQ19" s="30"/>
      <c r="QAR19" s="30"/>
      <c r="QAS19" s="30"/>
      <c r="QAT19" s="30"/>
      <c r="QAU19" s="30"/>
      <c r="QAV19" s="30"/>
      <c r="QAW19" s="30"/>
      <c r="QAX19" s="30"/>
      <c r="QAY19" s="30"/>
      <c r="QAZ19" s="30"/>
      <c r="QBA19" s="30"/>
      <c r="QBB19" s="30"/>
      <c r="QBC19" s="30"/>
      <c r="QBD19" s="30"/>
      <c r="QBE19" s="30"/>
      <c r="QBF19" s="30"/>
      <c r="QBG19" s="30"/>
      <c r="QBH19" s="30"/>
      <c r="QBI19" s="30"/>
      <c r="QBJ19" s="30"/>
      <c r="QBK19" s="30"/>
      <c r="QBL19" s="30"/>
      <c r="QBM19" s="30"/>
      <c r="QBN19" s="30"/>
      <c r="QBO19" s="30"/>
      <c r="QBP19" s="30"/>
      <c r="QBQ19" s="30"/>
      <c r="QBR19" s="30"/>
      <c r="QBS19" s="30"/>
      <c r="QBT19" s="30"/>
      <c r="QBU19" s="30"/>
      <c r="QBV19" s="30"/>
      <c r="QBW19" s="30"/>
      <c r="QBX19" s="30"/>
      <c r="QBY19" s="30"/>
      <c r="QBZ19" s="30"/>
      <c r="QCA19" s="30"/>
      <c r="QCB19" s="30"/>
      <c r="QCC19" s="30"/>
      <c r="QCD19" s="30"/>
      <c r="QCE19" s="30"/>
      <c r="QCF19" s="30"/>
      <c r="QCG19" s="30"/>
      <c r="QCH19" s="30"/>
      <c r="QCI19" s="30"/>
      <c r="QCJ19" s="30"/>
      <c r="QCK19" s="30"/>
      <c r="QCL19" s="30"/>
      <c r="QCM19" s="30"/>
      <c r="QCN19" s="30"/>
      <c r="QCO19" s="30"/>
      <c r="QCP19" s="30"/>
      <c r="QCQ19" s="30"/>
      <c r="QCR19" s="30"/>
      <c r="QCS19" s="30"/>
      <c r="QCT19" s="30"/>
      <c r="QCU19" s="30"/>
      <c r="QCV19" s="30"/>
      <c r="QCW19" s="30"/>
      <c r="QCX19" s="30"/>
      <c r="QCY19" s="30"/>
      <c r="QCZ19" s="30"/>
      <c r="QDA19" s="30"/>
      <c r="QDB19" s="30"/>
      <c r="QDC19" s="30"/>
      <c r="QDD19" s="30"/>
      <c r="QDE19" s="30"/>
      <c r="QDF19" s="30"/>
      <c r="QDG19" s="30"/>
      <c r="QDH19" s="30"/>
      <c r="QDI19" s="30"/>
      <c r="QDJ19" s="30"/>
      <c r="QDK19" s="30"/>
      <c r="QDL19" s="30"/>
      <c r="QDM19" s="30"/>
      <c r="QDN19" s="30"/>
      <c r="QDO19" s="30"/>
      <c r="QDP19" s="30"/>
      <c r="QDQ19" s="30"/>
      <c r="QDR19" s="30"/>
      <c r="QDS19" s="30"/>
      <c r="QDT19" s="30"/>
      <c r="QDU19" s="30"/>
      <c r="QDV19" s="30"/>
      <c r="QDW19" s="30"/>
      <c r="QDX19" s="30"/>
      <c r="QDY19" s="30"/>
      <c r="QDZ19" s="30"/>
      <c r="QEA19" s="30"/>
      <c r="QEB19" s="30"/>
      <c r="QEC19" s="30"/>
      <c r="QED19" s="30"/>
      <c r="QEE19" s="30"/>
      <c r="QEF19" s="30"/>
      <c r="QEG19" s="30"/>
      <c r="QEH19" s="30"/>
      <c r="QEI19" s="30"/>
      <c r="QEJ19" s="30"/>
      <c r="QEK19" s="30"/>
      <c r="QEL19" s="30"/>
      <c r="QEM19" s="30"/>
      <c r="QEN19" s="30"/>
      <c r="QEO19" s="30"/>
      <c r="QEP19" s="30"/>
      <c r="QEQ19" s="30"/>
      <c r="QER19" s="30"/>
      <c r="QES19" s="30"/>
      <c r="QET19" s="30"/>
      <c r="QEU19" s="30"/>
      <c r="QEV19" s="30"/>
      <c r="QEW19" s="30"/>
      <c r="QEX19" s="30"/>
      <c r="QEY19" s="30"/>
      <c r="QEZ19" s="30"/>
      <c r="QFA19" s="30"/>
      <c r="QFB19" s="30"/>
      <c r="QFC19" s="30"/>
      <c r="QFD19" s="30"/>
      <c r="QFE19" s="30"/>
      <c r="QFF19" s="30"/>
      <c r="QFG19" s="30"/>
      <c r="QFH19" s="30"/>
      <c r="QFI19" s="30"/>
      <c r="QFJ19" s="30"/>
      <c r="QFK19" s="30"/>
      <c r="QFL19" s="30"/>
      <c r="QFM19" s="30"/>
      <c r="QFN19" s="30"/>
      <c r="QFO19" s="30"/>
      <c r="QFP19" s="30"/>
      <c r="QFQ19" s="30"/>
      <c r="QFR19" s="30"/>
      <c r="QFS19" s="30"/>
      <c r="QFT19" s="30"/>
      <c r="QFU19" s="30"/>
      <c r="QFV19" s="30"/>
      <c r="QFW19" s="30"/>
      <c r="QFX19" s="30"/>
      <c r="QFY19" s="30"/>
      <c r="QFZ19" s="30"/>
      <c r="QGA19" s="30"/>
      <c r="QGB19" s="30"/>
      <c r="QGC19" s="30"/>
      <c r="QGD19" s="30"/>
      <c r="QGE19" s="30"/>
      <c r="QGF19" s="30"/>
      <c r="QGG19" s="30"/>
      <c r="QGH19" s="30"/>
      <c r="QGI19" s="30"/>
      <c r="QGJ19" s="30"/>
      <c r="QGK19" s="30"/>
      <c r="QGL19" s="30"/>
      <c r="QGM19" s="30"/>
      <c r="QGN19" s="30"/>
      <c r="QGO19" s="30"/>
      <c r="QGP19" s="30"/>
      <c r="QGQ19" s="30"/>
      <c r="QGR19" s="30"/>
      <c r="QGS19" s="30"/>
      <c r="QGT19" s="30"/>
      <c r="QGU19" s="30"/>
      <c r="QGV19" s="30"/>
      <c r="QGW19" s="30"/>
      <c r="QGX19" s="30"/>
      <c r="QGY19" s="30"/>
      <c r="QGZ19" s="30"/>
      <c r="QHA19" s="30"/>
      <c r="QHB19" s="30"/>
      <c r="QHC19" s="30"/>
      <c r="QHD19" s="30"/>
      <c r="QHE19" s="30"/>
      <c r="QHF19" s="30"/>
      <c r="QHG19" s="30"/>
      <c r="QHH19" s="30"/>
      <c r="QHI19" s="30"/>
      <c r="QHJ19" s="30"/>
      <c r="QHK19" s="30"/>
      <c r="QHL19" s="30"/>
      <c r="QHM19" s="30"/>
      <c r="QHN19" s="30"/>
      <c r="QHO19" s="30"/>
      <c r="QHP19" s="30"/>
      <c r="QHQ19" s="30"/>
      <c r="QHR19" s="30"/>
      <c r="QHS19" s="30"/>
      <c r="QHT19" s="30"/>
      <c r="QHU19" s="30"/>
      <c r="QHV19" s="30"/>
      <c r="QHW19" s="30"/>
      <c r="QHX19" s="30"/>
      <c r="QHY19" s="30"/>
      <c r="QHZ19" s="30"/>
      <c r="QIA19" s="30"/>
      <c r="QIB19" s="30"/>
      <c r="QIC19" s="30"/>
      <c r="QID19" s="30"/>
      <c r="QIE19" s="30"/>
      <c r="QIF19" s="30"/>
      <c r="QIG19" s="30"/>
      <c r="QIH19" s="30"/>
      <c r="QII19" s="30"/>
      <c r="QIJ19" s="30"/>
      <c r="QIK19" s="30"/>
      <c r="QIL19" s="30"/>
      <c r="QIM19" s="30"/>
      <c r="QIN19" s="30"/>
      <c r="QIO19" s="30"/>
      <c r="QIP19" s="30"/>
      <c r="QIQ19" s="30"/>
      <c r="QIR19" s="30"/>
      <c r="QIS19" s="30"/>
      <c r="QIT19" s="30"/>
      <c r="QIU19" s="30"/>
      <c r="QIV19" s="30"/>
      <c r="QIW19" s="30"/>
      <c r="QIX19" s="30"/>
      <c r="QIY19" s="30"/>
      <c r="QIZ19" s="30"/>
      <c r="QJA19" s="30"/>
      <c r="QJB19" s="30"/>
      <c r="QJC19" s="30"/>
      <c r="QJD19" s="30"/>
      <c r="QJE19" s="30"/>
      <c r="QJF19" s="30"/>
      <c r="QJG19" s="30"/>
      <c r="QJH19" s="30"/>
      <c r="QJI19" s="30"/>
      <c r="QJJ19" s="30"/>
      <c r="QJK19" s="30"/>
      <c r="QJL19" s="30"/>
      <c r="QJM19" s="30"/>
      <c r="QJN19" s="30"/>
      <c r="QJO19" s="30"/>
      <c r="QJP19" s="30"/>
      <c r="QJQ19" s="30"/>
      <c r="QJR19" s="30"/>
      <c r="QJS19" s="30"/>
      <c r="QJT19" s="30"/>
      <c r="QJU19" s="30"/>
      <c r="QJV19" s="30"/>
      <c r="QJW19" s="30"/>
      <c r="QJX19" s="30"/>
      <c r="QJY19" s="30"/>
      <c r="QJZ19" s="30"/>
      <c r="QKA19" s="30"/>
      <c r="QKB19" s="30"/>
      <c r="QKC19" s="30"/>
      <c r="QKD19" s="30"/>
      <c r="QKE19" s="30"/>
      <c r="QKF19" s="30"/>
      <c r="QKG19" s="30"/>
      <c r="QKH19" s="30"/>
      <c r="QKI19" s="30"/>
      <c r="QKJ19" s="30"/>
      <c r="QKK19" s="30"/>
      <c r="QKL19" s="30"/>
      <c r="QKM19" s="30"/>
      <c r="QKN19" s="30"/>
      <c r="QKO19" s="30"/>
      <c r="QKP19" s="30"/>
      <c r="QKQ19" s="30"/>
      <c r="QKR19" s="30"/>
      <c r="QKS19" s="30"/>
      <c r="QKT19" s="30"/>
      <c r="QKU19" s="30"/>
      <c r="QKV19" s="30"/>
      <c r="QKW19" s="30"/>
      <c r="QKX19" s="30"/>
      <c r="QKY19" s="30"/>
      <c r="QKZ19" s="30"/>
      <c r="QLA19" s="30"/>
      <c r="QLB19" s="30"/>
      <c r="QLC19" s="30"/>
      <c r="QLD19" s="30"/>
      <c r="QLE19" s="30"/>
      <c r="QLF19" s="30"/>
      <c r="QLG19" s="30"/>
      <c r="QLH19" s="30"/>
      <c r="QLI19" s="30"/>
      <c r="QLJ19" s="30"/>
      <c r="QLK19" s="30"/>
      <c r="QLL19" s="30"/>
      <c r="QLM19" s="30"/>
      <c r="QLN19" s="30"/>
      <c r="QLO19" s="30"/>
      <c r="QLP19" s="30"/>
      <c r="QLQ19" s="30"/>
      <c r="QLR19" s="30"/>
      <c r="QLS19" s="30"/>
      <c r="QLT19" s="30"/>
      <c r="QLU19" s="30"/>
      <c r="QLV19" s="30"/>
      <c r="QLW19" s="30"/>
      <c r="QLX19" s="30"/>
      <c r="QLY19" s="30"/>
      <c r="QLZ19" s="30"/>
      <c r="QMA19" s="30"/>
      <c r="QMB19" s="30"/>
      <c r="QMC19" s="30"/>
      <c r="QMD19" s="30"/>
      <c r="QME19" s="30"/>
      <c r="QMF19" s="30"/>
      <c r="QMG19" s="30"/>
      <c r="QMH19" s="30"/>
      <c r="QMI19" s="30"/>
      <c r="QMJ19" s="30"/>
      <c r="QMK19" s="30"/>
      <c r="QML19" s="30"/>
      <c r="QMM19" s="30"/>
      <c r="QMN19" s="30"/>
      <c r="QMO19" s="30"/>
      <c r="QMP19" s="30"/>
      <c r="QMQ19" s="30"/>
      <c r="QMR19" s="30"/>
      <c r="QMS19" s="30"/>
      <c r="QMT19" s="30"/>
      <c r="QMU19" s="30"/>
      <c r="QMV19" s="30"/>
      <c r="QMW19" s="30"/>
      <c r="QMX19" s="30"/>
      <c r="QMY19" s="30"/>
      <c r="QMZ19" s="30"/>
      <c r="QNA19" s="30"/>
      <c r="QNB19" s="30"/>
      <c r="QNC19" s="30"/>
      <c r="QND19" s="30"/>
      <c r="QNE19" s="30"/>
      <c r="QNF19" s="30"/>
      <c r="QNG19" s="30"/>
      <c r="QNH19" s="30"/>
      <c r="QNI19" s="30"/>
      <c r="QNJ19" s="30"/>
      <c r="QNK19" s="30"/>
      <c r="QNL19" s="30"/>
      <c r="QNM19" s="30"/>
      <c r="QNN19" s="30"/>
      <c r="QNO19" s="30"/>
      <c r="QNP19" s="30"/>
      <c r="QNQ19" s="30"/>
      <c r="QNR19" s="30"/>
      <c r="QNS19" s="30"/>
      <c r="QNT19" s="30"/>
      <c r="QNU19" s="30"/>
      <c r="QNV19" s="30"/>
      <c r="QNW19" s="30"/>
      <c r="QNX19" s="30"/>
      <c r="QNY19" s="30"/>
      <c r="QNZ19" s="30"/>
      <c r="QOA19" s="30"/>
      <c r="QOB19" s="30"/>
      <c r="QOC19" s="30"/>
      <c r="QOD19" s="30"/>
      <c r="QOE19" s="30"/>
      <c r="QOF19" s="30"/>
      <c r="QOG19" s="30"/>
      <c r="QOH19" s="30"/>
      <c r="QOI19" s="30"/>
      <c r="QOJ19" s="30"/>
      <c r="QOK19" s="30"/>
      <c r="QOL19" s="30"/>
      <c r="QOM19" s="30"/>
      <c r="QON19" s="30"/>
      <c r="QOO19" s="30"/>
      <c r="QOP19" s="30"/>
      <c r="QOQ19" s="30"/>
      <c r="QOR19" s="30"/>
      <c r="QOS19" s="30"/>
      <c r="QOT19" s="30"/>
      <c r="QOU19" s="30"/>
      <c r="QOV19" s="30"/>
      <c r="QOW19" s="30"/>
      <c r="QOX19" s="30"/>
      <c r="QOY19" s="30"/>
      <c r="QOZ19" s="30"/>
      <c r="QPA19" s="30"/>
      <c r="QPB19" s="30"/>
      <c r="QPC19" s="30"/>
      <c r="QPD19" s="30"/>
      <c r="QPE19" s="30"/>
      <c r="QPF19" s="30"/>
      <c r="QPG19" s="30"/>
      <c r="QPH19" s="30"/>
      <c r="QPI19" s="30"/>
      <c r="QPJ19" s="30"/>
      <c r="QPK19" s="30"/>
      <c r="QPL19" s="30"/>
      <c r="QPM19" s="30"/>
      <c r="QPN19" s="30"/>
      <c r="QPO19" s="30"/>
      <c r="QPP19" s="30"/>
      <c r="QPQ19" s="30"/>
      <c r="QPR19" s="30"/>
      <c r="QPS19" s="30"/>
      <c r="QPT19" s="30"/>
      <c r="QPU19" s="30"/>
      <c r="QPV19" s="30"/>
      <c r="QPW19" s="30"/>
      <c r="QPX19" s="30"/>
      <c r="QPY19" s="30"/>
      <c r="QPZ19" s="30"/>
      <c r="QQA19" s="30"/>
      <c r="QQB19" s="30"/>
      <c r="QQC19" s="30"/>
      <c r="QQD19" s="30"/>
      <c r="QQE19" s="30"/>
      <c r="QQF19" s="30"/>
      <c r="QQG19" s="30"/>
      <c r="QQH19" s="30"/>
      <c r="QQI19" s="30"/>
      <c r="QQJ19" s="30"/>
      <c r="QQK19" s="30"/>
      <c r="QQL19" s="30"/>
      <c r="QQM19" s="30"/>
      <c r="QQN19" s="30"/>
      <c r="QQO19" s="30"/>
      <c r="QQP19" s="30"/>
      <c r="QQQ19" s="30"/>
      <c r="QQR19" s="30"/>
      <c r="QQS19" s="30"/>
      <c r="QQT19" s="30"/>
      <c r="QQU19" s="30"/>
      <c r="QQV19" s="30"/>
      <c r="QQW19" s="30"/>
      <c r="QQX19" s="30"/>
      <c r="QQY19" s="30"/>
      <c r="QQZ19" s="30"/>
      <c r="QRA19" s="30"/>
      <c r="QRB19" s="30"/>
      <c r="QRC19" s="30"/>
      <c r="QRD19" s="30"/>
      <c r="QRE19" s="30"/>
      <c r="QRF19" s="30"/>
      <c r="QRG19" s="30"/>
      <c r="QRH19" s="30"/>
      <c r="QRI19" s="30"/>
      <c r="QRJ19" s="30"/>
      <c r="QRK19" s="30"/>
      <c r="QRL19" s="30"/>
      <c r="QRM19" s="30"/>
      <c r="QRN19" s="30"/>
      <c r="QRO19" s="30"/>
      <c r="QRP19" s="30"/>
      <c r="QRQ19" s="30"/>
      <c r="QRR19" s="30"/>
      <c r="QRS19" s="30"/>
      <c r="QRT19" s="30"/>
      <c r="QRU19" s="30"/>
      <c r="QRV19" s="30"/>
      <c r="QRW19" s="30"/>
      <c r="QRX19" s="30"/>
      <c r="QRY19" s="30"/>
      <c r="QRZ19" s="30"/>
      <c r="QSA19" s="30"/>
      <c r="QSB19" s="30"/>
      <c r="QSC19" s="30"/>
      <c r="QSD19" s="30"/>
      <c r="QSE19" s="30"/>
      <c r="QSF19" s="30"/>
      <c r="QSG19" s="30"/>
      <c r="QSH19" s="30"/>
      <c r="QSI19" s="30"/>
      <c r="QSJ19" s="30"/>
      <c r="QSK19" s="30"/>
      <c r="QSL19" s="30"/>
      <c r="QSM19" s="30"/>
      <c r="QSN19" s="30"/>
      <c r="QSO19" s="30"/>
      <c r="QSP19" s="30"/>
      <c r="QSQ19" s="30"/>
      <c r="QSR19" s="30"/>
      <c r="QSS19" s="30"/>
      <c r="QST19" s="30"/>
      <c r="QSU19" s="30"/>
      <c r="QSV19" s="30"/>
      <c r="QSW19" s="30"/>
      <c r="QSX19" s="30"/>
      <c r="QSY19" s="30"/>
      <c r="QSZ19" s="30"/>
      <c r="QTA19" s="30"/>
      <c r="QTB19" s="30"/>
      <c r="QTC19" s="30"/>
      <c r="QTD19" s="30"/>
      <c r="QTE19" s="30"/>
      <c r="QTF19" s="30"/>
      <c r="QTG19" s="30"/>
      <c r="QTH19" s="30"/>
      <c r="QTI19" s="30"/>
      <c r="QTJ19" s="30"/>
      <c r="QTK19" s="30"/>
      <c r="QTL19" s="30"/>
      <c r="QTM19" s="30"/>
      <c r="QTN19" s="30"/>
      <c r="QTO19" s="30"/>
      <c r="QTP19" s="30"/>
      <c r="QTQ19" s="30"/>
      <c r="QTR19" s="30"/>
      <c r="QTS19" s="30"/>
      <c r="QTT19" s="30"/>
      <c r="QTU19" s="30"/>
      <c r="QTV19" s="30"/>
      <c r="QTW19" s="30"/>
      <c r="QTX19" s="30"/>
      <c r="QTY19" s="30"/>
      <c r="QTZ19" s="30"/>
      <c r="QUA19" s="30"/>
      <c r="QUB19" s="30"/>
      <c r="QUC19" s="30"/>
      <c r="QUD19" s="30"/>
      <c r="QUE19" s="30"/>
      <c r="QUF19" s="30"/>
      <c r="QUG19" s="30"/>
      <c r="QUH19" s="30"/>
      <c r="QUI19" s="30"/>
      <c r="QUJ19" s="30"/>
      <c r="QUK19" s="30"/>
      <c r="QUL19" s="30"/>
      <c r="QUM19" s="30"/>
      <c r="QUN19" s="30"/>
      <c r="QUO19" s="30"/>
      <c r="QUP19" s="30"/>
      <c r="QUQ19" s="30"/>
      <c r="QUR19" s="30"/>
      <c r="QUS19" s="30"/>
      <c r="QUT19" s="30"/>
      <c r="QUU19" s="30"/>
      <c r="QUV19" s="30"/>
      <c r="QUW19" s="30"/>
      <c r="QUX19" s="30"/>
      <c r="QUY19" s="30"/>
      <c r="QUZ19" s="30"/>
      <c r="QVA19" s="30"/>
      <c r="QVB19" s="30"/>
      <c r="QVC19" s="30"/>
      <c r="QVD19" s="30"/>
      <c r="QVE19" s="30"/>
      <c r="QVF19" s="30"/>
      <c r="QVG19" s="30"/>
      <c r="QVH19" s="30"/>
      <c r="QVI19" s="30"/>
      <c r="QVJ19" s="30"/>
      <c r="QVK19" s="30"/>
      <c r="QVL19" s="30"/>
      <c r="QVM19" s="30"/>
      <c r="QVN19" s="30"/>
      <c r="QVO19" s="30"/>
      <c r="QVP19" s="30"/>
      <c r="QVQ19" s="30"/>
      <c r="QVR19" s="30"/>
      <c r="QVS19" s="30"/>
      <c r="QVT19" s="30"/>
      <c r="QVU19" s="30"/>
      <c r="QVV19" s="30"/>
      <c r="QVW19" s="30"/>
      <c r="QVX19" s="30"/>
      <c r="QVY19" s="30"/>
      <c r="QVZ19" s="30"/>
      <c r="QWA19" s="30"/>
      <c r="QWB19" s="30"/>
      <c r="QWC19" s="30"/>
      <c r="QWD19" s="30"/>
      <c r="QWE19" s="30"/>
      <c r="QWF19" s="30"/>
      <c r="QWG19" s="30"/>
      <c r="QWH19" s="30"/>
      <c r="QWI19" s="30"/>
      <c r="QWJ19" s="30"/>
      <c r="QWK19" s="30"/>
      <c r="QWL19" s="30"/>
      <c r="QWM19" s="30"/>
      <c r="QWN19" s="30"/>
      <c r="QWO19" s="30"/>
      <c r="QWP19" s="30"/>
      <c r="QWQ19" s="30"/>
      <c r="QWR19" s="30"/>
      <c r="QWS19" s="30"/>
      <c r="QWT19" s="30"/>
      <c r="QWU19" s="30"/>
      <c r="QWV19" s="30"/>
      <c r="QWW19" s="30"/>
      <c r="QWX19" s="30"/>
      <c r="QWY19" s="30"/>
      <c r="QWZ19" s="30"/>
      <c r="QXA19" s="30"/>
      <c r="QXB19" s="30"/>
      <c r="QXC19" s="30"/>
      <c r="QXD19" s="30"/>
      <c r="QXE19" s="30"/>
      <c r="QXF19" s="30"/>
      <c r="QXG19" s="30"/>
      <c r="QXH19" s="30"/>
      <c r="QXI19" s="30"/>
      <c r="QXJ19" s="30"/>
      <c r="QXK19" s="30"/>
      <c r="QXL19" s="30"/>
      <c r="QXM19" s="30"/>
      <c r="QXN19" s="30"/>
      <c r="QXO19" s="30"/>
      <c r="QXP19" s="30"/>
      <c r="QXQ19" s="30"/>
      <c r="QXR19" s="30"/>
      <c r="QXS19" s="30"/>
      <c r="QXT19" s="30"/>
      <c r="QXU19" s="30"/>
      <c r="QXV19" s="30"/>
      <c r="QXW19" s="30"/>
      <c r="QXX19" s="30"/>
      <c r="QXY19" s="30"/>
      <c r="QXZ19" s="30"/>
      <c r="QYA19" s="30"/>
      <c r="QYB19" s="30"/>
      <c r="QYC19" s="30"/>
      <c r="QYD19" s="30"/>
      <c r="QYE19" s="30"/>
      <c r="QYF19" s="30"/>
      <c r="QYG19" s="30"/>
      <c r="QYH19" s="30"/>
      <c r="QYI19" s="30"/>
      <c r="QYJ19" s="30"/>
      <c r="QYK19" s="30"/>
      <c r="QYL19" s="30"/>
      <c r="QYM19" s="30"/>
      <c r="QYN19" s="30"/>
      <c r="QYO19" s="30"/>
      <c r="QYP19" s="30"/>
      <c r="QYQ19" s="30"/>
      <c r="QYR19" s="30"/>
      <c r="QYS19" s="30"/>
      <c r="QYT19" s="30"/>
      <c r="QYU19" s="30"/>
      <c r="QYV19" s="30"/>
      <c r="QYW19" s="30"/>
      <c r="QYX19" s="30"/>
      <c r="QYY19" s="30"/>
      <c r="QYZ19" s="30"/>
      <c r="QZA19" s="30"/>
      <c r="QZB19" s="30"/>
      <c r="QZC19" s="30"/>
      <c r="QZD19" s="30"/>
      <c r="QZE19" s="30"/>
      <c r="QZF19" s="30"/>
      <c r="QZG19" s="30"/>
      <c r="QZH19" s="30"/>
      <c r="QZI19" s="30"/>
      <c r="QZJ19" s="30"/>
      <c r="QZK19" s="30"/>
      <c r="QZL19" s="30"/>
      <c r="QZM19" s="30"/>
      <c r="QZN19" s="30"/>
      <c r="QZO19" s="30"/>
      <c r="QZP19" s="30"/>
      <c r="QZQ19" s="30"/>
      <c r="QZR19" s="30"/>
      <c r="QZS19" s="30"/>
      <c r="QZT19" s="30"/>
      <c r="QZU19" s="30"/>
      <c r="QZV19" s="30"/>
      <c r="QZW19" s="30"/>
      <c r="QZX19" s="30"/>
      <c r="QZY19" s="30"/>
      <c r="QZZ19" s="30"/>
      <c r="RAA19" s="30"/>
      <c r="RAB19" s="30"/>
      <c r="RAC19" s="30"/>
      <c r="RAD19" s="30"/>
      <c r="RAE19" s="30"/>
      <c r="RAF19" s="30"/>
      <c r="RAG19" s="30"/>
      <c r="RAH19" s="30"/>
      <c r="RAI19" s="30"/>
      <c r="RAJ19" s="30"/>
      <c r="RAK19" s="30"/>
      <c r="RAL19" s="30"/>
      <c r="RAM19" s="30"/>
      <c r="RAN19" s="30"/>
      <c r="RAO19" s="30"/>
      <c r="RAP19" s="30"/>
      <c r="RAQ19" s="30"/>
      <c r="RAR19" s="30"/>
      <c r="RAS19" s="30"/>
      <c r="RAT19" s="30"/>
      <c r="RAU19" s="30"/>
      <c r="RAV19" s="30"/>
      <c r="RAW19" s="30"/>
      <c r="RAX19" s="30"/>
      <c r="RAY19" s="30"/>
      <c r="RAZ19" s="30"/>
      <c r="RBA19" s="30"/>
      <c r="RBB19" s="30"/>
      <c r="RBC19" s="30"/>
      <c r="RBD19" s="30"/>
      <c r="RBE19" s="30"/>
      <c r="RBF19" s="30"/>
      <c r="RBG19" s="30"/>
      <c r="RBH19" s="30"/>
      <c r="RBI19" s="30"/>
      <c r="RBJ19" s="30"/>
      <c r="RBK19" s="30"/>
      <c r="RBL19" s="30"/>
      <c r="RBM19" s="30"/>
      <c r="RBN19" s="30"/>
      <c r="RBO19" s="30"/>
      <c r="RBP19" s="30"/>
      <c r="RBQ19" s="30"/>
      <c r="RBR19" s="30"/>
      <c r="RBS19" s="30"/>
      <c r="RBT19" s="30"/>
      <c r="RBU19" s="30"/>
      <c r="RBV19" s="30"/>
      <c r="RBW19" s="30"/>
      <c r="RBX19" s="30"/>
      <c r="RBY19" s="30"/>
      <c r="RBZ19" s="30"/>
      <c r="RCA19" s="30"/>
      <c r="RCB19" s="30"/>
      <c r="RCC19" s="30"/>
      <c r="RCD19" s="30"/>
      <c r="RCE19" s="30"/>
      <c r="RCF19" s="30"/>
      <c r="RCG19" s="30"/>
      <c r="RCH19" s="30"/>
      <c r="RCI19" s="30"/>
      <c r="RCJ19" s="30"/>
      <c r="RCK19" s="30"/>
      <c r="RCL19" s="30"/>
      <c r="RCM19" s="30"/>
      <c r="RCN19" s="30"/>
      <c r="RCO19" s="30"/>
      <c r="RCP19" s="30"/>
      <c r="RCQ19" s="30"/>
      <c r="RCR19" s="30"/>
      <c r="RCS19" s="30"/>
      <c r="RCT19" s="30"/>
      <c r="RCU19" s="30"/>
      <c r="RCV19" s="30"/>
      <c r="RCW19" s="30"/>
      <c r="RCX19" s="30"/>
      <c r="RCY19" s="30"/>
      <c r="RCZ19" s="30"/>
      <c r="RDA19" s="30"/>
      <c r="RDB19" s="30"/>
      <c r="RDC19" s="30"/>
      <c r="RDD19" s="30"/>
      <c r="RDE19" s="30"/>
      <c r="RDF19" s="30"/>
      <c r="RDG19" s="30"/>
      <c r="RDH19" s="30"/>
      <c r="RDI19" s="30"/>
      <c r="RDJ19" s="30"/>
      <c r="RDK19" s="30"/>
      <c r="RDL19" s="30"/>
      <c r="RDM19" s="30"/>
      <c r="RDN19" s="30"/>
      <c r="RDO19" s="30"/>
      <c r="RDP19" s="30"/>
      <c r="RDQ19" s="30"/>
      <c r="RDR19" s="30"/>
      <c r="RDS19" s="30"/>
      <c r="RDT19" s="30"/>
      <c r="RDU19" s="30"/>
      <c r="RDV19" s="30"/>
      <c r="RDW19" s="30"/>
      <c r="RDX19" s="30"/>
      <c r="RDY19" s="30"/>
      <c r="RDZ19" s="30"/>
      <c r="REA19" s="30"/>
      <c r="REB19" s="30"/>
      <c r="REC19" s="30"/>
      <c r="RED19" s="30"/>
      <c r="REE19" s="30"/>
      <c r="REF19" s="30"/>
      <c r="REG19" s="30"/>
      <c r="REH19" s="30"/>
      <c r="REI19" s="30"/>
      <c r="REJ19" s="30"/>
      <c r="REK19" s="30"/>
      <c r="REL19" s="30"/>
      <c r="REM19" s="30"/>
      <c r="REN19" s="30"/>
      <c r="REO19" s="30"/>
      <c r="REP19" s="30"/>
      <c r="REQ19" s="30"/>
      <c r="RER19" s="30"/>
      <c r="RES19" s="30"/>
      <c r="RET19" s="30"/>
      <c r="REU19" s="30"/>
      <c r="REV19" s="30"/>
      <c r="REW19" s="30"/>
      <c r="REX19" s="30"/>
      <c r="REY19" s="30"/>
      <c r="REZ19" s="30"/>
      <c r="RFA19" s="30"/>
      <c r="RFB19" s="30"/>
      <c r="RFC19" s="30"/>
      <c r="RFD19" s="30"/>
      <c r="RFE19" s="30"/>
      <c r="RFF19" s="30"/>
      <c r="RFG19" s="30"/>
      <c r="RFH19" s="30"/>
      <c r="RFI19" s="30"/>
      <c r="RFJ19" s="30"/>
      <c r="RFK19" s="30"/>
      <c r="RFL19" s="30"/>
      <c r="RFM19" s="30"/>
      <c r="RFN19" s="30"/>
      <c r="RFO19" s="30"/>
      <c r="RFP19" s="30"/>
      <c r="RFQ19" s="30"/>
      <c r="RFR19" s="30"/>
      <c r="RFS19" s="30"/>
      <c r="RFT19" s="30"/>
      <c r="RFU19" s="30"/>
      <c r="RFV19" s="30"/>
      <c r="RFW19" s="30"/>
      <c r="RFX19" s="30"/>
      <c r="RFY19" s="30"/>
      <c r="RFZ19" s="30"/>
      <c r="RGA19" s="30"/>
      <c r="RGB19" s="30"/>
      <c r="RGC19" s="30"/>
      <c r="RGD19" s="30"/>
      <c r="RGE19" s="30"/>
      <c r="RGF19" s="30"/>
      <c r="RGG19" s="30"/>
      <c r="RGH19" s="30"/>
      <c r="RGI19" s="30"/>
      <c r="RGJ19" s="30"/>
      <c r="RGK19" s="30"/>
      <c r="RGL19" s="30"/>
      <c r="RGM19" s="30"/>
      <c r="RGN19" s="30"/>
      <c r="RGO19" s="30"/>
      <c r="RGP19" s="30"/>
      <c r="RGQ19" s="30"/>
      <c r="RGR19" s="30"/>
      <c r="RGS19" s="30"/>
      <c r="RGT19" s="30"/>
      <c r="RGU19" s="30"/>
      <c r="RGV19" s="30"/>
      <c r="RGW19" s="30"/>
      <c r="RGX19" s="30"/>
      <c r="RGY19" s="30"/>
      <c r="RGZ19" s="30"/>
      <c r="RHA19" s="30"/>
      <c r="RHB19" s="30"/>
      <c r="RHC19" s="30"/>
      <c r="RHD19" s="30"/>
      <c r="RHE19" s="30"/>
      <c r="RHF19" s="30"/>
      <c r="RHG19" s="30"/>
      <c r="RHH19" s="30"/>
      <c r="RHI19" s="30"/>
      <c r="RHJ19" s="30"/>
      <c r="RHK19" s="30"/>
      <c r="RHL19" s="30"/>
      <c r="RHM19" s="30"/>
      <c r="RHN19" s="30"/>
      <c r="RHO19" s="30"/>
      <c r="RHP19" s="30"/>
      <c r="RHQ19" s="30"/>
      <c r="RHR19" s="30"/>
      <c r="RHS19" s="30"/>
      <c r="RHT19" s="30"/>
      <c r="RHU19" s="30"/>
      <c r="RHV19" s="30"/>
      <c r="RHW19" s="30"/>
      <c r="RHX19" s="30"/>
      <c r="RHY19" s="30"/>
      <c r="RHZ19" s="30"/>
      <c r="RIA19" s="30"/>
      <c r="RIB19" s="30"/>
      <c r="RIC19" s="30"/>
      <c r="RID19" s="30"/>
      <c r="RIE19" s="30"/>
      <c r="RIF19" s="30"/>
      <c r="RIG19" s="30"/>
      <c r="RIH19" s="30"/>
      <c r="RII19" s="30"/>
      <c r="RIJ19" s="30"/>
      <c r="RIK19" s="30"/>
      <c r="RIL19" s="30"/>
      <c r="RIM19" s="30"/>
      <c r="RIN19" s="30"/>
      <c r="RIO19" s="30"/>
      <c r="RIP19" s="30"/>
      <c r="RIQ19" s="30"/>
      <c r="RIR19" s="30"/>
      <c r="RIS19" s="30"/>
      <c r="RIT19" s="30"/>
      <c r="RIU19" s="30"/>
      <c r="RIV19" s="30"/>
      <c r="RIW19" s="30"/>
      <c r="RIX19" s="30"/>
      <c r="RIY19" s="30"/>
      <c r="RIZ19" s="30"/>
      <c r="RJA19" s="30"/>
      <c r="RJB19" s="30"/>
      <c r="RJC19" s="30"/>
      <c r="RJD19" s="30"/>
      <c r="RJE19" s="30"/>
      <c r="RJF19" s="30"/>
      <c r="RJG19" s="30"/>
      <c r="RJH19" s="30"/>
      <c r="RJI19" s="30"/>
      <c r="RJJ19" s="30"/>
      <c r="RJK19" s="30"/>
      <c r="RJL19" s="30"/>
      <c r="RJM19" s="30"/>
      <c r="RJN19" s="30"/>
      <c r="RJO19" s="30"/>
      <c r="RJP19" s="30"/>
      <c r="RJQ19" s="30"/>
      <c r="RJR19" s="30"/>
      <c r="RJS19" s="30"/>
      <c r="RJT19" s="30"/>
      <c r="RJU19" s="30"/>
      <c r="RJV19" s="30"/>
      <c r="RJW19" s="30"/>
      <c r="RJX19" s="30"/>
      <c r="RJY19" s="30"/>
      <c r="RJZ19" s="30"/>
      <c r="RKA19" s="30"/>
      <c r="RKB19" s="30"/>
      <c r="RKC19" s="30"/>
      <c r="RKD19" s="30"/>
      <c r="RKE19" s="30"/>
      <c r="RKF19" s="30"/>
      <c r="RKG19" s="30"/>
      <c r="RKH19" s="30"/>
      <c r="RKI19" s="30"/>
      <c r="RKJ19" s="30"/>
      <c r="RKK19" s="30"/>
      <c r="RKL19" s="30"/>
      <c r="RKM19" s="30"/>
      <c r="RKN19" s="30"/>
      <c r="RKO19" s="30"/>
      <c r="RKP19" s="30"/>
      <c r="RKQ19" s="30"/>
      <c r="RKR19" s="30"/>
      <c r="RKS19" s="30"/>
      <c r="RKT19" s="30"/>
      <c r="RKU19" s="30"/>
      <c r="RKV19" s="30"/>
      <c r="RKW19" s="30"/>
      <c r="RKX19" s="30"/>
      <c r="RKY19" s="30"/>
      <c r="RKZ19" s="30"/>
      <c r="RLA19" s="30"/>
      <c r="RLB19" s="30"/>
      <c r="RLC19" s="30"/>
      <c r="RLD19" s="30"/>
      <c r="RLE19" s="30"/>
      <c r="RLF19" s="30"/>
      <c r="RLG19" s="30"/>
      <c r="RLH19" s="30"/>
      <c r="RLI19" s="30"/>
      <c r="RLJ19" s="30"/>
      <c r="RLK19" s="30"/>
      <c r="RLL19" s="30"/>
      <c r="RLM19" s="30"/>
      <c r="RLN19" s="30"/>
      <c r="RLO19" s="30"/>
      <c r="RLP19" s="30"/>
      <c r="RLQ19" s="30"/>
      <c r="RLR19" s="30"/>
      <c r="RLS19" s="30"/>
      <c r="RLT19" s="30"/>
      <c r="RLU19" s="30"/>
      <c r="RLV19" s="30"/>
      <c r="RLW19" s="30"/>
      <c r="RLX19" s="30"/>
      <c r="RLY19" s="30"/>
      <c r="RLZ19" s="30"/>
      <c r="RMA19" s="30"/>
      <c r="RMB19" s="30"/>
      <c r="RMC19" s="30"/>
      <c r="RMD19" s="30"/>
      <c r="RME19" s="30"/>
      <c r="RMF19" s="30"/>
      <c r="RMG19" s="30"/>
      <c r="RMH19" s="30"/>
      <c r="RMI19" s="30"/>
      <c r="RMJ19" s="30"/>
      <c r="RMK19" s="30"/>
      <c r="RML19" s="30"/>
      <c r="RMM19" s="30"/>
      <c r="RMN19" s="30"/>
      <c r="RMO19" s="30"/>
      <c r="RMP19" s="30"/>
      <c r="RMQ19" s="30"/>
      <c r="RMR19" s="30"/>
      <c r="RMS19" s="30"/>
      <c r="RMT19" s="30"/>
      <c r="RMU19" s="30"/>
      <c r="RMV19" s="30"/>
      <c r="RMW19" s="30"/>
      <c r="RMX19" s="30"/>
      <c r="RMY19" s="30"/>
      <c r="RMZ19" s="30"/>
      <c r="RNA19" s="30"/>
      <c r="RNB19" s="30"/>
      <c r="RNC19" s="30"/>
      <c r="RND19" s="30"/>
      <c r="RNE19" s="30"/>
      <c r="RNF19" s="30"/>
      <c r="RNG19" s="30"/>
      <c r="RNH19" s="30"/>
      <c r="RNI19" s="30"/>
      <c r="RNJ19" s="30"/>
      <c r="RNK19" s="30"/>
      <c r="RNL19" s="30"/>
      <c r="RNM19" s="30"/>
      <c r="RNN19" s="30"/>
      <c r="RNO19" s="30"/>
      <c r="RNP19" s="30"/>
      <c r="RNQ19" s="30"/>
      <c r="RNR19" s="30"/>
      <c r="RNS19" s="30"/>
      <c r="RNT19" s="30"/>
      <c r="RNU19" s="30"/>
      <c r="RNV19" s="30"/>
      <c r="RNW19" s="30"/>
      <c r="RNX19" s="30"/>
      <c r="RNY19" s="30"/>
      <c r="RNZ19" s="30"/>
      <c r="ROA19" s="30"/>
      <c r="ROB19" s="30"/>
      <c r="ROC19" s="30"/>
      <c r="ROD19" s="30"/>
      <c r="ROE19" s="30"/>
      <c r="ROF19" s="30"/>
      <c r="ROG19" s="30"/>
      <c r="ROH19" s="30"/>
      <c r="ROI19" s="30"/>
      <c r="ROJ19" s="30"/>
      <c r="ROK19" s="30"/>
      <c r="ROL19" s="30"/>
      <c r="ROM19" s="30"/>
      <c r="RON19" s="30"/>
      <c r="ROO19" s="30"/>
      <c r="ROP19" s="30"/>
      <c r="ROQ19" s="30"/>
      <c r="ROR19" s="30"/>
      <c r="ROS19" s="30"/>
      <c r="ROT19" s="30"/>
      <c r="ROU19" s="30"/>
      <c r="ROV19" s="30"/>
      <c r="ROW19" s="30"/>
      <c r="ROX19" s="30"/>
      <c r="ROY19" s="30"/>
      <c r="ROZ19" s="30"/>
      <c r="RPA19" s="30"/>
      <c r="RPB19" s="30"/>
      <c r="RPC19" s="30"/>
      <c r="RPD19" s="30"/>
      <c r="RPE19" s="30"/>
      <c r="RPF19" s="30"/>
      <c r="RPG19" s="30"/>
      <c r="RPH19" s="30"/>
      <c r="RPI19" s="30"/>
      <c r="RPJ19" s="30"/>
      <c r="RPK19" s="30"/>
      <c r="RPL19" s="30"/>
      <c r="RPM19" s="30"/>
      <c r="RPN19" s="30"/>
      <c r="RPO19" s="30"/>
      <c r="RPP19" s="30"/>
      <c r="RPQ19" s="30"/>
      <c r="RPR19" s="30"/>
      <c r="RPS19" s="30"/>
      <c r="RPT19" s="30"/>
      <c r="RPU19" s="30"/>
      <c r="RPV19" s="30"/>
      <c r="RPW19" s="30"/>
      <c r="RPX19" s="30"/>
      <c r="RPY19" s="30"/>
      <c r="RPZ19" s="30"/>
      <c r="RQA19" s="30"/>
      <c r="RQB19" s="30"/>
      <c r="RQC19" s="30"/>
      <c r="RQD19" s="30"/>
      <c r="RQE19" s="30"/>
      <c r="RQF19" s="30"/>
      <c r="RQG19" s="30"/>
      <c r="RQH19" s="30"/>
      <c r="RQI19" s="30"/>
      <c r="RQJ19" s="30"/>
      <c r="RQK19" s="30"/>
      <c r="RQL19" s="30"/>
      <c r="RQM19" s="30"/>
      <c r="RQN19" s="30"/>
      <c r="RQO19" s="30"/>
      <c r="RQP19" s="30"/>
      <c r="RQQ19" s="30"/>
      <c r="RQR19" s="30"/>
      <c r="RQS19" s="30"/>
      <c r="RQT19" s="30"/>
      <c r="RQU19" s="30"/>
      <c r="RQV19" s="30"/>
      <c r="RQW19" s="30"/>
      <c r="RQX19" s="30"/>
      <c r="RQY19" s="30"/>
      <c r="RQZ19" s="30"/>
      <c r="RRA19" s="30"/>
      <c r="RRB19" s="30"/>
      <c r="RRC19" s="30"/>
      <c r="RRD19" s="30"/>
      <c r="RRE19" s="30"/>
      <c r="RRF19" s="30"/>
      <c r="RRG19" s="30"/>
      <c r="RRH19" s="30"/>
      <c r="RRI19" s="30"/>
      <c r="RRJ19" s="30"/>
      <c r="RRK19" s="30"/>
      <c r="RRL19" s="30"/>
      <c r="RRM19" s="30"/>
      <c r="RRN19" s="30"/>
      <c r="RRO19" s="30"/>
      <c r="RRP19" s="30"/>
      <c r="RRQ19" s="30"/>
      <c r="RRR19" s="30"/>
      <c r="RRS19" s="30"/>
      <c r="RRT19" s="30"/>
      <c r="RRU19" s="30"/>
      <c r="RRV19" s="30"/>
      <c r="RRW19" s="30"/>
      <c r="RRX19" s="30"/>
      <c r="RRY19" s="30"/>
      <c r="RRZ19" s="30"/>
      <c r="RSA19" s="30"/>
      <c r="RSB19" s="30"/>
      <c r="RSC19" s="30"/>
      <c r="RSD19" s="30"/>
      <c r="RSE19" s="30"/>
      <c r="RSF19" s="30"/>
      <c r="RSG19" s="30"/>
      <c r="RSH19" s="30"/>
      <c r="RSI19" s="30"/>
      <c r="RSJ19" s="30"/>
      <c r="RSK19" s="30"/>
      <c r="RSL19" s="30"/>
      <c r="RSM19" s="30"/>
      <c r="RSN19" s="30"/>
      <c r="RSO19" s="30"/>
      <c r="RSP19" s="30"/>
      <c r="RSQ19" s="30"/>
      <c r="RSR19" s="30"/>
      <c r="RSS19" s="30"/>
      <c r="RST19" s="30"/>
      <c r="RSU19" s="30"/>
      <c r="RSV19" s="30"/>
      <c r="RSW19" s="30"/>
      <c r="RSX19" s="30"/>
      <c r="RSY19" s="30"/>
      <c r="RSZ19" s="30"/>
      <c r="RTA19" s="30"/>
      <c r="RTB19" s="30"/>
      <c r="RTC19" s="30"/>
      <c r="RTD19" s="30"/>
      <c r="RTE19" s="30"/>
      <c r="RTF19" s="30"/>
      <c r="RTG19" s="30"/>
      <c r="RTH19" s="30"/>
      <c r="RTI19" s="30"/>
      <c r="RTJ19" s="30"/>
      <c r="RTK19" s="30"/>
      <c r="RTL19" s="30"/>
      <c r="RTM19" s="30"/>
      <c r="RTN19" s="30"/>
      <c r="RTO19" s="30"/>
      <c r="RTP19" s="30"/>
      <c r="RTQ19" s="30"/>
      <c r="RTR19" s="30"/>
      <c r="RTS19" s="30"/>
      <c r="RTT19" s="30"/>
      <c r="RTU19" s="30"/>
      <c r="RTV19" s="30"/>
      <c r="RTW19" s="30"/>
      <c r="RTX19" s="30"/>
      <c r="RTY19" s="30"/>
      <c r="RTZ19" s="30"/>
      <c r="RUA19" s="30"/>
      <c r="RUB19" s="30"/>
      <c r="RUC19" s="30"/>
      <c r="RUD19" s="30"/>
      <c r="RUE19" s="30"/>
      <c r="RUF19" s="30"/>
      <c r="RUG19" s="30"/>
      <c r="RUH19" s="30"/>
      <c r="RUI19" s="30"/>
      <c r="RUJ19" s="30"/>
      <c r="RUK19" s="30"/>
      <c r="RUL19" s="30"/>
      <c r="RUM19" s="30"/>
      <c r="RUN19" s="30"/>
      <c r="RUO19" s="30"/>
      <c r="RUP19" s="30"/>
      <c r="RUQ19" s="30"/>
      <c r="RUR19" s="30"/>
      <c r="RUS19" s="30"/>
      <c r="RUT19" s="30"/>
      <c r="RUU19" s="30"/>
      <c r="RUV19" s="30"/>
      <c r="RUW19" s="30"/>
      <c r="RUX19" s="30"/>
      <c r="RUY19" s="30"/>
      <c r="RUZ19" s="30"/>
      <c r="RVA19" s="30"/>
      <c r="RVB19" s="30"/>
      <c r="RVC19" s="30"/>
      <c r="RVD19" s="30"/>
      <c r="RVE19" s="30"/>
      <c r="RVF19" s="30"/>
      <c r="RVG19" s="30"/>
      <c r="RVH19" s="30"/>
      <c r="RVI19" s="30"/>
      <c r="RVJ19" s="30"/>
      <c r="RVK19" s="30"/>
      <c r="RVL19" s="30"/>
      <c r="RVM19" s="30"/>
      <c r="RVN19" s="30"/>
      <c r="RVO19" s="30"/>
      <c r="RVP19" s="30"/>
      <c r="RVQ19" s="30"/>
      <c r="RVR19" s="30"/>
      <c r="RVS19" s="30"/>
      <c r="RVT19" s="30"/>
      <c r="RVU19" s="30"/>
      <c r="RVV19" s="30"/>
      <c r="RVW19" s="30"/>
      <c r="RVX19" s="30"/>
      <c r="RVY19" s="30"/>
      <c r="RVZ19" s="30"/>
      <c r="RWA19" s="30"/>
      <c r="RWB19" s="30"/>
      <c r="RWC19" s="30"/>
      <c r="RWD19" s="30"/>
      <c r="RWE19" s="30"/>
      <c r="RWF19" s="30"/>
      <c r="RWG19" s="30"/>
      <c r="RWH19" s="30"/>
      <c r="RWI19" s="30"/>
      <c r="RWJ19" s="30"/>
      <c r="RWK19" s="30"/>
      <c r="RWL19" s="30"/>
      <c r="RWM19" s="30"/>
      <c r="RWN19" s="30"/>
      <c r="RWO19" s="30"/>
      <c r="RWP19" s="30"/>
      <c r="RWQ19" s="30"/>
      <c r="RWR19" s="30"/>
      <c r="RWS19" s="30"/>
      <c r="RWT19" s="30"/>
      <c r="RWU19" s="30"/>
      <c r="RWV19" s="30"/>
      <c r="RWW19" s="30"/>
      <c r="RWX19" s="30"/>
      <c r="RWY19" s="30"/>
      <c r="RWZ19" s="30"/>
      <c r="RXA19" s="30"/>
      <c r="RXB19" s="30"/>
      <c r="RXC19" s="30"/>
      <c r="RXD19" s="30"/>
      <c r="RXE19" s="30"/>
      <c r="RXF19" s="30"/>
      <c r="RXG19" s="30"/>
      <c r="RXH19" s="30"/>
      <c r="RXI19" s="30"/>
      <c r="RXJ19" s="30"/>
      <c r="RXK19" s="30"/>
      <c r="RXL19" s="30"/>
      <c r="RXM19" s="30"/>
      <c r="RXN19" s="30"/>
      <c r="RXO19" s="30"/>
      <c r="RXP19" s="30"/>
      <c r="RXQ19" s="30"/>
      <c r="RXR19" s="30"/>
      <c r="RXS19" s="30"/>
      <c r="RXT19" s="30"/>
      <c r="RXU19" s="30"/>
      <c r="RXV19" s="30"/>
      <c r="RXW19" s="30"/>
      <c r="RXX19" s="30"/>
      <c r="RXY19" s="30"/>
      <c r="RXZ19" s="30"/>
      <c r="RYA19" s="30"/>
      <c r="RYB19" s="30"/>
      <c r="RYC19" s="30"/>
      <c r="RYD19" s="30"/>
      <c r="RYE19" s="30"/>
      <c r="RYF19" s="30"/>
      <c r="RYG19" s="30"/>
      <c r="RYH19" s="30"/>
      <c r="RYI19" s="30"/>
      <c r="RYJ19" s="30"/>
      <c r="RYK19" s="30"/>
      <c r="RYL19" s="30"/>
      <c r="RYM19" s="30"/>
      <c r="RYN19" s="30"/>
      <c r="RYO19" s="30"/>
      <c r="RYP19" s="30"/>
      <c r="RYQ19" s="30"/>
      <c r="RYR19" s="30"/>
      <c r="RYS19" s="30"/>
      <c r="RYT19" s="30"/>
      <c r="RYU19" s="30"/>
      <c r="RYV19" s="30"/>
      <c r="RYW19" s="30"/>
      <c r="RYX19" s="30"/>
      <c r="RYY19" s="30"/>
      <c r="RYZ19" s="30"/>
      <c r="RZA19" s="30"/>
      <c r="RZB19" s="30"/>
      <c r="RZC19" s="30"/>
      <c r="RZD19" s="30"/>
      <c r="RZE19" s="30"/>
      <c r="RZF19" s="30"/>
      <c r="RZG19" s="30"/>
      <c r="RZH19" s="30"/>
      <c r="RZI19" s="30"/>
      <c r="RZJ19" s="30"/>
      <c r="RZK19" s="30"/>
      <c r="RZL19" s="30"/>
      <c r="RZM19" s="30"/>
      <c r="RZN19" s="30"/>
      <c r="RZO19" s="30"/>
      <c r="RZP19" s="30"/>
      <c r="RZQ19" s="30"/>
      <c r="RZR19" s="30"/>
      <c r="RZS19" s="30"/>
      <c r="RZT19" s="30"/>
      <c r="RZU19" s="30"/>
      <c r="RZV19" s="30"/>
      <c r="RZW19" s="30"/>
      <c r="RZX19" s="30"/>
      <c r="RZY19" s="30"/>
      <c r="RZZ19" s="30"/>
      <c r="SAA19" s="30"/>
      <c r="SAB19" s="30"/>
      <c r="SAC19" s="30"/>
      <c r="SAD19" s="30"/>
      <c r="SAE19" s="30"/>
      <c r="SAF19" s="30"/>
      <c r="SAG19" s="30"/>
      <c r="SAH19" s="30"/>
      <c r="SAI19" s="30"/>
      <c r="SAJ19" s="30"/>
      <c r="SAK19" s="30"/>
      <c r="SAL19" s="30"/>
      <c r="SAM19" s="30"/>
      <c r="SAN19" s="30"/>
      <c r="SAO19" s="30"/>
      <c r="SAP19" s="30"/>
      <c r="SAQ19" s="30"/>
      <c r="SAR19" s="30"/>
      <c r="SAS19" s="30"/>
      <c r="SAT19" s="30"/>
      <c r="SAU19" s="30"/>
      <c r="SAV19" s="30"/>
      <c r="SAW19" s="30"/>
      <c r="SAX19" s="30"/>
      <c r="SAY19" s="30"/>
      <c r="SAZ19" s="30"/>
      <c r="SBA19" s="30"/>
      <c r="SBB19" s="30"/>
      <c r="SBC19" s="30"/>
      <c r="SBD19" s="30"/>
      <c r="SBE19" s="30"/>
      <c r="SBF19" s="30"/>
      <c r="SBG19" s="30"/>
      <c r="SBH19" s="30"/>
      <c r="SBI19" s="30"/>
      <c r="SBJ19" s="30"/>
      <c r="SBK19" s="30"/>
      <c r="SBL19" s="30"/>
      <c r="SBM19" s="30"/>
      <c r="SBN19" s="30"/>
      <c r="SBO19" s="30"/>
      <c r="SBP19" s="30"/>
      <c r="SBQ19" s="30"/>
      <c r="SBR19" s="30"/>
      <c r="SBS19" s="30"/>
      <c r="SBT19" s="30"/>
      <c r="SBU19" s="30"/>
      <c r="SBV19" s="30"/>
      <c r="SBW19" s="30"/>
      <c r="SBX19" s="30"/>
      <c r="SBY19" s="30"/>
      <c r="SBZ19" s="30"/>
      <c r="SCA19" s="30"/>
      <c r="SCB19" s="30"/>
      <c r="SCC19" s="30"/>
      <c r="SCD19" s="30"/>
      <c r="SCE19" s="30"/>
      <c r="SCF19" s="30"/>
      <c r="SCG19" s="30"/>
      <c r="SCH19" s="30"/>
      <c r="SCI19" s="30"/>
      <c r="SCJ19" s="30"/>
      <c r="SCK19" s="30"/>
      <c r="SCL19" s="30"/>
      <c r="SCM19" s="30"/>
      <c r="SCN19" s="30"/>
      <c r="SCO19" s="30"/>
      <c r="SCP19" s="30"/>
      <c r="SCQ19" s="30"/>
      <c r="SCR19" s="30"/>
      <c r="SCS19" s="30"/>
      <c r="SCT19" s="30"/>
      <c r="SCU19" s="30"/>
      <c r="SCV19" s="30"/>
      <c r="SCW19" s="30"/>
      <c r="SCX19" s="30"/>
      <c r="SCY19" s="30"/>
      <c r="SCZ19" s="30"/>
      <c r="SDA19" s="30"/>
      <c r="SDB19" s="30"/>
      <c r="SDC19" s="30"/>
      <c r="SDD19" s="30"/>
      <c r="SDE19" s="30"/>
      <c r="SDF19" s="30"/>
      <c r="SDG19" s="30"/>
      <c r="SDH19" s="30"/>
      <c r="SDI19" s="30"/>
      <c r="SDJ19" s="30"/>
      <c r="SDK19" s="30"/>
      <c r="SDL19" s="30"/>
      <c r="SDM19" s="30"/>
      <c r="SDN19" s="30"/>
      <c r="SDO19" s="30"/>
      <c r="SDP19" s="30"/>
      <c r="SDQ19" s="30"/>
      <c r="SDR19" s="30"/>
      <c r="SDS19" s="30"/>
      <c r="SDT19" s="30"/>
      <c r="SDU19" s="30"/>
      <c r="SDV19" s="30"/>
      <c r="SDW19" s="30"/>
      <c r="SDX19" s="30"/>
      <c r="SDY19" s="30"/>
      <c r="SDZ19" s="30"/>
      <c r="SEA19" s="30"/>
      <c r="SEB19" s="30"/>
      <c r="SEC19" s="30"/>
      <c r="SED19" s="30"/>
      <c r="SEE19" s="30"/>
      <c r="SEF19" s="30"/>
      <c r="SEG19" s="30"/>
      <c r="SEH19" s="30"/>
      <c r="SEI19" s="30"/>
      <c r="SEJ19" s="30"/>
      <c r="SEK19" s="30"/>
      <c r="SEL19" s="30"/>
      <c r="SEM19" s="30"/>
      <c r="SEN19" s="30"/>
      <c r="SEO19" s="30"/>
      <c r="SEP19" s="30"/>
      <c r="SEQ19" s="30"/>
      <c r="SER19" s="30"/>
      <c r="SES19" s="30"/>
      <c r="SET19" s="30"/>
      <c r="SEU19" s="30"/>
      <c r="SEV19" s="30"/>
      <c r="SEW19" s="30"/>
      <c r="SEX19" s="30"/>
      <c r="SEY19" s="30"/>
      <c r="SEZ19" s="30"/>
      <c r="SFA19" s="30"/>
      <c r="SFB19" s="30"/>
      <c r="SFC19" s="30"/>
      <c r="SFD19" s="30"/>
      <c r="SFE19" s="30"/>
      <c r="SFF19" s="30"/>
      <c r="SFG19" s="30"/>
      <c r="SFH19" s="30"/>
      <c r="SFI19" s="30"/>
      <c r="SFJ19" s="30"/>
      <c r="SFK19" s="30"/>
      <c r="SFL19" s="30"/>
      <c r="SFM19" s="30"/>
      <c r="SFN19" s="30"/>
      <c r="SFO19" s="30"/>
      <c r="SFP19" s="30"/>
      <c r="SFQ19" s="30"/>
      <c r="SFR19" s="30"/>
      <c r="SFS19" s="30"/>
      <c r="SFT19" s="30"/>
      <c r="SFU19" s="30"/>
      <c r="SFV19" s="30"/>
      <c r="SFW19" s="30"/>
      <c r="SFX19" s="30"/>
      <c r="SFY19" s="30"/>
      <c r="SFZ19" s="30"/>
      <c r="SGA19" s="30"/>
      <c r="SGB19" s="30"/>
      <c r="SGC19" s="30"/>
      <c r="SGD19" s="30"/>
      <c r="SGE19" s="30"/>
      <c r="SGF19" s="30"/>
      <c r="SGG19" s="30"/>
      <c r="SGH19" s="30"/>
      <c r="SGI19" s="30"/>
      <c r="SGJ19" s="30"/>
      <c r="SGK19" s="30"/>
      <c r="SGL19" s="30"/>
      <c r="SGM19" s="30"/>
      <c r="SGN19" s="30"/>
      <c r="SGO19" s="30"/>
      <c r="SGP19" s="30"/>
      <c r="SGQ19" s="30"/>
      <c r="SGR19" s="30"/>
      <c r="SGS19" s="30"/>
      <c r="SGT19" s="30"/>
      <c r="SGU19" s="30"/>
      <c r="SGV19" s="30"/>
      <c r="SGW19" s="30"/>
      <c r="SGX19" s="30"/>
      <c r="SGY19" s="30"/>
      <c r="SGZ19" s="30"/>
      <c r="SHA19" s="30"/>
      <c r="SHB19" s="30"/>
      <c r="SHC19" s="30"/>
      <c r="SHD19" s="30"/>
      <c r="SHE19" s="30"/>
      <c r="SHF19" s="30"/>
      <c r="SHG19" s="30"/>
      <c r="SHH19" s="30"/>
      <c r="SHI19" s="30"/>
      <c r="SHJ19" s="30"/>
      <c r="SHK19" s="30"/>
      <c r="SHL19" s="30"/>
      <c r="SHM19" s="30"/>
      <c r="SHN19" s="30"/>
      <c r="SHO19" s="30"/>
      <c r="SHP19" s="30"/>
      <c r="SHQ19" s="30"/>
      <c r="SHR19" s="30"/>
      <c r="SHS19" s="30"/>
      <c r="SHT19" s="30"/>
      <c r="SHU19" s="30"/>
      <c r="SHV19" s="30"/>
      <c r="SHW19" s="30"/>
      <c r="SHX19" s="30"/>
      <c r="SHY19" s="30"/>
      <c r="SHZ19" s="30"/>
      <c r="SIA19" s="30"/>
      <c r="SIB19" s="30"/>
      <c r="SIC19" s="30"/>
      <c r="SID19" s="30"/>
      <c r="SIE19" s="30"/>
      <c r="SIF19" s="30"/>
      <c r="SIG19" s="30"/>
      <c r="SIH19" s="30"/>
      <c r="SII19" s="30"/>
      <c r="SIJ19" s="30"/>
      <c r="SIK19" s="30"/>
      <c r="SIL19" s="30"/>
      <c r="SIM19" s="30"/>
      <c r="SIN19" s="30"/>
      <c r="SIO19" s="30"/>
      <c r="SIP19" s="30"/>
      <c r="SIQ19" s="30"/>
      <c r="SIR19" s="30"/>
      <c r="SIS19" s="30"/>
      <c r="SIT19" s="30"/>
      <c r="SIU19" s="30"/>
      <c r="SIV19" s="30"/>
      <c r="SIW19" s="30"/>
      <c r="SIX19" s="30"/>
      <c r="SIY19" s="30"/>
      <c r="SIZ19" s="30"/>
      <c r="SJA19" s="30"/>
      <c r="SJB19" s="30"/>
      <c r="SJC19" s="30"/>
      <c r="SJD19" s="30"/>
      <c r="SJE19" s="30"/>
      <c r="SJF19" s="30"/>
      <c r="SJG19" s="30"/>
      <c r="SJH19" s="30"/>
      <c r="SJI19" s="30"/>
      <c r="SJJ19" s="30"/>
      <c r="SJK19" s="30"/>
      <c r="SJL19" s="30"/>
      <c r="SJM19" s="30"/>
      <c r="SJN19" s="30"/>
      <c r="SJO19" s="30"/>
      <c r="SJP19" s="30"/>
      <c r="SJQ19" s="30"/>
      <c r="SJR19" s="30"/>
      <c r="SJS19" s="30"/>
      <c r="SJT19" s="30"/>
      <c r="SJU19" s="30"/>
      <c r="SJV19" s="30"/>
      <c r="SJW19" s="30"/>
      <c r="SJX19" s="30"/>
      <c r="SJY19" s="30"/>
      <c r="SJZ19" s="30"/>
      <c r="SKA19" s="30"/>
      <c r="SKB19" s="30"/>
      <c r="SKC19" s="30"/>
      <c r="SKD19" s="30"/>
      <c r="SKE19" s="30"/>
      <c r="SKF19" s="30"/>
      <c r="SKG19" s="30"/>
      <c r="SKH19" s="30"/>
      <c r="SKI19" s="30"/>
      <c r="SKJ19" s="30"/>
      <c r="SKK19" s="30"/>
      <c r="SKL19" s="30"/>
      <c r="SKM19" s="30"/>
      <c r="SKN19" s="30"/>
      <c r="SKO19" s="30"/>
      <c r="SKP19" s="30"/>
      <c r="SKQ19" s="30"/>
      <c r="SKR19" s="30"/>
      <c r="SKS19" s="30"/>
      <c r="SKT19" s="30"/>
      <c r="SKU19" s="30"/>
      <c r="SKV19" s="30"/>
      <c r="SKW19" s="30"/>
      <c r="SKX19" s="30"/>
      <c r="SKY19" s="30"/>
      <c r="SKZ19" s="30"/>
      <c r="SLA19" s="30"/>
      <c r="SLB19" s="30"/>
      <c r="SLC19" s="30"/>
      <c r="SLD19" s="30"/>
      <c r="SLE19" s="30"/>
      <c r="SLF19" s="30"/>
      <c r="SLG19" s="30"/>
      <c r="SLH19" s="30"/>
      <c r="SLI19" s="30"/>
      <c r="SLJ19" s="30"/>
      <c r="SLK19" s="30"/>
      <c r="SLL19" s="30"/>
      <c r="SLM19" s="30"/>
      <c r="SLN19" s="30"/>
      <c r="SLO19" s="30"/>
      <c r="SLP19" s="30"/>
      <c r="SLQ19" s="30"/>
      <c r="SLR19" s="30"/>
      <c r="SLS19" s="30"/>
      <c r="SLT19" s="30"/>
      <c r="SLU19" s="30"/>
      <c r="SLV19" s="30"/>
      <c r="SLW19" s="30"/>
      <c r="SLX19" s="30"/>
      <c r="SLY19" s="30"/>
      <c r="SLZ19" s="30"/>
      <c r="SMA19" s="30"/>
      <c r="SMB19" s="30"/>
      <c r="SMC19" s="30"/>
      <c r="SMD19" s="30"/>
      <c r="SME19" s="30"/>
      <c r="SMF19" s="30"/>
      <c r="SMG19" s="30"/>
      <c r="SMH19" s="30"/>
      <c r="SMI19" s="30"/>
      <c r="SMJ19" s="30"/>
      <c r="SMK19" s="30"/>
      <c r="SML19" s="30"/>
      <c r="SMM19" s="30"/>
      <c r="SMN19" s="30"/>
      <c r="SMO19" s="30"/>
      <c r="SMP19" s="30"/>
      <c r="SMQ19" s="30"/>
      <c r="SMR19" s="30"/>
      <c r="SMS19" s="30"/>
      <c r="SMT19" s="30"/>
      <c r="SMU19" s="30"/>
      <c r="SMV19" s="30"/>
      <c r="SMW19" s="30"/>
      <c r="SMX19" s="30"/>
      <c r="SMY19" s="30"/>
      <c r="SMZ19" s="30"/>
      <c r="SNA19" s="30"/>
      <c r="SNB19" s="30"/>
      <c r="SNC19" s="30"/>
      <c r="SND19" s="30"/>
      <c r="SNE19" s="30"/>
      <c r="SNF19" s="30"/>
      <c r="SNG19" s="30"/>
      <c r="SNH19" s="30"/>
      <c r="SNI19" s="30"/>
      <c r="SNJ19" s="30"/>
      <c r="SNK19" s="30"/>
      <c r="SNL19" s="30"/>
      <c r="SNM19" s="30"/>
      <c r="SNN19" s="30"/>
      <c r="SNO19" s="30"/>
      <c r="SNP19" s="30"/>
      <c r="SNQ19" s="30"/>
      <c r="SNR19" s="30"/>
      <c r="SNS19" s="30"/>
      <c r="SNT19" s="30"/>
      <c r="SNU19" s="30"/>
      <c r="SNV19" s="30"/>
      <c r="SNW19" s="30"/>
      <c r="SNX19" s="30"/>
      <c r="SNY19" s="30"/>
      <c r="SNZ19" s="30"/>
      <c r="SOA19" s="30"/>
      <c r="SOB19" s="30"/>
      <c r="SOC19" s="30"/>
      <c r="SOD19" s="30"/>
      <c r="SOE19" s="30"/>
      <c r="SOF19" s="30"/>
      <c r="SOG19" s="30"/>
      <c r="SOH19" s="30"/>
      <c r="SOI19" s="30"/>
      <c r="SOJ19" s="30"/>
      <c r="SOK19" s="30"/>
      <c r="SOL19" s="30"/>
      <c r="SOM19" s="30"/>
      <c r="SON19" s="30"/>
      <c r="SOO19" s="30"/>
      <c r="SOP19" s="30"/>
      <c r="SOQ19" s="30"/>
      <c r="SOR19" s="30"/>
      <c r="SOS19" s="30"/>
      <c r="SOT19" s="30"/>
      <c r="SOU19" s="30"/>
      <c r="SOV19" s="30"/>
      <c r="SOW19" s="30"/>
      <c r="SOX19" s="30"/>
      <c r="SOY19" s="30"/>
      <c r="SOZ19" s="30"/>
      <c r="SPA19" s="30"/>
      <c r="SPB19" s="30"/>
      <c r="SPC19" s="30"/>
      <c r="SPD19" s="30"/>
      <c r="SPE19" s="30"/>
      <c r="SPF19" s="30"/>
      <c r="SPG19" s="30"/>
      <c r="SPH19" s="30"/>
      <c r="SPI19" s="30"/>
      <c r="SPJ19" s="30"/>
      <c r="SPK19" s="30"/>
      <c r="SPL19" s="30"/>
      <c r="SPM19" s="30"/>
      <c r="SPN19" s="30"/>
      <c r="SPO19" s="30"/>
      <c r="SPP19" s="30"/>
      <c r="SPQ19" s="30"/>
      <c r="SPR19" s="30"/>
      <c r="SPS19" s="30"/>
      <c r="SPT19" s="30"/>
      <c r="SPU19" s="30"/>
      <c r="SPV19" s="30"/>
      <c r="SPW19" s="30"/>
      <c r="SPX19" s="30"/>
      <c r="SPY19" s="30"/>
      <c r="SPZ19" s="30"/>
      <c r="SQA19" s="30"/>
      <c r="SQB19" s="30"/>
      <c r="SQC19" s="30"/>
      <c r="SQD19" s="30"/>
      <c r="SQE19" s="30"/>
      <c r="SQF19" s="30"/>
      <c r="SQG19" s="30"/>
      <c r="SQH19" s="30"/>
      <c r="SQI19" s="30"/>
      <c r="SQJ19" s="30"/>
      <c r="SQK19" s="30"/>
      <c r="SQL19" s="30"/>
      <c r="SQM19" s="30"/>
      <c r="SQN19" s="30"/>
      <c r="SQO19" s="30"/>
      <c r="SQP19" s="30"/>
      <c r="SQQ19" s="30"/>
      <c r="SQR19" s="30"/>
      <c r="SQS19" s="30"/>
      <c r="SQT19" s="30"/>
      <c r="SQU19" s="30"/>
      <c r="SQV19" s="30"/>
      <c r="SQW19" s="30"/>
      <c r="SQX19" s="30"/>
      <c r="SQY19" s="30"/>
      <c r="SQZ19" s="30"/>
      <c r="SRA19" s="30"/>
      <c r="SRB19" s="30"/>
      <c r="SRC19" s="30"/>
      <c r="SRD19" s="30"/>
      <c r="SRE19" s="30"/>
      <c r="SRF19" s="30"/>
      <c r="SRG19" s="30"/>
      <c r="SRH19" s="30"/>
      <c r="SRI19" s="30"/>
      <c r="SRJ19" s="30"/>
      <c r="SRK19" s="30"/>
      <c r="SRL19" s="30"/>
      <c r="SRM19" s="30"/>
      <c r="SRN19" s="30"/>
      <c r="SRO19" s="30"/>
      <c r="SRP19" s="30"/>
      <c r="SRQ19" s="30"/>
      <c r="SRR19" s="30"/>
      <c r="SRS19" s="30"/>
      <c r="SRT19" s="30"/>
      <c r="SRU19" s="30"/>
      <c r="SRV19" s="30"/>
      <c r="SRW19" s="30"/>
      <c r="SRX19" s="30"/>
      <c r="SRY19" s="30"/>
      <c r="SRZ19" s="30"/>
      <c r="SSA19" s="30"/>
      <c r="SSB19" s="30"/>
      <c r="SSC19" s="30"/>
      <c r="SSD19" s="30"/>
      <c r="SSE19" s="30"/>
      <c r="SSF19" s="30"/>
      <c r="SSG19" s="30"/>
      <c r="SSH19" s="30"/>
      <c r="SSI19" s="30"/>
      <c r="SSJ19" s="30"/>
      <c r="SSK19" s="30"/>
      <c r="SSL19" s="30"/>
      <c r="SSM19" s="30"/>
      <c r="SSN19" s="30"/>
      <c r="SSO19" s="30"/>
      <c r="SSP19" s="30"/>
      <c r="SSQ19" s="30"/>
      <c r="SSR19" s="30"/>
      <c r="SSS19" s="30"/>
      <c r="SST19" s="30"/>
      <c r="SSU19" s="30"/>
      <c r="SSV19" s="30"/>
      <c r="SSW19" s="30"/>
      <c r="SSX19" s="30"/>
      <c r="SSY19" s="30"/>
      <c r="SSZ19" s="30"/>
      <c r="STA19" s="30"/>
      <c r="STB19" s="30"/>
      <c r="STC19" s="30"/>
      <c r="STD19" s="30"/>
      <c r="STE19" s="30"/>
      <c r="STF19" s="30"/>
      <c r="STG19" s="30"/>
      <c r="STH19" s="30"/>
      <c r="STI19" s="30"/>
      <c r="STJ19" s="30"/>
      <c r="STK19" s="30"/>
      <c r="STL19" s="30"/>
      <c r="STM19" s="30"/>
      <c r="STN19" s="30"/>
      <c r="STO19" s="30"/>
      <c r="STP19" s="30"/>
      <c r="STQ19" s="30"/>
      <c r="STR19" s="30"/>
      <c r="STS19" s="30"/>
      <c r="STT19" s="30"/>
      <c r="STU19" s="30"/>
      <c r="STV19" s="30"/>
      <c r="STW19" s="30"/>
      <c r="STX19" s="30"/>
      <c r="STY19" s="30"/>
      <c r="STZ19" s="30"/>
      <c r="SUA19" s="30"/>
      <c r="SUB19" s="30"/>
      <c r="SUC19" s="30"/>
      <c r="SUD19" s="30"/>
      <c r="SUE19" s="30"/>
      <c r="SUF19" s="30"/>
      <c r="SUG19" s="30"/>
      <c r="SUH19" s="30"/>
      <c r="SUI19" s="30"/>
      <c r="SUJ19" s="30"/>
      <c r="SUK19" s="30"/>
      <c r="SUL19" s="30"/>
      <c r="SUM19" s="30"/>
      <c r="SUN19" s="30"/>
      <c r="SUO19" s="30"/>
      <c r="SUP19" s="30"/>
      <c r="SUQ19" s="30"/>
      <c r="SUR19" s="30"/>
      <c r="SUS19" s="30"/>
      <c r="SUT19" s="30"/>
      <c r="SUU19" s="30"/>
      <c r="SUV19" s="30"/>
      <c r="SUW19" s="30"/>
      <c r="SUX19" s="30"/>
      <c r="SUY19" s="30"/>
      <c r="SUZ19" s="30"/>
      <c r="SVA19" s="30"/>
      <c r="SVB19" s="30"/>
      <c r="SVC19" s="30"/>
      <c r="SVD19" s="30"/>
      <c r="SVE19" s="30"/>
      <c r="SVF19" s="30"/>
      <c r="SVG19" s="30"/>
      <c r="SVH19" s="30"/>
      <c r="SVI19" s="30"/>
      <c r="SVJ19" s="30"/>
      <c r="SVK19" s="30"/>
      <c r="SVL19" s="30"/>
      <c r="SVM19" s="30"/>
      <c r="SVN19" s="30"/>
      <c r="SVO19" s="30"/>
      <c r="SVP19" s="30"/>
      <c r="SVQ19" s="30"/>
      <c r="SVR19" s="30"/>
      <c r="SVS19" s="30"/>
      <c r="SVT19" s="30"/>
      <c r="SVU19" s="30"/>
      <c r="SVV19" s="30"/>
      <c r="SVW19" s="30"/>
      <c r="SVX19" s="30"/>
      <c r="SVY19" s="30"/>
      <c r="SVZ19" s="30"/>
      <c r="SWA19" s="30"/>
      <c r="SWB19" s="30"/>
      <c r="SWC19" s="30"/>
      <c r="SWD19" s="30"/>
      <c r="SWE19" s="30"/>
      <c r="SWF19" s="30"/>
      <c r="SWG19" s="30"/>
      <c r="SWH19" s="30"/>
      <c r="SWI19" s="30"/>
      <c r="SWJ19" s="30"/>
      <c r="SWK19" s="30"/>
      <c r="SWL19" s="30"/>
      <c r="SWM19" s="30"/>
      <c r="SWN19" s="30"/>
      <c r="SWO19" s="30"/>
      <c r="SWP19" s="30"/>
      <c r="SWQ19" s="30"/>
      <c r="SWR19" s="30"/>
      <c r="SWS19" s="30"/>
      <c r="SWT19" s="30"/>
      <c r="SWU19" s="30"/>
      <c r="SWV19" s="30"/>
      <c r="SWW19" s="30"/>
      <c r="SWX19" s="30"/>
      <c r="SWY19" s="30"/>
      <c r="SWZ19" s="30"/>
      <c r="SXA19" s="30"/>
      <c r="SXB19" s="30"/>
      <c r="SXC19" s="30"/>
      <c r="SXD19" s="30"/>
      <c r="SXE19" s="30"/>
      <c r="SXF19" s="30"/>
      <c r="SXG19" s="30"/>
      <c r="SXH19" s="30"/>
      <c r="SXI19" s="30"/>
      <c r="SXJ19" s="30"/>
      <c r="SXK19" s="30"/>
      <c r="SXL19" s="30"/>
      <c r="SXM19" s="30"/>
      <c r="SXN19" s="30"/>
      <c r="SXO19" s="30"/>
      <c r="SXP19" s="30"/>
      <c r="SXQ19" s="30"/>
      <c r="SXR19" s="30"/>
      <c r="SXS19" s="30"/>
      <c r="SXT19" s="30"/>
      <c r="SXU19" s="30"/>
      <c r="SXV19" s="30"/>
      <c r="SXW19" s="30"/>
      <c r="SXX19" s="30"/>
      <c r="SXY19" s="30"/>
      <c r="SXZ19" s="30"/>
      <c r="SYA19" s="30"/>
      <c r="SYB19" s="30"/>
      <c r="SYC19" s="30"/>
      <c r="SYD19" s="30"/>
      <c r="SYE19" s="30"/>
      <c r="SYF19" s="30"/>
      <c r="SYG19" s="30"/>
      <c r="SYH19" s="30"/>
      <c r="SYI19" s="30"/>
      <c r="SYJ19" s="30"/>
      <c r="SYK19" s="30"/>
      <c r="SYL19" s="30"/>
      <c r="SYM19" s="30"/>
      <c r="SYN19" s="30"/>
      <c r="SYO19" s="30"/>
      <c r="SYP19" s="30"/>
      <c r="SYQ19" s="30"/>
      <c r="SYR19" s="30"/>
      <c r="SYS19" s="30"/>
      <c r="SYT19" s="30"/>
      <c r="SYU19" s="30"/>
      <c r="SYV19" s="30"/>
      <c r="SYW19" s="30"/>
      <c r="SYX19" s="30"/>
      <c r="SYY19" s="30"/>
      <c r="SYZ19" s="30"/>
      <c r="SZA19" s="30"/>
      <c r="SZB19" s="30"/>
      <c r="SZC19" s="30"/>
      <c r="SZD19" s="30"/>
      <c r="SZE19" s="30"/>
      <c r="SZF19" s="30"/>
      <c r="SZG19" s="30"/>
      <c r="SZH19" s="30"/>
      <c r="SZI19" s="30"/>
      <c r="SZJ19" s="30"/>
      <c r="SZK19" s="30"/>
      <c r="SZL19" s="30"/>
      <c r="SZM19" s="30"/>
      <c r="SZN19" s="30"/>
      <c r="SZO19" s="30"/>
      <c r="SZP19" s="30"/>
      <c r="SZQ19" s="30"/>
      <c r="SZR19" s="30"/>
      <c r="SZS19" s="30"/>
      <c r="SZT19" s="30"/>
      <c r="SZU19" s="30"/>
      <c r="SZV19" s="30"/>
      <c r="SZW19" s="30"/>
      <c r="SZX19" s="30"/>
      <c r="SZY19" s="30"/>
      <c r="SZZ19" s="30"/>
      <c r="TAA19" s="30"/>
      <c r="TAB19" s="30"/>
      <c r="TAC19" s="30"/>
      <c r="TAD19" s="30"/>
      <c r="TAE19" s="30"/>
      <c r="TAF19" s="30"/>
      <c r="TAG19" s="30"/>
      <c r="TAH19" s="30"/>
      <c r="TAI19" s="30"/>
      <c r="TAJ19" s="30"/>
      <c r="TAK19" s="30"/>
      <c r="TAL19" s="30"/>
      <c r="TAM19" s="30"/>
      <c r="TAN19" s="30"/>
      <c r="TAO19" s="30"/>
      <c r="TAP19" s="30"/>
      <c r="TAQ19" s="30"/>
      <c r="TAR19" s="30"/>
      <c r="TAS19" s="30"/>
      <c r="TAT19" s="30"/>
      <c r="TAU19" s="30"/>
      <c r="TAV19" s="30"/>
      <c r="TAW19" s="30"/>
      <c r="TAX19" s="30"/>
      <c r="TAY19" s="30"/>
      <c r="TAZ19" s="30"/>
      <c r="TBA19" s="30"/>
      <c r="TBB19" s="30"/>
      <c r="TBC19" s="30"/>
      <c r="TBD19" s="30"/>
      <c r="TBE19" s="30"/>
      <c r="TBF19" s="30"/>
      <c r="TBG19" s="30"/>
      <c r="TBH19" s="30"/>
      <c r="TBI19" s="30"/>
      <c r="TBJ19" s="30"/>
      <c r="TBK19" s="30"/>
      <c r="TBL19" s="30"/>
      <c r="TBM19" s="30"/>
      <c r="TBN19" s="30"/>
      <c r="TBO19" s="30"/>
      <c r="TBP19" s="30"/>
      <c r="TBQ19" s="30"/>
      <c r="TBR19" s="30"/>
      <c r="TBS19" s="30"/>
      <c r="TBT19" s="30"/>
      <c r="TBU19" s="30"/>
      <c r="TBV19" s="30"/>
      <c r="TBW19" s="30"/>
      <c r="TBX19" s="30"/>
      <c r="TBY19" s="30"/>
      <c r="TBZ19" s="30"/>
      <c r="TCA19" s="30"/>
      <c r="TCB19" s="30"/>
      <c r="TCC19" s="30"/>
      <c r="TCD19" s="30"/>
      <c r="TCE19" s="30"/>
      <c r="TCF19" s="30"/>
      <c r="TCG19" s="30"/>
      <c r="TCH19" s="30"/>
      <c r="TCI19" s="30"/>
      <c r="TCJ19" s="30"/>
      <c r="TCK19" s="30"/>
      <c r="TCL19" s="30"/>
      <c r="TCM19" s="30"/>
      <c r="TCN19" s="30"/>
      <c r="TCO19" s="30"/>
      <c r="TCP19" s="30"/>
      <c r="TCQ19" s="30"/>
      <c r="TCR19" s="30"/>
      <c r="TCS19" s="30"/>
      <c r="TCT19" s="30"/>
      <c r="TCU19" s="30"/>
      <c r="TCV19" s="30"/>
      <c r="TCW19" s="30"/>
      <c r="TCX19" s="30"/>
      <c r="TCY19" s="30"/>
      <c r="TCZ19" s="30"/>
      <c r="TDA19" s="30"/>
      <c r="TDB19" s="30"/>
      <c r="TDC19" s="30"/>
      <c r="TDD19" s="30"/>
      <c r="TDE19" s="30"/>
      <c r="TDF19" s="30"/>
      <c r="TDG19" s="30"/>
      <c r="TDH19" s="30"/>
      <c r="TDI19" s="30"/>
      <c r="TDJ19" s="30"/>
      <c r="TDK19" s="30"/>
      <c r="TDL19" s="30"/>
      <c r="TDM19" s="30"/>
      <c r="TDN19" s="30"/>
      <c r="TDO19" s="30"/>
      <c r="TDP19" s="30"/>
      <c r="TDQ19" s="30"/>
      <c r="TDR19" s="30"/>
      <c r="TDS19" s="30"/>
      <c r="TDT19" s="30"/>
      <c r="TDU19" s="30"/>
      <c r="TDV19" s="30"/>
      <c r="TDW19" s="30"/>
      <c r="TDX19" s="30"/>
      <c r="TDY19" s="30"/>
      <c r="TDZ19" s="30"/>
      <c r="TEA19" s="30"/>
      <c r="TEB19" s="30"/>
      <c r="TEC19" s="30"/>
      <c r="TED19" s="30"/>
      <c r="TEE19" s="30"/>
      <c r="TEF19" s="30"/>
      <c r="TEG19" s="30"/>
      <c r="TEH19" s="30"/>
      <c r="TEI19" s="30"/>
      <c r="TEJ19" s="30"/>
      <c r="TEK19" s="30"/>
      <c r="TEL19" s="30"/>
      <c r="TEM19" s="30"/>
      <c r="TEN19" s="30"/>
      <c r="TEO19" s="30"/>
      <c r="TEP19" s="30"/>
      <c r="TEQ19" s="30"/>
      <c r="TER19" s="30"/>
      <c r="TES19" s="30"/>
      <c r="TET19" s="30"/>
      <c r="TEU19" s="30"/>
      <c r="TEV19" s="30"/>
      <c r="TEW19" s="30"/>
      <c r="TEX19" s="30"/>
      <c r="TEY19" s="30"/>
      <c r="TEZ19" s="30"/>
      <c r="TFA19" s="30"/>
      <c r="TFB19" s="30"/>
      <c r="TFC19" s="30"/>
      <c r="TFD19" s="30"/>
      <c r="TFE19" s="30"/>
      <c r="TFF19" s="30"/>
      <c r="TFG19" s="30"/>
      <c r="TFH19" s="30"/>
      <c r="TFI19" s="30"/>
      <c r="TFJ19" s="30"/>
      <c r="TFK19" s="30"/>
      <c r="TFL19" s="30"/>
      <c r="TFM19" s="30"/>
      <c r="TFN19" s="30"/>
      <c r="TFO19" s="30"/>
      <c r="TFP19" s="30"/>
      <c r="TFQ19" s="30"/>
      <c r="TFR19" s="30"/>
      <c r="TFS19" s="30"/>
      <c r="TFT19" s="30"/>
      <c r="TFU19" s="30"/>
      <c r="TFV19" s="30"/>
      <c r="TFW19" s="30"/>
      <c r="TFX19" s="30"/>
      <c r="TFY19" s="30"/>
      <c r="TFZ19" s="30"/>
      <c r="TGA19" s="30"/>
      <c r="TGB19" s="30"/>
      <c r="TGC19" s="30"/>
      <c r="TGD19" s="30"/>
      <c r="TGE19" s="30"/>
      <c r="TGF19" s="30"/>
      <c r="TGG19" s="30"/>
      <c r="TGH19" s="30"/>
      <c r="TGI19" s="30"/>
      <c r="TGJ19" s="30"/>
      <c r="TGK19" s="30"/>
      <c r="TGL19" s="30"/>
      <c r="TGM19" s="30"/>
      <c r="TGN19" s="30"/>
      <c r="TGO19" s="30"/>
      <c r="TGP19" s="30"/>
      <c r="TGQ19" s="30"/>
      <c r="TGR19" s="30"/>
      <c r="TGS19" s="30"/>
      <c r="TGT19" s="30"/>
      <c r="TGU19" s="30"/>
      <c r="TGV19" s="30"/>
      <c r="TGW19" s="30"/>
      <c r="TGX19" s="30"/>
      <c r="TGY19" s="30"/>
      <c r="TGZ19" s="30"/>
      <c r="THA19" s="30"/>
      <c r="THB19" s="30"/>
      <c r="THC19" s="30"/>
      <c r="THD19" s="30"/>
      <c r="THE19" s="30"/>
      <c r="THF19" s="30"/>
      <c r="THG19" s="30"/>
      <c r="THH19" s="30"/>
      <c r="THI19" s="30"/>
      <c r="THJ19" s="30"/>
      <c r="THK19" s="30"/>
      <c r="THL19" s="30"/>
      <c r="THM19" s="30"/>
      <c r="THN19" s="30"/>
      <c r="THO19" s="30"/>
      <c r="THP19" s="30"/>
      <c r="THQ19" s="30"/>
      <c r="THR19" s="30"/>
      <c r="THS19" s="30"/>
      <c r="THT19" s="30"/>
      <c r="THU19" s="30"/>
      <c r="THV19" s="30"/>
      <c r="THW19" s="30"/>
      <c r="THX19" s="30"/>
      <c r="THY19" s="30"/>
      <c r="THZ19" s="30"/>
      <c r="TIA19" s="30"/>
      <c r="TIB19" s="30"/>
      <c r="TIC19" s="30"/>
      <c r="TID19" s="30"/>
      <c r="TIE19" s="30"/>
      <c r="TIF19" s="30"/>
      <c r="TIG19" s="30"/>
      <c r="TIH19" s="30"/>
      <c r="TII19" s="30"/>
      <c r="TIJ19" s="30"/>
      <c r="TIK19" s="30"/>
      <c r="TIL19" s="30"/>
      <c r="TIM19" s="30"/>
      <c r="TIN19" s="30"/>
      <c r="TIO19" s="30"/>
      <c r="TIP19" s="30"/>
      <c r="TIQ19" s="30"/>
      <c r="TIR19" s="30"/>
      <c r="TIS19" s="30"/>
      <c r="TIT19" s="30"/>
      <c r="TIU19" s="30"/>
      <c r="TIV19" s="30"/>
      <c r="TIW19" s="30"/>
      <c r="TIX19" s="30"/>
      <c r="TIY19" s="30"/>
      <c r="TIZ19" s="30"/>
      <c r="TJA19" s="30"/>
      <c r="TJB19" s="30"/>
      <c r="TJC19" s="30"/>
      <c r="TJD19" s="30"/>
      <c r="TJE19" s="30"/>
      <c r="TJF19" s="30"/>
      <c r="TJG19" s="30"/>
      <c r="TJH19" s="30"/>
      <c r="TJI19" s="30"/>
      <c r="TJJ19" s="30"/>
      <c r="TJK19" s="30"/>
      <c r="TJL19" s="30"/>
      <c r="TJM19" s="30"/>
      <c r="TJN19" s="30"/>
      <c r="TJO19" s="30"/>
      <c r="TJP19" s="30"/>
      <c r="TJQ19" s="30"/>
      <c r="TJR19" s="30"/>
      <c r="TJS19" s="30"/>
      <c r="TJT19" s="30"/>
      <c r="TJU19" s="30"/>
      <c r="TJV19" s="30"/>
      <c r="TJW19" s="30"/>
      <c r="TJX19" s="30"/>
      <c r="TJY19" s="30"/>
      <c r="TJZ19" s="30"/>
      <c r="TKA19" s="30"/>
      <c r="TKB19" s="30"/>
      <c r="TKC19" s="30"/>
      <c r="TKD19" s="30"/>
      <c r="TKE19" s="30"/>
      <c r="TKF19" s="30"/>
      <c r="TKG19" s="30"/>
      <c r="TKH19" s="30"/>
      <c r="TKI19" s="30"/>
      <c r="TKJ19" s="30"/>
      <c r="TKK19" s="30"/>
      <c r="TKL19" s="30"/>
      <c r="TKM19" s="30"/>
      <c r="TKN19" s="30"/>
      <c r="TKO19" s="30"/>
      <c r="TKP19" s="30"/>
      <c r="TKQ19" s="30"/>
      <c r="TKR19" s="30"/>
      <c r="TKS19" s="30"/>
      <c r="TKT19" s="30"/>
      <c r="TKU19" s="30"/>
      <c r="TKV19" s="30"/>
      <c r="TKW19" s="30"/>
      <c r="TKX19" s="30"/>
      <c r="TKY19" s="30"/>
      <c r="TKZ19" s="30"/>
      <c r="TLA19" s="30"/>
      <c r="TLB19" s="30"/>
      <c r="TLC19" s="30"/>
      <c r="TLD19" s="30"/>
      <c r="TLE19" s="30"/>
      <c r="TLF19" s="30"/>
      <c r="TLG19" s="30"/>
      <c r="TLH19" s="30"/>
      <c r="TLI19" s="30"/>
      <c r="TLJ19" s="30"/>
      <c r="TLK19" s="30"/>
      <c r="TLL19" s="30"/>
      <c r="TLM19" s="30"/>
      <c r="TLN19" s="30"/>
      <c r="TLO19" s="30"/>
      <c r="TLP19" s="30"/>
      <c r="TLQ19" s="30"/>
      <c r="TLR19" s="30"/>
      <c r="TLS19" s="30"/>
      <c r="TLT19" s="30"/>
      <c r="TLU19" s="30"/>
      <c r="TLV19" s="30"/>
      <c r="TLW19" s="30"/>
      <c r="TLX19" s="30"/>
      <c r="TLY19" s="30"/>
      <c r="TLZ19" s="30"/>
      <c r="TMA19" s="30"/>
      <c r="TMB19" s="30"/>
      <c r="TMC19" s="30"/>
      <c r="TMD19" s="30"/>
      <c r="TME19" s="30"/>
      <c r="TMF19" s="30"/>
      <c r="TMG19" s="30"/>
      <c r="TMH19" s="30"/>
      <c r="TMI19" s="30"/>
      <c r="TMJ19" s="30"/>
      <c r="TMK19" s="30"/>
      <c r="TML19" s="30"/>
      <c r="TMM19" s="30"/>
      <c r="TMN19" s="30"/>
      <c r="TMO19" s="30"/>
      <c r="TMP19" s="30"/>
      <c r="TMQ19" s="30"/>
      <c r="TMR19" s="30"/>
      <c r="TMS19" s="30"/>
      <c r="TMT19" s="30"/>
      <c r="TMU19" s="30"/>
      <c r="TMV19" s="30"/>
      <c r="TMW19" s="30"/>
      <c r="TMX19" s="30"/>
      <c r="TMY19" s="30"/>
      <c r="TMZ19" s="30"/>
      <c r="TNA19" s="30"/>
      <c r="TNB19" s="30"/>
      <c r="TNC19" s="30"/>
      <c r="TND19" s="30"/>
      <c r="TNE19" s="30"/>
      <c r="TNF19" s="30"/>
      <c r="TNG19" s="30"/>
      <c r="TNH19" s="30"/>
      <c r="TNI19" s="30"/>
      <c r="TNJ19" s="30"/>
      <c r="TNK19" s="30"/>
      <c r="TNL19" s="30"/>
      <c r="TNM19" s="30"/>
      <c r="TNN19" s="30"/>
      <c r="TNO19" s="30"/>
      <c r="TNP19" s="30"/>
      <c r="TNQ19" s="30"/>
      <c r="TNR19" s="30"/>
      <c r="TNS19" s="30"/>
      <c r="TNT19" s="30"/>
      <c r="TNU19" s="30"/>
      <c r="TNV19" s="30"/>
      <c r="TNW19" s="30"/>
      <c r="TNX19" s="30"/>
      <c r="TNY19" s="30"/>
      <c r="TNZ19" s="30"/>
      <c r="TOA19" s="30"/>
      <c r="TOB19" s="30"/>
      <c r="TOC19" s="30"/>
      <c r="TOD19" s="30"/>
      <c r="TOE19" s="30"/>
      <c r="TOF19" s="30"/>
      <c r="TOG19" s="30"/>
      <c r="TOH19" s="30"/>
      <c r="TOI19" s="30"/>
      <c r="TOJ19" s="30"/>
      <c r="TOK19" s="30"/>
      <c r="TOL19" s="30"/>
      <c r="TOM19" s="30"/>
      <c r="TON19" s="30"/>
      <c r="TOO19" s="30"/>
      <c r="TOP19" s="30"/>
      <c r="TOQ19" s="30"/>
      <c r="TOR19" s="30"/>
      <c r="TOS19" s="30"/>
      <c r="TOT19" s="30"/>
      <c r="TOU19" s="30"/>
      <c r="TOV19" s="30"/>
      <c r="TOW19" s="30"/>
      <c r="TOX19" s="30"/>
      <c r="TOY19" s="30"/>
      <c r="TOZ19" s="30"/>
      <c r="TPA19" s="30"/>
      <c r="TPB19" s="30"/>
      <c r="TPC19" s="30"/>
      <c r="TPD19" s="30"/>
      <c r="TPE19" s="30"/>
      <c r="TPF19" s="30"/>
      <c r="TPG19" s="30"/>
      <c r="TPH19" s="30"/>
      <c r="TPI19" s="30"/>
      <c r="TPJ19" s="30"/>
      <c r="TPK19" s="30"/>
      <c r="TPL19" s="30"/>
      <c r="TPM19" s="30"/>
      <c r="TPN19" s="30"/>
      <c r="TPO19" s="30"/>
      <c r="TPP19" s="30"/>
      <c r="TPQ19" s="30"/>
      <c r="TPR19" s="30"/>
      <c r="TPS19" s="30"/>
      <c r="TPT19" s="30"/>
      <c r="TPU19" s="30"/>
      <c r="TPV19" s="30"/>
      <c r="TPW19" s="30"/>
      <c r="TPX19" s="30"/>
      <c r="TPY19" s="30"/>
      <c r="TPZ19" s="30"/>
      <c r="TQA19" s="30"/>
      <c r="TQB19" s="30"/>
      <c r="TQC19" s="30"/>
      <c r="TQD19" s="30"/>
      <c r="TQE19" s="30"/>
      <c r="TQF19" s="30"/>
      <c r="TQG19" s="30"/>
      <c r="TQH19" s="30"/>
      <c r="TQI19" s="30"/>
      <c r="TQJ19" s="30"/>
      <c r="TQK19" s="30"/>
      <c r="TQL19" s="30"/>
      <c r="TQM19" s="30"/>
      <c r="TQN19" s="30"/>
      <c r="TQO19" s="30"/>
      <c r="TQP19" s="30"/>
      <c r="TQQ19" s="30"/>
      <c r="TQR19" s="30"/>
      <c r="TQS19" s="30"/>
      <c r="TQT19" s="30"/>
      <c r="TQU19" s="30"/>
      <c r="TQV19" s="30"/>
      <c r="TQW19" s="30"/>
      <c r="TQX19" s="30"/>
      <c r="TQY19" s="30"/>
      <c r="TQZ19" s="30"/>
      <c r="TRA19" s="30"/>
      <c r="TRB19" s="30"/>
      <c r="TRC19" s="30"/>
      <c r="TRD19" s="30"/>
      <c r="TRE19" s="30"/>
      <c r="TRF19" s="30"/>
      <c r="TRG19" s="30"/>
      <c r="TRH19" s="30"/>
      <c r="TRI19" s="30"/>
      <c r="TRJ19" s="30"/>
      <c r="TRK19" s="30"/>
      <c r="TRL19" s="30"/>
      <c r="TRM19" s="30"/>
      <c r="TRN19" s="30"/>
      <c r="TRO19" s="30"/>
      <c r="TRP19" s="30"/>
      <c r="TRQ19" s="30"/>
      <c r="TRR19" s="30"/>
      <c r="TRS19" s="30"/>
      <c r="TRT19" s="30"/>
      <c r="TRU19" s="30"/>
      <c r="TRV19" s="30"/>
      <c r="TRW19" s="30"/>
      <c r="TRX19" s="30"/>
      <c r="TRY19" s="30"/>
      <c r="TRZ19" s="30"/>
      <c r="TSA19" s="30"/>
      <c r="TSB19" s="30"/>
      <c r="TSC19" s="30"/>
      <c r="TSD19" s="30"/>
      <c r="TSE19" s="30"/>
      <c r="TSF19" s="30"/>
      <c r="TSG19" s="30"/>
      <c r="TSH19" s="30"/>
      <c r="TSI19" s="30"/>
      <c r="TSJ19" s="30"/>
      <c r="TSK19" s="30"/>
      <c r="TSL19" s="30"/>
      <c r="TSM19" s="30"/>
      <c r="TSN19" s="30"/>
      <c r="TSO19" s="30"/>
      <c r="TSP19" s="30"/>
      <c r="TSQ19" s="30"/>
      <c r="TSR19" s="30"/>
      <c r="TSS19" s="30"/>
      <c r="TST19" s="30"/>
      <c r="TSU19" s="30"/>
      <c r="TSV19" s="30"/>
      <c r="TSW19" s="30"/>
      <c r="TSX19" s="30"/>
      <c r="TSY19" s="30"/>
      <c r="TSZ19" s="30"/>
      <c r="TTA19" s="30"/>
      <c r="TTB19" s="30"/>
      <c r="TTC19" s="30"/>
      <c r="TTD19" s="30"/>
      <c r="TTE19" s="30"/>
      <c r="TTF19" s="30"/>
      <c r="TTG19" s="30"/>
      <c r="TTH19" s="30"/>
      <c r="TTI19" s="30"/>
      <c r="TTJ19" s="30"/>
      <c r="TTK19" s="30"/>
      <c r="TTL19" s="30"/>
      <c r="TTM19" s="30"/>
      <c r="TTN19" s="30"/>
      <c r="TTO19" s="30"/>
      <c r="TTP19" s="30"/>
      <c r="TTQ19" s="30"/>
      <c r="TTR19" s="30"/>
      <c r="TTS19" s="30"/>
      <c r="TTT19" s="30"/>
      <c r="TTU19" s="30"/>
      <c r="TTV19" s="30"/>
      <c r="TTW19" s="30"/>
      <c r="TTX19" s="30"/>
      <c r="TTY19" s="30"/>
      <c r="TTZ19" s="30"/>
      <c r="TUA19" s="30"/>
      <c r="TUB19" s="30"/>
      <c r="TUC19" s="30"/>
      <c r="TUD19" s="30"/>
      <c r="TUE19" s="30"/>
      <c r="TUF19" s="30"/>
      <c r="TUG19" s="30"/>
      <c r="TUH19" s="30"/>
      <c r="TUI19" s="30"/>
      <c r="TUJ19" s="30"/>
      <c r="TUK19" s="30"/>
      <c r="TUL19" s="30"/>
      <c r="TUM19" s="30"/>
      <c r="TUN19" s="30"/>
      <c r="TUO19" s="30"/>
      <c r="TUP19" s="30"/>
      <c r="TUQ19" s="30"/>
      <c r="TUR19" s="30"/>
      <c r="TUS19" s="30"/>
      <c r="TUT19" s="30"/>
      <c r="TUU19" s="30"/>
      <c r="TUV19" s="30"/>
      <c r="TUW19" s="30"/>
      <c r="TUX19" s="30"/>
      <c r="TUY19" s="30"/>
      <c r="TUZ19" s="30"/>
      <c r="TVA19" s="30"/>
      <c r="TVB19" s="30"/>
      <c r="TVC19" s="30"/>
      <c r="TVD19" s="30"/>
      <c r="TVE19" s="30"/>
      <c r="TVF19" s="30"/>
      <c r="TVG19" s="30"/>
      <c r="TVH19" s="30"/>
      <c r="TVI19" s="30"/>
      <c r="TVJ19" s="30"/>
      <c r="TVK19" s="30"/>
      <c r="TVL19" s="30"/>
      <c r="TVM19" s="30"/>
      <c r="TVN19" s="30"/>
      <c r="TVO19" s="30"/>
      <c r="TVP19" s="30"/>
      <c r="TVQ19" s="30"/>
      <c r="TVR19" s="30"/>
      <c r="TVS19" s="30"/>
      <c r="TVT19" s="30"/>
      <c r="TVU19" s="30"/>
      <c r="TVV19" s="30"/>
      <c r="TVW19" s="30"/>
      <c r="TVX19" s="30"/>
      <c r="TVY19" s="30"/>
      <c r="TVZ19" s="30"/>
      <c r="TWA19" s="30"/>
      <c r="TWB19" s="30"/>
      <c r="TWC19" s="30"/>
      <c r="TWD19" s="30"/>
      <c r="TWE19" s="30"/>
      <c r="TWF19" s="30"/>
      <c r="TWG19" s="30"/>
      <c r="TWH19" s="30"/>
      <c r="TWI19" s="30"/>
      <c r="TWJ19" s="30"/>
      <c r="TWK19" s="30"/>
      <c r="TWL19" s="30"/>
      <c r="TWM19" s="30"/>
      <c r="TWN19" s="30"/>
      <c r="TWO19" s="30"/>
      <c r="TWP19" s="30"/>
      <c r="TWQ19" s="30"/>
      <c r="TWR19" s="30"/>
      <c r="TWS19" s="30"/>
      <c r="TWT19" s="30"/>
      <c r="TWU19" s="30"/>
      <c r="TWV19" s="30"/>
      <c r="TWW19" s="30"/>
      <c r="TWX19" s="30"/>
      <c r="TWY19" s="30"/>
      <c r="TWZ19" s="30"/>
      <c r="TXA19" s="30"/>
      <c r="TXB19" s="30"/>
      <c r="TXC19" s="30"/>
      <c r="TXD19" s="30"/>
      <c r="TXE19" s="30"/>
      <c r="TXF19" s="30"/>
      <c r="TXG19" s="30"/>
      <c r="TXH19" s="30"/>
      <c r="TXI19" s="30"/>
      <c r="TXJ19" s="30"/>
      <c r="TXK19" s="30"/>
      <c r="TXL19" s="30"/>
      <c r="TXM19" s="30"/>
      <c r="TXN19" s="30"/>
      <c r="TXO19" s="30"/>
      <c r="TXP19" s="30"/>
      <c r="TXQ19" s="30"/>
      <c r="TXR19" s="30"/>
      <c r="TXS19" s="30"/>
      <c r="TXT19" s="30"/>
      <c r="TXU19" s="30"/>
      <c r="TXV19" s="30"/>
      <c r="TXW19" s="30"/>
      <c r="TXX19" s="30"/>
      <c r="TXY19" s="30"/>
      <c r="TXZ19" s="30"/>
      <c r="TYA19" s="30"/>
      <c r="TYB19" s="30"/>
      <c r="TYC19" s="30"/>
      <c r="TYD19" s="30"/>
      <c r="TYE19" s="30"/>
      <c r="TYF19" s="30"/>
      <c r="TYG19" s="30"/>
      <c r="TYH19" s="30"/>
      <c r="TYI19" s="30"/>
      <c r="TYJ19" s="30"/>
      <c r="TYK19" s="30"/>
      <c r="TYL19" s="30"/>
      <c r="TYM19" s="30"/>
      <c r="TYN19" s="30"/>
      <c r="TYO19" s="30"/>
      <c r="TYP19" s="30"/>
      <c r="TYQ19" s="30"/>
      <c r="TYR19" s="30"/>
      <c r="TYS19" s="30"/>
      <c r="TYT19" s="30"/>
      <c r="TYU19" s="30"/>
      <c r="TYV19" s="30"/>
      <c r="TYW19" s="30"/>
      <c r="TYX19" s="30"/>
      <c r="TYY19" s="30"/>
      <c r="TYZ19" s="30"/>
      <c r="TZA19" s="30"/>
      <c r="TZB19" s="30"/>
      <c r="TZC19" s="30"/>
      <c r="TZD19" s="30"/>
      <c r="TZE19" s="30"/>
      <c r="TZF19" s="30"/>
      <c r="TZG19" s="30"/>
      <c r="TZH19" s="30"/>
      <c r="TZI19" s="30"/>
      <c r="TZJ19" s="30"/>
      <c r="TZK19" s="30"/>
      <c r="TZL19" s="30"/>
      <c r="TZM19" s="30"/>
      <c r="TZN19" s="30"/>
      <c r="TZO19" s="30"/>
      <c r="TZP19" s="30"/>
      <c r="TZQ19" s="30"/>
      <c r="TZR19" s="30"/>
      <c r="TZS19" s="30"/>
      <c r="TZT19" s="30"/>
      <c r="TZU19" s="30"/>
      <c r="TZV19" s="30"/>
      <c r="TZW19" s="30"/>
      <c r="TZX19" s="30"/>
      <c r="TZY19" s="30"/>
      <c r="TZZ19" s="30"/>
      <c r="UAA19" s="30"/>
      <c r="UAB19" s="30"/>
      <c r="UAC19" s="30"/>
      <c r="UAD19" s="30"/>
      <c r="UAE19" s="30"/>
      <c r="UAF19" s="30"/>
      <c r="UAG19" s="30"/>
      <c r="UAH19" s="30"/>
      <c r="UAI19" s="30"/>
      <c r="UAJ19" s="30"/>
      <c r="UAK19" s="30"/>
      <c r="UAL19" s="30"/>
      <c r="UAM19" s="30"/>
      <c r="UAN19" s="30"/>
      <c r="UAO19" s="30"/>
      <c r="UAP19" s="30"/>
      <c r="UAQ19" s="30"/>
      <c r="UAR19" s="30"/>
      <c r="UAS19" s="30"/>
      <c r="UAT19" s="30"/>
      <c r="UAU19" s="30"/>
      <c r="UAV19" s="30"/>
      <c r="UAW19" s="30"/>
      <c r="UAX19" s="30"/>
      <c r="UAY19" s="30"/>
      <c r="UAZ19" s="30"/>
      <c r="UBA19" s="30"/>
      <c r="UBB19" s="30"/>
      <c r="UBC19" s="30"/>
      <c r="UBD19" s="30"/>
      <c r="UBE19" s="30"/>
      <c r="UBF19" s="30"/>
      <c r="UBG19" s="30"/>
      <c r="UBH19" s="30"/>
      <c r="UBI19" s="30"/>
      <c r="UBJ19" s="30"/>
      <c r="UBK19" s="30"/>
      <c r="UBL19" s="30"/>
      <c r="UBM19" s="30"/>
      <c r="UBN19" s="30"/>
      <c r="UBO19" s="30"/>
      <c r="UBP19" s="30"/>
      <c r="UBQ19" s="30"/>
      <c r="UBR19" s="30"/>
      <c r="UBS19" s="30"/>
      <c r="UBT19" s="30"/>
      <c r="UBU19" s="30"/>
      <c r="UBV19" s="30"/>
      <c r="UBW19" s="30"/>
      <c r="UBX19" s="30"/>
      <c r="UBY19" s="30"/>
      <c r="UBZ19" s="30"/>
      <c r="UCA19" s="30"/>
      <c r="UCB19" s="30"/>
      <c r="UCC19" s="30"/>
      <c r="UCD19" s="30"/>
      <c r="UCE19" s="30"/>
      <c r="UCF19" s="30"/>
      <c r="UCG19" s="30"/>
      <c r="UCH19" s="30"/>
      <c r="UCI19" s="30"/>
      <c r="UCJ19" s="30"/>
      <c r="UCK19" s="30"/>
      <c r="UCL19" s="30"/>
      <c r="UCM19" s="30"/>
      <c r="UCN19" s="30"/>
      <c r="UCO19" s="30"/>
      <c r="UCP19" s="30"/>
      <c r="UCQ19" s="30"/>
      <c r="UCR19" s="30"/>
      <c r="UCS19" s="30"/>
      <c r="UCT19" s="30"/>
      <c r="UCU19" s="30"/>
      <c r="UCV19" s="30"/>
      <c r="UCW19" s="30"/>
      <c r="UCX19" s="30"/>
      <c r="UCY19" s="30"/>
      <c r="UCZ19" s="30"/>
      <c r="UDA19" s="30"/>
      <c r="UDB19" s="30"/>
      <c r="UDC19" s="30"/>
      <c r="UDD19" s="30"/>
      <c r="UDE19" s="30"/>
      <c r="UDF19" s="30"/>
      <c r="UDG19" s="30"/>
      <c r="UDH19" s="30"/>
      <c r="UDI19" s="30"/>
      <c r="UDJ19" s="30"/>
      <c r="UDK19" s="30"/>
      <c r="UDL19" s="30"/>
      <c r="UDM19" s="30"/>
      <c r="UDN19" s="30"/>
      <c r="UDO19" s="30"/>
      <c r="UDP19" s="30"/>
      <c r="UDQ19" s="30"/>
      <c r="UDR19" s="30"/>
      <c r="UDS19" s="30"/>
      <c r="UDT19" s="30"/>
      <c r="UDU19" s="30"/>
      <c r="UDV19" s="30"/>
      <c r="UDW19" s="30"/>
      <c r="UDX19" s="30"/>
      <c r="UDY19" s="30"/>
      <c r="UDZ19" s="30"/>
      <c r="UEA19" s="30"/>
      <c r="UEB19" s="30"/>
      <c r="UEC19" s="30"/>
      <c r="UED19" s="30"/>
      <c r="UEE19" s="30"/>
      <c r="UEF19" s="30"/>
      <c r="UEG19" s="30"/>
      <c r="UEH19" s="30"/>
      <c r="UEI19" s="30"/>
      <c r="UEJ19" s="30"/>
      <c r="UEK19" s="30"/>
      <c r="UEL19" s="30"/>
      <c r="UEM19" s="30"/>
      <c r="UEN19" s="30"/>
      <c r="UEO19" s="30"/>
      <c r="UEP19" s="30"/>
      <c r="UEQ19" s="30"/>
      <c r="UER19" s="30"/>
      <c r="UES19" s="30"/>
      <c r="UET19" s="30"/>
      <c r="UEU19" s="30"/>
      <c r="UEV19" s="30"/>
      <c r="UEW19" s="30"/>
      <c r="UEX19" s="30"/>
      <c r="UEY19" s="30"/>
      <c r="UEZ19" s="30"/>
      <c r="UFA19" s="30"/>
      <c r="UFB19" s="30"/>
      <c r="UFC19" s="30"/>
      <c r="UFD19" s="30"/>
      <c r="UFE19" s="30"/>
      <c r="UFF19" s="30"/>
      <c r="UFG19" s="30"/>
      <c r="UFH19" s="30"/>
      <c r="UFI19" s="30"/>
      <c r="UFJ19" s="30"/>
      <c r="UFK19" s="30"/>
      <c r="UFL19" s="30"/>
      <c r="UFM19" s="30"/>
      <c r="UFN19" s="30"/>
      <c r="UFO19" s="30"/>
      <c r="UFP19" s="30"/>
      <c r="UFQ19" s="30"/>
      <c r="UFR19" s="30"/>
      <c r="UFS19" s="30"/>
      <c r="UFT19" s="30"/>
      <c r="UFU19" s="30"/>
      <c r="UFV19" s="30"/>
      <c r="UFW19" s="30"/>
      <c r="UFX19" s="30"/>
      <c r="UFY19" s="30"/>
      <c r="UFZ19" s="30"/>
      <c r="UGA19" s="30"/>
      <c r="UGB19" s="30"/>
      <c r="UGC19" s="30"/>
      <c r="UGD19" s="30"/>
      <c r="UGE19" s="30"/>
      <c r="UGF19" s="30"/>
      <c r="UGG19" s="30"/>
      <c r="UGH19" s="30"/>
      <c r="UGI19" s="30"/>
      <c r="UGJ19" s="30"/>
      <c r="UGK19" s="30"/>
      <c r="UGL19" s="30"/>
      <c r="UGM19" s="30"/>
      <c r="UGN19" s="30"/>
      <c r="UGO19" s="30"/>
      <c r="UGP19" s="30"/>
      <c r="UGQ19" s="30"/>
      <c r="UGR19" s="30"/>
      <c r="UGS19" s="30"/>
      <c r="UGT19" s="30"/>
      <c r="UGU19" s="30"/>
      <c r="UGV19" s="30"/>
      <c r="UGW19" s="30"/>
      <c r="UGX19" s="30"/>
      <c r="UGY19" s="30"/>
      <c r="UGZ19" s="30"/>
      <c r="UHA19" s="30"/>
      <c r="UHB19" s="30"/>
      <c r="UHC19" s="30"/>
      <c r="UHD19" s="30"/>
      <c r="UHE19" s="30"/>
      <c r="UHF19" s="30"/>
      <c r="UHG19" s="30"/>
      <c r="UHH19" s="30"/>
      <c r="UHI19" s="30"/>
      <c r="UHJ19" s="30"/>
      <c r="UHK19" s="30"/>
      <c r="UHL19" s="30"/>
      <c r="UHM19" s="30"/>
      <c r="UHN19" s="30"/>
      <c r="UHO19" s="30"/>
      <c r="UHP19" s="30"/>
      <c r="UHQ19" s="30"/>
      <c r="UHR19" s="30"/>
      <c r="UHS19" s="30"/>
      <c r="UHT19" s="30"/>
      <c r="UHU19" s="30"/>
      <c r="UHV19" s="30"/>
      <c r="UHW19" s="30"/>
      <c r="UHX19" s="30"/>
      <c r="UHY19" s="30"/>
      <c r="UHZ19" s="30"/>
      <c r="UIA19" s="30"/>
      <c r="UIB19" s="30"/>
      <c r="UIC19" s="30"/>
      <c r="UID19" s="30"/>
      <c r="UIE19" s="30"/>
      <c r="UIF19" s="30"/>
      <c r="UIG19" s="30"/>
      <c r="UIH19" s="30"/>
      <c r="UII19" s="30"/>
      <c r="UIJ19" s="30"/>
      <c r="UIK19" s="30"/>
      <c r="UIL19" s="30"/>
      <c r="UIM19" s="30"/>
      <c r="UIN19" s="30"/>
      <c r="UIO19" s="30"/>
      <c r="UIP19" s="30"/>
      <c r="UIQ19" s="30"/>
      <c r="UIR19" s="30"/>
      <c r="UIS19" s="30"/>
      <c r="UIT19" s="30"/>
      <c r="UIU19" s="30"/>
      <c r="UIV19" s="30"/>
      <c r="UIW19" s="30"/>
      <c r="UIX19" s="30"/>
      <c r="UIY19" s="30"/>
      <c r="UIZ19" s="30"/>
      <c r="UJA19" s="30"/>
      <c r="UJB19" s="30"/>
      <c r="UJC19" s="30"/>
      <c r="UJD19" s="30"/>
      <c r="UJE19" s="30"/>
      <c r="UJF19" s="30"/>
      <c r="UJG19" s="30"/>
      <c r="UJH19" s="30"/>
      <c r="UJI19" s="30"/>
      <c r="UJJ19" s="30"/>
      <c r="UJK19" s="30"/>
      <c r="UJL19" s="30"/>
      <c r="UJM19" s="30"/>
      <c r="UJN19" s="30"/>
      <c r="UJO19" s="30"/>
      <c r="UJP19" s="30"/>
      <c r="UJQ19" s="30"/>
      <c r="UJR19" s="30"/>
      <c r="UJS19" s="30"/>
      <c r="UJT19" s="30"/>
      <c r="UJU19" s="30"/>
      <c r="UJV19" s="30"/>
      <c r="UJW19" s="30"/>
      <c r="UJX19" s="30"/>
      <c r="UJY19" s="30"/>
      <c r="UJZ19" s="30"/>
      <c r="UKA19" s="30"/>
      <c r="UKB19" s="30"/>
      <c r="UKC19" s="30"/>
      <c r="UKD19" s="30"/>
      <c r="UKE19" s="30"/>
      <c r="UKF19" s="30"/>
      <c r="UKG19" s="30"/>
      <c r="UKH19" s="30"/>
      <c r="UKI19" s="30"/>
      <c r="UKJ19" s="30"/>
      <c r="UKK19" s="30"/>
      <c r="UKL19" s="30"/>
      <c r="UKM19" s="30"/>
      <c r="UKN19" s="30"/>
      <c r="UKO19" s="30"/>
      <c r="UKP19" s="30"/>
      <c r="UKQ19" s="30"/>
      <c r="UKR19" s="30"/>
      <c r="UKS19" s="30"/>
      <c r="UKT19" s="30"/>
      <c r="UKU19" s="30"/>
      <c r="UKV19" s="30"/>
      <c r="UKW19" s="30"/>
      <c r="UKX19" s="30"/>
      <c r="UKY19" s="30"/>
      <c r="UKZ19" s="30"/>
      <c r="ULA19" s="30"/>
      <c r="ULB19" s="30"/>
      <c r="ULC19" s="30"/>
      <c r="ULD19" s="30"/>
      <c r="ULE19" s="30"/>
      <c r="ULF19" s="30"/>
      <c r="ULG19" s="30"/>
      <c r="ULH19" s="30"/>
      <c r="ULI19" s="30"/>
      <c r="ULJ19" s="30"/>
      <c r="ULK19" s="30"/>
      <c r="ULL19" s="30"/>
      <c r="ULM19" s="30"/>
      <c r="ULN19" s="30"/>
      <c r="ULO19" s="30"/>
      <c r="ULP19" s="30"/>
      <c r="ULQ19" s="30"/>
      <c r="ULR19" s="30"/>
      <c r="ULS19" s="30"/>
      <c r="ULT19" s="30"/>
      <c r="ULU19" s="30"/>
      <c r="ULV19" s="30"/>
      <c r="ULW19" s="30"/>
      <c r="ULX19" s="30"/>
      <c r="ULY19" s="30"/>
      <c r="ULZ19" s="30"/>
      <c r="UMA19" s="30"/>
      <c r="UMB19" s="30"/>
      <c r="UMC19" s="30"/>
      <c r="UMD19" s="30"/>
      <c r="UME19" s="30"/>
      <c r="UMF19" s="30"/>
      <c r="UMG19" s="30"/>
      <c r="UMH19" s="30"/>
      <c r="UMI19" s="30"/>
      <c r="UMJ19" s="30"/>
      <c r="UMK19" s="30"/>
      <c r="UML19" s="30"/>
      <c r="UMM19" s="30"/>
      <c r="UMN19" s="30"/>
      <c r="UMO19" s="30"/>
      <c r="UMP19" s="30"/>
      <c r="UMQ19" s="30"/>
      <c r="UMR19" s="30"/>
      <c r="UMS19" s="30"/>
      <c r="UMT19" s="30"/>
      <c r="UMU19" s="30"/>
      <c r="UMV19" s="30"/>
      <c r="UMW19" s="30"/>
      <c r="UMX19" s="30"/>
      <c r="UMY19" s="30"/>
      <c r="UMZ19" s="30"/>
      <c r="UNA19" s="30"/>
      <c r="UNB19" s="30"/>
      <c r="UNC19" s="30"/>
      <c r="UND19" s="30"/>
      <c r="UNE19" s="30"/>
      <c r="UNF19" s="30"/>
      <c r="UNG19" s="30"/>
      <c r="UNH19" s="30"/>
      <c r="UNI19" s="30"/>
      <c r="UNJ19" s="30"/>
      <c r="UNK19" s="30"/>
      <c r="UNL19" s="30"/>
      <c r="UNM19" s="30"/>
      <c r="UNN19" s="30"/>
      <c r="UNO19" s="30"/>
      <c r="UNP19" s="30"/>
      <c r="UNQ19" s="30"/>
      <c r="UNR19" s="30"/>
      <c r="UNS19" s="30"/>
      <c r="UNT19" s="30"/>
      <c r="UNU19" s="30"/>
      <c r="UNV19" s="30"/>
      <c r="UNW19" s="30"/>
      <c r="UNX19" s="30"/>
      <c r="UNY19" s="30"/>
      <c r="UNZ19" s="30"/>
      <c r="UOA19" s="30"/>
      <c r="UOB19" s="30"/>
      <c r="UOC19" s="30"/>
      <c r="UOD19" s="30"/>
      <c r="UOE19" s="30"/>
      <c r="UOF19" s="30"/>
      <c r="UOG19" s="30"/>
      <c r="UOH19" s="30"/>
      <c r="UOI19" s="30"/>
      <c r="UOJ19" s="30"/>
      <c r="UOK19" s="30"/>
      <c r="UOL19" s="30"/>
      <c r="UOM19" s="30"/>
      <c r="UON19" s="30"/>
      <c r="UOO19" s="30"/>
      <c r="UOP19" s="30"/>
      <c r="UOQ19" s="30"/>
      <c r="UOR19" s="30"/>
      <c r="UOS19" s="30"/>
      <c r="UOT19" s="30"/>
      <c r="UOU19" s="30"/>
      <c r="UOV19" s="30"/>
      <c r="UOW19" s="30"/>
      <c r="UOX19" s="30"/>
      <c r="UOY19" s="30"/>
      <c r="UOZ19" s="30"/>
      <c r="UPA19" s="30"/>
      <c r="UPB19" s="30"/>
      <c r="UPC19" s="30"/>
      <c r="UPD19" s="30"/>
      <c r="UPE19" s="30"/>
      <c r="UPF19" s="30"/>
      <c r="UPG19" s="30"/>
      <c r="UPH19" s="30"/>
      <c r="UPI19" s="30"/>
      <c r="UPJ19" s="30"/>
      <c r="UPK19" s="30"/>
      <c r="UPL19" s="30"/>
      <c r="UPM19" s="30"/>
      <c r="UPN19" s="30"/>
      <c r="UPO19" s="30"/>
      <c r="UPP19" s="30"/>
      <c r="UPQ19" s="30"/>
      <c r="UPR19" s="30"/>
      <c r="UPS19" s="30"/>
      <c r="UPT19" s="30"/>
      <c r="UPU19" s="30"/>
      <c r="UPV19" s="30"/>
      <c r="UPW19" s="30"/>
      <c r="UPX19" s="30"/>
      <c r="UPY19" s="30"/>
      <c r="UPZ19" s="30"/>
      <c r="UQA19" s="30"/>
      <c r="UQB19" s="30"/>
      <c r="UQC19" s="30"/>
      <c r="UQD19" s="30"/>
      <c r="UQE19" s="30"/>
      <c r="UQF19" s="30"/>
      <c r="UQG19" s="30"/>
      <c r="UQH19" s="30"/>
      <c r="UQI19" s="30"/>
      <c r="UQJ19" s="30"/>
      <c r="UQK19" s="30"/>
      <c r="UQL19" s="30"/>
      <c r="UQM19" s="30"/>
      <c r="UQN19" s="30"/>
      <c r="UQO19" s="30"/>
      <c r="UQP19" s="30"/>
      <c r="UQQ19" s="30"/>
      <c r="UQR19" s="30"/>
      <c r="UQS19" s="30"/>
      <c r="UQT19" s="30"/>
      <c r="UQU19" s="30"/>
      <c r="UQV19" s="30"/>
      <c r="UQW19" s="30"/>
      <c r="UQX19" s="30"/>
      <c r="UQY19" s="30"/>
      <c r="UQZ19" s="30"/>
      <c r="URA19" s="30"/>
      <c r="URB19" s="30"/>
      <c r="URC19" s="30"/>
      <c r="URD19" s="30"/>
      <c r="URE19" s="30"/>
      <c r="URF19" s="30"/>
      <c r="URG19" s="30"/>
      <c r="URH19" s="30"/>
      <c r="URI19" s="30"/>
      <c r="URJ19" s="30"/>
      <c r="URK19" s="30"/>
      <c r="URL19" s="30"/>
      <c r="URM19" s="30"/>
      <c r="URN19" s="30"/>
      <c r="URO19" s="30"/>
      <c r="URP19" s="30"/>
      <c r="URQ19" s="30"/>
      <c r="URR19" s="30"/>
      <c r="URS19" s="30"/>
      <c r="URT19" s="30"/>
      <c r="URU19" s="30"/>
      <c r="URV19" s="30"/>
      <c r="URW19" s="30"/>
      <c r="URX19" s="30"/>
      <c r="URY19" s="30"/>
      <c r="URZ19" s="30"/>
      <c r="USA19" s="30"/>
      <c r="USB19" s="30"/>
      <c r="USC19" s="30"/>
      <c r="USD19" s="30"/>
      <c r="USE19" s="30"/>
      <c r="USF19" s="30"/>
      <c r="USG19" s="30"/>
      <c r="USH19" s="30"/>
      <c r="USI19" s="30"/>
      <c r="USJ19" s="30"/>
      <c r="USK19" s="30"/>
      <c r="USL19" s="30"/>
      <c r="USM19" s="30"/>
      <c r="USN19" s="30"/>
      <c r="USO19" s="30"/>
      <c r="USP19" s="30"/>
      <c r="USQ19" s="30"/>
      <c r="USR19" s="30"/>
      <c r="USS19" s="30"/>
      <c r="UST19" s="30"/>
      <c r="USU19" s="30"/>
      <c r="USV19" s="30"/>
      <c r="USW19" s="30"/>
      <c r="USX19" s="30"/>
      <c r="USY19" s="30"/>
      <c r="USZ19" s="30"/>
      <c r="UTA19" s="30"/>
      <c r="UTB19" s="30"/>
      <c r="UTC19" s="30"/>
      <c r="UTD19" s="30"/>
      <c r="UTE19" s="30"/>
      <c r="UTF19" s="30"/>
      <c r="UTG19" s="30"/>
      <c r="UTH19" s="30"/>
      <c r="UTI19" s="30"/>
      <c r="UTJ19" s="30"/>
      <c r="UTK19" s="30"/>
      <c r="UTL19" s="30"/>
      <c r="UTM19" s="30"/>
      <c r="UTN19" s="30"/>
      <c r="UTO19" s="30"/>
      <c r="UTP19" s="30"/>
      <c r="UTQ19" s="30"/>
      <c r="UTR19" s="30"/>
      <c r="UTS19" s="30"/>
      <c r="UTT19" s="30"/>
      <c r="UTU19" s="30"/>
      <c r="UTV19" s="30"/>
      <c r="UTW19" s="30"/>
      <c r="UTX19" s="30"/>
      <c r="UTY19" s="30"/>
      <c r="UTZ19" s="30"/>
      <c r="UUA19" s="30"/>
      <c r="UUB19" s="30"/>
      <c r="UUC19" s="30"/>
      <c r="UUD19" s="30"/>
      <c r="UUE19" s="30"/>
      <c r="UUF19" s="30"/>
      <c r="UUG19" s="30"/>
      <c r="UUH19" s="30"/>
      <c r="UUI19" s="30"/>
      <c r="UUJ19" s="30"/>
      <c r="UUK19" s="30"/>
      <c r="UUL19" s="30"/>
      <c r="UUM19" s="30"/>
      <c r="UUN19" s="30"/>
      <c r="UUO19" s="30"/>
      <c r="UUP19" s="30"/>
      <c r="UUQ19" s="30"/>
      <c r="UUR19" s="30"/>
      <c r="UUS19" s="30"/>
      <c r="UUT19" s="30"/>
      <c r="UUU19" s="30"/>
      <c r="UUV19" s="30"/>
      <c r="UUW19" s="30"/>
      <c r="UUX19" s="30"/>
      <c r="UUY19" s="30"/>
      <c r="UUZ19" s="30"/>
      <c r="UVA19" s="30"/>
      <c r="UVB19" s="30"/>
      <c r="UVC19" s="30"/>
      <c r="UVD19" s="30"/>
      <c r="UVE19" s="30"/>
      <c r="UVF19" s="30"/>
      <c r="UVG19" s="30"/>
      <c r="UVH19" s="30"/>
      <c r="UVI19" s="30"/>
      <c r="UVJ19" s="30"/>
      <c r="UVK19" s="30"/>
      <c r="UVL19" s="30"/>
      <c r="UVM19" s="30"/>
      <c r="UVN19" s="30"/>
      <c r="UVO19" s="30"/>
      <c r="UVP19" s="30"/>
      <c r="UVQ19" s="30"/>
      <c r="UVR19" s="30"/>
      <c r="UVS19" s="30"/>
      <c r="UVT19" s="30"/>
      <c r="UVU19" s="30"/>
      <c r="UVV19" s="30"/>
      <c r="UVW19" s="30"/>
      <c r="UVX19" s="30"/>
      <c r="UVY19" s="30"/>
      <c r="UVZ19" s="30"/>
      <c r="UWA19" s="30"/>
      <c r="UWB19" s="30"/>
      <c r="UWC19" s="30"/>
      <c r="UWD19" s="30"/>
      <c r="UWE19" s="30"/>
      <c r="UWF19" s="30"/>
      <c r="UWG19" s="30"/>
      <c r="UWH19" s="30"/>
      <c r="UWI19" s="30"/>
      <c r="UWJ19" s="30"/>
      <c r="UWK19" s="30"/>
      <c r="UWL19" s="30"/>
      <c r="UWM19" s="30"/>
      <c r="UWN19" s="30"/>
      <c r="UWO19" s="30"/>
      <c r="UWP19" s="30"/>
      <c r="UWQ19" s="30"/>
      <c r="UWR19" s="30"/>
      <c r="UWS19" s="30"/>
      <c r="UWT19" s="30"/>
      <c r="UWU19" s="30"/>
      <c r="UWV19" s="30"/>
      <c r="UWW19" s="30"/>
      <c r="UWX19" s="30"/>
      <c r="UWY19" s="30"/>
      <c r="UWZ19" s="30"/>
      <c r="UXA19" s="30"/>
      <c r="UXB19" s="30"/>
      <c r="UXC19" s="30"/>
      <c r="UXD19" s="30"/>
      <c r="UXE19" s="30"/>
      <c r="UXF19" s="30"/>
      <c r="UXG19" s="30"/>
      <c r="UXH19" s="30"/>
      <c r="UXI19" s="30"/>
      <c r="UXJ19" s="30"/>
      <c r="UXK19" s="30"/>
      <c r="UXL19" s="30"/>
      <c r="UXM19" s="30"/>
      <c r="UXN19" s="30"/>
      <c r="UXO19" s="30"/>
      <c r="UXP19" s="30"/>
      <c r="UXQ19" s="30"/>
      <c r="UXR19" s="30"/>
      <c r="UXS19" s="30"/>
      <c r="UXT19" s="30"/>
      <c r="UXU19" s="30"/>
      <c r="UXV19" s="30"/>
      <c r="UXW19" s="30"/>
      <c r="UXX19" s="30"/>
      <c r="UXY19" s="30"/>
      <c r="UXZ19" s="30"/>
      <c r="UYA19" s="30"/>
      <c r="UYB19" s="30"/>
      <c r="UYC19" s="30"/>
      <c r="UYD19" s="30"/>
      <c r="UYE19" s="30"/>
      <c r="UYF19" s="30"/>
      <c r="UYG19" s="30"/>
      <c r="UYH19" s="30"/>
      <c r="UYI19" s="30"/>
      <c r="UYJ19" s="30"/>
      <c r="UYK19" s="30"/>
      <c r="UYL19" s="30"/>
      <c r="UYM19" s="30"/>
      <c r="UYN19" s="30"/>
      <c r="UYO19" s="30"/>
      <c r="UYP19" s="30"/>
      <c r="UYQ19" s="30"/>
      <c r="UYR19" s="30"/>
      <c r="UYS19" s="30"/>
      <c r="UYT19" s="30"/>
      <c r="UYU19" s="30"/>
      <c r="UYV19" s="30"/>
      <c r="UYW19" s="30"/>
      <c r="UYX19" s="30"/>
      <c r="UYY19" s="30"/>
      <c r="UYZ19" s="30"/>
      <c r="UZA19" s="30"/>
      <c r="UZB19" s="30"/>
      <c r="UZC19" s="30"/>
      <c r="UZD19" s="30"/>
      <c r="UZE19" s="30"/>
      <c r="UZF19" s="30"/>
      <c r="UZG19" s="30"/>
      <c r="UZH19" s="30"/>
      <c r="UZI19" s="30"/>
      <c r="UZJ19" s="30"/>
      <c r="UZK19" s="30"/>
      <c r="UZL19" s="30"/>
      <c r="UZM19" s="30"/>
      <c r="UZN19" s="30"/>
      <c r="UZO19" s="30"/>
      <c r="UZP19" s="30"/>
      <c r="UZQ19" s="30"/>
      <c r="UZR19" s="30"/>
      <c r="UZS19" s="30"/>
      <c r="UZT19" s="30"/>
      <c r="UZU19" s="30"/>
      <c r="UZV19" s="30"/>
      <c r="UZW19" s="30"/>
      <c r="UZX19" s="30"/>
      <c r="UZY19" s="30"/>
      <c r="UZZ19" s="30"/>
      <c r="VAA19" s="30"/>
      <c r="VAB19" s="30"/>
      <c r="VAC19" s="30"/>
      <c r="VAD19" s="30"/>
      <c r="VAE19" s="30"/>
      <c r="VAF19" s="30"/>
      <c r="VAG19" s="30"/>
      <c r="VAH19" s="30"/>
      <c r="VAI19" s="30"/>
      <c r="VAJ19" s="30"/>
      <c r="VAK19" s="30"/>
      <c r="VAL19" s="30"/>
      <c r="VAM19" s="30"/>
      <c r="VAN19" s="30"/>
      <c r="VAO19" s="30"/>
      <c r="VAP19" s="30"/>
      <c r="VAQ19" s="30"/>
      <c r="VAR19" s="30"/>
      <c r="VAS19" s="30"/>
      <c r="VAT19" s="30"/>
      <c r="VAU19" s="30"/>
      <c r="VAV19" s="30"/>
      <c r="VAW19" s="30"/>
      <c r="VAX19" s="30"/>
      <c r="VAY19" s="30"/>
      <c r="VAZ19" s="30"/>
      <c r="VBA19" s="30"/>
      <c r="VBB19" s="30"/>
      <c r="VBC19" s="30"/>
      <c r="VBD19" s="30"/>
      <c r="VBE19" s="30"/>
      <c r="VBF19" s="30"/>
      <c r="VBG19" s="30"/>
      <c r="VBH19" s="30"/>
      <c r="VBI19" s="30"/>
      <c r="VBJ19" s="30"/>
      <c r="VBK19" s="30"/>
      <c r="VBL19" s="30"/>
      <c r="VBM19" s="30"/>
      <c r="VBN19" s="30"/>
      <c r="VBO19" s="30"/>
      <c r="VBP19" s="30"/>
      <c r="VBQ19" s="30"/>
      <c r="VBR19" s="30"/>
      <c r="VBS19" s="30"/>
      <c r="VBT19" s="30"/>
      <c r="VBU19" s="30"/>
      <c r="VBV19" s="30"/>
      <c r="VBW19" s="30"/>
      <c r="VBX19" s="30"/>
      <c r="VBY19" s="30"/>
      <c r="VBZ19" s="30"/>
      <c r="VCA19" s="30"/>
      <c r="VCB19" s="30"/>
      <c r="VCC19" s="30"/>
      <c r="VCD19" s="30"/>
      <c r="VCE19" s="30"/>
      <c r="VCF19" s="30"/>
      <c r="VCG19" s="30"/>
      <c r="VCH19" s="30"/>
      <c r="VCI19" s="30"/>
      <c r="VCJ19" s="30"/>
      <c r="VCK19" s="30"/>
      <c r="VCL19" s="30"/>
      <c r="VCM19" s="30"/>
      <c r="VCN19" s="30"/>
      <c r="VCO19" s="30"/>
      <c r="VCP19" s="30"/>
      <c r="VCQ19" s="30"/>
      <c r="VCR19" s="30"/>
      <c r="VCS19" s="30"/>
      <c r="VCT19" s="30"/>
      <c r="VCU19" s="30"/>
      <c r="VCV19" s="30"/>
      <c r="VCW19" s="30"/>
      <c r="VCX19" s="30"/>
      <c r="VCY19" s="30"/>
      <c r="VCZ19" s="30"/>
      <c r="VDA19" s="30"/>
      <c r="VDB19" s="30"/>
      <c r="VDC19" s="30"/>
      <c r="VDD19" s="30"/>
      <c r="VDE19" s="30"/>
      <c r="VDF19" s="30"/>
      <c r="VDG19" s="30"/>
      <c r="VDH19" s="30"/>
      <c r="VDI19" s="30"/>
      <c r="VDJ19" s="30"/>
      <c r="VDK19" s="30"/>
      <c r="VDL19" s="30"/>
      <c r="VDM19" s="30"/>
      <c r="VDN19" s="30"/>
      <c r="VDO19" s="30"/>
      <c r="VDP19" s="30"/>
      <c r="VDQ19" s="30"/>
      <c r="VDR19" s="30"/>
      <c r="VDS19" s="30"/>
      <c r="VDT19" s="30"/>
      <c r="VDU19" s="30"/>
      <c r="VDV19" s="30"/>
      <c r="VDW19" s="30"/>
      <c r="VDX19" s="30"/>
      <c r="VDY19" s="30"/>
      <c r="VDZ19" s="30"/>
      <c r="VEA19" s="30"/>
      <c r="VEB19" s="30"/>
      <c r="VEC19" s="30"/>
      <c r="VED19" s="30"/>
      <c r="VEE19" s="30"/>
      <c r="VEF19" s="30"/>
      <c r="VEG19" s="30"/>
      <c r="VEH19" s="30"/>
      <c r="VEI19" s="30"/>
      <c r="VEJ19" s="30"/>
      <c r="VEK19" s="30"/>
      <c r="VEL19" s="30"/>
      <c r="VEM19" s="30"/>
      <c r="VEN19" s="30"/>
      <c r="VEO19" s="30"/>
      <c r="VEP19" s="30"/>
      <c r="VEQ19" s="30"/>
      <c r="VER19" s="30"/>
      <c r="VES19" s="30"/>
      <c r="VET19" s="30"/>
      <c r="VEU19" s="30"/>
      <c r="VEV19" s="30"/>
      <c r="VEW19" s="30"/>
      <c r="VEX19" s="30"/>
      <c r="VEY19" s="30"/>
      <c r="VEZ19" s="30"/>
      <c r="VFA19" s="30"/>
      <c r="VFB19" s="30"/>
      <c r="VFC19" s="30"/>
      <c r="VFD19" s="30"/>
      <c r="VFE19" s="30"/>
      <c r="VFF19" s="30"/>
      <c r="VFG19" s="30"/>
      <c r="VFH19" s="30"/>
      <c r="VFI19" s="30"/>
      <c r="VFJ19" s="30"/>
      <c r="VFK19" s="30"/>
      <c r="VFL19" s="30"/>
      <c r="VFM19" s="30"/>
      <c r="VFN19" s="30"/>
      <c r="VFO19" s="30"/>
      <c r="VFP19" s="30"/>
      <c r="VFQ19" s="30"/>
      <c r="VFR19" s="30"/>
      <c r="VFS19" s="30"/>
      <c r="VFT19" s="30"/>
      <c r="VFU19" s="30"/>
      <c r="VFV19" s="30"/>
      <c r="VFW19" s="30"/>
      <c r="VFX19" s="30"/>
      <c r="VFY19" s="30"/>
      <c r="VFZ19" s="30"/>
      <c r="VGA19" s="30"/>
      <c r="VGB19" s="30"/>
      <c r="VGC19" s="30"/>
      <c r="VGD19" s="30"/>
      <c r="VGE19" s="30"/>
      <c r="VGF19" s="30"/>
      <c r="VGG19" s="30"/>
      <c r="VGH19" s="30"/>
      <c r="VGI19" s="30"/>
      <c r="VGJ19" s="30"/>
      <c r="VGK19" s="30"/>
      <c r="VGL19" s="30"/>
      <c r="VGM19" s="30"/>
      <c r="VGN19" s="30"/>
      <c r="VGO19" s="30"/>
      <c r="VGP19" s="30"/>
      <c r="VGQ19" s="30"/>
      <c r="VGR19" s="30"/>
      <c r="VGS19" s="30"/>
      <c r="VGT19" s="30"/>
      <c r="VGU19" s="30"/>
      <c r="VGV19" s="30"/>
      <c r="VGW19" s="30"/>
      <c r="VGX19" s="30"/>
      <c r="VGY19" s="30"/>
      <c r="VGZ19" s="30"/>
      <c r="VHA19" s="30"/>
      <c r="VHB19" s="30"/>
      <c r="VHC19" s="30"/>
      <c r="VHD19" s="30"/>
      <c r="VHE19" s="30"/>
      <c r="VHF19" s="30"/>
      <c r="VHG19" s="30"/>
      <c r="VHH19" s="30"/>
      <c r="VHI19" s="30"/>
      <c r="VHJ19" s="30"/>
      <c r="VHK19" s="30"/>
      <c r="VHL19" s="30"/>
      <c r="VHM19" s="30"/>
      <c r="VHN19" s="30"/>
      <c r="VHO19" s="30"/>
      <c r="VHP19" s="30"/>
      <c r="VHQ19" s="30"/>
      <c r="VHR19" s="30"/>
      <c r="VHS19" s="30"/>
      <c r="VHT19" s="30"/>
      <c r="VHU19" s="30"/>
      <c r="VHV19" s="30"/>
      <c r="VHW19" s="30"/>
      <c r="VHX19" s="30"/>
      <c r="VHY19" s="30"/>
      <c r="VHZ19" s="30"/>
      <c r="VIA19" s="30"/>
      <c r="VIB19" s="30"/>
      <c r="VIC19" s="30"/>
      <c r="VID19" s="30"/>
      <c r="VIE19" s="30"/>
      <c r="VIF19" s="30"/>
      <c r="VIG19" s="30"/>
      <c r="VIH19" s="30"/>
      <c r="VII19" s="30"/>
      <c r="VIJ19" s="30"/>
      <c r="VIK19" s="30"/>
      <c r="VIL19" s="30"/>
      <c r="VIM19" s="30"/>
      <c r="VIN19" s="30"/>
      <c r="VIO19" s="30"/>
      <c r="VIP19" s="30"/>
      <c r="VIQ19" s="30"/>
      <c r="VIR19" s="30"/>
      <c r="VIS19" s="30"/>
      <c r="VIT19" s="30"/>
      <c r="VIU19" s="30"/>
      <c r="VIV19" s="30"/>
      <c r="VIW19" s="30"/>
      <c r="VIX19" s="30"/>
      <c r="VIY19" s="30"/>
      <c r="VIZ19" s="30"/>
      <c r="VJA19" s="30"/>
      <c r="VJB19" s="30"/>
      <c r="VJC19" s="30"/>
      <c r="VJD19" s="30"/>
      <c r="VJE19" s="30"/>
      <c r="VJF19" s="30"/>
      <c r="VJG19" s="30"/>
      <c r="VJH19" s="30"/>
      <c r="VJI19" s="30"/>
      <c r="VJJ19" s="30"/>
      <c r="VJK19" s="30"/>
      <c r="VJL19" s="30"/>
      <c r="VJM19" s="30"/>
      <c r="VJN19" s="30"/>
      <c r="VJO19" s="30"/>
      <c r="VJP19" s="30"/>
      <c r="VJQ19" s="30"/>
      <c r="VJR19" s="30"/>
      <c r="VJS19" s="30"/>
      <c r="VJT19" s="30"/>
      <c r="VJU19" s="30"/>
      <c r="VJV19" s="30"/>
      <c r="VJW19" s="30"/>
      <c r="VJX19" s="30"/>
      <c r="VJY19" s="30"/>
      <c r="VJZ19" s="30"/>
      <c r="VKA19" s="30"/>
      <c r="VKB19" s="30"/>
      <c r="VKC19" s="30"/>
      <c r="VKD19" s="30"/>
      <c r="VKE19" s="30"/>
      <c r="VKF19" s="30"/>
      <c r="VKG19" s="30"/>
      <c r="VKH19" s="30"/>
      <c r="VKI19" s="30"/>
      <c r="VKJ19" s="30"/>
      <c r="VKK19" s="30"/>
      <c r="VKL19" s="30"/>
      <c r="VKM19" s="30"/>
      <c r="VKN19" s="30"/>
      <c r="VKO19" s="30"/>
      <c r="VKP19" s="30"/>
      <c r="VKQ19" s="30"/>
      <c r="VKR19" s="30"/>
      <c r="VKS19" s="30"/>
      <c r="VKT19" s="30"/>
      <c r="VKU19" s="30"/>
      <c r="VKV19" s="30"/>
      <c r="VKW19" s="30"/>
      <c r="VKX19" s="30"/>
      <c r="VKY19" s="30"/>
      <c r="VKZ19" s="30"/>
      <c r="VLA19" s="30"/>
      <c r="VLB19" s="30"/>
      <c r="VLC19" s="30"/>
      <c r="VLD19" s="30"/>
      <c r="VLE19" s="30"/>
      <c r="VLF19" s="30"/>
      <c r="VLG19" s="30"/>
      <c r="VLH19" s="30"/>
      <c r="VLI19" s="30"/>
      <c r="VLJ19" s="30"/>
      <c r="VLK19" s="30"/>
      <c r="VLL19" s="30"/>
      <c r="VLM19" s="30"/>
      <c r="VLN19" s="30"/>
      <c r="VLO19" s="30"/>
      <c r="VLP19" s="30"/>
      <c r="VLQ19" s="30"/>
      <c r="VLR19" s="30"/>
      <c r="VLS19" s="30"/>
      <c r="VLT19" s="30"/>
      <c r="VLU19" s="30"/>
      <c r="VLV19" s="30"/>
      <c r="VLW19" s="30"/>
      <c r="VLX19" s="30"/>
      <c r="VLY19" s="30"/>
      <c r="VLZ19" s="30"/>
      <c r="VMA19" s="30"/>
      <c r="VMB19" s="30"/>
      <c r="VMC19" s="30"/>
      <c r="VMD19" s="30"/>
      <c r="VME19" s="30"/>
      <c r="VMF19" s="30"/>
      <c r="VMG19" s="30"/>
      <c r="VMH19" s="30"/>
      <c r="VMI19" s="30"/>
      <c r="VMJ19" s="30"/>
      <c r="VMK19" s="30"/>
      <c r="VML19" s="30"/>
      <c r="VMM19" s="30"/>
      <c r="VMN19" s="30"/>
      <c r="VMO19" s="30"/>
      <c r="VMP19" s="30"/>
      <c r="VMQ19" s="30"/>
      <c r="VMR19" s="30"/>
      <c r="VMS19" s="30"/>
      <c r="VMT19" s="30"/>
      <c r="VMU19" s="30"/>
      <c r="VMV19" s="30"/>
      <c r="VMW19" s="30"/>
      <c r="VMX19" s="30"/>
      <c r="VMY19" s="30"/>
      <c r="VMZ19" s="30"/>
      <c r="VNA19" s="30"/>
      <c r="VNB19" s="30"/>
      <c r="VNC19" s="30"/>
      <c r="VND19" s="30"/>
      <c r="VNE19" s="30"/>
      <c r="VNF19" s="30"/>
      <c r="VNG19" s="30"/>
      <c r="VNH19" s="30"/>
      <c r="VNI19" s="30"/>
      <c r="VNJ19" s="30"/>
      <c r="VNK19" s="30"/>
      <c r="VNL19" s="30"/>
      <c r="VNM19" s="30"/>
      <c r="VNN19" s="30"/>
      <c r="VNO19" s="30"/>
      <c r="VNP19" s="30"/>
      <c r="VNQ19" s="30"/>
      <c r="VNR19" s="30"/>
      <c r="VNS19" s="30"/>
      <c r="VNT19" s="30"/>
      <c r="VNU19" s="30"/>
      <c r="VNV19" s="30"/>
      <c r="VNW19" s="30"/>
      <c r="VNX19" s="30"/>
      <c r="VNY19" s="30"/>
      <c r="VNZ19" s="30"/>
      <c r="VOA19" s="30"/>
      <c r="VOB19" s="30"/>
      <c r="VOC19" s="30"/>
      <c r="VOD19" s="30"/>
      <c r="VOE19" s="30"/>
      <c r="VOF19" s="30"/>
      <c r="VOG19" s="30"/>
      <c r="VOH19" s="30"/>
      <c r="VOI19" s="30"/>
      <c r="VOJ19" s="30"/>
      <c r="VOK19" s="30"/>
      <c r="VOL19" s="30"/>
      <c r="VOM19" s="30"/>
      <c r="VON19" s="30"/>
      <c r="VOO19" s="30"/>
      <c r="VOP19" s="30"/>
      <c r="VOQ19" s="30"/>
      <c r="VOR19" s="30"/>
      <c r="VOS19" s="30"/>
      <c r="VOT19" s="30"/>
      <c r="VOU19" s="30"/>
      <c r="VOV19" s="30"/>
      <c r="VOW19" s="30"/>
      <c r="VOX19" s="30"/>
      <c r="VOY19" s="30"/>
      <c r="VOZ19" s="30"/>
      <c r="VPA19" s="30"/>
      <c r="VPB19" s="30"/>
      <c r="VPC19" s="30"/>
      <c r="VPD19" s="30"/>
      <c r="VPE19" s="30"/>
      <c r="VPF19" s="30"/>
      <c r="VPG19" s="30"/>
      <c r="VPH19" s="30"/>
      <c r="VPI19" s="30"/>
      <c r="VPJ19" s="30"/>
      <c r="VPK19" s="30"/>
      <c r="VPL19" s="30"/>
      <c r="VPM19" s="30"/>
      <c r="VPN19" s="30"/>
      <c r="VPO19" s="30"/>
      <c r="VPP19" s="30"/>
      <c r="VPQ19" s="30"/>
      <c r="VPR19" s="30"/>
      <c r="VPS19" s="30"/>
      <c r="VPT19" s="30"/>
      <c r="VPU19" s="30"/>
      <c r="VPV19" s="30"/>
      <c r="VPW19" s="30"/>
      <c r="VPX19" s="30"/>
      <c r="VPY19" s="30"/>
      <c r="VPZ19" s="30"/>
      <c r="VQA19" s="30"/>
      <c r="VQB19" s="30"/>
      <c r="VQC19" s="30"/>
      <c r="VQD19" s="30"/>
      <c r="VQE19" s="30"/>
      <c r="VQF19" s="30"/>
      <c r="VQG19" s="30"/>
      <c r="VQH19" s="30"/>
      <c r="VQI19" s="30"/>
      <c r="VQJ19" s="30"/>
      <c r="VQK19" s="30"/>
      <c r="VQL19" s="30"/>
      <c r="VQM19" s="30"/>
      <c r="VQN19" s="30"/>
      <c r="VQO19" s="30"/>
      <c r="VQP19" s="30"/>
      <c r="VQQ19" s="30"/>
      <c r="VQR19" s="30"/>
      <c r="VQS19" s="30"/>
      <c r="VQT19" s="30"/>
      <c r="VQU19" s="30"/>
      <c r="VQV19" s="30"/>
      <c r="VQW19" s="30"/>
      <c r="VQX19" s="30"/>
      <c r="VQY19" s="30"/>
      <c r="VQZ19" s="30"/>
      <c r="VRA19" s="30"/>
      <c r="VRB19" s="30"/>
      <c r="VRC19" s="30"/>
      <c r="VRD19" s="30"/>
      <c r="VRE19" s="30"/>
      <c r="VRF19" s="30"/>
      <c r="VRG19" s="30"/>
      <c r="VRH19" s="30"/>
      <c r="VRI19" s="30"/>
      <c r="VRJ19" s="30"/>
      <c r="VRK19" s="30"/>
      <c r="VRL19" s="30"/>
      <c r="VRM19" s="30"/>
      <c r="VRN19" s="30"/>
      <c r="VRO19" s="30"/>
      <c r="VRP19" s="30"/>
      <c r="VRQ19" s="30"/>
      <c r="VRR19" s="30"/>
      <c r="VRS19" s="30"/>
      <c r="VRT19" s="30"/>
      <c r="VRU19" s="30"/>
      <c r="VRV19" s="30"/>
      <c r="VRW19" s="30"/>
      <c r="VRX19" s="30"/>
      <c r="VRY19" s="30"/>
      <c r="VRZ19" s="30"/>
      <c r="VSA19" s="30"/>
      <c r="VSB19" s="30"/>
      <c r="VSC19" s="30"/>
      <c r="VSD19" s="30"/>
      <c r="VSE19" s="30"/>
      <c r="VSF19" s="30"/>
      <c r="VSG19" s="30"/>
      <c r="VSH19" s="30"/>
      <c r="VSI19" s="30"/>
      <c r="VSJ19" s="30"/>
      <c r="VSK19" s="30"/>
      <c r="VSL19" s="30"/>
      <c r="VSM19" s="30"/>
      <c r="VSN19" s="30"/>
      <c r="VSO19" s="30"/>
      <c r="VSP19" s="30"/>
      <c r="VSQ19" s="30"/>
      <c r="VSR19" s="30"/>
      <c r="VSS19" s="30"/>
      <c r="VST19" s="30"/>
      <c r="VSU19" s="30"/>
      <c r="VSV19" s="30"/>
      <c r="VSW19" s="30"/>
      <c r="VSX19" s="30"/>
      <c r="VSY19" s="30"/>
      <c r="VSZ19" s="30"/>
      <c r="VTA19" s="30"/>
      <c r="VTB19" s="30"/>
      <c r="VTC19" s="30"/>
      <c r="VTD19" s="30"/>
      <c r="VTE19" s="30"/>
      <c r="VTF19" s="30"/>
      <c r="VTG19" s="30"/>
      <c r="VTH19" s="30"/>
      <c r="VTI19" s="30"/>
      <c r="VTJ19" s="30"/>
      <c r="VTK19" s="30"/>
      <c r="VTL19" s="30"/>
      <c r="VTM19" s="30"/>
      <c r="VTN19" s="30"/>
      <c r="VTO19" s="30"/>
      <c r="VTP19" s="30"/>
      <c r="VTQ19" s="30"/>
      <c r="VTR19" s="30"/>
      <c r="VTS19" s="30"/>
      <c r="VTT19" s="30"/>
      <c r="VTU19" s="30"/>
      <c r="VTV19" s="30"/>
      <c r="VTW19" s="30"/>
      <c r="VTX19" s="30"/>
      <c r="VTY19" s="30"/>
      <c r="VTZ19" s="30"/>
      <c r="VUA19" s="30"/>
      <c r="VUB19" s="30"/>
      <c r="VUC19" s="30"/>
      <c r="VUD19" s="30"/>
      <c r="VUE19" s="30"/>
      <c r="VUF19" s="30"/>
      <c r="VUG19" s="30"/>
      <c r="VUH19" s="30"/>
      <c r="VUI19" s="30"/>
      <c r="VUJ19" s="30"/>
      <c r="VUK19" s="30"/>
      <c r="VUL19" s="30"/>
      <c r="VUM19" s="30"/>
      <c r="VUN19" s="30"/>
      <c r="VUO19" s="30"/>
      <c r="VUP19" s="30"/>
      <c r="VUQ19" s="30"/>
      <c r="VUR19" s="30"/>
      <c r="VUS19" s="30"/>
      <c r="VUT19" s="30"/>
      <c r="VUU19" s="30"/>
      <c r="VUV19" s="30"/>
      <c r="VUW19" s="30"/>
      <c r="VUX19" s="30"/>
      <c r="VUY19" s="30"/>
      <c r="VUZ19" s="30"/>
      <c r="VVA19" s="30"/>
      <c r="VVB19" s="30"/>
      <c r="VVC19" s="30"/>
      <c r="VVD19" s="30"/>
      <c r="VVE19" s="30"/>
      <c r="VVF19" s="30"/>
      <c r="VVG19" s="30"/>
      <c r="VVH19" s="30"/>
      <c r="VVI19" s="30"/>
      <c r="VVJ19" s="30"/>
      <c r="VVK19" s="30"/>
      <c r="VVL19" s="30"/>
      <c r="VVM19" s="30"/>
      <c r="VVN19" s="30"/>
      <c r="VVO19" s="30"/>
      <c r="VVP19" s="30"/>
      <c r="VVQ19" s="30"/>
      <c r="VVR19" s="30"/>
      <c r="VVS19" s="30"/>
      <c r="VVT19" s="30"/>
      <c r="VVU19" s="30"/>
      <c r="VVV19" s="30"/>
      <c r="VVW19" s="30"/>
      <c r="VVX19" s="30"/>
      <c r="VVY19" s="30"/>
      <c r="VVZ19" s="30"/>
      <c r="VWA19" s="30"/>
      <c r="VWB19" s="30"/>
      <c r="VWC19" s="30"/>
      <c r="VWD19" s="30"/>
      <c r="VWE19" s="30"/>
      <c r="VWF19" s="30"/>
      <c r="VWG19" s="30"/>
      <c r="VWH19" s="30"/>
      <c r="VWI19" s="30"/>
      <c r="VWJ19" s="30"/>
      <c r="VWK19" s="30"/>
      <c r="VWL19" s="30"/>
      <c r="VWM19" s="30"/>
      <c r="VWN19" s="30"/>
      <c r="VWO19" s="30"/>
      <c r="VWP19" s="30"/>
      <c r="VWQ19" s="30"/>
      <c r="VWR19" s="30"/>
      <c r="VWS19" s="30"/>
      <c r="VWT19" s="30"/>
      <c r="VWU19" s="30"/>
      <c r="VWV19" s="30"/>
      <c r="VWW19" s="30"/>
      <c r="VWX19" s="30"/>
      <c r="VWY19" s="30"/>
      <c r="VWZ19" s="30"/>
      <c r="VXA19" s="30"/>
      <c r="VXB19" s="30"/>
      <c r="VXC19" s="30"/>
      <c r="VXD19" s="30"/>
      <c r="VXE19" s="30"/>
      <c r="VXF19" s="30"/>
      <c r="VXG19" s="30"/>
      <c r="VXH19" s="30"/>
      <c r="VXI19" s="30"/>
      <c r="VXJ19" s="30"/>
      <c r="VXK19" s="30"/>
      <c r="VXL19" s="30"/>
      <c r="VXM19" s="30"/>
      <c r="VXN19" s="30"/>
      <c r="VXO19" s="30"/>
      <c r="VXP19" s="30"/>
      <c r="VXQ19" s="30"/>
      <c r="VXR19" s="30"/>
      <c r="VXS19" s="30"/>
      <c r="VXT19" s="30"/>
      <c r="VXU19" s="30"/>
      <c r="VXV19" s="30"/>
      <c r="VXW19" s="30"/>
      <c r="VXX19" s="30"/>
      <c r="VXY19" s="30"/>
      <c r="VXZ19" s="30"/>
      <c r="VYA19" s="30"/>
      <c r="VYB19" s="30"/>
      <c r="VYC19" s="30"/>
      <c r="VYD19" s="30"/>
      <c r="VYE19" s="30"/>
      <c r="VYF19" s="30"/>
      <c r="VYG19" s="30"/>
      <c r="VYH19" s="30"/>
      <c r="VYI19" s="30"/>
      <c r="VYJ19" s="30"/>
      <c r="VYK19" s="30"/>
      <c r="VYL19" s="30"/>
      <c r="VYM19" s="30"/>
      <c r="VYN19" s="30"/>
      <c r="VYO19" s="30"/>
      <c r="VYP19" s="30"/>
      <c r="VYQ19" s="30"/>
      <c r="VYR19" s="30"/>
      <c r="VYS19" s="30"/>
      <c r="VYT19" s="30"/>
      <c r="VYU19" s="30"/>
      <c r="VYV19" s="30"/>
      <c r="VYW19" s="30"/>
      <c r="VYX19" s="30"/>
      <c r="VYY19" s="30"/>
      <c r="VYZ19" s="30"/>
      <c r="VZA19" s="30"/>
      <c r="VZB19" s="30"/>
      <c r="VZC19" s="30"/>
      <c r="VZD19" s="30"/>
      <c r="VZE19" s="30"/>
      <c r="VZF19" s="30"/>
      <c r="VZG19" s="30"/>
      <c r="VZH19" s="30"/>
      <c r="VZI19" s="30"/>
      <c r="VZJ19" s="30"/>
      <c r="VZK19" s="30"/>
      <c r="VZL19" s="30"/>
      <c r="VZM19" s="30"/>
      <c r="VZN19" s="30"/>
      <c r="VZO19" s="30"/>
      <c r="VZP19" s="30"/>
      <c r="VZQ19" s="30"/>
      <c r="VZR19" s="30"/>
      <c r="VZS19" s="30"/>
      <c r="VZT19" s="30"/>
      <c r="VZU19" s="30"/>
      <c r="VZV19" s="30"/>
      <c r="VZW19" s="30"/>
      <c r="VZX19" s="30"/>
      <c r="VZY19" s="30"/>
      <c r="VZZ19" s="30"/>
      <c r="WAA19" s="30"/>
      <c r="WAB19" s="30"/>
      <c r="WAC19" s="30"/>
      <c r="WAD19" s="30"/>
      <c r="WAE19" s="30"/>
      <c r="WAF19" s="30"/>
      <c r="WAG19" s="30"/>
      <c r="WAH19" s="30"/>
      <c r="WAI19" s="30"/>
      <c r="WAJ19" s="30"/>
      <c r="WAK19" s="30"/>
      <c r="WAL19" s="30"/>
      <c r="WAM19" s="30"/>
      <c r="WAN19" s="30"/>
      <c r="WAO19" s="30"/>
      <c r="WAP19" s="30"/>
      <c r="WAQ19" s="30"/>
      <c r="WAR19" s="30"/>
      <c r="WAS19" s="30"/>
      <c r="WAT19" s="30"/>
      <c r="WAU19" s="30"/>
      <c r="WAV19" s="30"/>
      <c r="WAW19" s="30"/>
      <c r="WAX19" s="30"/>
      <c r="WAY19" s="30"/>
      <c r="WAZ19" s="30"/>
      <c r="WBA19" s="30"/>
      <c r="WBB19" s="30"/>
      <c r="WBC19" s="30"/>
      <c r="WBD19" s="30"/>
      <c r="WBE19" s="30"/>
      <c r="WBF19" s="30"/>
      <c r="WBG19" s="30"/>
      <c r="WBH19" s="30"/>
      <c r="WBI19" s="30"/>
      <c r="WBJ19" s="30"/>
      <c r="WBK19" s="30"/>
      <c r="WBL19" s="30"/>
      <c r="WBM19" s="30"/>
      <c r="WBN19" s="30"/>
      <c r="WBO19" s="30"/>
      <c r="WBP19" s="30"/>
      <c r="WBQ19" s="30"/>
      <c r="WBR19" s="30"/>
      <c r="WBS19" s="30"/>
      <c r="WBT19" s="30"/>
      <c r="WBU19" s="30"/>
      <c r="WBV19" s="30"/>
      <c r="WBW19" s="30"/>
      <c r="WBX19" s="30"/>
      <c r="WBY19" s="30"/>
      <c r="WBZ19" s="30"/>
      <c r="WCA19" s="30"/>
      <c r="WCB19" s="30"/>
      <c r="WCC19" s="30"/>
      <c r="WCD19" s="30"/>
      <c r="WCE19" s="30"/>
      <c r="WCF19" s="30"/>
      <c r="WCG19" s="30"/>
      <c r="WCH19" s="30"/>
      <c r="WCI19" s="30"/>
      <c r="WCJ19" s="30"/>
      <c r="WCK19" s="30"/>
      <c r="WCL19" s="30"/>
      <c r="WCM19" s="30"/>
      <c r="WCN19" s="30"/>
      <c r="WCO19" s="30"/>
      <c r="WCP19" s="30"/>
      <c r="WCQ19" s="30"/>
      <c r="WCR19" s="30"/>
      <c r="WCS19" s="30"/>
      <c r="WCT19" s="30"/>
      <c r="WCU19" s="30"/>
      <c r="WCV19" s="30"/>
      <c r="WCW19" s="30"/>
      <c r="WCX19" s="30"/>
      <c r="WCY19" s="30"/>
      <c r="WCZ19" s="30"/>
      <c r="WDA19" s="30"/>
      <c r="WDB19" s="30"/>
      <c r="WDC19" s="30"/>
      <c r="WDD19" s="30"/>
      <c r="WDE19" s="30"/>
      <c r="WDF19" s="30"/>
      <c r="WDG19" s="30"/>
      <c r="WDH19" s="30"/>
      <c r="WDI19" s="30"/>
      <c r="WDJ19" s="30"/>
      <c r="WDK19" s="30"/>
      <c r="WDL19" s="30"/>
      <c r="WDM19" s="30"/>
      <c r="WDN19" s="30"/>
      <c r="WDO19" s="30"/>
      <c r="WDP19" s="30"/>
      <c r="WDQ19" s="30"/>
      <c r="WDR19" s="30"/>
      <c r="WDS19" s="30"/>
      <c r="WDT19" s="30"/>
      <c r="WDU19" s="30"/>
      <c r="WDV19" s="30"/>
      <c r="WDW19" s="30"/>
      <c r="WDX19" s="30"/>
      <c r="WDY19" s="30"/>
      <c r="WDZ19" s="30"/>
      <c r="WEA19" s="30"/>
      <c r="WEB19" s="30"/>
      <c r="WEC19" s="30"/>
      <c r="WED19" s="30"/>
      <c r="WEE19" s="30"/>
      <c r="WEF19" s="30"/>
      <c r="WEG19" s="30"/>
      <c r="WEH19" s="30"/>
      <c r="WEI19" s="30"/>
      <c r="WEJ19" s="30"/>
      <c r="WEK19" s="30"/>
      <c r="WEL19" s="30"/>
      <c r="WEM19" s="30"/>
      <c r="WEN19" s="30"/>
      <c r="WEO19" s="30"/>
      <c r="WEP19" s="30"/>
      <c r="WEQ19" s="30"/>
      <c r="WER19" s="30"/>
      <c r="WES19" s="30"/>
      <c r="WET19" s="30"/>
      <c r="WEU19" s="30"/>
      <c r="WEV19" s="30"/>
      <c r="WEW19" s="30"/>
      <c r="WEX19" s="30"/>
      <c r="WEY19" s="30"/>
      <c r="WEZ19" s="30"/>
      <c r="WFA19" s="30"/>
      <c r="WFB19" s="30"/>
      <c r="WFC19" s="30"/>
      <c r="WFD19" s="30"/>
      <c r="WFE19" s="30"/>
      <c r="WFF19" s="30"/>
      <c r="WFG19" s="30"/>
      <c r="WFH19" s="30"/>
      <c r="WFI19" s="30"/>
      <c r="WFJ19" s="30"/>
      <c r="WFK19" s="30"/>
      <c r="WFL19" s="30"/>
      <c r="WFM19" s="30"/>
      <c r="WFN19" s="30"/>
      <c r="WFO19" s="30"/>
      <c r="WFP19" s="30"/>
      <c r="WFQ19" s="30"/>
      <c r="WFR19" s="30"/>
      <c r="WFS19" s="30"/>
      <c r="WFT19" s="30"/>
      <c r="WFU19" s="30"/>
      <c r="WFV19" s="30"/>
      <c r="WFW19" s="30"/>
      <c r="WFX19" s="30"/>
      <c r="WFY19" s="30"/>
      <c r="WFZ19" s="30"/>
      <c r="WGA19" s="30"/>
      <c r="WGB19" s="30"/>
      <c r="WGC19" s="30"/>
      <c r="WGD19" s="30"/>
      <c r="WGE19" s="30"/>
      <c r="WGF19" s="30"/>
      <c r="WGG19" s="30"/>
      <c r="WGH19" s="30"/>
      <c r="WGI19" s="30"/>
      <c r="WGJ19" s="30"/>
      <c r="WGK19" s="30"/>
      <c r="WGL19" s="30"/>
      <c r="WGM19" s="30"/>
      <c r="WGN19" s="30"/>
      <c r="WGO19" s="30"/>
      <c r="WGP19" s="30"/>
      <c r="WGQ19" s="30"/>
      <c r="WGR19" s="30"/>
      <c r="WGS19" s="30"/>
      <c r="WGT19" s="30"/>
      <c r="WGU19" s="30"/>
      <c r="WGV19" s="30"/>
      <c r="WGW19" s="30"/>
      <c r="WGX19" s="30"/>
      <c r="WGY19" s="30"/>
      <c r="WGZ19" s="30"/>
      <c r="WHA19" s="30"/>
      <c r="WHB19" s="30"/>
      <c r="WHC19" s="30"/>
      <c r="WHD19" s="30"/>
      <c r="WHE19" s="30"/>
      <c r="WHF19" s="30"/>
      <c r="WHG19" s="30"/>
      <c r="WHH19" s="30"/>
      <c r="WHI19" s="30"/>
      <c r="WHJ19" s="30"/>
      <c r="WHK19" s="30"/>
      <c r="WHL19" s="30"/>
      <c r="WHM19" s="30"/>
      <c r="WHN19" s="30"/>
      <c r="WHO19" s="30"/>
      <c r="WHP19" s="30"/>
      <c r="WHQ19" s="30"/>
      <c r="WHR19" s="30"/>
      <c r="WHS19" s="30"/>
      <c r="WHT19" s="30"/>
      <c r="WHU19" s="30"/>
      <c r="WHV19" s="30"/>
      <c r="WHW19" s="30"/>
      <c r="WHX19" s="30"/>
      <c r="WHY19" s="30"/>
      <c r="WHZ19" s="30"/>
      <c r="WIA19" s="30"/>
      <c r="WIB19" s="30"/>
      <c r="WIC19" s="30"/>
      <c r="WID19" s="30"/>
      <c r="WIE19" s="30"/>
      <c r="WIF19" s="30"/>
      <c r="WIG19" s="30"/>
      <c r="WIH19" s="30"/>
      <c r="WII19" s="30"/>
      <c r="WIJ19" s="30"/>
      <c r="WIK19" s="30"/>
      <c r="WIL19" s="30"/>
      <c r="WIM19" s="30"/>
      <c r="WIN19" s="30"/>
      <c r="WIO19" s="30"/>
      <c r="WIP19" s="30"/>
      <c r="WIQ19" s="30"/>
      <c r="WIR19" s="30"/>
      <c r="WIS19" s="30"/>
      <c r="WIT19" s="30"/>
      <c r="WIU19" s="30"/>
      <c r="WIV19" s="30"/>
      <c r="WIW19" s="30"/>
      <c r="WIX19" s="30"/>
      <c r="WIY19" s="30"/>
      <c r="WIZ19" s="30"/>
      <c r="WJA19" s="30"/>
      <c r="WJB19" s="30"/>
      <c r="WJC19" s="30"/>
      <c r="WJD19" s="30"/>
      <c r="WJE19" s="30"/>
      <c r="WJF19" s="30"/>
      <c r="WJG19" s="30"/>
      <c r="WJH19" s="30"/>
      <c r="WJI19" s="30"/>
      <c r="WJJ19" s="30"/>
      <c r="WJK19" s="30"/>
      <c r="WJL19" s="30"/>
      <c r="WJM19" s="30"/>
      <c r="WJN19" s="30"/>
      <c r="WJO19" s="30"/>
      <c r="WJP19" s="30"/>
      <c r="WJQ19" s="30"/>
      <c r="WJR19" s="30"/>
      <c r="WJS19" s="30"/>
      <c r="WJT19" s="30"/>
      <c r="WJU19" s="30"/>
      <c r="WJV19" s="30"/>
      <c r="WJW19" s="30"/>
      <c r="WJX19" s="30"/>
      <c r="WJY19" s="30"/>
      <c r="WJZ19" s="30"/>
      <c r="WKA19" s="30"/>
      <c r="WKB19" s="30"/>
      <c r="WKC19" s="30"/>
      <c r="WKD19" s="30"/>
      <c r="WKE19" s="30"/>
      <c r="WKF19" s="30"/>
      <c r="WKG19" s="30"/>
      <c r="WKH19" s="30"/>
      <c r="WKI19" s="30"/>
      <c r="WKJ19" s="30"/>
      <c r="WKK19" s="30"/>
      <c r="WKL19" s="30"/>
      <c r="WKM19" s="30"/>
      <c r="WKN19" s="30"/>
      <c r="WKO19" s="30"/>
      <c r="WKP19" s="30"/>
      <c r="WKQ19" s="30"/>
      <c r="WKR19" s="30"/>
      <c r="WKS19" s="30"/>
      <c r="WKT19" s="30"/>
      <c r="WKU19" s="30"/>
      <c r="WKV19" s="30"/>
      <c r="WKW19" s="30"/>
      <c r="WKX19" s="30"/>
      <c r="WKY19" s="30"/>
      <c r="WKZ19" s="30"/>
      <c r="WLA19" s="30"/>
      <c r="WLB19" s="30"/>
      <c r="WLC19" s="30"/>
      <c r="WLD19" s="30"/>
      <c r="WLE19" s="30"/>
      <c r="WLF19" s="30"/>
      <c r="WLG19" s="30"/>
      <c r="WLH19" s="30"/>
      <c r="WLI19" s="30"/>
      <c r="WLJ19" s="30"/>
      <c r="WLK19" s="30"/>
      <c r="WLL19" s="30"/>
      <c r="WLM19" s="30"/>
      <c r="WLN19" s="30"/>
      <c r="WLO19" s="30"/>
      <c r="WLP19" s="30"/>
      <c r="WLQ19" s="30"/>
      <c r="WLR19" s="30"/>
      <c r="WLS19" s="30"/>
      <c r="WLT19" s="30"/>
      <c r="WLU19" s="30"/>
      <c r="WLV19" s="30"/>
      <c r="WLW19" s="30"/>
      <c r="WLX19" s="30"/>
      <c r="WLY19" s="30"/>
      <c r="WLZ19" s="30"/>
      <c r="WMA19" s="30"/>
      <c r="WMB19" s="30"/>
      <c r="WMC19" s="30"/>
      <c r="WMD19" s="30"/>
      <c r="WME19" s="30"/>
      <c r="WMF19" s="30"/>
      <c r="WMG19" s="30"/>
      <c r="WMH19" s="30"/>
      <c r="WMI19" s="30"/>
      <c r="WMJ19" s="30"/>
      <c r="WMK19" s="30"/>
      <c r="WML19" s="30"/>
      <c r="WMM19" s="30"/>
      <c r="WMN19" s="30"/>
      <c r="WMO19" s="30"/>
      <c r="WMP19" s="30"/>
      <c r="WMQ19" s="30"/>
      <c r="WMR19" s="30"/>
      <c r="WMS19" s="30"/>
      <c r="WMT19" s="30"/>
      <c r="WMU19" s="30"/>
      <c r="WMV19" s="30"/>
      <c r="WMW19" s="30"/>
      <c r="WMX19" s="30"/>
      <c r="WMY19" s="30"/>
      <c r="WMZ19" s="30"/>
      <c r="WNA19" s="30"/>
      <c r="WNB19" s="30"/>
      <c r="WNC19" s="30"/>
      <c r="WND19" s="30"/>
      <c r="WNE19" s="30"/>
      <c r="WNF19" s="30"/>
      <c r="WNG19" s="30"/>
      <c r="WNH19" s="30"/>
      <c r="WNI19" s="30"/>
      <c r="WNJ19" s="30"/>
      <c r="WNK19" s="30"/>
      <c r="WNL19" s="30"/>
      <c r="WNM19" s="30"/>
      <c r="WNN19" s="30"/>
      <c r="WNO19" s="30"/>
      <c r="WNP19" s="30"/>
      <c r="WNQ19" s="30"/>
      <c r="WNR19" s="30"/>
      <c r="WNS19" s="30"/>
      <c r="WNT19" s="30"/>
      <c r="WNU19" s="30"/>
      <c r="WNV19" s="30"/>
      <c r="WNW19" s="30"/>
      <c r="WNX19" s="30"/>
      <c r="WNY19" s="30"/>
      <c r="WNZ19" s="30"/>
      <c r="WOA19" s="30"/>
      <c r="WOB19" s="30"/>
      <c r="WOC19" s="30"/>
      <c r="WOD19" s="30"/>
      <c r="WOE19" s="30"/>
      <c r="WOF19" s="30"/>
      <c r="WOG19" s="30"/>
      <c r="WOH19" s="30"/>
      <c r="WOI19" s="30"/>
      <c r="WOJ19" s="30"/>
      <c r="WOK19" s="30"/>
      <c r="WOL19" s="30"/>
      <c r="WOM19" s="30"/>
      <c r="WON19" s="30"/>
      <c r="WOO19" s="30"/>
      <c r="WOP19" s="30"/>
      <c r="WOQ19" s="30"/>
      <c r="WOR19" s="30"/>
      <c r="WOS19" s="30"/>
      <c r="WOT19" s="30"/>
      <c r="WOU19" s="30"/>
      <c r="WOV19" s="30"/>
      <c r="WOW19" s="30"/>
      <c r="WOX19" s="30"/>
      <c r="WOY19" s="30"/>
      <c r="WOZ19" s="30"/>
      <c r="WPA19" s="30"/>
      <c r="WPB19" s="30"/>
      <c r="WPC19" s="30"/>
      <c r="WPD19" s="30"/>
      <c r="WPE19" s="30"/>
      <c r="WPF19" s="30"/>
      <c r="WPG19" s="30"/>
      <c r="WPH19" s="30"/>
      <c r="WPI19" s="30"/>
      <c r="WPJ19" s="30"/>
      <c r="WPK19" s="30"/>
      <c r="WPL19" s="30"/>
      <c r="WPM19" s="30"/>
      <c r="WPN19" s="30"/>
      <c r="WPO19" s="30"/>
      <c r="WPP19" s="30"/>
      <c r="WPQ19" s="30"/>
      <c r="WPR19" s="30"/>
      <c r="WPS19" s="30"/>
      <c r="WPT19" s="30"/>
      <c r="WPU19" s="30"/>
      <c r="WPV19" s="30"/>
      <c r="WPW19" s="30"/>
      <c r="WPX19" s="30"/>
      <c r="WPY19" s="30"/>
      <c r="WPZ19" s="30"/>
      <c r="WQA19" s="30"/>
      <c r="WQB19" s="30"/>
      <c r="WQC19" s="30"/>
      <c r="WQD19" s="30"/>
      <c r="WQE19" s="30"/>
      <c r="WQF19" s="30"/>
      <c r="WQG19" s="30"/>
      <c r="WQH19" s="30"/>
      <c r="WQI19" s="30"/>
      <c r="WQJ19" s="30"/>
      <c r="WQK19" s="30"/>
      <c r="WQL19" s="30"/>
      <c r="WQM19" s="30"/>
      <c r="WQN19" s="30"/>
      <c r="WQO19" s="30"/>
      <c r="WQP19" s="30"/>
      <c r="WQQ19" s="30"/>
      <c r="WQR19" s="30"/>
      <c r="WQS19" s="30"/>
      <c r="WQT19" s="30"/>
      <c r="WQU19" s="30"/>
      <c r="WQV19" s="30"/>
      <c r="WQW19" s="30"/>
      <c r="WQX19" s="30"/>
      <c r="WQY19" s="30"/>
      <c r="WQZ19" s="30"/>
      <c r="WRA19" s="30"/>
      <c r="WRB19" s="30"/>
      <c r="WRC19" s="30"/>
      <c r="WRD19" s="30"/>
      <c r="WRE19" s="30"/>
      <c r="WRF19" s="30"/>
      <c r="WRG19" s="30"/>
      <c r="WRH19" s="30"/>
      <c r="WRI19" s="30"/>
      <c r="WRJ19" s="30"/>
      <c r="WRK19" s="30"/>
      <c r="WRL19" s="30"/>
      <c r="WRM19" s="30"/>
      <c r="WRN19" s="30"/>
      <c r="WRO19" s="30"/>
      <c r="WRP19" s="30"/>
      <c r="WRQ19" s="30"/>
      <c r="WRR19" s="30"/>
      <c r="WRS19" s="30"/>
      <c r="WRT19" s="30"/>
      <c r="WRU19" s="30"/>
      <c r="WRV19" s="30"/>
      <c r="WRW19" s="30"/>
      <c r="WRX19" s="30"/>
      <c r="WRY19" s="30"/>
      <c r="WRZ19" s="30"/>
      <c r="WSA19" s="30"/>
      <c r="WSB19" s="30"/>
      <c r="WSC19" s="30"/>
      <c r="WSD19" s="30"/>
      <c r="WSE19" s="30"/>
      <c r="WSF19" s="30"/>
      <c r="WSG19" s="30"/>
      <c r="WSH19" s="30"/>
      <c r="WSI19" s="30"/>
      <c r="WSJ19" s="30"/>
      <c r="WSK19" s="30"/>
      <c r="WSL19" s="30"/>
      <c r="WSM19" s="30"/>
      <c r="WSN19" s="30"/>
      <c r="WSO19" s="30"/>
      <c r="WSP19" s="30"/>
      <c r="WSQ19" s="30"/>
      <c r="WSR19" s="30"/>
      <c r="WSS19" s="30"/>
      <c r="WST19" s="30"/>
      <c r="WSU19" s="30"/>
      <c r="WSV19" s="30"/>
      <c r="WSW19" s="30"/>
      <c r="WSX19" s="30"/>
      <c r="WSY19" s="30"/>
      <c r="WSZ19" s="30"/>
      <c r="WTA19" s="30"/>
      <c r="WTB19" s="30"/>
      <c r="WTC19" s="30"/>
      <c r="WTD19" s="30"/>
      <c r="WTE19" s="30"/>
      <c r="WTF19" s="30"/>
      <c r="WTG19" s="30"/>
      <c r="WTH19" s="30"/>
      <c r="WTI19" s="30"/>
      <c r="WTJ19" s="30"/>
      <c r="WTK19" s="30"/>
      <c r="WTL19" s="30"/>
      <c r="WTM19" s="30"/>
      <c r="WTN19" s="30"/>
      <c r="WTO19" s="30"/>
      <c r="WTP19" s="30"/>
      <c r="WTQ19" s="30"/>
      <c r="WTR19" s="30"/>
      <c r="WTS19" s="30"/>
      <c r="WTT19" s="30"/>
      <c r="WTU19" s="30"/>
      <c r="WTV19" s="30"/>
      <c r="WTW19" s="30"/>
      <c r="WTX19" s="30"/>
      <c r="WTY19" s="30"/>
      <c r="WTZ19" s="30"/>
      <c r="WUA19" s="30"/>
      <c r="WUB19" s="30"/>
      <c r="WUC19" s="30"/>
      <c r="WUD19" s="30"/>
      <c r="WUE19" s="30"/>
      <c r="WUF19" s="30"/>
      <c r="WUG19" s="30"/>
      <c r="WUH19" s="30"/>
      <c r="WUI19" s="30"/>
      <c r="WUJ19" s="30"/>
      <c r="WUK19" s="30"/>
      <c r="WUL19" s="30"/>
      <c r="WUM19" s="30"/>
      <c r="WUN19" s="30"/>
      <c r="WUO19" s="30"/>
      <c r="WUP19" s="30"/>
      <c r="WUQ19" s="30"/>
      <c r="WUR19" s="30"/>
      <c r="WUS19" s="30"/>
      <c r="WUT19" s="30"/>
      <c r="WUU19" s="30"/>
      <c r="WUV19" s="30"/>
      <c r="WUW19" s="30"/>
      <c r="WUX19" s="30"/>
      <c r="WUY19" s="30"/>
      <c r="WUZ19" s="30"/>
      <c r="WVA19" s="30"/>
      <c r="WVB19" s="30"/>
      <c r="WVC19" s="30"/>
      <c r="WVD19" s="30"/>
      <c r="WVE19" s="30"/>
      <c r="WVF19" s="30"/>
      <c r="WVG19" s="30"/>
      <c r="WVH19" s="30"/>
      <c r="WVI19" s="30"/>
      <c r="WVJ19" s="30"/>
      <c r="WVK19" s="30"/>
      <c r="WVL19" s="30"/>
      <c r="WVM19" s="30"/>
      <c r="WVN19" s="30"/>
      <c r="WVO19" s="30"/>
      <c r="WVP19" s="30"/>
      <c r="WVQ19" s="30"/>
      <c r="WVR19" s="30"/>
      <c r="WVS19" s="30"/>
      <c r="WVT19" s="30"/>
      <c r="WVU19" s="30"/>
      <c r="WVV19" s="30"/>
      <c r="WVW19" s="30"/>
      <c r="WVX19" s="30"/>
      <c r="WVY19" s="30"/>
      <c r="WVZ19" s="30"/>
      <c r="WWA19" s="30"/>
      <c r="WWB19" s="30"/>
      <c r="WWC19" s="30"/>
      <c r="WWD19" s="30"/>
      <c r="WWE19" s="30"/>
      <c r="WWF19" s="30"/>
      <c r="WWG19" s="30"/>
      <c r="WWH19" s="30"/>
      <c r="WWI19" s="30"/>
      <c r="WWJ19" s="30"/>
      <c r="WWK19" s="30"/>
      <c r="WWL19" s="30"/>
      <c r="WWM19" s="30"/>
      <c r="WWN19" s="30"/>
      <c r="WWO19" s="30"/>
      <c r="WWP19" s="30"/>
      <c r="WWQ19" s="30"/>
      <c r="WWR19" s="30"/>
      <c r="WWS19" s="30"/>
      <c r="WWT19" s="30"/>
      <c r="WWU19" s="30"/>
      <c r="WWV19" s="30"/>
      <c r="WWW19" s="30"/>
      <c r="WWX19" s="30"/>
      <c r="WWY19" s="30"/>
      <c r="WWZ19" s="30"/>
      <c r="WXA19" s="30"/>
      <c r="WXB19" s="30"/>
      <c r="WXC19" s="30"/>
      <c r="WXD19" s="30"/>
      <c r="WXE19" s="30"/>
      <c r="WXF19" s="30"/>
      <c r="WXG19" s="30"/>
      <c r="WXH19" s="30"/>
      <c r="WXI19" s="30"/>
      <c r="WXJ19" s="30"/>
      <c r="WXK19" s="30"/>
      <c r="WXL19" s="30"/>
      <c r="WXM19" s="30"/>
      <c r="WXN19" s="30"/>
      <c r="WXO19" s="30"/>
      <c r="WXP19" s="30"/>
      <c r="WXQ19" s="30"/>
      <c r="WXR19" s="30"/>
      <c r="WXS19" s="30"/>
      <c r="WXT19" s="30"/>
      <c r="WXU19" s="30"/>
      <c r="WXV19" s="30"/>
      <c r="WXW19" s="30"/>
      <c r="WXX19" s="30"/>
      <c r="WXY19" s="30"/>
      <c r="WXZ19" s="30"/>
      <c r="WYA19" s="30"/>
      <c r="WYB19" s="30"/>
      <c r="WYC19" s="30"/>
      <c r="WYD19" s="30"/>
      <c r="WYE19" s="30"/>
      <c r="WYF19" s="30"/>
      <c r="WYG19" s="30"/>
      <c r="WYH19" s="30"/>
      <c r="WYI19" s="30"/>
      <c r="WYJ19" s="30"/>
      <c r="WYK19" s="30"/>
      <c r="WYL19" s="30"/>
      <c r="WYM19" s="30"/>
      <c r="WYN19" s="30"/>
      <c r="WYO19" s="30"/>
      <c r="WYP19" s="30"/>
      <c r="WYQ19" s="30"/>
      <c r="WYR19" s="30"/>
      <c r="WYS19" s="30"/>
      <c r="WYT19" s="30"/>
      <c r="WYU19" s="30"/>
      <c r="WYV19" s="30"/>
      <c r="WYW19" s="30"/>
      <c r="WYX19" s="30"/>
      <c r="WYY19" s="30"/>
      <c r="WYZ19" s="30"/>
      <c r="WZA19" s="30"/>
      <c r="WZB19" s="30"/>
      <c r="WZC19" s="30"/>
      <c r="WZD19" s="30"/>
      <c r="WZE19" s="30"/>
      <c r="WZF19" s="30"/>
      <c r="WZG19" s="30"/>
      <c r="WZH19" s="30"/>
      <c r="WZI19" s="30"/>
      <c r="WZJ19" s="30"/>
      <c r="WZK19" s="30"/>
      <c r="WZL19" s="30"/>
      <c r="WZM19" s="30"/>
      <c r="WZN19" s="30"/>
      <c r="WZO19" s="30"/>
      <c r="WZP19" s="30"/>
      <c r="WZQ19" s="30"/>
      <c r="WZR19" s="30"/>
      <c r="WZS19" s="30"/>
      <c r="WZT19" s="30"/>
      <c r="WZU19" s="30"/>
      <c r="WZV19" s="30"/>
      <c r="WZW19" s="30"/>
      <c r="WZX19" s="30"/>
      <c r="WZY19" s="30"/>
      <c r="WZZ19" s="30"/>
      <c r="XAA19" s="30"/>
      <c r="XAB19" s="30"/>
      <c r="XAC19" s="30"/>
      <c r="XAD19" s="30"/>
      <c r="XAE19" s="30"/>
      <c r="XAF19" s="30"/>
      <c r="XAG19" s="30"/>
      <c r="XAH19" s="30"/>
      <c r="XAI19" s="30"/>
      <c r="XAJ19" s="30"/>
      <c r="XAK19" s="30"/>
      <c r="XAL19" s="30"/>
      <c r="XAM19" s="30"/>
      <c r="XAN19" s="30"/>
      <c r="XAO19" s="30"/>
      <c r="XAP19" s="30"/>
      <c r="XAQ19" s="30"/>
      <c r="XAR19" s="30"/>
      <c r="XAS19" s="30"/>
      <c r="XAT19" s="30"/>
      <c r="XAU19" s="30"/>
      <c r="XAV19" s="30"/>
      <c r="XAW19" s="30"/>
      <c r="XAX19" s="30"/>
      <c r="XAY19" s="30"/>
      <c r="XAZ19" s="30"/>
      <c r="XBA19" s="30"/>
      <c r="XBB19" s="30"/>
      <c r="XBC19" s="30"/>
      <c r="XBD19" s="30"/>
      <c r="XBE19" s="30"/>
      <c r="XBF19" s="30"/>
      <c r="XBG19" s="30"/>
      <c r="XBH19" s="30"/>
      <c r="XBI19" s="30"/>
      <c r="XBJ19" s="30"/>
      <c r="XBK19" s="30"/>
      <c r="XBL19" s="30"/>
      <c r="XBM19" s="30"/>
      <c r="XBN19" s="30"/>
      <c r="XBO19" s="30"/>
      <c r="XBP19" s="30"/>
      <c r="XBQ19" s="30"/>
      <c r="XBR19" s="30"/>
      <c r="XBS19" s="30"/>
      <c r="XBT19" s="30"/>
      <c r="XBU19" s="30"/>
      <c r="XBV19" s="30"/>
      <c r="XBW19" s="30"/>
      <c r="XBX19" s="30"/>
      <c r="XBY19" s="30"/>
      <c r="XBZ19" s="30"/>
      <c r="XCA19" s="30"/>
      <c r="XCB19" s="30"/>
      <c r="XCC19" s="30"/>
      <c r="XCD19" s="30"/>
      <c r="XCE19" s="30"/>
      <c r="XCF19" s="30"/>
      <c r="XCG19" s="30"/>
      <c r="XCH19" s="30"/>
      <c r="XCI19" s="30"/>
      <c r="XCJ19" s="30"/>
      <c r="XCK19" s="30"/>
      <c r="XCL19" s="30"/>
      <c r="XCM19" s="30"/>
      <c r="XCN19" s="30"/>
      <c r="XCO19" s="30"/>
      <c r="XCP19" s="30"/>
      <c r="XCQ19" s="30"/>
      <c r="XCR19" s="30"/>
      <c r="XCS19" s="30"/>
      <c r="XCT19" s="30"/>
      <c r="XCU19" s="30"/>
      <c r="XCV19" s="30"/>
      <c r="XCW19" s="30"/>
      <c r="XCX19" s="30"/>
      <c r="XCY19" s="30"/>
      <c r="XCZ19" s="30"/>
      <c r="XDA19" s="30"/>
      <c r="XDB19" s="30"/>
      <c r="XDC19" s="30"/>
      <c r="XDD19" s="30"/>
      <c r="XDE19" s="30"/>
      <c r="XDF19" s="30"/>
      <c r="XDG19" s="30"/>
      <c r="XDH19" s="30"/>
      <c r="XDI19" s="30"/>
      <c r="XDJ19" s="30"/>
      <c r="XDK19" s="30"/>
      <c r="XDL19" s="30"/>
      <c r="XDM19" s="30"/>
      <c r="XDN19" s="30"/>
      <c r="XDO19" s="30"/>
      <c r="XDP19" s="30"/>
      <c r="XDQ19" s="30"/>
      <c r="XDR19" s="30"/>
      <c r="XDS19" s="30"/>
      <c r="XDT19" s="30"/>
      <c r="XDU19" s="30"/>
      <c r="XDV19" s="30"/>
      <c r="XDW19" s="30"/>
      <c r="XDX19" s="30"/>
      <c r="XDY19" s="30"/>
      <c r="XDZ19" s="30"/>
      <c r="XEA19" s="30"/>
      <c r="XEB19" s="30"/>
      <c r="XEC19" s="30"/>
      <c r="XED19" s="30"/>
      <c r="XEE19" s="30"/>
      <c r="XEF19" s="30"/>
      <c r="XEG19" s="30"/>
      <c r="XEH19" s="30"/>
      <c r="XEI19" s="30"/>
      <c r="XEJ19" s="30"/>
      <c r="XEK19" s="30"/>
      <c r="XEL19" s="30"/>
      <c r="XEM19" s="30"/>
      <c r="XEN19" s="30"/>
      <c r="XEO19" s="30"/>
      <c r="XEP19" s="30"/>
      <c r="XEQ19" s="30"/>
      <c r="XER19" s="30"/>
      <c r="XES19" s="30"/>
      <c r="XET19" s="30"/>
      <c r="XEU19" s="30"/>
      <c r="XEV19" s="30"/>
      <c r="XEW19" s="30"/>
      <c r="XEX19" s="30"/>
      <c r="XEY19" s="30"/>
      <c r="XEZ19" s="30"/>
      <c r="XFA19" s="30"/>
      <c r="XFB19" s="30"/>
      <c r="XFC19" s="30"/>
      <c r="XFD19" s="30"/>
    </row>
    <row r="20" spans="1:16384" ht="13.15" customHeight="1" x14ac:dyDescent="0.2">
      <c r="B20" s="233" t="s">
        <v>2922</v>
      </c>
    </row>
    <row r="21" spans="1:16384" ht="13.15" customHeight="1" x14ac:dyDescent="0.2">
      <c r="C21" s="183"/>
    </row>
    <row r="22" spans="1:16384" ht="14.45" customHeight="1" x14ac:dyDescent="0.2">
      <c r="B22" s="293"/>
      <c r="C22" s="311" t="s">
        <v>244</v>
      </c>
      <c r="D22" s="296" t="s">
        <v>245</v>
      </c>
      <c r="E22" s="299" t="s">
        <v>154</v>
      </c>
      <c r="F22" s="299"/>
      <c r="G22" s="299"/>
      <c r="H22" s="299"/>
      <c r="I22" s="299"/>
      <c r="J22" s="299"/>
      <c r="K22" s="299"/>
      <c r="L22" s="299"/>
      <c r="M22" s="300" t="s">
        <v>246</v>
      </c>
      <c r="N22" s="299"/>
      <c r="O22" s="299"/>
      <c r="P22" s="301"/>
      <c r="Q22" s="300" t="s">
        <v>164</v>
      </c>
      <c r="R22" s="299"/>
      <c r="S22" s="299"/>
      <c r="T22" s="301"/>
    </row>
    <row r="23" spans="1:16384" ht="34.5" customHeight="1" x14ac:dyDescent="0.2">
      <c r="B23" s="294"/>
      <c r="C23" s="312"/>
      <c r="D23" s="297"/>
      <c r="E23" s="299" t="s">
        <v>213</v>
      </c>
      <c r="F23" s="299"/>
      <c r="G23" s="299"/>
      <c r="H23" s="299"/>
      <c r="I23" s="299" t="s">
        <v>214</v>
      </c>
      <c r="J23" s="299"/>
      <c r="K23" s="299"/>
      <c r="L23" s="299"/>
      <c r="M23" s="300" t="s">
        <v>213</v>
      </c>
      <c r="N23" s="301"/>
      <c r="O23" s="300" t="s">
        <v>214</v>
      </c>
      <c r="P23" s="301"/>
      <c r="Q23" s="300" t="s">
        <v>213</v>
      </c>
      <c r="R23" s="301"/>
      <c r="S23" s="300" t="s">
        <v>214</v>
      </c>
      <c r="T23" s="301"/>
    </row>
    <row r="24" spans="1:16384" ht="34.5" customHeight="1" x14ac:dyDescent="0.2">
      <c r="B24" s="295"/>
      <c r="C24" s="313"/>
      <c r="D24" s="298"/>
      <c r="E24" s="85" t="s">
        <v>215</v>
      </c>
      <c r="F24" s="85" t="s">
        <v>216</v>
      </c>
      <c r="G24" s="85" t="s">
        <v>217</v>
      </c>
      <c r="H24" s="85" t="s">
        <v>218</v>
      </c>
      <c r="I24" s="86" t="s">
        <v>215</v>
      </c>
      <c r="J24" s="90" t="s">
        <v>216</v>
      </c>
      <c r="K24" s="90" t="s">
        <v>217</v>
      </c>
      <c r="L24" s="87" t="s">
        <v>218</v>
      </c>
      <c r="M24" s="88" t="s">
        <v>231</v>
      </c>
      <c r="N24" s="89" t="s">
        <v>232</v>
      </c>
      <c r="O24" s="90" t="s">
        <v>231</v>
      </c>
      <c r="P24" s="90" t="s">
        <v>232</v>
      </c>
      <c r="Q24" s="88" t="s">
        <v>219</v>
      </c>
      <c r="R24" s="89" t="s">
        <v>220</v>
      </c>
      <c r="S24" s="90" t="s">
        <v>219</v>
      </c>
      <c r="T24" s="89" t="s">
        <v>220</v>
      </c>
      <c r="AF24" s="194"/>
    </row>
    <row r="25" spans="1:16384" ht="13.15" customHeight="1" x14ac:dyDescent="0.2">
      <c r="B25" s="51" t="s">
        <v>221</v>
      </c>
      <c r="C25" s="184">
        <v>1092</v>
      </c>
      <c r="D25" s="184">
        <v>1034</v>
      </c>
      <c r="E25" s="185">
        <v>140</v>
      </c>
      <c r="F25" s="186">
        <v>604</v>
      </c>
      <c r="G25" s="186">
        <v>178</v>
      </c>
      <c r="H25" s="186">
        <v>111</v>
      </c>
      <c r="I25" s="187">
        <v>13.552758954501451</v>
      </c>
      <c r="J25" s="188">
        <v>58.470474346563407</v>
      </c>
      <c r="K25" s="188">
        <v>17.231364956437563</v>
      </c>
      <c r="L25" s="189">
        <v>10.745401742497581</v>
      </c>
      <c r="M25" s="53">
        <v>816</v>
      </c>
      <c r="N25" s="55">
        <v>203</v>
      </c>
      <c r="O25" s="190">
        <v>80.078508341511295</v>
      </c>
      <c r="P25" s="192">
        <v>19.921491658488712</v>
      </c>
      <c r="Q25" s="190">
        <v>933</v>
      </c>
      <c r="R25" s="59">
        <v>83</v>
      </c>
      <c r="S25" s="191">
        <v>91.830708661417333</v>
      </c>
      <c r="T25" s="192">
        <v>8.169291338582676</v>
      </c>
      <c r="U25" s="193"/>
      <c r="AF25" s="194"/>
      <c r="AG25" s="194"/>
    </row>
    <row r="26" spans="1:16384" ht="13.15" customHeight="1" x14ac:dyDescent="0.2">
      <c r="B26" s="60" t="s">
        <v>71</v>
      </c>
      <c r="C26" s="195">
        <v>104</v>
      </c>
      <c r="D26" s="195">
        <v>103</v>
      </c>
      <c r="E26" s="196">
        <v>10</v>
      </c>
      <c r="F26" s="197">
        <v>61</v>
      </c>
      <c r="G26" s="197">
        <v>22</v>
      </c>
      <c r="H26" s="197">
        <v>10</v>
      </c>
      <c r="I26" s="198">
        <v>9.7087378640776691</v>
      </c>
      <c r="J26" s="199">
        <v>59.22330097087378</v>
      </c>
      <c r="K26" s="199">
        <v>21.359223300970871</v>
      </c>
      <c r="L26" s="199">
        <v>9.7087378640776691</v>
      </c>
      <c r="M26" s="65">
        <v>82</v>
      </c>
      <c r="N26" s="200">
        <v>20</v>
      </c>
      <c r="O26" s="67">
        <v>80.392156862745097</v>
      </c>
      <c r="P26" s="201">
        <v>19.607843137254903</v>
      </c>
      <c r="Q26" s="67">
        <v>92</v>
      </c>
      <c r="R26" s="68">
        <v>10</v>
      </c>
      <c r="S26" s="67">
        <v>90.196078431372555</v>
      </c>
      <c r="T26" s="201">
        <v>9.8039215686274517</v>
      </c>
      <c r="U26" s="193"/>
      <c r="AF26" s="194"/>
      <c r="AG26" s="194"/>
    </row>
    <row r="27" spans="1:16384" ht="13.15" customHeight="1" x14ac:dyDescent="0.2">
      <c r="B27" s="60" t="s">
        <v>81</v>
      </c>
      <c r="C27" s="195">
        <v>60</v>
      </c>
      <c r="D27" s="195">
        <v>59</v>
      </c>
      <c r="E27" s="196">
        <v>2</v>
      </c>
      <c r="F27" s="197">
        <v>23</v>
      </c>
      <c r="G27" s="197">
        <v>16</v>
      </c>
      <c r="H27" s="197">
        <v>18</v>
      </c>
      <c r="I27" s="198">
        <v>3.3898305084745761</v>
      </c>
      <c r="J27" s="199">
        <v>38.983050847457626</v>
      </c>
      <c r="K27" s="199">
        <v>27.118644067796609</v>
      </c>
      <c r="L27" s="199">
        <v>30.508474576271187</v>
      </c>
      <c r="M27" s="65">
        <v>32</v>
      </c>
      <c r="N27" s="200">
        <v>27</v>
      </c>
      <c r="O27" s="67">
        <v>54.237288135593218</v>
      </c>
      <c r="P27" s="201">
        <v>45.762711864406782</v>
      </c>
      <c r="Q27" s="67">
        <v>52</v>
      </c>
      <c r="R27" s="68">
        <v>7</v>
      </c>
      <c r="S27" s="67">
        <v>88.135593220338976</v>
      </c>
      <c r="T27" s="201">
        <v>11.864406779661017</v>
      </c>
      <c r="U27" s="193"/>
      <c r="AF27" s="194"/>
      <c r="AG27" s="194"/>
    </row>
    <row r="28" spans="1:16384" ht="13.15" customHeight="1" x14ac:dyDescent="0.2">
      <c r="B28" s="60" t="s">
        <v>84</v>
      </c>
      <c r="C28" s="195">
        <v>138</v>
      </c>
      <c r="D28" s="195">
        <v>136</v>
      </c>
      <c r="E28" s="196">
        <v>9</v>
      </c>
      <c r="F28" s="197">
        <v>68</v>
      </c>
      <c r="G28" s="197">
        <v>29</v>
      </c>
      <c r="H28" s="197">
        <v>30</v>
      </c>
      <c r="I28" s="198">
        <v>6.6176470588235299</v>
      </c>
      <c r="J28" s="199">
        <v>50</v>
      </c>
      <c r="K28" s="199">
        <v>21.323529411764707</v>
      </c>
      <c r="L28" s="199">
        <v>22.058823529411764</v>
      </c>
      <c r="M28" s="65">
        <v>91</v>
      </c>
      <c r="N28" s="200">
        <v>45</v>
      </c>
      <c r="O28" s="67">
        <v>66.911764705882348</v>
      </c>
      <c r="P28" s="201">
        <v>33.088235294117645</v>
      </c>
      <c r="Q28" s="67">
        <v>113</v>
      </c>
      <c r="R28" s="68">
        <v>22</v>
      </c>
      <c r="S28" s="67">
        <v>83.703703703703695</v>
      </c>
      <c r="T28" s="201">
        <v>16.296296296296298</v>
      </c>
      <c r="U28" s="193"/>
      <c r="AF28" s="194"/>
      <c r="AG28" s="194"/>
    </row>
    <row r="29" spans="1:16384" ht="13.15" customHeight="1" x14ac:dyDescent="0.2">
      <c r="B29" s="60" t="s">
        <v>90</v>
      </c>
      <c r="C29" s="195">
        <v>788</v>
      </c>
      <c r="D29" s="195">
        <v>734</v>
      </c>
      <c r="E29" s="196">
        <v>119</v>
      </c>
      <c r="F29" s="197">
        <v>452</v>
      </c>
      <c r="G29" s="197">
        <v>111</v>
      </c>
      <c r="H29" s="197">
        <v>51</v>
      </c>
      <c r="I29" s="198">
        <v>16.234652114597544</v>
      </c>
      <c r="J29" s="199">
        <v>61.664392905866308</v>
      </c>
      <c r="K29" s="199">
        <v>15.143246930422919</v>
      </c>
      <c r="L29" s="199">
        <v>6.9577080491132328</v>
      </c>
      <c r="M29" s="65">
        <v>611</v>
      </c>
      <c r="N29" s="200">
        <v>109</v>
      </c>
      <c r="O29" s="67">
        <v>84.861111111111114</v>
      </c>
      <c r="P29" s="201">
        <v>15.138888888888888</v>
      </c>
      <c r="Q29" s="67">
        <v>676</v>
      </c>
      <c r="R29" s="68">
        <v>42</v>
      </c>
      <c r="S29" s="67">
        <v>94.150417827298043</v>
      </c>
      <c r="T29" s="201">
        <v>5.8495821727019495</v>
      </c>
      <c r="U29" s="193"/>
      <c r="AF29" s="194"/>
      <c r="AG29" s="194"/>
    </row>
    <row r="30" spans="1:16384" ht="13.15" customHeight="1" x14ac:dyDescent="0.2">
      <c r="B30" s="69" t="s">
        <v>226</v>
      </c>
      <c r="C30" s="202">
        <v>2</v>
      </c>
      <c r="D30" s="202">
        <v>2</v>
      </c>
      <c r="E30" s="203">
        <v>0</v>
      </c>
      <c r="F30" s="204">
        <v>0</v>
      </c>
      <c r="G30" s="204">
        <v>0</v>
      </c>
      <c r="H30" s="204">
        <v>2</v>
      </c>
      <c r="I30" s="205">
        <v>0</v>
      </c>
      <c r="J30" s="206">
        <v>0</v>
      </c>
      <c r="K30" s="206">
        <v>0</v>
      </c>
      <c r="L30" s="206">
        <v>100</v>
      </c>
      <c r="M30" s="74">
        <v>0</v>
      </c>
      <c r="N30" s="75">
        <v>2</v>
      </c>
      <c r="O30" s="76">
        <v>0</v>
      </c>
      <c r="P30" s="77">
        <v>100</v>
      </c>
      <c r="Q30" s="76">
        <v>0</v>
      </c>
      <c r="R30" s="77">
        <v>2</v>
      </c>
      <c r="S30" s="76">
        <v>0</v>
      </c>
      <c r="T30" s="213">
        <v>100</v>
      </c>
      <c r="U30" s="193"/>
      <c r="AF30" s="194"/>
      <c r="AG30" s="194"/>
    </row>
    <row r="31" spans="1:16384" ht="12.75" customHeight="1" x14ac:dyDescent="0.2">
      <c r="B31" s="208"/>
      <c r="C31" s="209"/>
      <c r="D31" s="210"/>
      <c r="E31" s="211"/>
      <c r="F31" s="211"/>
      <c r="G31" s="211"/>
      <c r="H31" s="211"/>
      <c r="I31" s="212"/>
      <c r="J31" s="212"/>
      <c r="K31" s="212"/>
      <c r="L31" s="212"/>
      <c r="T31" s="97" t="s">
        <v>1090</v>
      </c>
      <c r="AF31" s="194"/>
    </row>
    <row r="32" spans="1:16384" ht="12.75" customHeight="1" x14ac:dyDescent="0.2">
      <c r="B32" s="208"/>
      <c r="C32" s="209"/>
      <c r="D32" s="210"/>
      <c r="E32" s="211"/>
      <c r="F32" s="211"/>
      <c r="G32" s="211"/>
      <c r="H32" s="211"/>
      <c r="I32" s="212"/>
      <c r="J32" s="212"/>
      <c r="K32" s="212"/>
      <c r="L32" s="212"/>
      <c r="T32" s="98"/>
      <c r="AF32" s="194"/>
    </row>
    <row r="33" spans="2:45" ht="12.75" customHeight="1" x14ac:dyDescent="0.2">
      <c r="B33" s="231" t="s">
        <v>1093</v>
      </c>
      <c r="C33" s="209"/>
      <c r="D33" s="210"/>
      <c r="E33" s="211"/>
      <c r="F33" s="211"/>
      <c r="G33" s="211"/>
      <c r="H33" s="211"/>
      <c r="I33" s="212"/>
      <c r="J33" s="212"/>
      <c r="K33" s="212"/>
      <c r="L33" s="212"/>
      <c r="T33" s="98"/>
    </row>
    <row r="34" spans="2:45" ht="28.15" customHeight="1" x14ac:dyDescent="0.2">
      <c r="B34" s="310" t="s">
        <v>1095</v>
      </c>
      <c r="C34" s="310"/>
      <c r="D34" s="310"/>
      <c r="E34" s="310"/>
      <c r="F34" s="310"/>
      <c r="G34" s="310"/>
      <c r="H34" s="310"/>
      <c r="I34" s="310"/>
      <c r="J34" s="310"/>
      <c r="K34" s="310"/>
      <c r="L34" s="310"/>
      <c r="M34" s="37"/>
      <c r="N34" s="37"/>
      <c r="O34" s="37"/>
    </row>
    <row r="35" spans="2:45" ht="13.15" customHeight="1" x14ac:dyDescent="0.2">
      <c r="B35" s="40" t="s">
        <v>1096</v>
      </c>
    </row>
    <row r="36" spans="2:45" ht="13.15" customHeight="1" x14ac:dyDescent="0.2">
      <c r="B36" s="40" t="s">
        <v>1097</v>
      </c>
    </row>
    <row r="37" spans="2:45" ht="13.15" customHeight="1" x14ac:dyDescent="0.2">
      <c r="B37" s="40" t="s">
        <v>1098</v>
      </c>
    </row>
    <row r="38" spans="2:45" ht="28.9" customHeight="1" x14ac:dyDescent="0.2">
      <c r="B38" s="306" t="s">
        <v>1099</v>
      </c>
      <c r="C38" s="306"/>
      <c r="D38" s="306"/>
      <c r="E38" s="306"/>
      <c r="F38" s="306"/>
      <c r="G38" s="306"/>
      <c r="H38" s="306"/>
      <c r="I38" s="306"/>
      <c r="J38" s="306"/>
      <c r="K38" s="306"/>
      <c r="L38" s="306"/>
    </row>
    <row r="39" spans="2:45" ht="28.5" customHeight="1" x14ac:dyDescent="0.2">
      <c r="B39" s="308" t="s">
        <v>2929</v>
      </c>
      <c r="C39" s="308"/>
      <c r="D39" s="308"/>
      <c r="E39" s="308"/>
      <c r="F39" s="308"/>
      <c r="G39" s="308"/>
      <c r="H39" s="308"/>
      <c r="I39" s="308"/>
      <c r="J39" s="308"/>
      <c r="K39" s="308"/>
      <c r="L39" s="308"/>
    </row>
    <row r="40" spans="2:45" ht="13.15" customHeight="1" x14ac:dyDescent="0.2">
      <c r="B40" s="214"/>
    </row>
    <row r="41" spans="2:45" s="215" customFormat="1" ht="35.25" customHeight="1" x14ac:dyDescent="0.2">
      <c r="B41" s="309" t="s">
        <v>250</v>
      </c>
      <c r="C41" s="309"/>
      <c r="D41" s="309"/>
      <c r="E41" s="309"/>
      <c r="F41" s="309"/>
      <c r="G41" s="309"/>
      <c r="H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row>
    <row r="42" spans="2:45" ht="13.15" customHeight="1" x14ac:dyDescent="0.2">
      <c r="B42" s="233" t="s">
        <v>2923</v>
      </c>
    </row>
    <row r="43" spans="2:45" ht="13.15" customHeight="1" x14ac:dyDescent="0.2"/>
    <row r="44" spans="2:45" ht="13.15" customHeight="1" x14ac:dyDescent="0.2">
      <c r="C44" s="300" t="s">
        <v>251</v>
      </c>
      <c r="D44" s="299"/>
      <c r="E44" s="299"/>
      <c r="F44" s="299"/>
      <c r="G44" s="301"/>
    </row>
    <row r="45" spans="2:45" ht="12.75" customHeight="1" x14ac:dyDescent="0.2">
      <c r="B45" s="293" t="s">
        <v>252</v>
      </c>
      <c r="C45" s="296" t="s">
        <v>230</v>
      </c>
      <c r="D45" s="299" t="s">
        <v>213</v>
      </c>
      <c r="E45" s="301"/>
      <c r="F45" s="300" t="s">
        <v>214</v>
      </c>
      <c r="G45" s="301"/>
    </row>
    <row r="46" spans="2:45" ht="31.5" customHeight="1" x14ac:dyDescent="0.2">
      <c r="B46" s="294"/>
      <c r="C46" s="298"/>
      <c r="D46" s="85" t="s">
        <v>231</v>
      </c>
      <c r="E46" s="160" t="s">
        <v>232</v>
      </c>
      <c r="F46" s="230" t="s">
        <v>231</v>
      </c>
      <c r="G46" s="160" t="s">
        <v>232</v>
      </c>
      <c r="I46" s="214"/>
    </row>
    <row r="47" spans="2:45" ht="13.15" customHeight="1" x14ac:dyDescent="0.2">
      <c r="B47" s="216" t="s">
        <v>253</v>
      </c>
      <c r="C47" s="217">
        <v>72</v>
      </c>
      <c r="D47" s="218">
        <v>36</v>
      </c>
      <c r="E47" s="219">
        <v>36</v>
      </c>
      <c r="F47" s="220">
        <v>50</v>
      </c>
      <c r="G47" s="221">
        <v>50</v>
      </c>
    </row>
    <row r="48" spans="2:45" ht="13.15" customHeight="1" x14ac:dyDescent="0.2">
      <c r="B48" s="60" t="s">
        <v>217</v>
      </c>
      <c r="C48" s="222">
        <v>30</v>
      </c>
      <c r="D48" s="223">
        <v>16</v>
      </c>
      <c r="E48" s="224">
        <v>14</v>
      </c>
      <c r="F48" s="225">
        <v>53.333333333333336</v>
      </c>
      <c r="G48" s="139">
        <v>46.666666666666664</v>
      </c>
    </row>
    <row r="49" spans="2:8" ht="13.15" customHeight="1" x14ac:dyDescent="0.2">
      <c r="B49" s="69" t="s">
        <v>218</v>
      </c>
      <c r="C49" s="226">
        <v>42</v>
      </c>
      <c r="D49" s="227">
        <v>20</v>
      </c>
      <c r="E49" s="228">
        <v>22</v>
      </c>
      <c r="F49" s="229">
        <v>47.619047619047613</v>
      </c>
      <c r="G49" s="151">
        <v>52.380952380952387</v>
      </c>
    </row>
    <row r="50" spans="2:8" ht="13.15" customHeight="1" x14ac:dyDescent="0.2">
      <c r="B50" s="208"/>
      <c r="C50" s="208"/>
      <c r="D50" s="208"/>
      <c r="E50" s="208"/>
      <c r="F50" s="208"/>
      <c r="G50" s="97" t="s">
        <v>1090</v>
      </c>
      <c r="H50" s="211"/>
    </row>
    <row r="51" spans="2:8" ht="13.15" customHeight="1" x14ac:dyDescent="0.2">
      <c r="B51" s="208"/>
      <c r="C51" s="208"/>
      <c r="D51" s="208"/>
      <c r="E51" s="208"/>
      <c r="F51" s="208"/>
      <c r="G51" s="98"/>
      <c r="H51" s="211"/>
    </row>
    <row r="52" spans="2:8" ht="13.15" customHeight="1" x14ac:dyDescent="0.2">
      <c r="B52" s="40" t="s">
        <v>224</v>
      </c>
    </row>
    <row r="53" spans="2:8" ht="13.15" customHeight="1" x14ac:dyDescent="0.2">
      <c r="B53" s="40" t="s">
        <v>225</v>
      </c>
    </row>
    <row r="54" spans="2:8" ht="24.75" customHeight="1" x14ac:dyDescent="0.2">
      <c r="B54" s="307" t="s">
        <v>254</v>
      </c>
      <c r="C54" s="307"/>
      <c r="D54" s="307"/>
      <c r="E54" s="307"/>
      <c r="F54" s="307"/>
      <c r="G54" s="307"/>
    </row>
    <row r="55" spans="2:8" ht="24.75" customHeight="1" x14ac:dyDescent="0.2">
      <c r="B55" s="307" t="s">
        <v>255</v>
      </c>
      <c r="C55" s="307"/>
      <c r="D55" s="307"/>
      <c r="E55" s="307"/>
      <c r="F55" s="307"/>
      <c r="G55" s="307"/>
    </row>
  </sheetData>
  <mergeCells count="37">
    <mergeCell ref="E4:L4"/>
    <mergeCell ref="M4:P4"/>
    <mergeCell ref="Q4:T4"/>
    <mergeCell ref="M23:N23"/>
    <mergeCell ref="E5:H5"/>
    <mergeCell ref="I5:L5"/>
    <mergeCell ref="M5:N5"/>
    <mergeCell ref="O5:P5"/>
    <mergeCell ref="Q5:R5"/>
    <mergeCell ref="O23:P23"/>
    <mergeCell ref="Q23:R23"/>
    <mergeCell ref="S23:T23"/>
    <mergeCell ref="B54:G54"/>
    <mergeCell ref="S5:T5"/>
    <mergeCell ref="B22:B24"/>
    <mergeCell ref="C22:C24"/>
    <mergeCell ref="D22:D24"/>
    <mergeCell ref="E22:L22"/>
    <mergeCell ref="M22:P22"/>
    <mergeCell ref="Q22:T22"/>
    <mergeCell ref="E23:H23"/>
    <mergeCell ref="I23:L23"/>
    <mergeCell ref="B4:B6"/>
    <mergeCell ref="C4:C6"/>
    <mergeCell ref="D4:D6"/>
    <mergeCell ref="B55:G55"/>
    <mergeCell ref="B16:L16"/>
    <mergeCell ref="B41:G41"/>
    <mergeCell ref="C44:G44"/>
    <mergeCell ref="B45:B46"/>
    <mergeCell ref="C45:C46"/>
    <mergeCell ref="D45:E45"/>
    <mergeCell ref="F45:G45"/>
    <mergeCell ref="B38:L38"/>
    <mergeCell ref="B17:L17"/>
    <mergeCell ref="B34:L34"/>
    <mergeCell ref="B39:L3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B7BD-8C76-49D5-8185-98872BB30E05}">
  <sheetPr>
    <tabColor theme="9" tint="0.79998168889431442"/>
  </sheetPr>
  <dimension ref="A1:IT246"/>
  <sheetViews>
    <sheetView workbookViewId="0"/>
  </sheetViews>
  <sheetFormatPr defaultColWidth="26.5703125" defaultRowHeight="12.75" x14ac:dyDescent="0.2"/>
  <cols>
    <col min="1" max="1" width="23.85546875" style="28" customWidth="1"/>
    <col min="2" max="2" width="10" style="28" customWidth="1"/>
    <col min="3" max="3" width="10.85546875" style="28" customWidth="1"/>
    <col min="4" max="4" width="42.5703125" style="28" customWidth="1"/>
    <col min="5" max="5" width="31.85546875" style="28" customWidth="1"/>
    <col min="6" max="6" width="35" style="28" customWidth="1"/>
    <col min="7" max="7" width="27.42578125" style="28" customWidth="1"/>
    <col min="8" max="8" width="24.7109375" style="28" customWidth="1"/>
    <col min="9" max="9" width="11.42578125" style="28" customWidth="1"/>
    <col min="10" max="10" width="31.85546875" style="28" customWidth="1"/>
    <col min="11" max="11" width="27" style="28" customWidth="1"/>
    <col min="12" max="12" width="28.5703125" style="28" customWidth="1"/>
    <col min="13" max="13" width="19.85546875" style="28" customWidth="1"/>
    <col min="14" max="14" width="20.28515625" style="28" customWidth="1"/>
    <col min="15" max="15" width="23" style="28" customWidth="1"/>
    <col min="16" max="16" width="22.5703125" style="28" customWidth="1"/>
    <col min="17" max="17" width="12.7109375" style="28" customWidth="1"/>
    <col min="18" max="18" width="30.42578125" style="28" customWidth="1"/>
    <col min="19" max="19" width="31.28515625" style="28" customWidth="1"/>
    <col min="20" max="20" width="22.42578125" style="28" customWidth="1"/>
    <col min="21" max="21" width="59.42578125" style="28" customWidth="1"/>
    <col min="22" max="22" width="31.5703125" style="28" customWidth="1"/>
    <col min="23" max="23" width="22.28515625" style="28" customWidth="1"/>
    <col min="24" max="24" width="18.5703125" style="28" customWidth="1"/>
    <col min="25" max="25" width="24.85546875" style="28" customWidth="1"/>
    <col min="26" max="26" width="22.140625" style="28" customWidth="1"/>
    <col min="27" max="27" width="23.5703125" style="28" customWidth="1"/>
    <col min="28" max="28" width="18.140625" style="28" customWidth="1"/>
    <col min="29" max="29" width="24.5703125" style="28" customWidth="1"/>
    <col min="30" max="30" width="14.85546875" style="28" customWidth="1"/>
    <col min="31" max="31" width="20.28515625" style="28" customWidth="1"/>
    <col min="32" max="36" width="14.85546875" style="28" customWidth="1"/>
    <col min="37" max="37" width="17.7109375" style="28" customWidth="1"/>
    <col min="38" max="38" width="14.42578125" style="28" customWidth="1"/>
    <col min="39" max="46" width="21.28515625" style="28" customWidth="1"/>
    <col min="47" max="48" width="39.42578125" style="28" customWidth="1"/>
    <col min="49" max="49" width="39" style="28" bestFit="1" customWidth="1"/>
    <col min="50" max="50" width="41.140625" style="28" bestFit="1" customWidth="1"/>
    <col min="51" max="51" width="41.7109375" style="28" bestFit="1" customWidth="1"/>
    <col min="52" max="52" width="42.28515625" style="28" bestFit="1" customWidth="1"/>
    <col min="53" max="53" width="38.5703125" style="28" bestFit="1" customWidth="1"/>
    <col min="54" max="54" width="38.85546875" style="28" bestFit="1" customWidth="1"/>
    <col min="55" max="55" width="39" style="28" bestFit="1" customWidth="1"/>
    <col min="56" max="56" width="38.42578125" style="28" bestFit="1" customWidth="1"/>
    <col min="57" max="57" width="33.85546875" style="28" bestFit="1" customWidth="1"/>
    <col min="58" max="58" width="36.42578125" style="28" customWidth="1"/>
    <col min="59" max="59" width="36.5703125" style="28" bestFit="1" customWidth="1"/>
    <col min="60" max="60" width="36.28515625" style="28" bestFit="1" customWidth="1"/>
    <col min="61" max="62" width="36.5703125" style="28" bestFit="1" customWidth="1"/>
    <col min="63" max="63" width="36.140625" style="28" bestFit="1" customWidth="1"/>
    <col min="64" max="64" width="36.42578125" style="28" bestFit="1" customWidth="1"/>
    <col min="65" max="65" width="36.5703125" style="28" bestFit="1" customWidth="1"/>
    <col min="66" max="67" width="35.85546875" style="28" bestFit="1" customWidth="1"/>
    <col min="68" max="69" width="33.85546875" style="28" bestFit="1" customWidth="1"/>
    <col min="70" max="70" width="36.42578125" style="28" bestFit="1" customWidth="1"/>
    <col min="71" max="71" width="36.5703125" style="28" bestFit="1" customWidth="1"/>
    <col min="72" max="72" width="38.5703125" style="28" bestFit="1" customWidth="1"/>
    <col min="73" max="73" width="39.140625" style="28" bestFit="1" customWidth="1"/>
    <col min="74" max="74" width="39.7109375" style="28" bestFit="1" customWidth="1"/>
    <col min="75" max="75" width="39.5703125" style="28" bestFit="1" customWidth="1"/>
    <col min="76" max="76" width="39" style="28" bestFit="1" customWidth="1"/>
    <col min="77" max="77" width="39.5703125" style="28" bestFit="1" customWidth="1"/>
    <col min="78" max="78" width="40.28515625" style="28" bestFit="1" customWidth="1"/>
    <col min="79" max="79" width="36.28515625" style="28" bestFit="1" customWidth="1"/>
    <col min="80" max="80" width="36.5703125" style="28" bestFit="1" customWidth="1"/>
    <col min="81" max="81" width="38.5703125" style="28" bestFit="1" customWidth="1"/>
    <col min="82" max="82" width="39.140625" style="28" bestFit="1" customWidth="1"/>
    <col min="83" max="83" width="39.7109375" style="28" bestFit="1" customWidth="1"/>
    <col min="84" max="84" width="33.85546875" style="28" bestFit="1" customWidth="1"/>
    <col min="85" max="85" width="36.42578125" style="28" bestFit="1" customWidth="1"/>
    <col min="86" max="86" width="36.5703125" style="28" bestFit="1" customWidth="1"/>
    <col min="87" max="89" width="37.28515625" style="28" bestFit="1" customWidth="1"/>
    <col min="90" max="90" width="33.85546875" style="28" bestFit="1" customWidth="1"/>
    <col min="91" max="91" width="36.42578125" style="28" bestFit="1" customWidth="1"/>
    <col min="92" max="92" width="36.5703125" style="28" bestFit="1" customWidth="1"/>
    <col min="93" max="93" width="36.28515625" style="28" bestFit="1" customWidth="1"/>
    <col min="94" max="100" width="34.85546875" style="28" bestFit="1" customWidth="1"/>
    <col min="101" max="101" width="37.42578125" style="28" bestFit="1" customWidth="1"/>
    <col min="102" max="102" width="37.5703125" style="28" bestFit="1" customWidth="1"/>
    <col min="103" max="103" width="37.42578125" style="28" bestFit="1" customWidth="1"/>
    <col min="104" max="104" width="39.85546875" style="28" bestFit="1" customWidth="1"/>
    <col min="105" max="105" width="40" style="28" bestFit="1" customWidth="1"/>
    <col min="106" max="106" width="39.7109375" style="28" bestFit="1" customWidth="1"/>
    <col min="107" max="107" width="41.85546875" style="28" bestFit="1" customWidth="1"/>
    <col min="108" max="108" width="42.42578125" style="28" bestFit="1" customWidth="1"/>
    <col min="109" max="109" width="43" style="28" bestFit="1" customWidth="1"/>
    <col min="110" max="110" width="42.85546875" style="28" bestFit="1" customWidth="1"/>
    <col min="111" max="112" width="40" style="28" bestFit="1" customWidth="1"/>
    <col min="113" max="113" width="39.5703125" style="28" bestFit="1" customWidth="1"/>
    <col min="114" max="115" width="37.42578125" style="28" bestFit="1" customWidth="1"/>
    <col min="116" max="116" width="39.85546875" style="28" bestFit="1" customWidth="1"/>
    <col min="117" max="117" width="42" style="28" bestFit="1" customWidth="1"/>
    <col min="118" max="118" width="45.5703125" style="28" bestFit="1" customWidth="1"/>
    <col min="119" max="119" width="45.85546875" style="28" bestFit="1" customWidth="1"/>
    <col min="120" max="120" width="45.28515625" style="28" bestFit="1" customWidth="1"/>
    <col min="121" max="121" width="42.5703125" style="28" bestFit="1" customWidth="1"/>
    <col min="122" max="122" width="40" style="28" bestFit="1" customWidth="1"/>
    <col min="123" max="123" width="39.7109375" style="28" bestFit="1" customWidth="1"/>
    <col min="124" max="124" width="40" style="28" bestFit="1" customWidth="1"/>
    <col min="125" max="125" width="42.140625" style="28" bestFit="1" customWidth="1"/>
    <col min="126" max="126" width="42.7109375" style="28" bestFit="1" customWidth="1"/>
    <col min="127" max="127" width="40" style="28" bestFit="1" customWidth="1"/>
    <col min="128" max="129" width="37.42578125" style="28" bestFit="1" customWidth="1"/>
    <col min="130" max="130" width="39.85546875" style="28" bestFit="1" customWidth="1"/>
    <col min="131" max="131" width="42" style="28" bestFit="1" customWidth="1"/>
    <col min="132" max="132" width="42.5703125" style="28" bestFit="1" customWidth="1"/>
    <col min="133" max="133" width="40" style="28" bestFit="1" customWidth="1"/>
    <col min="134" max="134" width="42.140625" style="28" bestFit="1" customWidth="1"/>
    <col min="135" max="135" width="42.7109375" style="28" bestFit="1" customWidth="1"/>
    <col min="136" max="136" width="43.28515625" style="28" bestFit="1" customWidth="1"/>
    <col min="137" max="137" width="39.7109375" style="28" bestFit="1" customWidth="1"/>
    <col min="138" max="140" width="37.42578125" style="28" bestFit="1" customWidth="1"/>
    <col min="141" max="141" width="39.85546875" style="28" bestFit="1" customWidth="1"/>
    <col min="142" max="142" width="42" style="28" bestFit="1" customWidth="1"/>
    <col min="143" max="143" width="42.5703125" style="28" bestFit="1" customWidth="1"/>
    <col min="144" max="144" width="43.140625" style="28" bestFit="1" customWidth="1"/>
    <col min="145" max="145" width="43" style="28" bestFit="1" customWidth="1"/>
    <col min="146" max="146" width="42.42578125" style="28" bestFit="1" customWidth="1"/>
    <col min="147" max="147" width="43" style="28" bestFit="1" customWidth="1"/>
    <col min="148" max="148" width="43.5703125" style="28" bestFit="1" customWidth="1"/>
    <col min="149" max="149" width="44.140625" style="28" bestFit="1" customWidth="1"/>
    <col min="150" max="150" width="40" style="28" bestFit="1" customWidth="1"/>
    <col min="151" max="152" width="37.42578125" style="28" bestFit="1" customWidth="1"/>
    <col min="153" max="153" width="39.85546875" style="28" bestFit="1" customWidth="1"/>
    <col min="154" max="154" width="42" style="28" bestFit="1" customWidth="1"/>
    <col min="155" max="155" width="42.5703125" style="28" bestFit="1" customWidth="1"/>
    <col min="156" max="156" width="40" style="28" bestFit="1" customWidth="1"/>
    <col min="157" max="157" width="39.7109375" style="28" bestFit="1" customWidth="1"/>
    <col min="158" max="159" width="37.42578125" style="28" bestFit="1" customWidth="1"/>
    <col min="160" max="160" width="39.85546875" style="28" bestFit="1" customWidth="1"/>
    <col min="161" max="161" width="40" style="28" bestFit="1" customWidth="1"/>
    <col min="162" max="162" width="37.42578125" style="28" bestFit="1" customWidth="1"/>
    <col min="163" max="163" width="39.85546875" style="28" bestFit="1" customWidth="1"/>
    <col min="164" max="164" width="40" style="28" bestFit="1" customWidth="1"/>
    <col min="165" max="165" width="39.7109375" style="28" bestFit="1" customWidth="1"/>
    <col min="166" max="166" width="37.42578125" style="28" bestFit="1" customWidth="1"/>
    <col min="167" max="167" width="39.85546875" style="28" bestFit="1" customWidth="1"/>
    <col min="168" max="168" width="40" style="28" bestFit="1" customWidth="1"/>
    <col min="169" max="169" width="39.7109375" style="28" bestFit="1" customWidth="1"/>
    <col min="170" max="170" width="37.42578125" style="28" bestFit="1" customWidth="1"/>
    <col min="171" max="173" width="34.85546875" style="28" bestFit="1" customWidth="1"/>
    <col min="174" max="174" width="37.42578125" style="28" bestFit="1" customWidth="1"/>
    <col min="175" max="175" width="37.5703125" style="28" bestFit="1" customWidth="1"/>
    <col min="176" max="176" width="37.42578125" style="28" bestFit="1" customWidth="1"/>
    <col min="177" max="177" width="39.85546875" style="28" bestFit="1" customWidth="1"/>
    <col min="178" max="178" width="40" style="28" bestFit="1" customWidth="1"/>
    <col min="179" max="179" width="39.7109375" style="28" bestFit="1" customWidth="1"/>
    <col min="180" max="180" width="40" style="28" bestFit="1" customWidth="1"/>
    <col min="181" max="181" width="37.42578125" style="28" bestFit="1" customWidth="1"/>
    <col min="182" max="182" width="39.85546875" style="28" bestFit="1" customWidth="1"/>
    <col min="183" max="183" width="40" style="28" bestFit="1" customWidth="1"/>
    <col min="184" max="184" width="37.42578125" style="28" bestFit="1" customWidth="1"/>
    <col min="185" max="185" width="39.85546875" style="28" bestFit="1" customWidth="1"/>
    <col min="186" max="186" width="40" style="28" bestFit="1" customWidth="1"/>
    <col min="187" max="187" width="37.28515625" style="28" bestFit="1" customWidth="1"/>
    <col min="188" max="188" width="37.42578125" style="28" bestFit="1" customWidth="1"/>
    <col min="189" max="189" width="39.85546875" style="28" bestFit="1" customWidth="1"/>
    <col min="190" max="190" width="40" style="28" bestFit="1" customWidth="1"/>
    <col min="191" max="191" width="39.7109375" style="28" bestFit="1" customWidth="1"/>
    <col min="192" max="193" width="40" style="28" bestFit="1" customWidth="1"/>
    <col min="194" max="194" width="39.5703125" style="28" bestFit="1" customWidth="1"/>
    <col min="195" max="195" width="39.85546875" style="28" bestFit="1" customWidth="1"/>
    <col min="196" max="196" width="40" style="28" bestFit="1" customWidth="1"/>
    <col min="197" max="198" width="39.42578125" style="28" bestFit="1" customWidth="1"/>
    <col min="199" max="199" width="37.42578125" style="28" bestFit="1" customWidth="1"/>
    <col min="200" max="200" width="39.85546875" style="28" bestFit="1" customWidth="1"/>
    <col min="201" max="201" width="40" style="28" bestFit="1" customWidth="1"/>
    <col min="202" max="202" width="42.140625" style="28" bestFit="1" customWidth="1"/>
    <col min="203" max="203" width="42.7109375" style="28" bestFit="1" customWidth="1"/>
    <col min="204" max="204" width="39.7109375" style="28" bestFit="1" customWidth="1"/>
    <col min="205" max="205" width="40" style="28" bestFit="1" customWidth="1"/>
    <col min="206" max="206" width="37.42578125" style="28" bestFit="1" customWidth="1"/>
    <col min="207" max="207" width="39.85546875" style="28" bestFit="1" customWidth="1"/>
    <col min="208" max="208" width="40" style="28" bestFit="1" customWidth="1"/>
    <col min="209" max="209" width="39.7109375" style="28" bestFit="1" customWidth="1"/>
    <col min="210" max="211" width="40" style="28" bestFit="1" customWidth="1"/>
    <col min="212" max="212" width="39.5703125" style="28" bestFit="1" customWidth="1"/>
    <col min="213" max="213" width="39.85546875" style="28" bestFit="1" customWidth="1"/>
    <col min="214" max="214" width="37.42578125" style="28" bestFit="1" customWidth="1"/>
    <col min="215" max="215" width="39.85546875" style="28" bestFit="1" customWidth="1"/>
    <col min="216" max="216" width="40" style="28" bestFit="1" customWidth="1"/>
    <col min="217" max="217" width="39.7109375" style="28" bestFit="1" customWidth="1"/>
    <col min="218" max="218" width="34.85546875" style="28" bestFit="1" customWidth="1"/>
    <col min="219" max="219" width="37.42578125" style="28" bestFit="1" customWidth="1"/>
    <col min="220" max="220" width="37.5703125" style="28" bestFit="1" customWidth="1"/>
    <col min="221" max="221" width="37.28515625" style="28" bestFit="1" customWidth="1"/>
    <col min="222" max="223" width="37.5703125" style="28" bestFit="1" customWidth="1"/>
    <col min="224" max="224" width="37.140625" style="28" bestFit="1" customWidth="1"/>
    <col min="225" max="225" width="37.42578125" style="28" bestFit="1" customWidth="1"/>
    <col min="226" max="226" width="37.5703125" style="28" bestFit="1" customWidth="1"/>
    <col min="227" max="227" width="37" style="28" bestFit="1" customWidth="1"/>
    <col min="228" max="228" width="39" style="28" bestFit="1" customWidth="1"/>
    <col min="229" max="229" width="39.5703125" style="28" bestFit="1" customWidth="1"/>
    <col min="230" max="230" width="37" style="28" bestFit="1" customWidth="1"/>
    <col min="231" max="231" width="39" style="28" bestFit="1" customWidth="1"/>
    <col min="232" max="232" width="39.5703125" style="28" bestFit="1" customWidth="1"/>
    <col min="233" max="234" width="37.42578125" style="28" bestFit="1" customWidth="1"/>
    <col min="235" max="235" width="39.85546875" style="28" bestFit="1" customWidth="1"/>
    <col min="236" max="236" width="40" style="28" bestFit="1" customWidth="1"/>
    <col min="237" max="237" width="39.7109375" style="28" bestFit="1" customWidth="1"/>
    <col min="238" max="240" width="26.28515625" style="28" bestFit="1" customWidth="1"/>
    <col min="241" max="241" width="26.140625" style="28" customWidth="1"/>
    <col min="242" max="242" width="25.5703125" style="28" customWidth="1"/>
    <col min="243" max="243" width="28.7109375" style="28" customWidth="1"/>
    <col min="244" max="245" width="26.5703125" style="28"/>
    <col min="246" max="246" width="23.85546875" style="28" customWidth="1"/>
    <col min="247" max="247" width="24.28515625" style="28" customWidth="1"/>
    <col min="248" max="16384" width="26.5703125" style="28"/>
  </cols>
  <sheetData>
    <row r="1" spans="1:254" ht="15" x14ac:dyDescent="0.2">
      <c r="A1" s="30" t="s">
        <v>256</v>
      </c>
      <c r="B1" s="40"/>
      <c r="C1" s="40"/>
      <c r="D1" s="40"/>
      <c r="E1" s="40"/>
    </row>
    <row r="2" spans="1:254" x14ac:dyDescent="0.2">
      <c r="A2" s="233" t="s">
        <v>30</v>
      </c>
      <c r="B2" s="40"/>
      <c r="C2" s="40"/>
      <c r="D2" s="40"/>
      <c r="E2" s="40"/>
    </row>
    <row r="3" spans="1:254" ht="11.45" customHeight="1" x14ac:dyDescent="0.2"/>
    <row r="4" spans="1:254" ht="51" x14ac:dyDescent="0.2">
      <c r="A4" s="234" t="s">
        <v>99</v>
      </c>
      <c r="B4" s="235" t="s">
        <v>102</v>
      </c>
      <c r="C4" s="235" t="s">
        <v>104</v>
      </c>
      <c r="D4" s="235" t="s">
        <v>106</v>
      </c>
      <c r="E4" s="235" t="s">
        <v>108</v>
      </c>
      <c r="F4" s="235" t="s">
        <v>112</v>
      </c>
      <c r="G4" s="235" t="s">
        <v>128</v>
      </c>
      <c r="H4" s="235" t="s">
        <v>131</v>
      </c>
      <c r="I4" s="235" t="s">
        <v>134</v>
      </c>
      <c r="J4" s="235" t="s">
        <v>137</v>
      </c>
      <c r="K4" s="235" t="s">
        <v>117</v>
      </c>
      <c r="L4" s="235" t="s">
        <v>119</v>
      </c>
      <c r="M4" s="235" t="s">
        <v>68</v>
      </c>
      <c r="N4" s="235" t="s">
        <v>69</v>
      </c>
      <c r="O4" s="235" t="s">
        <v>125</v>
      </c>
      <c r="P4" s="235" t="s">
        <v>140</v>
      </c>
      <c r="Q4" s="235" t="s">
        <v>142</v>
      </c>
      <c r="R4" s="235" t="s">
        <v>144</v>
      </c>
      <c r="S4" s="235" t="s">
        <v>146</v>
      </c>
      <c r="T4" s="235" t="s">
        <v>148</v>
      </c>
      <c r="U4" s="235" t="s">
        <v>150</v>
      </c>
      <c r="V4" s="235" t="s">
        <v>151</v>
      </c>
      <c r="W4" s="235" t="s">
        <v>154</v>
      </c>
      <c r="X4" s="235" t="s">
        <v>156</v>
      </c>
      <c r="Y4" s="235" t="s">
        <v>158</v>
      </c>
      <c r="Z4" s="235" t="s">
        <v>257</v>
      </c>
      <c r="AA4" s="235" t="s">
        <v>258</v>
      </c>
      <c r="AB4" s="235" t="s">
        <v>161</v>
      </c>
      <c r="AC4" s="235" t="s">
        <v>163</v>
      </c>
      <c r="AD4" s="235" t="s">
        <v>164</v>
      </c>
      <c r="AE4" s="236" t="s">
        <v>259</v>
      </c>
      <c r="AF4" s="235" t="s">
        <v>260</v>
      </c>
      <c r="AG4" s="235" t="s">
        <v>261</v>
      </c>
      <c r="AH4" s="235" t="s">
        <v>262</v>
      </c>
      <c r="AI4" s="235" t="s">
        <v>263</v>
      </c>
      <c r="AJ4" s="235" t="s">
        <v>264</v>
      </c>
      <c r="AK4" s="235" t="s">
        <v>265</v>
      </c>
      <c r="AL4" s="235" t="s">
        <v>266</v>
      </c>
      <c r="AM4" s="235" t="s">
        <v>267</v>
      </c>
      <c r="AN4" s="235" t="s">
        <v>268</v>
      </c>
      <c r="AO4" s="235" t="s">
        <v>269</v>
      </c>
      <c r="AP4" s="235" t="s">
        <v>270</v>
      </c>
      <c r="AQ4" s="235" t="s">
        <v>271</v>
      </c>
      <c r="AR4" s="235" t="s">
        <v>272</v>
      </c>
      <c r="AS4" s="235" t="s">
        <v>273</v>
      </c>
      <c r="AT4" s="235" t="s">
        <v>274</v>
      </c>
      <c r="AU4" s="235" t="s">
        <v>275</v>
      </c>
      <c r="AV4" s="235" t="s">
        <v>276</v>
      </c>
      <c r="AW4" s="235" t="s">
        <v>277</v>
      </c>
      <c r="AX4" s="235" t="s">
        <v>278</v>
      </c>
      <c r="AY4" s="235" t="s">
        <v>279</v>
      </c>
      <c r="AZ4" s="235" t="s">
        <v>280</v>
      </c>
      <c r="BA4" s="235" t="s">
        <v>281</v>
      </c>
      <c r="BB4" s="235" t="s">
        <v>282</v>
      </c>
      <c r="BC4" s="235" t="s">
        <v>283</v>
      </c>
      <c r="BD4" s="235" t="s">
        <v>284</v>
      </c>
      <c r="BE4" s="235" t="s">
        <v>285</v>
      </c>
      <c r="BF4" s="235" t="s">
        <v>286</v>
      </c>
      <c r="BG4" s="235" t="s">
        <v>287</v>
      </c>
      <c r="BH4" s="235" t="s">
        <v>288</v>
      </c>
      <c r="BI4" s="235" t="s">
        <v>289</v>
      </c>
      <c r="BJ4" s="235" t="s">
        <v>290</v>
      </c>
      <c r="BK4" s="235" t="s">
        <v>291</v>
      </c>
      <c r="BL4" s="235" t="s">
        <v>292</v>
      </c>
      <c r="BM4" s="235" t="s">
        <v>293</v>
      </c>
      <c r="BN4" s="235" t="s">
        <v>294</v>
      </c>
      <c r="BO4" s="235" t="s">
        <v>295</v>
      </c>
      <c r="BP4" s="235" t="s">
        <v>296</v>
      </c>
      <c r="BQ4" s="235" t="s">
        <v>297</v>
      </c>
      <c r="BR4" s="235" t="s">
        <v>298</v>
      </c>
      <c r="BS4" s="235" t="s">
        <v>299</v>
      </c>
      <c r="BT4" s="235" t="s">
        <v>300</v>
      </c>
      <c r="BU4" s="235" t="s">
        <v>301</v>
      </c>
      <c r="BV4" s="235" t="s">
        <v>302</v>
      </c>
      <c r="BW4" s="235" t="s">
        <v>303</v>
      </c>
      <c r="BX4" s="235" t="s">
        <v>304</v>
      </c>
      <c r="BY4" s="235" t="s">
        <v>305</v>
      </c>
      <c r="BZ4" s="235" t="s">
        <v>306</v>
      </c>
      <c r="CA4" s="235" t="s">
        <v>307</v>
      </c>
      <c r="CB4" s="235" t="s">
        <v>308</v>
      </c>
      <c r="CC4" s="235" t="s">
        <v>309</v>
      </c>
      <c r="CD4" s="235" t="s">
        <v>310</v>
      </c>
      <c r="CE4" s="235" t="s">
        <v>311</v>
      </c>
      <c r="CF4" s="235" t="s">
        <v>312</v>
      </c>
      <c r="CG4" s="235" t="s">
        <v>313</v>
      </c>
      <c r="CH4" s="235" t="s">
        <v>314</v>
      </c>
      <c r="CI4" s="235" t="s">
        <v>315</v>
      </c>
      <c r="CJ4" s="235" t="s">
        <v>316</v>
      </c>
      <c r="CK4" s="235" t="s">
        <v>317</v>
      </c>
      <c r="CL4" s="235" t="s">
        <v>318</v>
      </c>
      <c r="CM4" s="235" t="s">
        <v>319</v>
      </c>
      <c r="CN4" s="235" t="s">
        <v>320</v>
      </c>
      <c r="CO4" s="235" t="s">
        <v>321</v>
      </c>
      <c r="CP4" s="235" t="s">
        <v>322</v>
      </c>
      <c r="CQ4" s="235" t="s">
        <v>323</v>
      </c>
      <c r="CR4" s="235" t="s">
        <v>324</v>
      </c>
      <c r="CS4" s="235" t="s">
        <v>325</v>
      </c>
      <c r="CT4" s="235" t="s">
        <v>326</v>
      </c>
      <c r="CU4" s="235" t="s">
        <v>327</v>
      </c>
      <c r="CV4" s="235" t="s">
        <v>328</v>
      </c>
      <c r="CW4" s="235" t="s">
        <v>329</v>
      </c>
      <c r="CX4" s="235" t="s">
        <v>330</v>
      </c>
      <c r="CY4" s="235" t="s">
        <v>331</v>
      </c>
      <c r="CZ4" s="235" t="s">
        <v>332</v>
      </c>
      <c r="DA4" s="235" t="s">
        <v>333</v>
      </c>
      <c r="DB4" s="235" t="s">
        <v>334</v>
      </c>
      <c r="DC4" s="235" t="s">
        <v>335</v>
      </c>
      <c r="DD4" s="235" t="s">
        <v>336</v>
      </c>
      <c r="DE4" s="235" t="s">
        <v>337</v>
      </c>
      <c r="DF4" s="235" t="s">
        <v>338</v>
      </c>
      <c r="DG4" s="235" t="s">
        <v>339</v>
      </c>
      <c r="DH4" s="235" t="s">
        <v>340</v>
      </c>
      <c r="DI4" s="235" t="s">
        <v>341</v>
      </c>
      <c r="DJ4" s="235" t="s">
        <v>342</v>
      </c>
      <c r="DK4" s="235" t="s">
        <v>343</v>
      </c>
      <c r="DL4" s="235" t="s">
        <v>344</v>
      </c>
      <c r="DM4" s="235" t="s">
        <v>345</v>
      </c>
      <c r="DN4" s="235" t="s">
        <v>346</v>
      </c>
      <c r="DO4" s="235" t="s">
        <v>347</v>
      </c>
      <c r="DP4" s="235" t="s">
        <v>348</v>
      </c>
      <c r="DQ4" s="235" t="s">
        <v>349</v>
      </c>
      <c r="DR4" s="235" t="s">
        <v>350</v>
      </c>
      <c r="DS4" s="235" t="s">
        <v>351</v>
      </c>
      <c r="DT4" s="235" t="s">
        <v>352</v>
      </c>
      <c r="DU4" s="235" t="s">
        <v>353</v>
      </c>
      <c r="DV4" s="235" t="s">
        <v>354</v>
      </c>
      <c r="DW4" s="235" t="s">
        <v>355</v>
      </c>
      <c r="DX4" s="235" t="s">
        <v>356</v>
      </c>
      <c r="DY4" s="235" t="s">
        <v>357</v>
      </c>
      <c r="DZ4" s="235" t="s">
        <v>358</v>
      </c>
      <c r="EA4" s="235" t="s">
        <v>359</v>
      </c>
      <c r="EB4" s="235" t="s">
        <v>360</v>
      </c>
      <c r="EC4" s="235" t="s">
        <v>361</v>
      </c>
      <c r="ED4" s="235" t="s">
        <v>362</v>
      </c>
      <c r="EE4" s="235" t="s">
        <v>363</v>
      </c>
      <c r="EF4" s="235" t="s">
        <v>364</v>
      </c>
      <c r="EG4" s="235" t="s">
        <v>365</v>
      </c>
      <c r="EH4" s="235" t="s">
        <v>366</v>
      </c>
      <c r="EI4" s="235" t="s">
        <v>367</v>
      </c>
      <c r="EJ4" s="235" t="s">
        <v>368</v>
      </c>
      <c r="EK4" s="235" t="s">
        <v>369</v>
      </c>
      <c r="EL4" s="235" t="s">
        <v>370</v>
      </c>
      <c r="EM4" s="235" t="s">
        <v>371</v>
      </c>
      <c r="EN4" s="235" t="s">
        <v>372</v>
      </c>
      <c r="EO4" s="235" t="s">
        <v>373</v>
      </c>
      <c r="EP4" s="235" t="s">
        <v>374</v>
      </c>
      <c r="EQ4" s="235" t="s">
        <v>375</v>
      </c>
      <c r="ER4" s="235" t="s">
        <v>376</v>
      </c>
      <c r="ES4" s="235" t="s">
        <v>377</v>
      </c>
      <c r="ET4" s="235" t="s">
        <v>378</v>
      </c>
      <c r="EU4" s="235" t="s">
        <v>379</v>
      </c>
      <c r="EV4" s="235" t="s">
        <v>380</v>
      </c>
      <c r="EW4" s="235" t="s">
        <v>381</v>
      </c>
      <c r="EX4" s="235" t="s">
        <v>382</v>
      </c>
      <c r="EY4" s="235" t="s">
        <v>383</v>
      </c>
      <c r="EZ4" s="235" t="s">
        <v>384</v>
      </c>
      <c r="FA4" s="235" t="s">
        <v>385</v>
      </c>
      <c r="FB4" s="235" t="s">
        <v>386</v>
      </c>
      <c r="FC4" s="235" t="s">
        <v>387</v>
      </c>
      <c r="FD4" s="235" t="s">
        <v>388</v>
      </c>
      <c r="FE4" s="235" t="s">
        <v>389</v>
      </c>
      <c r="FF4" s="235" t="s">
        <v>390</v>
      </c>
      <c r="FG4" s="235" t="s">
        <v>391</v>
      </c>
      <c r="FH4" s="235" t="s">
        <v>392</v>
      </c>
      <c r="FI4" s="235" t="s">
        <v>393</v>
      </c>
      <c r="FJ4" s="235" t="s">
        <v>394</v>
      </c>
      <c r="FK4" s="235" t="s">
        <v>395</v>
      </c>
      <c r="FL4" s="235" t="s">
        <v>396</v>
      </c>
      <c r="FM4" s="235" t="s">
        <v>397</v>
      </c>
      <c r="FN4" s="235" t="s">
        <v>398</v>
      </c>
      <c r="FO4" s="235" t="s">
        <v>399</v>
      </c>
      <c r="FP4" s="235" t="s">
        <v>400</v>
      </c>
      <c r="FQ4" s="235" t="s">
        <v>401</v>
      </c>
      <c r="FR4" s="235" t="s">
        <v>402</v>
      </c>
      <c r="FS4" s="235" t="s">
        <v>403</v>
      </c>
      <c r="FT4" s="235" t="s">
        <v>404</v>
      </c>
      <c r="FU4" s="235" t="s">
        <v>405</v>
      </c>
      <c r="FV4" s="235" t="s">
        <v>406</v>
      </c>
      <c r="FW4" s="235" t="s">
        <v>407</v>
      </c>
      <c r="FX4" s="235" t="s">
        <v>408</v>
      </c>
      <c r="FY4" s="235" t="s">
        <v>409</v>
      </c>
      <c r="FZ4" s="235" t="s">
        <v>410</v>
      </c>
      <c r="GA4" s="235" t="s">
        <v>411</v>
      </c>
      <c r="GB4" s="235" t="s">
        <v>412</v>
      </c>
      <c r="GC4" s="235" t="s">
        <v>413</v>
      </c>
      <c r="GD4" s="235" t="s">
        <v>414</v>
      </c>
      <c r="GE4" s="235" t="s">
        <v>415</v>
      </c>
      <c r="GF4" s="235" t="s">
        <v>416</v>
      </c>
      <c r="GG4" s="235" t="s">
        <v>417</v>
      </c>
      <c r="GH4" s="235" t="s">
        <v>418</v>
      </c>
      <c r="GI4" s="235" t="s">
        <v>419</v>
      </c>
      <c r="GJ4" s="235" t="s">
        <v>420</v>
      </c>
      <c r="GK4" s="235" t="s">
        <v>421</v>
      </c>
      <c r="GL4" s="235" t="s">
        <v>422</v>
      </c>
      <c r="GM4" s="235" t="s">
        <v>423</v>
      </c>
      <c r="GN4" s="235" t="s">
        <v>424</v>
      </c>
      <c r="GO4" s="235" t="s">
        <v>425</v>
      </c>
      <c r="GP4" s="235" t="s">
        <v>426</v>
      </c>
      <c r="GQ4" s="235" t="s">
        <v>427</v>
      </c>
      <c r="GR4" s="235" t="s">
        <v>428</v>
      </c>
      <c r="GS4" s="235" t="s">
        <v>429</v>
      </c>
      <c r="GT4" s="235" t="s">
        <v>430</v>
      </c>
      <c r="GU4" s="235" t="s">
        <v>431</v>
      </c>
      <c r="GV4" s="235" t="s">
        <v>432</v>
      </c>
      <c r="GW4" s="235" t="s">
        <v>433</v>
      </c>
      <c r="GX4" s="235" t="s">
        <v>434</v>
      </c>
      <c r="GY4" s="235" t="s">
        <v>435</v>
      </c>
      <c r="GZ4" s="235" t="s">
        <v>436</v>
      </c>
      <c r="HA4" s="235" t="s">
        <v>437</v>
      </c>
      <c r="HB4" s="235" t="s">
        <v>438</v>
      </c>
      <c r="HC4" s="235" t="s">
        <v>439</v>
      </c>
      <c r="HD4" s="235" t="s">
        <v>440</v>
      </c>
      <c r="HE4" s="235" t="s">
        <v>441</v>
      </c>
      <c r="HF4" s="235" t="s">
        <v>442</v>
      </c>
      <c r="HG4" s="235" t="s">
        <v>443</v>
      </c>
      <c r="HH4" s="235" t="s">
        <v>444</v>
      </c>
      <c r="HI4" s="235" t="s">
        <v>445</v>
      </c>
      <c r="HJ4" s="235" t="s">
        <v>446</v>
      </c>
      <c r="HK4" s="235" t="s">
        <v>447</v>
      </c>
      <c r="HL4" s="235" t="s">
        <v>448</v>
      </c>
      <c r="HM4" s="235" t="s">
        <v>449</v>
      </c>
      <c r="HN4" s="235" t="s">
        <v>450</v>
      </c>
      <c r="HO4" s="235" t="s">
        <v>451</v>
      </c>
      <c r="HP4" s="235" t="s">
        <v>452</v>
      </c>
      <c r="HQ4" s="235" t="s">
        <v>453</v>
      </c>
      <c r="HR4" s="235" t="s">
        <v>454</v>
      </c>
      <c r="HS4" s="235" t="s">
        <v>455</v>
      </c>
      <c r="HT4" s="235" t="s">
        <v>456</v>
      </c>
      <c r="HU4" s="235" t="s">
        <v>457</v>
      </c>
      <c r="HV4" s="235" t="s">
        <v>458</v>
      </c>
      <c r="HW4" s="235" t="s">
        <v>459</v>
      </c>
      <c r="HX4" s="235" t="s">
        <v>460</v>
      </c>
      <c r="HY4" s="235" t="s">
        <v>461</v>
      </c>
      <c r="HZ4" s="235" t="s">
        <v>462</v>
      </c>
      <c r="IA4" s="235" t="s">
        <v>463</v>
      </c>
      <c r="IB4" s="235" t="s">
        <v>464</v>
      </c>
      <c r="IC4" s="235" t="s">
        <v>465</v>
      </c>
      <c r="ID4" s="235" t="s">
        <v>466</v>
      </c>
      <c r="IE4" s="235" t="s">
        <v>467</v>
      </c>
      <c r="IF4" s="235" t="s">
        <v>468</v>
      </c>
      <c r="IG4" s="235" t="s">
        <v>469</v>
      </c>
      <c r="IH4" s="235" t="s">
        <v>470</v>
      </c>
      <c r="II4" s="235" t="s">
        <v>471</v>
      </c>
      <c r="IJ4" s="235" t="s">
        <v>472</v>
      </c>
      <c r="IK4" s="235" t="s">
        <v>473</v>
      </c>
      <c r="IL4" s="235" t="s">
        <v>474</v>
      </c>
      <c r="IM4" s="235" t="s">
        <v>475</v>
      </c>
      <c r="IN4" s="235" t="s">
        <v>476</v>
      </c>
      <c r="IO4" s="235" t="s">
        <v>477</v>
      </c>
      <c r="IP4" s="235" t="s">
        <v>478</v>
      </c>
      <c r="IQ4" s="235" t="s">
        <v>479</v>
      </c>
      <c r="IR4" s="235" t="s">
        <v>187</v>
      </c>
      <c r="IS4" s="235" t="s">
        <v>193</v>
      </c>
      <c r="IT4" s="235" t="s">
        <v>480</v>
      </c>
    </row>
    <row r="5" spans="1:254" ht="14.45" customHeight="1" x14ac:dyDescent="0.25">
      <c r="A5" s="258" t="str">
        <f>HYPERLINK("http://www.ofsted.gov.uk/inspection-reports/find-inspection-report/provider/ELS/138249 ","Ofsted School Webpage")</f>
        <v>Ofsted School Webpage</v>
      </c>
      <c r="B5" s="237">
        <v>138249</v>
      </c>
      <c r="C5" s="237">
        <v>8376008</v>
      </c>
      <c r="D5" s="237" t="s">
        <v>481</v>
      </c>
      <c r="E5" s="237" t="s">
        <v>247</v>
      </c>
      <c r="F5" s="237" t="s">
        <v>482</v>
      </c>
      <c r="G5" s="237" t="s">
        <v>483</v>
      </c>
      <c r="H5" s="237" t="s">
        <v>483</v>
      </c>
      <c r="I5" s="237" t="s">
        <v>484</v>
      </c>
      <c r="J5" s="237" t="s">
        <v>485</v>
      </c>
      <c r="K5" s="237" t="s">
        <v>93</v>
      </c>
      <c r="L5" s="237" t="s">
        <v>71</v>
      </c>
      <c r="M5" s="237" t="s">
        <v>71</v>
      </c>
      <c r="N5" s="237" t="s">
        <v>71</v>
      </c>
      <c r="O5" s="237" t="s">
        <v>486</v>
      </c>
      <c r="P5" s="237" t="s">
        <v>487</v>
      </c>
      <c r="Q5" s="238">
        <v>10053784</v>
      </c>
      <c r="R5" s="239">
        <v>43354</v>
      </c>
      <c r="S5" s="239">
        <v>43356</v>
      </c>
      <c r="T5" s="239">
        <v>43384</v>
      </c>
      <c r="U5" s="237" t="s">
        <v>488</v>
      </c>
      <c r="V5" s="237" t="s">
        <v>489</v>
      </c>
      <c r="W5" s="237">
        <v>2</v>
      </c>
      <c r="X5" s="237">
        <v>2</v>
      </c>
      <c r="Y5" s="237">
        <v>2</v>
      </c>
      <c r="Z5" s="237">
        <v>2</v>
      </c>
      <c r="AA5" s="237">
        <v>2</v>
      </c>
      <c r="AB5" s="237" t="s">
        <v>486</v>
      </c>
      <c r="AC5" s="237" t="s">
        <v>486</v>
      </c>
      <c r="AD5" s="237" t="s">
        <v>219</v>
      </c>
      <c r="AE5" s="237" t="s">
        <v>490</v>
      </c>
      <c r="AF5" s="237" t="s">
        <v>486</v>
      </c>
      <c r="AG5" s="237" t="s">
        <v>486</v>
      </c>
      <c r="AH5" s="237" t="s">
        <v>486</v>
      </c>
      <c r="AI5" s="237" t="s">
        <v>486</v>
      </c>
      <c r="AJ5" s="237" t="s">
        <v>486</v>
      </c>
      <c r="AK5" s="237" t="s">
        <v>486</v>
      </c>
      <c r="AL5" s="237" t="s">
        <v>486</v>
      </c>
      <c r="AM5" s="237" t="s">
        <v>491</v>
      </c>
      <c r="AN5" s="237" t="s">
        <v>231</v>
      </c>
      <c r="AO5" s="237" t="s">
        <v>231</v>
      </c>
      <c r="AP5" s="237" t="s">
        <v>231</v>
      </c>
      <c r="AQ5" s="237" t="s">
        <v>231</v>
      </c>
      <c r="AR5" s="237" t="s">
        <v>231</v>
      </c>
      <c r="AS5" s="237" t="s">
        <v>231</v>
      </c>
      <c r="AT5" s="237" t="s">
        <v>231</v>
      </c>
      <c r="AU5" s="237" t="s">
        <v>231</v>
      </c>
      <c r="AV5" s="237" t="s">
        <v>231</v>
      </c>
      <c r="AW5" s="237" t="s">
        <v>231</v>
      </c>
      <c r="AX5" s="237" t="s">
        <v>231</v>
      </c>
      <c r="AY5" s="237" t="s">
        <v>231</v>
      </c>
      <c r="AZ5" s="237" t="s">
        <v>231</v>
      </c>
      <c r="BA5" s="237" t="s">
        <v>231</v>
      </c>
      <c r="BB5" s="237" t="s">
        <v>231</v>
      </c>
      <c r="BC5" s="237" t="s">
        <v>231</v>
      </c>
      <c r="BD5" s="237" t="s">
        <v>492</v>
      </c>
      <c r="BE5" s="237" t="s">
        <v>231</v>
      </c>
      <c r="BF5" s="237" t="s">
        <v>231</v>
      </c>
      <c r="BG5" s="237" t="s">
        <v>231</v>
      </c>
      <c r="BH5" s="237" t="s">
        <v>231</v>
      </c>
      <c r="BI5" s="237" t="s">
        <v>231</v>
      </c>
      <c r="BJ5" s="237" t="s">
        <v>231</v>
      </c>
      <c r="BK5" s="237" t="s">
        <v>231</v>
      </c>
      <c r="BL5" s="237" t="s">
        <v>492</v>
      </c>
      <c r="BM5" s="237" t="s">
        <v>231</v>
      </c>
      <c r="BN5" s="237" t="s">
        <v>231</v>
      </c>
      <c r="BO5" s="237" t="s">
        <v>231</v>
      </c>
      <c r="BP5" s="237" t="s">
        <v>231</v>
      </c>
      <c r="BQ5" s="237" t="s">
        <v>231</v>
      </c>
      <c r="BR5" s="237" t="s">
        <v>231</v>
      </c>
      <c r="BS5" s="237" t="s">
        <v>231</v>
      </c>
      <c r="BT5" s="237" t="s">
        <v>231</v>
      </c>
      <c r="BU5" s="237" t="s">
        <v>231</v>
      </c>
      <c r="BV5" s="237" t="s">
        <v>231</v>
      </c>
      <c r="BW5" s="237" t="s">
        <v>231</v>
      </c>
      <c r="BX5" s="237" t="s">
        <v>231</v>
      </c>
      <c r="BY5" s="237" t="s">
        <v>231</v>
      </c>
      <c r="BZ5" s="237" t="s">
        <v>231</v>
      </c>
      <c r="CA5" s="237" t="s">
        <v>231</v>
      </c>
      <c r="CB5" s="237" t="s">
        <v>231</v>
      </c>
      <c r="CC5" s="237" t="s">
        <v>231</v>
      </c>
      <c r="CD5" s="237" t="s">
        <v>231</v>
      </c>
      <c r="CE5" s="237" t="s">
        <v>231</v>
      </c>
      <c r="CF5" s="237" t="s">
        <v>231</v>
      </c>
      <c r="CG5" s="237" t="s">
        <v>231</v>
      </c>
      <c r="CH5" s="237" t="s">
        <v>231</v>
      </c>
      <c r="CI5" s="237" t="s">
        <v>231</v>
      </c>
      <c r="CJ5" s="237" t="s">
        <v>231</v>
      </c>
      <c r="CK5" s="237" t="s">
        <v>231</v>
      </c>
      <c r="CL5" s="237" t="s">
        <v>231</v>
      </c>
      <c r="CM5" s="237" t="s">
        <v>231</v>
      </c>
      <c r="CN5" s="237" t="s">
        <v>231</v>
      </c>
      <c r="CO5" s="237" t="s">
        <v>231</v>
      </c>
      <c r="CP5" s="237" t="s">
        <v>231</v>
      </c>
      <c r="CQ5" s="237" t="s">
        <v>231</v>
      </c>
      <c r="CR5" s="237" t="s">
        <v>231</v>
      </c>
      <c r="CS5" s="237" t="s">
        <v>231</v>
      </c>
      <c r="CT5" s="237" t="s">
        <v>492</v>
      </c>
      <c r="CU5" s="237" t="s">
        <v>492</v>
      </c>
      <c r="CV5" s="237" t="s">
        <v>492</v>
      </c>
      <c r="CW5" s="237" t="s">
        <v>231</v>
      </c>
      <c r="CX5" s="237" t="s">
        <v>231</v>
      </c>
      <c r="CY5" s="237" t="s">
        <v>231</v>
      </c>
      <c r="CZ5" s="237" t="s">
        <v>231</v>
      </c>
      <c r="DA5" s="237" t="s">
        <v>231</v>
      </c>
      <c r="DB5" s="237" t="s">
        <v>231</v>
      </c>
      <c r="DC5" s="237" t="s">
        <v>231</v>
      </c>
      <c r="DD5" s="237" t="s">
        <v>231</v>
      </c>
      <c r="DE5" s="237" t="s">
        <v>231</v>
      </c>
      <c r="DF5" s="237" t="s">
        <v>231</v>
      </c>
      <c r="DG5" s="237" t="s">
        <v>231</v>
      </c>
      <c r="DH5" s="237" t="s">
        <v>231</v>
      </c>
      <c r="DI5" s="237" t="s">
        <v>231</v>
      </c>
      <c r="DJ5" s="237" t="s">
        <v>231</v>
      </c>
      <c r="DK5" s="237" t="s">
        <v>231</v>
      </c>
      <c r="DL5" s="237" t="s">
        <v>231</v>
      </c>
      <c r="DM5" s="237" t="s">
        <v>231</v>
      </c>
      <c r="DN5" s="237" t="s">
        <v>231</v>
      </c>
      <c r="DO5" s="237" t="s">
        <v>231</v>
      </c>
      <c r="DP5" s="237" t="s">
        <v>231</v>
      </c>
      <c r="DQ5" s="237" t="s">
        <v>231</v>
      </c>
      <c r="DR5" s="237" t="s">
        <v>231</v>
      </c>
      <c r="DS5" s="237" t="s">
        <v>231</v>
      </c>
      <c r="DT5" s="237" t="s">
        <v>492</v>
      </c>
      <c r="DU5" s="237" t="s">
        <v>231</v>
      </c>
      <c r="DV5" s="237" t="s">
        <v>231</v>
      </c>
      <c r="DW5" s="237" t="s">
        <v>231</v>
      </c>
      <c r="DX5" s="237" t="s">
        <v>231</v>
      </c>
      <c r="DY5" s="237" t="s">
        <v>231</v>
      </c>
      <c r="DZ5" s="237" t="s">
        <v>231</v>
      </c>
      <c r="EA5" s="237" t="s">
        <v>231</v>
      </c>
      <c r="EB5" s="237" t="s">
        <v>231</v>
      </c>
      <c r="EC5" s="237" t="s">
        <v>231</v>
      </c>
      <c r="ED5" s="237" t="s">
        <v>231</v>
      </c>
      <c r="EE5" s="237" t="s">
        <v>231</v>
      </c>
      <c r="EF5" s="237" t="s">
        <v>231</v>
      </c>
      <c r="EG5" s="237" t="s">
        <v>231</v>
      </c>
      <c r="EH5" s="237" t="s">
        <v>492</v>
      </c>
      <c r="EI5" s="237" t="s">
        <v>231</v>
      </c>
      <c r="EJ5" s="237" t="s">
        <v>231</v>
      </c>
      <c r="EK5" s="237" t="s">
        <v>231</v>
      </c>
      <c r="EL5" s="237" t="s">
        <v>231</v>
      </c>
      <c r="EM5" s="237" t="s">
        <v>231</v>
      </c>
      <c r="EN5" s="237" t="s">
        <v>231</v>
      </c>
      <c r="EO5" s="237" t="s">
        <v>231</v>
      </c>
      <c r="EP5" s="237" t="s">
        <v>231</v>
      </c>
      <c r="EQ5" s="237" t="s">
        <v>231</v>
      </c>
      <c r="ER5" s="237" t="s">
        <v>231</v>
      </c>
      <c r="ES5" s="237" t="s">
        <v>231</v>
      </c>
      <c r="ET5" s="237" t="s">
        <v>231</v>
      </c>
      <c r="EU5" s="237" t="s">
        <v>231</v>
      </c>
      <c r="EV5" s="237" t="s">
        <v>231</v>
      </c>
      <c r="EW5" s="237" t="s">
        <v>231</v>
      </c>
      <c r="EX5" s="237" t="s">
        <v>231</v>
      </c>
      <c r="EY5" s="237" t="s">
        <v>231</v>
      </c>
      <c r="EZ5" s="237" t="s">
        <v>231</v>
      </c>
      <c r="FA5" s="237" t="s">
        <v>231</v>
      </c>
      <c r="FB5" s="237" t="s">
        <v>231</v>
      </c>
      <c r="FC5" s="237" t="s">
        <v>231</v>
      </c>
      <c r="FD5" s="237" t="s">
        <v>231</v>
      </c>
      <c r="FE5" s="237" t="s">
        <v>231</v>
      </c>
      <c r="FF5" s="237" t="s">
        <v>231</v>
      </c>
      <c r="FG5" s="237" t="s">
        <v>231</v>
      </c>
      <c r="FH5" s="237" t="s">
        <v>231</v>
      </c>
      <c r="FI5" s="237" t="s">
        <v>231</v>
      </c>
      <c r="FJ5" s="237" t="s">
        <v>231</v>
      </c>
      <c r="FK5" s="237" t="s">
        <v>492</v>
      </c>
      <c r="FL5" s="237" t="s">
        <v>231</v>
      </c>
      <c r="FM5" s="237" t="s">
        <v>231</v>
      </c>
      <c r="FN5" s="237" t="s">
        <v>492</v>
      </c>
      <c r="FO5" s="237" t="s">
        <v>493</v>
      </c>
      <c r="FP5" s="237" t="s">
        <v>492</v>
      </c>
      <c r="FQ5" s="237" t="s">
        <v>231</v>
      </c>
      <c r="FR5" s="237" t="s">
        <v>231</v>
      </c>
      <c r="FS5" s="237" t="s">
        <v>231</v>
      </c>
      <c r="FT5" s="237" t="s">
        <v>231</v>
      </c>
      <c r="FU5" s="237" t="s">
        <v>231</v>
      </c>
      <c r="FV5" s="237" t="s">
        <v>231</v>
      </c>
      <c r="FW5" s="237" t="s">
        <v>231</v>
      </c>
      <c r="FX5" s="237" t="s">
        <v>231</v>
      </c>
      <c r="FY5" s="237" t="s">
        <v>231</v>
      </c>
      <c r="FZ5" s="237" t="s">
        <v>231</v>
      </c>
      <c r="GA5" s="237" t="s">
        <v>231</v>
      </c>
      <c r="GB5" s="237" t="s">
        <v>231</v>
      </c>
      <c r="GC5" s="237" t="s">
        <v>231</v>
      </c>
      <c r="GD5" s="237" t="s">
        <v>231</v>
      </c>
      <c r="GE5" s="237" t="s">
        <v>231</v>
      </c>
      <c r="GF5" s="237" t="s">
        <v>231</v>
      </c>
      <c r="GG5" s="237" t="s">
        <v>231</v>
      </c>
      <c r="GH5" s="237" t="s">
        <v>231</v>
      </c>
      <c r="GI5" s="237" t="s">
        <v>231</v>
      </c>
      <c r="GJ5" s="237" t="s">
        <v>231</v>
      </c>
      <c r="GK5" s="237" t="s">
        <v>231</v>
      </c>
      <c r="GL5" s="237" t="s">
        <v>231</v>
      </c>
      <c r="GM5" s="237" t="s">
        <v>231</v>
      </c>
      <c r="GN5" s="237" t="s">
        <v>231</v>
      </c>
      <c r="GO5" s="237" t="s">
        <v>231</v>
      </c>
      <c r="GP5" s="237" t="s">
        <v>492</v>
      </c>
      <c r="GQ5" s="237" t="s">
        <v>231</v>
      </c>
      <c r="GR5" s="237" t="s">
        <v>231</v>
      </c>
      <c r="GS5" s="237" t="s">
        <v>231</v>
      </c>
      <c r="GT5" s="237" t="s">
        <v>231</v>
      </c>
      <c r="GU5" s="237" t="s">
        <v>231</v>
      </c>
      <c r="GV5" s="237" t="s">
        <v>492</v>
      </c>
      <c r="GW5" s="237" t="s">
        <v>231</v>
      </c>
      <c r="GX5" s="237" t="s">
        <v>231</v>
      </c>
      <c r="GY5" s="237" t="s">
        <v>231</v>
      </c>
      <c r="GZ5" s="237" t="s">
        <v>231</v>
      </c>
      <c r="HA5" s="237" t="s">
        <v>231</v>
      </c>
      <c r="HB5" s="237" t="s">
        <v>231</v>
      </c>
      <c r="HC5" s="237" t="s">
        <v>231</v>
      </c>
      <c r="HD5" s="237" t="s">
        <v>231</v>
      </c>
      <c r="HE5" s="237" t="s">
        <v>492</v>
      </c>
      <c r="HF5" s="237" t="s">
        <v>231</v>
      </c>
      <c r="HG5" s="237" t="s">
        <v>492</v>
      </c>
      <c r="HH5" s="237" t="s">
        <v>231</v>
      </c>
      <c r="HI5" s="237" t="s">
        <v>231</v>
      </c>
      <c r="HJ5" s="237" t="s">
        <v>231</v>
      </c>
      <c r="HK5" s="237" t="s">
        <v>231</v>
      </c>
      <c r="HL5" s="237" t="s">
        <v>231</v>
      </c>
      <c r="HM5" s="237" t="s">
        <v>231</v>
      </c>
      <c r="HN5" s="237" t="s">
        <v>231</v>
      </c>
      <c r="HO5" s="237" t="s">
        <v>231</v>
      </c>
      <c r="HP5" s="237" t="s">
        <v>231</v>
      </c>
      <c r="HQ5" s="237" t="s">
        <v>492</v>
      </c>
      <c r="HR5" s="237" t="s">
        <v>492</v>
      </c>
      <c r="HS5" s="237" t="s">
        <v>492</v>
      </c>
      <c r="HT5" s="237" t="s">
        <v>492</v>
      </c>
      <c r="HU5" s="237" t="s">
        <v>231</v>
      </c>
      <c r="HV5" s="237" t="s">
        <v>231</v>
      </c>
      <c r="HW5" s="237" t="s">
        <v>231</v>
      </c>
      <c r="HX5" s="237" t="s">
        <v>231</v>
      </c>
      <c r="HY5" s="237" t="s">
        <v>231</v>
      </c>
      <c r="HZ5" s="237" t="s">
        <v>231</v>
      </c>
      <c r="IA5" s="237" t="s">
        <v>231</v>
      </c>
      <c r="IB5" s="237" t="s">
        <v>231</v>
      </c>
      <c r="IC5" s="237" t="s">
        <v>231</v>
      </c>
      <c r="ID5" s="237" t="s">
        <v>231</v>
      </c>
      <c r="IE5" s="237" t="s">
        <v>231</v>
      </c>
      <c r="IF5" s="237" t="s">
        <v>231</v>
      </c>
      <c r="IG5" s="237" t="s">
        <v>231</v>
      </c>
      <c r="IH5" s="237" t="s">
        <v>231</v>
      </c>
      <c r="II5" s="237" t="s">
        <v>231</v>
      </c>
      <c r="IJ5" s="237" t="s">
        <v>231</v>
      </c>
      <c r="IK5" s="237" t="s">
        <v>231</v>
      </c>
      <c r="IL5" s="237" t="s">
        <v>231</v>
      </c>
      <c r="IM5" s="237" t="s">
        <v>231</v>
      </c>
      <c r="IN5" s="237" t="s">
        <v>231</v>
      </c>
      <c r="IO5" s="237" t="s">
        <v>220</v>
      </c>
      <c r="IP5" s="237" t="s">
        <v>493</v>
      </c>
      <c r="IQ5" s="237" t="s">
        <v>219</v>
      </c>
      <c r="IR5" s="237" t="s">
        <v>490</v>
      </c>
      <c r="IS5" s="237" t="s">
        <v>231</v>
      </c>
      <c r="IT5" s="237" t="s">
        <v>231</v>
      </c>
    </row>
    <row r="6" spans="1:254" ht="14.45" customHeight="1" x14ac:dyDescent="0.25">
      <c r="A6" s="259" t="str">
        <f>HYPERLINK("http://www.ofsted.gov.uk/inspection-reports/find-inspection-report/provider/ELS/145187 ","Ofsted School Webpage")</f>
        <v>Ofsted School Webpage</v>
      </c>
      <c r="B6" s="240">
        <v>145187</v>
      </c>
      <c r="C6" s="240">
        <v>3596002</v>
      </c>
      <c r="D6" s="240" t="s">
        <v>494</v>
      </c>
      <c r="E6" s="240" t="s">
        <v>247</v>
      </c>
      <c r="F6" s="240" t="s">
        <v>482</v>
      </c>
      <c r="G6" s="240" t="s">
        <v>495</v>
      </c>
      <c r="H6" s="240" t="s">
        <v>495</v>
      </c>
      <c r="I6" s="240" t="s">
        <v>496</v>
      </c>
      <c r="J6" s="240" t="s">
        <v>497</v>
      </c>
      <c r="K6" s="240" t="s">
        <v>93</v>
      </c>
      <c r="L6" s="240" t="s">
        <v>93</v>
      </c>
      <c r="M6" s="240" t="s">
        <v>93</v>
      </c>
      <c r="N6" s="240" t="s">
        <v>90</v>
      </c>
      <c r="O6" s="240" t="s">
        <v>486</v>
      </c>
      <c r="P6" s="240" t="s">
        <v>487</v>
      </c>
      <c r="Q6" s="241">
        <v>10053740</v>
      </c>
      <c r="R6" s="242">
        <v>43354</v>
      </c>
      <c r="S6" s="242">
        <v>43356</v>
      </c>
      <c r="T6" s="242">
        <v>43378</v>
      </c>
      <c r="U6" s="240" t="s">
        <v>499</v>
      </c>
      <c r="V6" s="240" t="s">
        <v>489</v>
      </c>
      <c r="W6" s="240">
        <v>2</v>
      </c>
      <c r="X6" s="240">
        <v>2</v>
      </c>
      <c r="Y6" s="240">
        <v>2</v>
      </c>
      <c r="Z6" s="240">
        <v>2</v>
      </c>
      <c r="AA6" s="240">
        <v>2</v>
      </c>
      <c r="AB6" s="240" t="s">
        <v>486</v>
      </c>
      <c r="AC6" s="240" t="s">
        <v>486</v>
      </c>
      <c r="AD6" s="240" t="s">
        <v>219</v>
      </c>
      <c r="AE6" s="240" t="s">
        <v>490</v>
      </c>
      <c r="AF6" s="240" t="s">
        <v>486</v>
      </c>
      <c r="AG6" s="240" t="s">
        <v>486</v>
      </c>
      <c r="AH6" s="240" t="s">
        <v>486</v>
      </c>
      <c r="AI6" s="240" t="s">
        <v>486</v>
      </c>
      <c r="AJ6" s="240" t="s">
        <v>486</v>
      </c>
      <c r="AK6" s="240" t="s">
        <v>486</v>
      </c>
      <c r="AL6" s="240" t="s">
        <v>486</v>
      </c>
      <c r="AM6" s="240" t="s">
        <v>491</v>
      </c>
      <c r="AN6" s="240" t="s">
        <v>231</v>
      </c>
      <c r="AO6" s="240" t="s">
        <v>231</v>
      </c>
      <c r="AP6" s="240" t="s">
        <v>231</v>
      </c>
      <c r="AQ6" s="240" t="s">
        <v>231</v>
      </c>
      <c r="AR6" s="240" t="s">
        <v>231</v>
      </c>
      <c r="AS6" s="240" t="s">
        <v>231</v>
      </c>
      <c r="AT6" s="240" t="s">
        <v>231</v>
      </c>
      <c r="AU6" s="240" t="s">
        <v>231</v>
      </c>
      <c r="AV6" s="240" t="s">
        <v>231</v>
      </c>
      <c r="AW6" s="240" t="s">
        <v>231</v>
      </c>
      <c r="AX6" s="240" t="s">
        <v>231</v>
      </c>
      <c r="AY6" s="240" t="s">
        <v>231</v>
      </c>
      <c r="AZ6" s="240" t="s">
        <v>231</v>
      </c>
      <c r="BA6" s="240" t="s">
        <v>231</v>
      </c>
      <c r="BB6" s="240" t="s">
        <v>231</v>
      </c>
      <c r="BC6" s="240" t="s">
        <v>231</v>
      </c>
      <c r="BD6" s="240" t="s">
        <v>492</v>
      </c>
      <c r="BE6" s="240" t="s">
        <v>231</v>
      </c>
      <c r="BF6" s="240" t="s">
        <v>231</v>
      </c>
      <c r="BG6" s="240" t="s">
        <v>231</v>
      </c>
      <c r="BH6" s="240" t="s">
        <v>231</v>
      </c>
      <c r="BI6" s="240" t="s">
        <v>231</v>
      </c>
      <c r="BJ6" s="240" t="s">
        <v>231</v>
      </c>
      <c r="BK6" s="240" t="s">
        <v>231</v>
      </c>
      <c r="BL6" s="240" t="s">
        <v>492</v>
      </c>
      <c r="BM6" s="240" t="s">
        <v>492</v>
      </c>
      <c r="BN6" s="240" t="s">
        <v>231</v>
      </c>
      <c r="BO6" s="240" t="s">
        <v>231</v>
      </c>
      <c r="BP6" s="240" t="s">
        <v>231</v>
      </c>
      <c r="BQ6" s="240" t="s">
        <v>231</v>
      </c>
      <c r="BR6" s="240" t="s">
        <v>231</v>
      </c>
      <c r="BS6" s="240" t="s">
        <v>231</v>
      </c>
      <c r="BT6" s="240" t="s">
        <v>231</v>
      </c>
      <c r="BU6" s="240" t="s">
        <v>231</v>
      </c>
      <c r="BV6" s="240" t="s">
        <v>231</v>
      </c>
      <c r="BW6" s="240" t="s">
        <v>231</v>
      </c>
      <c r="BX6" s="240" t="s">
        <v>231</v>
      </c>
      <c r="BY6" s="240" t="s">
        <v>231</v>
      </c>
      <c r="BZ6" s="240" t="s">
        <v>231</v>
      </c>
      <c r="CA6" s="240" t="s">
        <v>231</v>
      </c>
      <c r="CB6" s="240" t="s">
        <v>231</v>
      </c>
      <c r="CC6" s="240" t="s">
        <v>231</v>
      </c>
      <c r="CD6" s="240" t="s">
        <v>231</v>
      </c>
      <c r="CE6" s="240" t="s">
        <v>231</v>
      </c>
      <c r="CF6" s="240" t="s">
        <v>231</v>
      </c>
      <c r="CG6" s="240" t="s">
        <v>231</v>
      </c>
      <c r="CH6" s="240" t="s">
        <v>231</v>
      </c>
      <c r="CI6" s="240" t="s">
        <v>231</v>
      </c>
      <c r="CJ6" s="240" t="s">
        <v>231</v>
      </c>
      <c r="CK6" s="240" t="s">
        <v>231</v>
      </c>
      <c r="CL6" s="240" t="s">
        <v>231</v>
      </c>
      <c r="CM6" s="240" t="s">
        <v>231</v>
      </c>
      <c r="CN6" s="240" t="s">
        <v>231</v>
      </c>
      <c r="CO6" s="240" t="s">
        <v>231</v>
      </c>
      <c r="CP6" s="240" t="s">
        <v>231</v>
      </c>
      <c r="CQ6" s="240" t="s">
        <v>231</v>
      </c>
      <c r="CR6" s="240" t="s">
        <v>231</v>
      </c>
      <c r="CS6" s="240" t="s">
        <v>231</v>
      </c>
      <c r="CT6" s="240" t="s">
        <v>492</v>
      </c>
      <c r="CU6" s="240" t="s">
        <v>492</v>
      </c>
      <c r="CV6" s="240" t="s">
        <v>492</v>
      </c>
      <c r="CW6" s="240" t="s">
        <v>231</v>
      </c>
      <c r="CX6" s="240" t="s">
        <v>231</v>
      </c>
      <c r="CY6" s="240" t="s">
        <v>231</v>
      </c>
      <c r="CZ6" s="240" t="s">
        <v>231</v>
      </c>
      <c r="DA6" s="240" t="s">
        <v>231</v>
      </c>
      <c r="DB6" s="240" t="s">
        <v>231</v>
      </c>
      <c r="DC6" s="240" t="s">
        <v>231</v>
      </c>
      <c r="DD6" s="240" t="s">
        <v>231</v>
      </c>
      <c r="DE6" s="240" t="s">
        <v>231</v>
      </c>
      <c r="DF6" s="240" t="s">
        <v>231</v>
      </c>
      <c r="DG6" s="240" t="s">
        <v>231</v>
      </c>
      <c r="DH6" s="240" t="s">
        <v>231</v>
      </c>
      <c r="DI6" s="240" t="s">
        <v>231</v>
      </c>
      <c r="DJ6" s="240" t="s">
        <v>231</v>
      </c>
      <c r="DK6" s="240" t="s">
        <v>231</v>
      </c>
      <c r="DL6" s="240" t="s">
        <v>231</v>
      </c>
      <c r="DM6" s="240" t="s">
        <v>231</v>
      </c>
      <c r="DN6" s="240" t="s">
        <v>231</v>
      </c>
      <c r="DO6" s="240" t="s">
        <v>231</v>
      </c>
      <c r="DP6" s="240" t="s">
        <v>231</v>
      </c>
      <c r="DQ6" s="240" t="s">
        <v>231</v>
      </c>
      <c r="DR6" s="240" t="s">
        <v>231</v>
      </c>
      <c r="DS6" s="240" t="s">
        <v>231</v>
      </c>
      <c r="DT6" s="240" t="s">
        <v>492</v>
      </c>
      <c r="DU6" s="240" t="s">
        <v>231</v>
      </c>
      <c r="DV6" s="240" t="s">
        <v>492</v>
      </c>
      <c r="DW6" s="240" t="s">
        <v>492</v>
      </c>
      <c r="DX6" s="240" t="s">
        <v>492</v>
      </c>
      <c r="DY6" s="240" t="s">
        <v>492</v>
      </c>
      <c r="DZ6" s="240" t="s">
        <v>492</v>
      </c>
      <c r="EA6" s="240" t="s">
        <v>492</v>
      </c>
      <c r="EB6" s="240" t="s">
        <v>492</v>
      </c>
      <c r="EC6" s="240" t="s">
        <v>492</v>
      </c>
      <c r="ED6" s="240" t="s">
        <v>492</v>
      </c>
      <c r="EE6" s="240" t="s">
        <v>492</v>
      </c>
      <c r="EF6" s="240" t="s">
        <v>492</v>
      </c>
      <c r="EG6" s="240" t="s">
        <v>492</v>
      </c>
      <c r="EH6" s="240" t="s">
        <v>492</v>
      </c>
      <c r="EI6" s="240" t="s">
        <v>492</v>
      </c>
      <c r="EJ6" s="240" t="s">
        <v>231</v>
      </c>
      <c r="EK6" s="240" t="s">
        <v>231</v>
      </c>
      <c r="EL6" s="240" t="s">
        <v>231</v>
      </c>
      <c r="EM6" s="240" t="s">
        <v>231</v>
      </c>
      <c r="EN6" s="240" t="s">
        <v>231</v>
      </c>
      <c r="EO6" s="240" t="s">
        <v>231</v>
      </c>
      <c r="EP6" s="240" t="s">
        <v>231</v>
      </c>
      <c r="EQ6" s="240" t="s">
        <v>231</v>
      </c>
      <c r="ER6" s="240" t="s">
        <v>231</v>
      </c>
      <c r="ES6" s="240" t="s">
        <v>231</v>
      </c>
      <c r="ET6" s="240" t="s">
        <v>231</v>
      </c>
      <c r="EU6" s="240" t="s">
        <v>231</v>
      </c>
      <c r="EV6" s="240" t="s">
        <v>231</v>
      </c>
      <c r="EW6" s="240" t="s">
        <v>231</v>
      </c>
      <c r="EX6" s="240" t="s">
        <v>231</v>
      </c>
      <c r="EY6" s="240" t="s">
        <v>231</v>
      </c>
      <c r="EZ6" s="240" t="s">
        <v>231</v>
      </c>
      <c r="FA6" s="240" t="s">
        <v>231</v>
      </c>
      <c r="FB6" s="240" t="s">
        <v>231</v>
      </c>
      <c r="FC6" s="240" t="s">
        <v>231</v>
      </c>
      <c r="FD6" s="240" t="s">
        <v>231</v>
      </c>
      <c r="FE6" s="240" t="s">
        <v>231</v>
      </c>
      <c r="FF6" s="240" t="s">
        <v>492</v>
      </c>
      <c r="FG6" s="240" t="s">
        <v>492</v>
      </c>
      <c r="FH6" s="240" t="s">
        <v>492</v>
      </c>
      <c r="FI6" s="240" t="s">
        <v>492</v>
      </c>
      <c r="FJ6" s="240" t="s">
        <v>492</v>
      </c>
      <c r="FK6" s="240" t="s">
        <v>492</v>
      </c>
      <c r="FL6" s="240" t="s">
        <v>492</v>
      </c>
      <c r="FM6" s="240" t="s">
        <v>231</v>
      </c>
      <c r="FN6" s="240" t="s">
        <v>492</v>
      </c>
      <c r="FO6" s="240" t="s">
        <v>493</v>
      </c>
      <c r="FP6" s="240" t="s">
        <v>492</v>
      </c>
      <c r="FQ6" s="240" t="s">
        <v>231</v>
      </c>
      <c r="FR6" s="240" t="s">
        <v>231</v>
      </c>
      <c r="FS6" s="240" t="s">
        <v>231</v>
      </c>
      <c r="FT6" s="240" t="s">
        <v>231</v>
      </c>
      <c r="FU6" s="240" t="s">
        <v>231</v>
      </c>
      <c r="FV6" s="240" t="s">
        <v>231</v>
      </c>
      <c r="FW6" s="240" t="s">
        <v>231</v>
      </c>
      <c r="FX6" s="240" t="s">
        <v>492</v>
      </c>
      <c r="FY6" s="240" t="s">
        <v>231</v>
      </c>
      <c r="FZ6" s="240" t="s">
        <v>231</v>
      </c>
      <c r="GA6" s="240" t="s">
        <v>231</v>
      </c>
      <c r="GB6" s="240" t="s">
        <v>231</v>
      </c>
      <c r="GC6" s="240" t="s">
        <v>231</v>
      </c>
      <c r="GD6" s="240" t="s">
        <v>231</v>
      </c>
      <c r="GE6" s="240" t="s">
        <v>231</v>
      </c>
      <c r="GF6" s="240" t="s">
        <v>231</v>
      </c>
      <c r="GG6" s="240" t="s">
        <v>231</v>
      </c>
      <c r="GH6" s="240" t="s">
        <v>231</v>
      </c>
      <c r="GI6" s="240" t="s">
        <v>231</v>
      </c>
      <c r="GJ6" s="240" t="s">
        <v>231</v>
      </c>
      <c r="GK6" s="240" t="s">
        <v>231</v>
      </c>
      <c r="GL6" s="240" t="s">
        <v>231</v>
      </c>
      <c r="GM6" s="240" t="s">
        <v>231</v>
      </c>
      <c r="GN6" s="240" t="s">
        <v>231</v>
      </c>
      <c r="GO6" s="240" t="s">
        <v>231</v>
      </c>
      <c r="GP6" s="240" t="s">
        <v>492</v>
      </c>
      <c r="GQ6" s="240" t="s">
        <v>231</v>
      </c>
      <c r="GR6" s="240" t="s">
        <v>231</v>
      </c>
      <c r="GS6" s="240" t="s">
        <v>231</v>
      </c>
      <c r="GT6" s="240" t="s">
        <v>231</v>
      </c>
      <c r="GU6" s="240" t="s">
        <v>492</v>
      </c>
      <c r="GV6" s="240" t="s">
        <v>492</v>
      </c>
      <c r="GW6" s="240" t="s">
        <v>231</v>
      </c>
      <c r="GX6" s="240" t="s">
        <v>231</v>
      </c>
      <c r="GY6" s="240" t="s">
        <v>492</v>
      </c>
      <c r="GZ6" s="240" t="s">
        <v>492</v>
      </c>
      <c r="HA6" s="240" t="s">
        <v>231</v>
      </c>
      <c r="HB6" s="240" t="s">
        <v>231</v>
      </c>
      <c r="HC6" s="240" t="s">
        <v>231</v>
      </c>
      <c r="HD6" s="240" t="s">
        <v>231</v>
      </c>
      <c r="HE6" s="240" t="s">
        <v>231</v>
      </c>
      <c r="HF6" s="240" t="s">
        <v>231</v>
      </c>
      <c r="HG6" s="240" t="s">
        <v>231</v>
      </c>
      <c r="HH6" s="240" t="s">
        <v>231</v>
      </c>
      <c r="HI6" s="240" t="s">
        <v>231</v>
      </c>
      <c r="HJ6" s="240" t="s">
        <v>231</v>
      </c>
      <c r="HK6" s="240" t="s">
        <v>231</v>
      </c>
      <c r="HL6" s="240" t="s">
        <v>231</v>
      </c>
      <c r="HM6" s="240" t="s">
        <v>231</v>
      </c>
      <c r="HN6" s="240" t="s">
        <v>231</v>
      </c>
      <c r="HO6" s="240" t="s">
        <v>231</v>
      </c>
      <c r="HP6" s="240" t="s">
        <v>492</v>
      </c>
      <c r="HQ6" s="240" t="s">
        <v>492</v>
      </c>
      <c r="HR6" s="240" t="s">
        <v>492</v>
      </c>
      <c r="HS6" s="240" t="s">
        <v>492</v>
      </c>
      <c r="HT6" s="240" t="s">
        <v>492</v>
      </c>
      <c r="HU6" s="240" t="s">
        <v>231</v>
      </c>
      <c r="HV6" s="240" t="s">
        <v>231</v>
      </c>
      <c r="HW6" s="240" t="s">
        <v>231</v>
      </c>
      <c r="HX6" s="240" t="s">
        <v>231</v>
      </c>
      <c r="HY6" s="240" t="s">
        <v>231</v>
      </c>
      <c r="HZ6" s="240" t="s">
        <v>231</v>
      </c>
      <c r="IA6" s="240" t="s">
        <v>231</v>
      </c>
      <c r="IB6" s="240" t="s">
        <v>231</v>
      </c>
      <c r="IC6" s="240" t="s">
        <v>231</v>
      </c>
      <c r="ID6" s="240" t="s">
        <v>231</v>
      </c>
      <c r="IE6" s="240" t="s">
        <v>231</v>
      </c>
      <c r="IF6" s="240" t="s">
        <v>231</v>
      </c>
      <c r="IG6" s="240" t="s">
        <v>231</v>
      </c>
      <c r="IH6" s="240" t="s">
        <v>231</v>
      </c>
      <c r="II6" s="240" t="s">
        <v>231</v>
      </c>
      <c r="IJ6" s="240" t="s">
        <v>231</v>
      </c>
      <c r="IK6" s="240" t="s">
        <v>231</v>
      </c>
      <c r="IL6" s="240" t="s">
        <v>231</v>
      </c>
      <c r="IM6" s="240" t="s">
        <v>231</v>
      </c>
      <c r="IN6" s="240" t="s">
        <v>231</v>
      </c>
      <c r="IO6" s="240" t="s">
        <v>219</v>
      </c>
      <c r="IP6" s="240" t="s">
        <v>493</v>
      </c>
      <c r="IQ6" s="240" t="s">
        <v>219</v>
      </c>
      <c r="IR6" s="240" t="s">
        <v>490</v>
      </c>
      <c r="IS6" s="240" t="s">
        <v>492</v>
      </c>
      <c r="IT6" s="240" t="s">
        <v>492</v>
      </c>
    </row>
    <row r="7" spans="1:254" ht="14.45" customHeight="1" x14ac:dyDescent="0.25">
      <c r="A7" s="258" t="str">
        <f>HYPERLINK("http://www.ofsted.gov.uk/inspection-reports/find-inspection-report/provider/ELS/144966 ","Ofsted School Webpage")</f>
        <v>Ofsted School Webpage</v>
      </c>
      <c r="B7" s="237">
        <v>144966</v>
      </c>
      <c r="C7" s="237">
        <v>9376014</v>
      </c>
      <c r="D7" s="237" t="s">
        <v>500</v>
      </c>
      <c r="E7" s="237" t="s">
        <v>248</v>
      </c>
      <c r="F7" s="237" t="s">
        <v>501</v>
      </c>
      <c r="G7" s="237" t="s">
        <v>502</v>
      </c>
      <c r="H7" s="237" t="s">
        <v>502</v>
      </c>
      <c r="I7" s="237" t="s">
        <v>503</v>
      </c>
      <c r="J7" s="237" t="s">
        <v>504</v>
      </c>
      <c r="K7" s="237" t="s">
        <v>93</v>
      </c>
      <c r="L7" s="237" t="s">
        <v>93</v>
      </c>
      <c r="M7" s="237" t="s">
        <v>93</v>
      </c>
      <c r="N7" s="237" t="s">
        <v>90</v>
      </c>
      <c r="O7" s="237" t="s">
        <v>486</v>
      </c>
      <c r="P7" s="237" t="s">
        <v>487</v>
      </c>
      <c r="Q7" s="238">
        <v>10052718</v>
      </c>
      <c r="R7" s="239">
        <v>43354</v>
      </c>
      <c r="S7" s="239">
        <v>43356</v>
      </c>
      <c r="T7" s="239">
        <v>43376</v>
      </c>
      <c r="U7" s="237" t="s">
        <v>499</v>
      </c>
      <c r="V7" s="237" t="s">
        <v>489</v>
      </c>
      <c r="W7" s="237">
        <v>2</v>
      </c>
      <c r="X7" s="237">
        <v>2</v>
      </c>
      <c r="Y7" s="237">
        <v>2</v>
      </c>
      <c r="Z7" s="237">
        <v>2</v>
      </c>
      <c r="AA7" s="237">
        <v>2</v>
      </c>
      <c r="AB7" s="237" t="s">
        <v>486</v>
      </c>
      <c r="AC7" s="237" t="s">
        <v>486</v>
      </c>
      <c r="AD7" s="237" t="s">
        <v>219</v>
      </c>
      <c r="AE7" s="237" t="s">
        <v>490</v>
      </c>
      <c r="AF7" s="237" t="s">
        <v>486</v>
      </c>
      <c r="AG7" s="237" t="s">
        <v>486</v>
      </c>
      <c r="AH7" s="237" t="s">
        <v>486</v>
      </c>
      <c r="AI7" s="237" t="s">
        <v>486</v>
      </c>
      <c r="AJ7" s="237" t="s">
        <v>486</v>
      </c>
      <c r="AK7" s="237" t="s">
        <v>486</v>
      </c>
      <c r="AL7" s="237" t="s">
        <v>486</v>
      </c>
      <c r="AM7" s="237" t="s">
        <v>491</v>
      </c>
      <c r="AN7" s="237" t="s">
        <v>231</v>
      </c>
      <c r="AO7" s="237" t="s">
        <v>231</v>
      </c>
      <c r="AP7" s="237" t="s">
        <v>231</v>
      </c>
      <c r="AQ7" s="237" t="s">
        <v>231</v>
      </c>
      <c r="AR7" s="237" t="s">
        <v>231</v>
      </c>
      <c r="AS7" s="237" t="s">
        <v>231</v>
      </c>
      <c r="AT7" s="237" t="s">
        <v>231</v>
      </c>
      <c r="AU7" s="237" t="s">
        <v>231</v>
      </c>
      <c r="AV7" s="237" t="s">
        <v>231</v>
      </c>
      <c r="AW7" s="237" t="s">
        <v>231</v>
      </c>
      <c r="AX7" s="237" t="s">
        <v>231</v>
      </c>
      <c r="AY7" s="237" t="s">
        <v>231</v>
      </c>
      <c r="AZ7" s="237" t="s">
        <v>231</v>
      </c>
      <c r="BA7" s="237" t="s">
        <v>231</v>
      </c>
      <c r="BB7" s="237" t="s">
        <v>231</v>
      </c>
      <c r="BC7" s="237" t="s">
        <v>231</v>
      </c>
      <c r="BD7" s="237" t="s">
        <v>492</v>
      </c>
      <c r="BE7" s="237" t="s">
        <v>231</v>
      </c>
      <c r="BF7" s="237" t="s">
        <v>231</v>
      </c>
      <c r="BG7" s="237" t="s">
        <v>231</v>
      </c>
      <c r="BH7" s="237" t="s">
        <v>231</v>
      </c>
      <c r="BI7" s="237" t="s">
        <v>231</v>
      </c>
      <c r="BJ7" s="237" t="s">
        <v>231</v>
      </c>
      <c r="BK7" s="237" t="s">
        <v>231</v>
      </c>
      <c r="BL7" s="237" t="s">
        <v>492</v>
      </c>
      <c r="BM7" s="237" t="s">
        <v>231</v>
      </c>
      <c r="BN7" s="237" t="s">
        <v>231</v>
      </c>
      <c r="BO7" s="237" t="s">
        <v>231</v>
      </c>
      <c r="BP7" s="237" t="s">
        <v>231</v>
      </c>
      <c r="BQ7" s="237" t="s">
        <v>231</v>
      </c>
      <c r="BR7" s="237" t="s">
        <v>231</v>
      </c>
      <c r="BS7" s="237" t="s">
        <v>231</v>
      </c>
      <c r="BT7" s="237" t="s">
        <v>231</v>
      </c>
      <c r="BU7" s="237" t="s">
        <v>231</v>
      </c>
      <c r="BV7" s="237" t="s">
        <v>231</v>
      </c>
      <c r="BW7" s="237" t="s">
        <v>231</v>
      </c>
      <c r="BX7" s="237" t="s">
        <v>231</v>
      </c>
      <c r="BY7" s="237" t="s">
        <v>231</v>
      </c>
      <c r="BZ7" s="237" t="s">
        <v>231</v>
      </c>
      <c r="CA7" s="237" t="s">
        <v>231</v>
      </c>
      <c r="CB7" s="237" t="s">
        <v>231</v>
      </c>
      <c r="CC7" s="237" t="s">
        <v>231</v>
      </c>
      <c r="CD7" s="237" t="s">
        <v>231</v>
      </c>
      <c r="CE7" s="237" t="s">
        <v>231</v>
      </c>
      <c r="CF7" s="237" t="s">
        <v>231</v>
      </c>
      <c r="CG7" s="237" t="s">
        <v>231</v>
      </c>
      <c r="CH7" s="237" t="s">
        <v>231</v>
      </c>
      <c r="CI7" s="237" t="s">
        <v>231</v>
      </c>
      <c r="CJ7" s="237" t="s">
        <v>231</v>
      </c>
      <c r="CK7" s="237" t="s">
        <v>231</v>
      </c>
      <c r="CL7" s="237" t="s">
        <v>231</v>
      </c>
      <c r="CM7" s="237" t="s">
        <v>231</v>
      </c>
      <c r="CN7" s="237" t="s">
        <v>231</v>
      </c>
      <c r="CO7" s="237" t="s">
        <v>231</v>
      </c>
      <c r="CP7" s="237" t="s">
        <v>231</v>
      </c>
      <c r="CQ7" s="237" t="s">
        <v>231</v>
      </c>
      <c r="CR7" s="237" t="s">
        <v>231</v>
      </c>
      <c r="CS7" s="237" t="s">
        <v>231</v>
      </c>
      <c r="CT7" s="237" t="s">
        <v>492</v>
      </c>
      <c r="CU7" s="237" t="s">
        <v>492</v>
      </c>
      <c r="CV7" s="237" t="s">
        <v>492</v>
      </c>
      <c r="CW7" s="237" t="s">
        <v>231</v>
      </c>
      <c r="CX7" s="237" t="s">
        <v>231</v>
      </c>
      <c r="CY7" s="237" t="s">
        <v>231</v>
      </c>
      <c r="CZ7" s="237" t="s">
        <v>231</v>
      </c>
      <c r="DA7" s="237" t="s">
        <v>231</v>
      </c>
      <c r="DB7" s="237" t="s">
        <v>231</v>
      </c>
      <c r="DC7" s="237" t="s">
        <v>231</v>
      </c>
      <c r="DD7" s="237" t="s">
        <v>231</v>
      </c>
      <c r="DE7" s="237" t="s">
        <v>231</v>
      </c>
      <c r="DF7" s="237" t="s">
        <v>231</v>
      </c>
      <c r="DG7" s="237" t="s">
        <v>231</v>
      </c>
      <c r="DH7" s="237" t="s">
        <v>231</v>
      </c>
      <c r="DI7" s="237" t="s">
        <v>231</v>
      </c>
      <c r="DJ7" s="237" t="s">
        <v>231</v>
      </c>
      <c r="DK7" s="237" t="s">
        <v>231</v>
      </c>
      <c r="DL7" s="237" t="s">
        <v>231</v>
      </c>
      <c r="DM7" s="237" t="s">
        <v>231</v>
      </c>
      <c r="DN7" s="237" t="s">
        <v>231</v>
      </c>
      <c r="DO7" s="237" t="s">
        <v>231</v>
      </c>
      <c r="DP7" s="237" t="s">
        <v>231</v>
      </c>
      <c r="DQ7" s="237" t="s">
        <v>231</v>
      </c>
      <c r="DR7" s="237" t="s">
        <v>231</v>
      </c>
      <c r="DS7" s="237" t="s">
        <v>231</v>
      </c>
      <c r="DT7" s="237" t="s">
        <v>492</v>
      </c>
      <c r="DU7" s="237" t="s">
        <v>231</v>
      </c>
      <c r="DV7" s="237" t="s">
        <v>231</v>
      </c>
      <c r="DW7" s="237" t="s">
        <v>231</v>
      </c>
      <c r="DX7" s="237" t="s">
        <v>231</v>
      </c>
      <c r="DY7" s="237" t="s">
        <v>231</v>
      </c>
      <c r="DZ7" s="237" t="s">
        <v>231</v>
      </c>
      <c r="EA7" s="237" t="s">
        <v>231</v>
      </c>
      <c r="EB7" s="237" t="s">
        <v>231</v>
      </c>
      <c r="EC7" s="237" t="s">
        <v>231</v>
      </c>
      <c r="ED7" s="237" t="s">
        <v>231</v>
      </c>
      <c r="EE7" s="237" t="s">
        <v>231</v>
      </c>
      <c r="EF7" s="237" t="s">
        <v>231</v>
      </c>
      <c r="EG7" s="237" t="s">
        <v>231</v>
      </c>
      <c r="EH7" s="237" t="s">
        <v>492</v>
      </c>
      <c r="EI7" s="237" t="s">
        <v>231</v>
      </c>
      <c r="EJ7" s="237" t="s">
        <v>231</v>
      </c>
      <c r="EK7" s="237" t="s">
        <v>231</v>
      </c>
      <c r="EL7" s="237" t="s">
        <v>231</v>
      </c>
      <c r="EM7" s="237" t="s">
        <v>231</v>
      </c>
      <c r="EN7" s="237" t="s">
        <v>231</v>
      </c>
      <c r="EO7" s="237" t="s">
        <v>231</v>
      </c>
      <c r="EP7" s="237" t="s">
        <v>231</v>
      </c>
      <c r="EQ7" s="237" t="s">
        <v>231</v>
      </c>
      <c r="ER7" s="237" t="s">
        <v>231</v>
      </c>
      <c r="ES7" s="237" t="s">
        <v>231</v>
      </c>
      <c r="ET7" s="237" t="s">
        <v>231</v>
      </c>
      <c r="EU7" s="237" t="s">
        <v>231</v>
      </c>
      <c r="EV7" s="237" t="s">
        <v>231</v>
      </c>
      <c r="EW7" s="237" t="s">
        <v>231</v>
      </c>
      <c r="EX7" s="237" t="s">
        <v>231</v>
      </c>
      <c r="EY7" s="237" t="s">
        <v>231</v>
      </c>
      <c r="EZ7" s="237" t="s">
        <v>231</v>
      </c>
      <c r="FA7" s="237" t="s">
        <v>231</v>
      </c>
      <c r="FB7" s="237" t="s">
        <v>231</v>
      </c>
      <c r="FC7" s="237" t="s">
        <v>231</v>
      </c>
      <c r="FD7" s="237" t="s">
        <v>231</v>
      </c>
      <c r="FE7" s="237" t="s">
        <v>231</v>
      </c>
      <c r="FF7" s="237" t="s">
        <v>492</v>
      </c>
      <c r="FG7" s="237" t="s">
        <v>231</v>
      </c>
      <c r="FH7" s="237" t="s">
        <v>231</v>
      </c>
      <c r="FI7" s="237" t="s">
        <v>231</v>
      </c>
      <c r="FJ7" s="237" t="s">
        <v>231</v>
      </c>
      <c r="FK7" s="237" t="s">
        <v>231</v>
      </c>
      <c r="FL7" s="237" t="s">
        <v>231</v>
      </c>
      <c r="FM7" s="237" t="s">
        <v>231</v>
      </c>
      <c r="FN7" s="237" t="s">
        <v>231</v>
      </c>
      <c r="FO7" s="237" t="s">
        <v>231</v>
      </c>
      <c r="FP7" s="237" t="s">
        <v>231</v>
      </c>
      <c r="FQ7" s="237" t="s">
        <v>231</v>
      </c>
      <c r="FR7" s="237" t="s">
        <v>231</v>
      </c>
      <c r="FS7" s="237" t="s">
        <v>231</v>
      </c>
      <c r="FT7" s="237" t="s">
        <v>231</v>
      </c>
      <c r="FU7" s="237" t="s">
        <v>231</v>
      </c>
      <c r="FV7" s="237" t="s">
        <v>231</v>
      </c>
      <c r="FW7" s="237" t="s">
        <v>231</v>
      </c>
      <c r="FX7" s="237" t="s">
        <v>492</v>
      </c>
      <c r="FY7" s="237" t="s">
        <v>231</v>
      </c>
      <c r="FZ7" s="237" t="s">
        <v>231</v>
      </c>
      <c r="GA7" s="237" t="s">
        <v>231</v>
      </c>
      <c r="GB7" s="237" t="s">
        <v>231</v>
      </c>
      <c r="GC7" s="237" t="s">
        <v>231</v>
      </c>
      <c r="GD7" s="237" t="s">
        <v>231</v>
      </c>
      <c r="GE7" s="237" t="s">
        <v>231</v>
      </c>
      <c r="GF7" s="237" t="s">
        <v>231</v>
      </c>
      <c r="GG7" s="237" t="s">
        <v>231</v>
      </c>
      <c r="GH7" s="237" t="s">
        <v>231</v>
      </c>
      <c r="GI7" s="237" t="s">
        <v>231</v>
      </c>
      <c r="GJ7" s="237" t="s">
        <v>231</v>
      </c>
      <c r="GK7" s="237" t="s">
        <v>231</v>
      </c>
      <c r="GL7" s="237" t="s">
        <v>231</v>
      </c>
      <c r="GM7" s="237" t="s">
        <v>231</v>
      </c>
      <c r="GN7" s="237" t="s">
        <v>231</v>
      </c>
      <c r="GO7" s="237" t="s">
        <v>231</v>
      </c>
      <c r="GP7" s="237" t="s">
        <v>492</v>
      </c>
      <c r="GQ7" s="237" t="s">
        <v>231</v>
      </c>
      <c r="GR7" s="237" t="s">
        <v>231</v>
      </c>
      <c r="GS7" s="237" t="s">
        <v>231</v>
      </c>
      <c r="GT7" s="237" t="s">
        <v>231</v>
      </c>
      <c r="GU7" s="237" t="s">
        <v>231</v>
      </c>
      <c r="GV7" s="237" t="s">
        <v>231</v>
      </c>
      <c r="GW7" s="237" t="s">
        <v>231</v>
      </c>
      <c r="GX7" s="237" t="s">
        <v>231</v>
      </c>
      <c r="GY7" s="237" t="s">
        <v>231</v>
      </c>
      <c r="GZ7" s="237" t="s">
        <v>231</v>
      </c>
      <c r="HA7" s="237" t="s">
        <v>231</v>
      </c>
      <c r="HB7" s="237" t="s">
        <v>231</v>
      </c>
      <c r="HC7" s="237" t="s">
        <v>231</v>
      </c>
      <c r="HD7" s="237" t="s">
        <v>231</v>
      </c>
      <c r="HE7" s="237" t="s">
        <v>492</v>
      </c>
      <c r="HF7" s="237" t="s">
        <v>231</v>
      </c>
      <c r="HG7" s="237" t="s">
        <v>492</v>
      </c>
      <c r="HH7" s="237" t="s">
        <v>231</v>
      </c>
      <c r="HI7" s="237" t="s">
        <v>231</v>
      </c>
      <c r="HJ7" s="237" t="s">
        <v>231</v>
      </c>
      <c r="HK7" s="237" t="s">
        <v>231</v>
      </c>
      <c r="HL7" s="237" t="s">
        <v>231</v>
      </c>
      <c r="HM7" s="237" t="s">
        <v>231</v>
      </c>
      <c r="HN7" s="237" t="s">
        <v>231</v>
      </c>
      <c r="HO7" s="237" t="s">
        <v>231</v>
      </c>
      <c r="HP7" s="237" t="s">
        <v>231</v>
      </c>
      <c r="HQ7" s="237" t="s">
        <v>492</v>
      </c>
      <c r="HR7" s="237" t="s">
        <v>492</v>
      </c>
      <c r="HS7" s="237" t="s">
        <v>492</v>
      </c>
      <c r="HT7" s="237" t="s">
        <v>492</v>
      </c>
      <c r="HU7" s="237" t="s">
        <v>231</v>
      </c>
      <c r="HV7" s="237" t="s">
        <v>231</v>
      </c>
      <c r="HW7" s="237" t="s">
        <v>231</v>
      </c>
      <c r="HX7" s="237" t="s">
        <v>231</v>
      </c>
      <c r="HY7" s="237" t="s">
        <v>231</v>
      </c>
      <c r="HZ7" s="237" t="s">
        <v>231</v>
      </c>
      <c r="IA7" s="237" t="s">
        <v>231</v>
      </c>
      <c r="IB7" s="237" t="s">
        <v>231</v>
      </c>
      <c r="IC7" s="237" t="s">
        <v>231</v>
      </c>
      <c r="ID7" s="237" t="s">
        <v>231</v>
      </c>
      <c r="IE7" s="237" t="s">
        <v>231</v>
      </c>
      <c r="IF7" s="237" t="s">
        <v>231</v>
      </c>
      <c r="IG7" s="237" t="s">
        <v>231</v>
      </c>
      <c r="IH7" s="237" t="s">
        <v>231</v>
      </c>
      <c r="II7" s="237" t="s">
        <v>231</v>
      </c>
      <c r="IJ7" s="237" t="s">
        <v>231</v>
      </c>
      <c r="IK7" s="237" t="s">
        <v>231</v>
      </c>
      <c r="IL7" s="237" t="s">
        <v>231</v>
      </c>
      <c r="IM7" s="237" t="s">
        <v>231</v>
      </c>
      <c r="IN7" s="237" t="s">
        <v>231</v>
      </c>
      <c r="IO7" s="237" t="s">
        <v>220</v>
      </c>
      <c r="IP7" s="237" t="s">
        <v>493</v>
      </c>
      <c r="IQ7" s="237" t="s">
        <v>219</v>
      </c>
      <c r="IR7" s="237" t="s">
        <v>490</v>
      </c>
      <c r="IS7" s="237" t="s">
        <v>492</v>
      </c>
      <c r="IT7" s="237" t="s">
        <v>492</v>
      </c>
    </row>
    <row r="8" spans="1:254" ht="14.45" customHeight="1" x14ac:dyDescent="0.25">
      <c r="A8" s="259" t="str">
        <f>HYPERLINK("http://www.ofsted.gov.uk/inspection-reports/find-inspection-report/provider/ELS/135493 ","Ofsted School Webpage")</f>
        <v>Ofsted School Webpage</v>
      </c>
      <c r="B8" s="240">
        <v>135493</v>
      </c>
      <c r="C8" s="240">
        <v>3076339</v>
      </c>
      <c r="D8" s="240" t="s">
        <v>505</v>
      </c>
      <c r="E8" s="240" t="s">
        <v>248</v>
      </c>
      <c r="F8" s="240" t="s">
        <v>501</v>
      </c>
      <c r="G8" s="240" t="s">
        <v>506</v>
      </c>
      <c r="H8" s="240" t="s">
        <v>506</v>
      </c>
      <c r="I8" s="240" t="s">
        <v>507</v>
      </c>
      <c r="J8" s="240" t="s">
        <v>508</v>
      </c>
      <c r="K8" s="240" t="s">
        <v>93</v>
      </c>
      <c r="L8" s="240" t="s">
        <v>93</v>
      </c>
      <c r="M8" s="240" t="s">
        <v>93</v>
      </c>
      <c r="N8" s="240" t="s">
        <v>90</v>
      </c>
      <c r="O8" s="240" t="s">
        <v>486</v>
      </c>
      <c r="P8" s="240" t="s">
        <v>487</v>
      </c>
      <c r="Q8" s="241">
        <v>10054295</v>
      </c>
      <c r="R8" s="242">
        <v>43361</v>
      </c>
      <c r="S8" s="242">
        <v>43363</v>
      </c>
      <c r="T8" s="242">
        <v>43385</v>
      </c>
      <c r="U8" s="240" t="s">
        <v>488</v>
      </c>
      <c r="V8" s="240" t="s">
        <v>489</v>
      </c>
      <c r="W8" s="240">
        <v>2</v>
      </c>
      <c r="X8" s="240">
        <v>2</v>
      </c>
      <c r="Y8" s="240">
        <v>2</v>
      </c>
      <c r="Z8" s="240">
        <v>2</v>
      </c>
      <c r="AA8" s="240">
        <v>2</v>
      </c>
      <c r="AB8" s="240" t="s">
        <v>486</v>
      </c>
      <c r="AC8" s="240" t="s">
        <v>486</v>
      </c>
      <c r="AD8" s="240" t="s">
        <v>219</v>
      </c>
      <c r="AE8" s="240" t="s">
        <v>490</v>
      </c>
      <c r="AF8" s="240" t="s">
        <v>486</v>
      </c>
      <c r="AG8" s="240" t="s">
        <v>486</v>
      </c>
      <c r="AH8" s="240" t="s">
        <v>486</v>
      </c>
      <c r="AI8" s="240" t="s">
        <v>486</v>
      </c>
      <c r="AJ8" s="240" t="s">
        <v>486</v>
      </c>
      <c r="AK8" s="240" t="s">
        <v>486</v>
      </c>
      <c r="AL8" s="240" t="s">
        <v>486</v>
      </c>
      <c r="AM8" s="240" t="s">
        <v>491</v>
      </c>
      <c r="AN8" s="240" t="s">
        <v>231</v>
      </c>
      <c r="AO8" s="240" t="s">
        <v>231</v>
      </c>
      <c r="AP8" s="240" t="s">
        <v>231</v>
      </c>
      <c r="AQ8" s="240" t="s">
        <v>231</v>
      </c>
      <c r="AR8" s="240" t="s">
        <v>231</v>
      </c>
      <c r="AS8" s="240" t="s">
        <v>231</v>
      </c>
      <c r="AT8" s="240" t="s">
        <v>231</v>
      </c>
      <c r="AU8" s="240" t="s">
        <v>231</v>
      </c>
      <c r="AV8" s="240" t="s">
        <v>231</v>
      </c>
      <c r="AW8" s="240" t="s">
        <v>231</v>
      </c>
      <c r="AX8" s="240" t="s">
        <v>231</v>
      </c>
      <c r="AY8" s="240" t="s">
        <v>231</v>
      </c>
      <c r="AZ8" s="240" t="s">
        <v>231</v>
      </c>
      <c r="BA8" s="240" t="s">
        <v>231</v>
      </c>
      <c r="BB8" s="240" t="s">
        <v>231</v>
      </c>
      <c r="BC8" s="240" t="s">
        <v>231</v>
      </c>
      <c r="BD8" s="240" t="s">
        <v>492</v>
      </c>
      <c r="BE8" s="240" t="s">
        <v>231</v>
      </c>
      <c r="BF8" s="240" t="s">
        <v>231</v>
      </c>
      <c r="BG8" s="240" t="s">
        <v>231</v>
      </c>
      <c r="BH8" s="240" t="s">
        <v>231</v>
      </c>
      <c r="BI8" s="240" t="s">
        <v>231</v>
      </c>
      <c r="BJ8" s="240" t="s">
        <v>231</v>
      </c>
      <c r="BK8" s="240" t="s">
        <v>231</v>
      </c>
      <c r="BL8" s="240" t="s">
        <v>492</v>
      </c>
      <c r="BM8" s="240" t="s">
        <v>231</v>
      </c>
      <c r="BN8" s="240" t="s">
        <v>231</v>
      </c>
      <c r="BO8" s="240" t="s">
        <v>231</v>
      </c>
      <c r="BP8" s="240" t="s">
        <v>231</v>
      </c>
      <c r="BQ8" s="240" t="s">
        <v>231</v>
      </c>
      <c r="BR8" s="240" t="s">
        <v>231</v>
      </c>
      <c r="BS8" s="240" t="s">
        <v>231</v>
      </c>
      <c r="BT8" s="240" t="s">
        <v>231</v>
      </c>
      <c r="BU8" s="240" t="s">
        <v>231</v>
      </c>
      <c r="BV8" s="240" t="s">
        <v>231</v>
      </c>
      <c r="BW8" s="240" t="s">
        <v>231</v>
      </c>
      <c r="BX8" s="240" t="s">
        <v>231</v>
      </c>
      <c r="BY8" s="240" t="s">
        <v>231</v>
      </c>
      <c r="BZ8" s="240" t="s">
        <v>231</v>
      </c>
      <c r="CA8" s="240" t="s">
        <v>231</v>
      </c>
      <c r="CB8" s="240" t="s">
        <v>231</v>
      </c>
      <c r="CC8" s="240" t="s">
        <v>231</v>
      </c>
      <c r="CD8" s="240" t="s">
        <v>231</v>
      </c>
      <c r="CE8" s="240" t="s">
        <v>231</v>
      </c>
      <c r="CF8" s="240" t="s">
        <v>231</v>
      </c>
      <c r="CG8" s="240" t="s">
        <v>231</v>
      </c>
      <c r="CH8" s="240" t="s">
        <v>231</v>
      </c>
      <c r="CI8" s="240" t="s">
        <v>231</v>
      </c>
      <c r="CJ8" s="240" t="s">
        <v>231</v>
      </c>
      <c r="CK8" s="240" t="s">
        <v>231</v>
      </c>
      <c r="CL8" s="240" t="s">
        <v>231</v>
      </c>
      <c r="CM8" s="240" t="s">
        <v>231</v>
      </c>
      <c r="CN8" s="240" t="s">
        <v>231</v>
      </c>
      <c r="CO8" s="240" t="s">
        <v>231</v>
      </c>
      <c r="CP8" s="240" t="s">
        <v>231</v>
      </c>
      <c r="CQ8" s="240" t="s">
        <v>231</v>
      </c>
      <c r="CR8" s="240" t="s">
        <v>231</v>
      </c>
      <c r="CS8" s="240" t="s">
        <v>231</v>
      </c>
      <c r="CT8" s="240" t="s">
        <v>492</v>
      </c>
      <c r="CU8" s="240" t="s">
        <v>492</v>
      </c>
      <c r="CV8" s="240" t="s">
        <v>492</v>
      </c>
      <c r="CW8" s="240" t="s">
        <v>231</v>
      </c>
      <c r="CX8" s="240" t="s">
        <v>231</v>
      </c>
      <c r="CY8" s="240" t="s">
        <v>231</v>
      </c>
      <c r="CZ8" s="240" t="s">
        <v>231</v>
      </c>
      <c r="DA8" s="240" t="s">
        <v>231</v>
      </c>
      <c r="DB8" s="240" t="s">
        <v>231</v>
      </c>
      <c r="DC8" s="240" t="s">
        <v>231</v>
      </c>
      <c r="DD8" s="240" t="s">
        <v>231</v>
      </c>
      <c r="DE8" s="240" t="s">
        <v>231</v>
      </c>
      <c r="DF8" s="240" t="s">
        <v>231</v>
      </c>
      <c r="DG8" s="240" t="s">
        <v>231</v>
      </c>
      <c r="DH8" s="240" t="s">
        <v>231</v>
      </c>
      <c r="DI8" s="240" t="s">
        <v>231</v>
      </c>
      <c r="DJ8" s="240" t="s">
        <v>231</v>
      </c>
      <c r="DK8" s="240" t="s">
        <v>231</v>
      </c>
      <c r="DL8" s="240" t="s">
        <v>231</v>
      </c>
      <c r="DM8" s="240" t="s">
        <v>231</v>
      </c>
      <c r="DN8" s="240" t="s">
        <v>231</v>
      </c>
      <c r="DO8" s="240" t="s">
        <v>231</v>
      </c>
      <c r="DP8" s="240" t="s">
        <v>231</v>
      </c>
      <c r="DQ8" s="240" t="s">
        <v>231</v>
      </c>
      <c r="DR8" s="240" t="s">
        <v>231</v>
      </c>
      <c r="DS8" s="240" t="s">
        <v>231</v>
      </c>
      <c r="DT8" s="240" t="s">
        <v>492</v>
      </c>
      <c r="DU8" s="240" t="s">
        <v>231</v>
      </c>
      <c r="DV8" s="240" t="s">
        <v>231</v>
      </c>
      <c r="DW8" s="240" t="s">
        <v>231</v>
      </c>
      <c r="DX8" s="240" t="s">
        <v>231</v>
      </c>
      <c r="DY8" s="240" t="s">
        <v>231</v>
      </c>
      <c r="DZ8" s="240" t="s">
        <v>231</v>
      </c>
      <c r="EA8" s="240" t="s">
        <v>231</v>
      </c>
      <c r="EB8" s="240" t="s">
        <v>231</v>
      </c>
      <c r="EC8" s="240" t="s">
        <v>231</v>
      </c>
      <c r="ED8" s="240" t="s">
        <v>231</v>
      </c>
      <c r="EE8" s="240" t="s">
        <v>231</v>
      </c>
      <c r="EF8" s="240" t="s">
        <v>231</v>
      </c>
      <c r="EG8" s="240" t="s">
        <v>231</v>
      </c>
      <c r="EH8" s="240" t="s">
        <v>492</v>
      </c>
      <c r="EI8" s="240" t="s">
        <v>231</v>
      </c>
      <c r="EJ8" s="240" t="s">
        <v>492</v>
      </c>
      <c r="EK8" s="240" t="s">
        <v>492</v>
      </c>
      <c r="EL8" s="240" t="s">
        <v>492</v>
      </c>
      <c r="EM8" s="240" t="s">
        <v>492</v>
      </c>
      <c r="EN8" s="240" t="s">
        <v>492</v>
      </c>
      <c r="EO8" s="240" t="s">
        <v>492</v>
      </c>
      <c r="EP8" s="240" t="s">
        <v>492</v>
      </c>
      <c r="EQ8" s="240" t="s">
        <v>492</v>
      </c>
      <c r="ER8" s="240" t="s">
        <v>492</v>
      </c>
      <c r="ES8" s="240" t="s">
        <v>231</v>
      </c>
      <c r="ET8" s="240" t="s">
        <v>231</v>
      </c>
      <c r="EU8" s="240" t="s">
        <v>231</v>
      </c>
      <c r="EV8" s="240" t="s">
        <v>231</v>
      </c>
      <c r="EW8" s="240" t="s">
        <v>231</v>
      </c>
      <c r="EX8" s="240" t="s">
        <v>231</v>
      </c>
      <c r="EY8" s="240" t="s">
        <v>231</v>
      </c>
      <c r="EZ8" s="240" t="s">
        <v>231</v>
      </c>
      <c r="FA8" s="240" t="s">
        <v>231</v>
      </c>
      <c r="FB8" s="240" t="s">
        <v>231</v>
      </c>
      <c r="FC8" s="240" t="s">
        <v>231</v>
      </c>
      <c r="FD8" s="240" t="s">
        <v>231</v>
      </c>
      <c r="FE8" s="240" t="s">
        <v>231</v>
      </c>
      <c r="FF8" s="240" t="s">
        <v>231</v>
      </c>
      <c r="FG8" s="240" t="s">
        <v>231</v>
      </c>
      <c r="FH8" s="240" t="s">
        <v>231</v>
      </c>
      <c r="FI8" s="240" t="s">
        <v>231</v>
      </c>
      <c r="FJ8" s="240" t="s">
        <v>231</v>
      </c>
      <c r="FK8" s="240" t="s">
        <v>231</v>
      </c>
      <c r="FL8" s="240" t="s">
        <v>231</v>
      </c>
      <c r="FM8" s="240" t="s">
        <v>492</v>
      </c>
      <c r="FN8" s="240" t="s">
        <v>492</v>
      </c>
      <c r="FO8" s="240" t="s">
        <v>493</v>
      </c>
      <c r="FP8" s="240" t="s">
        <v>492</v>
      </c>
      <c r="FQ8" s="240" t="s">
        <v>231</v>
      </c>
      <c r="FR8" s="240" t="s">
        <v>231</v>
      </c>
      <c r="FS8" s="240" t="s">
        <v>231</v>
      </c>
      <c r="FT8" s="240" t="s">
        <v>231</v>
      </c>
      <c r="FU8" s="240" t="s">
        <v>231</v>
      </c>
      <c r="FV8" s="240" t="s">
        <v>231</v>
      </c>
      <c r="FW8" s="240" t="s">
        <v>231</v>
      </c>
      <c r="FX8" s="240" t="s">
        <v>231</v>
      </c>
      <c r="FY8" s="240" t="s">
        <v>231</v>
      </c>
      <c r="FZ8" s="240" t="s">
        <v>231</v>
      </c>
      <c r="GA8" s="240" t="s">
        <v>231</v>
      </c>
      <c r="GB8" s="240" t="s">
        <v>231</v>
      </c>
      <c r="GC8" s="240" t="s">
        <v>231</v>
      </c>
      <c r="GD8" s="240" t="s">
        <v>231</v>
      </c>
      <c r="GE8" s="240" t="s">
        <v>231</v>
      </c>
      <c r="GF8" s="240" t="s">
        <v>231</v>
      </c>
      <c r="GG8" s="240" t="s">
        <v>231</v>
      </c>
      <c r="GH8" s="240" t="s">
        <v>231</v>
      </c>
      <c r="GI8" s="240" t="s">
        <v>231</v>
      </c>
      <c r="GJ8" s="240" t="s">
        <v>231</v>
      </c>
      <c r="GK8" s="240" t="s">
        <v>231</v>
      </c>
      <c r="GL8" s="240" t="s">
        <v>231</v>
      </c>
      <c r="GM8" s="240" t="s">
        <v>231</v>
      </c>
      <c r="GN8" s="240" t="s">
        <v>231</v>
      </c>
      <c r="GO8" s="240" t="s">
        <v>231</v>
      </c>
      <c r="GP8" s="240" t="s">
        <v>492</v>
      </c>
      <c r="GQ8" s="240" t="s">
        <v>231</v>
      </c>
      <c r="GR8" s="240" t="s">
        <v>231</v>
      </c>
      <c r="GS8" s="240" t="s">
        <v>231</v>
      </c>
      <c r="GT8" s="240" t="s">
        <v>231</v>
      </c>
      <c r="GU8" s="240" t="s">
        <v>231</v>
      </c>
      <c r="GV8" s="240" t="s">
        <v>492</v>
      </c>
      <c r="GW8" s="240" t="s">
        <v>231</v>
      </c>
      <c r="GX8" s="240" t="s">
        <v>231</v>
      </c>
      <c r="GY8" s="240" t="s">
        <v>231</v>
      </c>
      <c r="GZ8" s="240" t="s">
        <v>231</v>
      </c>
      <c r="HA8" s="240" t="s">
        <v>492</v>
      </c>
      <c r="HB8" s="240" t="s">
        <v>231</v>
      </c>
      <c r="HC8" s="240" t="s">
        <v>231</v>
      </c>
      <c r="HD8" s="240" t="s">
        <v>231</v>
      </c>
      <c r="HE8" s="240" t="s">
        <v>231</v>
      </c>
      <c r="HF8" s="240" t="s">
        <v>492</v>
      </c>
      <c r="HG8" s="240" t="s">
        <v>492</v>
      </c>
      <c r="HH8" s="240" t="s">
        <v>231</v>
      </c>
      <c r="HI8" s="240" t="s">
        <v>231</v>
      </c>
      <c r="HJ8" s="240" t="s">
        <v>231</v>
      </c>
      <c r="HK8" s="240" t="s">
        <v>231</v>
      </c>
      <c r="HL8" s="240" t="s">
        <v>231</v>
      </c>
      <c r="HM8" s="240" t="s">
        <v>231</v>
      </c>
      <c r="HN8" s="240" t="s">
        <v>231</v>
      </c>
      <c r="HO8" s="240" t="s">
        <v>231</v>
      </c>
      <c r="HP8" s="240" t="s">
        <v>231</v>
      </c>
      <c r="HQ8" s="240" t="s">
        <v>492</v>
      </c>
      <c r="HR8" s="240" t="s">
        <v>492</v>
      </c>
      <c r="HS8" s="240" t="s">
        <v>492</v>
      </c>
      <c r="HT8" s="240" t="s">
        <v>492</v>
      </c>
      <c r="HU8" s="240" t="s">
        <v>231</v>
      </c>
      <c r="HV8" s="240" t="s">
        <v>231</v>
      </c>
      <c r="HW8" s="240" t="s">
        <v>231</v>
      </c>
      <c r="HX8" s="240" t="s">
        <v>231</v>
      </c>
      <c r="HY8" s="240" t="s">
        <v>231</v>
      </c>
      <c r="HZ8" s="240" t="s">
        <v>231</v>
      </c>
      <c r="IA8" s="240" t="s">
        <v>231</v>
      </c>
      <c r="IB8" s="240" t="s">
        <v>231</v>
      </c>
      <c r="IC8" s="240" t="s">
        <v>231</v>
      </c>
      <c r="ID8" s="240" t="s">
        <v>231</v>
      </c>
      <c r="IE8" s="240" t="s">
        <v>231</v>
      </c>
      <c r="IF8" s="240" t="s">
        <v>231</v>
      </c>
      <c r="IG8" s="240" t="s">
        <v>231</v>
      </c>
      <c r="IH8" s="240" t="s">
        <v>231</v>
      </c>
      <c r="II8" s="240" t="s">
        <v>231</v>
      </c>
      <c r="IJ8" s="240" t="s">
        <v>231</v>
      </c>
      <c r="IK8" s="240" t="s">
        <v>231</v>
      </c>
      <c r="IL8" s="240" t="s">
        <v>231</v>
      </c>
      <c r="IM8" s="240" t="s">
        <v>231</v>
      </c>
      <c r="IN8" s="240" t="s">
        <v>231</v>
      </c>
      <c r="IO8" s="240" t="s">
        <v>220</v>
      </c>
      <c r="IP8" s="240" t="s">
        <v>493</v>
      </c>
      <c r="IQ8" s="240" t="s">
        <v>219</v>
      </c>
      <c r="IR8" s="240" t="s">
        <v>490</v>
      </c>
      <c r="IS8" s="240" t="s">
        <v>492</v>
      </c>
      <c r="IT8" s="240" t="s">
        <v>492</v>
      </c>
    </row>
    <row r="9" spans="1:254" ht="14.45" customHeight="1" x14ac:dyDescent="0.25">
      <c r="A9" s="258" t="str">
        <f>HYPERLINK("http://www.ofsted.gov.uk/inspection-reports/find-inspection-report/provider/ELS/145568 ","Ofsted School Webpage")</f>
        <v>Ofsted School Webpage</v>
      </c>
      <c r="B9" s="237">
        <v>145568</v>
      </c>
      <c r="C9" s="237">
        <v>3106011</v>
      </c>
      <c r="D9" s="237" t="s">
        <v>509</v>
      </c>
      <c r="E9" s="237" t="s">
        <v>247</v>
      </c>
      <c r="F9" s="237" t="s">
        <v>482</v>
      </c>
      <c r="G9" s="237" t="s">
        <v>506</v>
      </c>
      <c r="H9" s="237" t="s">
        <v>506</v>
      </c>
      <c r="I9" s="237" t="s">
        <v>510</v>
      </c>
      <c r="J9" s="237" t="s">
        <v>511</v>
      </c>
      <c r="K9" s="237" t="s">
        <v>93</v>
      </c>
      <c r="L9" s="237" t="s">
        <v>93</v>
      </c>
      <c r="M9" s="237" t="s">
        <v>93</v>
      </c>
      <c r="N9" s="237" t="s">
        <v>90</v>
      </c>
      <c r="O9" s="237" t="s">
        <v>486</v>
      </c>
      <c r="P9" s="237" t="s">
        <v>487</v>
      </c>
      <c r="Q9" s="238">
        <v>10077718</v>
      </c>
      <c r="R9" s="239">
        <v>43361</v>
      </c>
      <c r="S9" s="239">
        <v>43363</v>
      </c>
      <c r="T9" s="239">
        <v>43388</v>
      </c>
      <c r="U9" s="237" t="s">
        <v>499</v>
      </c>
      <c r="V9" s="237" t="s">
        <v>489</v>
      </c>
      <c r="W9" s="237">
        <v>2</v>
      </c>
      <c r="X9" s="237">
        <v>2</v>
      </c>
      <c r="Y9" s="237">
        <v>2</v>
      </c>
      <c r="Z9" s="237">
        <v>2</v>
      </c>
      <c r="AA9" s="237">
        <v>2</v>
      </c>
      <c r="AB9" s="237" t="s">
        <v>486</v>
      </c>
      <c r="AC9" s="237" t="s">
        <v>486</v>
      </c>
      <c r="AD9" s="237" t="s">
        <v>219</v>
      </c>
      <c r="AE9" s="237" t="s">
        <v>512</v>
      </c>
      <c r="AF9" s="237" t="s">
        <v>486</v>
      </c>
      <c r="AG9" s="237" t="s">
        <v>486</v>
      </c>
      <c r="AH9" s="237" t="s">
        <v>490</v>
      </c>
      <c r="AI9" s="237" t="s">
        <v>486</v>
      </c>
      <c r="AJ9" s="237" t="s">
        <v>486</v>
      </c>
      <c r="AK9" s="237" t="s">
        <v>486</v>
      </c>
      <c r="AL9" s="237" t="s">
        <v>490</v>
      </c>
      <c r="AM9" s="237" t="s">
        <v>491</v>
      </c>
      <c r="AN9" s="237" t="s">
        <v>231</v>
      </c>
      <c r="AO9" s="237" t="s">
        <v>231</v>
      </c>
      <c r="AP9" s="237" t="s">
        <v>231</v>
      </c>
      <c r="AQ9" s="237" t="s">
        <v>231</v>
      </c>
      <c r="AR9" s="237" t="s">
        <v>231</v>
      </c>
      <c r="AS9" s="237" t="s">
        <v>231</v>
      </c>
      <c r="AT9" s="237" t="s">
        <v>231</v>
      </c>
      <c r="AU9" s="237" t="s">
        <v>231</v>
      </c>
      <c r="AV9" s="237" t="s">
        <v>231</v>
      </c>
      <c r="AW9" s="237" t="s">
        <v>231</v>
      </c>
      <c r="AX9" s="237" t="s">
        <v>231</v>
      </c>
      <c r="AY9" s="237" t="s">
        <v>231</v>
      </c>
      <c r="AZ9" s="237" t="s">
        <v>231</v>
      </c>
      <c r="BA9" s="237" t="s">
        <v>231</v>
      </c>
      <c r="BB9" s="237" t="s">
        <v>231</v>
      </c>
      <c r="BC9" s="237" t="s">
        <v>231</v>
      </c>
      <c r="BD9" s="237" t="s">
        <v>492</v>
      </c>
      <c r="BE9" s="237" t="s">
        <v>231</v>
      </c>
      <c r="BF9" s="237" t="s">
        <v>231</v>
      </c>
      <c r="BG9" s="237" t="s">
        <v>231</v>
      </c>
      <c r="BH9" s="237" t="s">
        <v>231</v>
      </c>
      <c r="BI9" s="237" t="s">
        <v>231</v>
      </c>
      <c r="BJ9" s="237" t="s">
        <v>231</v>
      </c>
      <c r="BK9" s="237" t="s">
        <v>231</v>
      </c>
      <c r="BL9" s="237" t="s">
        <v>492</v>
      </c>
      <c r="BM9" s="237" t="s">
        <v>231</v>
      </c>
      <c r="BN9" s="237" t="s">
        <v>231</v>
      </c>
      <c r="BO9" s="237" t="s">
        <v>231</v>
      </c>
      <c r="BP9" s="237" t="s">
        <v>231</v>
      </c>
      <c r="BQ9" s="237" t="s">
        <v>231</v>
      </c>
      <c r="BR9" s="237" t="s">
        <v>231</v>
      </c>
      <c r="BS9" s="237" t="s">
        <v>231</v>
      </c>
      <c r="BT9" s="237" t="s">
        <v>231</v>
      </c>
      <c r="BU9" s="237" t="s">
        <v>231</v>
      </c>
      <c r="BV9" s="237" t="s">
        <v>231</v>
      </c>
      <c r="BW9" s="237" t="s">
        <v>231</v>
      </c>
      <c r="BX9" s="237" t="s">
        <v>231</v>
      </c>
      <c r="BY9" s="237" t="s">
        <v>231</v>
      </c>
      <c r="BZ9" s="237" t="s">
        <v>231</v>
      </c>
      <c r="CA9" s="237" t="s">
        <v>231</v>
      </c>
      <c r="CB9" s="237" t="s">
        <v>231</v>
      </c>
      <c r="CC9" s="237" t="s">
        <v>231</v>
      </c>
      <c r="CD9" s="237" t="s">
        <v>231</v>
      </c>
      <c r="CE9" s="237" t="s">
        <v>231</v>
      </c>
      <c r="CF9" s="237" t="s">
        <v>231</v>
      </c>
      <c r="CG9" s="237" t="s">
        <v>231</v>
      </c>
      <c r="CH9" s="237" t="s">
        <v>231</v>
      </c>
      <c r="CI9" s="237" t="s">
        <v>231</v>
      </c>
      <c r="CJ9" s="237" t="s">
        <v>231</v>
      </c>
      <c r="CK9" s="237" t="s">
        <v>231</v>
      </c>
      <c r="CL9" s="237" t="s">
        <v>231</v>
      </c>
      <c r="CM9" s="237" t="s">
        <v>231</v>
      </c>
      <c r="CN9" s="237" t="s">
        <v>231</v>
      </c>
      <c r="CO9" s="237" t="s">
        <v>231</v>
      </c>
      <c r="CP9" s="237" t="s">
        <v>231</v>
      </c>
      <c r="CQ9" s="237" t="s">
        <v>231</v>
      </c>
      <c r="CR9" s="237" t="s">
        <v>231</v>
      </c>
      <c r="CS9" s="237" t="s">
        <v>231</v>
      </c>
      <c r="CT9" s="237" t="s">
        <v>231</v>
      </c>
      <c r="CU9" s="237" t="s">
        <v>492</v>
      </c>
      <c r="CV9" s="237" t="s">
        <v>492</v>
      </c>
      <c r="CW9" s="237" t="s">
        <v>231</v>
      </c>
      <c r="CX9" s="237" t="s">
        <v>231</v>
      </c>
      <c r="CY9" s="237" t="s">
        <v>231</v>
      </c>
      <c r="CZ9" s="237" t="s">
        <v>231</v>
      </c>
      <c r="DA9" s="237" t="s">
        <v>231</v>
      </c>
      <c r="DB9" s="237" t="s">
        <v>231</v>
      </c>
      <c r="DC9" s="237" t="s">
        <v>231</v>
      </c>
      <c r="DD9" s="237" t="s">
        <v>231</v>
      </c>
      <c r="DE9" s="237" t="s">
        <v>231</v>
      </c>
      <c r="DF9" s="237" t="s">
        <v>231</v>
      </c>
      <c r="DG9" s="237" t="s">
        <v>231</v>
      </c>
      <c r="DH9" s="237" t="s">
        <v>231</v>
      </c>
      <c r="DI9" s="237" t="s">
        <v>231</v>
      </c>
      <c r="DJ9" s="237" t="s">
        <v>231</v>
      </c>
      <c r="DK9" s="237" t="s">
        <v>231</v>
      </c>
      <c r="DL9" s="237" t="s">
        <v>231</v>
      </c>
      <c r="DM9" s="237" t="s">
        <v>231</v>
      </c>
      <c r="DN9" s="237" t="s">
        <v>231</v>
      </c>
      <c r="DO9" s="237" t="s">
        <v>231</v>
      </c>
      <c r="DP9" s="237" t="s">
        <v>231</v>
      </c>
      <c r="DQ9" s="237" t="s">
        <v>231</v>
      </c>
      <c r="DR9" s="237" t="s">
        <v>231</v>
      </c>
      <c r="DS9" s="237" t="s">
        <v>231</v>
      </c>
      <c r="DT9" s="237" t="s">
        <v>492</v>
      </c>
      <c r="DU9" s="237" t="s">
        <v>231</v>
      </c>
      <c r="DV9" s="237" t="s">
        <v>492</v>
      </c>
      <c r="DW9" s="237" t="s">
        <v>492</v>
      </c>
      <c r="DX9" s="237" t="s">
        <v>492</v>
      </c>
      <c r="DY9" s="237" t="s">
        <v>492</v>
      </c>
      <c r="DZ9" s="237" t="s">
        <v>492</v>
      </c>
      <c r="EA9" s="237" t="s">
        <v>492</v>
      </c>
      <c r="EB9" s="237" t="s">
        <v>492</v>
      </c>
      <c r="EC9" s="237" t="s">
        <v>492</v>
      </c>
      <c r="ED9" s="237" t="s">
        <v>492</v>
      </c>
      <c r="EE9" s="237" t="s">
        <v>492</v>
      </c>
      <c r="EF9" s="237" t="s">
        <v>492</v>
      </c>
      <c r="EG9" s="237" t="s">
        <v>492</v>
      </c>
      <c r="EH9" s="237" t="s">
        <v>492</v>
      </c>
      <c r="EI9" s="237" t="s">
        <v>492</v>
      </c>
      <c r="EJ9" s="237" t="s">
        <v>231</v>
      </c>
      <c r="EK9" s="237" t="s">
        <v>231</v>
      </c>
      <c r="EL9" s="237" t="s">
        <v>231</v>
      </c>
      <c r="EM9" s="237" t="s">
        <v>231</v>
      </c>
      <c r="EN9" s="237" t="s">
        <v>231</v>
      </c>
      <c r="EO9" s="237" t="s">
        <v>231</v>
      </c>
      <c r="EP9" s="237" t="s">
        <v>231</v>
      </c>
      <c r="EQ9" s="237" t="s">
        <v>492</v>
      </c>
      <c r="ER9" s="237" t="s">
        <v>492</v>
      </c>
      <c r="ES9" s="237" t="s">
        <v>231</v>
      </c>
      <c r="ET9" s="237" t="s">
        <v>231</v>
      </c>
      <c r="EU9" s="237" t="s">
        <v>231</v>
      </c>
      <c r="EV9" s="237" t="s">
        <v>231</v>
      </c>
      <c r="EW9" s="237" t="s">
        <v>231</v>
      </c>
      <c r="EX9" s="237" t="s">
        <v>231</v>
      </c>
      <c r="EY9" s="237" t="s">
        <v>231</v>
      </c>
      <c r="EZ9" s="237" t="s">
        <v>231</v>
      </c>
      <c r="FA9" s="237" t="s">
        <v>231</v>
      </c>
      <c r="FB9" s="237" t="s">
        <v>231</v>
      </c>
      <c r="FC9" s="237" t="s">
        <v>231</v>
      </c>
      <c r="FD9" s="237" t="s">
        <v>231</v>
      </c>
      <c r="FE9" s="237" t="s">
        <v>231</v>
      </c>
      <c r="FF9" s="237" t="s">
        <v>492</v>
      </c>
      <c r="FG9" s="237" t="s">
        <v>492</v>
      </c>
      <c r="FH9" s="237" t="s">
        <v>492</v>
      </c>
      <c r="FI9" s="237" t="s">
        <v>492</v>
      </c>
      <c r="FJ9" s="237" t="s">
        <v>492</v>
      </c>
      <c r="FK9" s="237" t="s">
        <v>492</v>
      </c>
      <c r="FL9" s="237" t="s">
        <v>492</v>
      </c>
      <c r="FM9" s="237" t="s">
        <v>231</v>
      </c>
      <c r="FN9" s="237" t="s">
        <v>492</v>
      </c>
      <c r="FO9" s="237" t="s">
        <v>493</v>
      </c>
      <c r="FP9" s="237" t="s">
        <v>492</v>
      </c>
      <c r="FQ9" s="237" t="s">
        <v>231</v>
      </c>
      <c r="FR9" s="237" t="s">
        <v>231</v>
      </c>
      <c r="FS9" s="237" t="s">
        <v>231</v>
      </c>
      <c r="FT9" s="237" t="s">
        <v>231</v>
      </c>
      <c r="FU9" s="237" t="s">
        <v>231</v>
      </c>
      <c r="FV9" s="237" t="s">
        <v>231</v>
      </c>
      <c r="FW9" s="237" t="s">
        <v>231</v>
      </c>
      <c r="FX9" s="237" t="s">
        <v>492</v>
      </c>
      <c r="FY9" s="237" t="s">
        <v>492</v>
      </c>
      <c r="FZ9" s="237" t="s">
        <v>231</v>
      </c>
      <c r="GA9" s="237" t="s">
        <v>231</v>
      </c>
      <c r="GB9" s="237" t="s">
        <v>231</v>
      </c>
      <c r="GC9" s="237" t="s">
        <v>231</v>
      </c>
      <c r="GD9" s="237" t="s">
        <v>231</v>
      </c>
      <c r="GE9" s="237" t="s">
        <v>231</v>
      </c>
      <c r="GF9" s="237" t="s">
        <v>231</v>
      </c>
      <c r="GG9" s="237" t="s">
        <v>231</v>
      </c>
      <c r="GH9" s="237" t="s">
        <v>231</v>
      </c>
      <c r="GI9" s="237" t="s">
        <v>231</v>
      </c>
      <c r="GJ9" s="237" t="s">
        <v>231</v>
      </c>
      <c r="GK9" s="237" t="s">
        <v>231</v>
      </c>
      <c r="GL9" s="237" t="s">
        <v>231</v>
      </c>
      <c r="GM9" s="237" t="s">
        <v>231</v>
      </c>
      <c r="GN9" s="237" t="s">
        <v>231</v>
      </c>
      <c r="GO9" s="237" t="s">
        <v>231</v>
      </c>
      <c r="GP9" s="237" t="s">
        <v>492</v>
      </c>
      <c r="GQ9" s="237" t="s">
        <v>231</v>
      </c>
      <c r="GR9" s="237" t="s">
        <v>231</v>
      </c>
      <c r="GS9" s="237" t="s">
        <v>231</v>
      </c>
      <c r="GT9" s="237" t="s">
        <v>231</v>
      </c>
      <c r="GU9" s="237" t="s">
        <v>492</v>
      </c>
      <c r="GV9" s="237" t="s">
        <v>492</v>
      </c>
      <c r="GW9" s="237" t="s">
        <v>231</v>
      </c>
      <c r="GX9" s="237" t="s">
        <v>231</v>
      </c>
      <c r="GY9" s="237" t="s">
        <v>231</v>
      </c>
      <c r="GZ9" s="237" t="s">
        <v>231</v>
      </c>
      <c r="HA9" s="237" t="s">
        <v>231</v>
      </c>
      <c r="HB9" s="237" t="s">
        <v>231</v>
      </c>
      <c r="HC9" s="237" t="s">
        <v>231</v>
      </c>
      <c r="HD9" s="237" t="s">
        <v>231</v>
      </c>
      <c r="HE9" s="237" t="s">
        <v>231</v>
      </c>
      <c r="HF9" s="237" t="s">
        <v>492</v>
      </c>
      <c r="HG9" s="237" t="s">
        <v>231</v>
      </c>
      <c r="HH9" s="237" t="s">
        <v>231</v>
      </c>
      <c r="HI9" s="237" t="s">
        <v>231</v>
      </c>
      <c r="HJ9" s="237" t="s">
        <v>231</v>
      </c>
      <c r="HK9" s="237" t="s">
        <v>231</v>
      </c>
      <c r="HL9" s="237" t="s">
        <v>231</v>
      </c>
      <c r="HM9" s="237" t="s">
        <v>231</v>
      </c>
      <c r="HN9" s="237" t="s">
        <v>231</v>
      </c>
      <c r="HO9" s="237" t="s">
        <v>231</v>
      </c>
      <c r="HP9" s="237" t="s">
        <v>492</v>
      </c>
      <c r="HQ9" s="237" t="s">
        <v>492</v>
      </c>
      <c r="HR9" s="237" t="s">
        <v>492</v>
      </c>
      <c r="HS9" s="237" t="s">
        <v>492</v>
      </c>
      <c r="HT9" s="237" t="s">
        <v>492</v>
      </c>
      <c r="HU9" s="237" t="s">
        <v>231</v>
      </c>
      <c r="HV9" s="237" t="s">
        <v>231</v>
      </c>
      <c r="HW9" s="237" t="s">
        <v>231</v>
      </c>
      <c r="HX9" s="237" t="s">
        <v>231</v>
      </c>
      <c r="HY9" s="237" t="s">
        <v>231</v>
      </c>
      <c r="HZ9" s="237" t="s">
        <v>231</v>
      </c>
      <c r="IA9" s="237" t="s">
        <v>231</v>
      </c>
      <c r="IB9" s="237" t="s">
        <v>231</v>
      </c>
      <c r="IC9" s="237" t="s">
        <v>231</v>
      </c>
      <c r="ID9" s="237" t="s">
        <v>231</v>
      </c>
      <c r="IE9" s="237" t="s">
        <v>231</v>
      </c>
      <c r="IF9" s="237" t="s">
        <v>231</v>
      </c>
      <c r="IG9" s="237" t="s">
        <v>231</v>
      </c>
      <c r="IH9" s="237" t="s">
        <v>231</v>
      </c>
      <c r="II9" s="237" t="s">
        <v>231</v>
      </c>
      <c r="IJ9" s="237" t="s">
        <v>231</v>
      </c>
      <c r="IK9" s="237" t="s">
        <v>231</v>
      </c>
      <c r="IL9" s="237" t="s">
        <v>231</v>
      </c>
      <c r="IM9" s="237" t="s">
        <v>231</v>
      </c>
      <c r="IN9" s="237" t="s">
        <v>231</v>
      </c>
      <c r="IO9" s="237" t="s">
        <v>220</v>
      </c>
      <c r="IP9" s="237" t="s">
        <v>493</v>
      </c>
      <c r="IQ9" s="237" t="s">
        <v>219</v>
      </c>
      <c r="IR9" s="237" t="s">
        <v>490</v>
      </c>
      <c r="IS9" s="237" t="s">
        <v>492</v>
      </c>
      <c r="IT9" s="237" t="s">
        <v>492</v>
      </c>
    </row>
    <row r="10" spans="1:254" ht="14.45" customHeight="1" x14ac:dyDescent="0.25">
      <c r="A10" s="259" t="str">
        <f>HYPERLINK("http://www.ofsted.gov.uk/inspection-reports/find-inspection-report/provider/ELS/101573 ","Ofsted School Webpage")</f>
        <v>Ofsted School Webpage</v>
      </c>
      <c r="B10" s="240">
        <v>101573</v>
      </c>
      <c r="C10" s="240">
        <v>3076007</v>
      </c>
      <c r="D10" s="240" t="s">
        <v>513</v>
      </c>
      <c r="E10" s="240" t="s">
        <v>247</v>
      </c>
      <c r="F10" s="240" t="s">
        <v>482</v>
      </c>
      <c r="G10" s="240" t="s">
        <v>506</v>
      </c>
      <c r="H10" s="240" t="s">
        <v>506</v>
      </c>
      <c r="I10" s="240" t="s">
        <v>507</v>
      </c>
      <c r="J10" s="240" t="s">
        <v>514</v>
      </c>
      <c r="K10" s="240" t="s">
        <v>93</v>
      </c>
      <c r="L10" s="240" t="s">
        <v>93</v>
      </c>
      <c r="M10" s="240" t="s">
        <v>93</v>
      </c>
      <c r="N10" s="240" t="s">
        <v>90</v>
      </c>
      <c r="O10" s="240" t="s">
        <v>486</v>
      </c>
      <c r="P10" s="240" t="s">
        <v>487</v>
      </c>
      <c r="Q10" s="241">
        <v>10054289</v>
      </c>
      <c r="R10" s="242">
        <v>43361</v>
      </c>
      <c r="S10" s="242">
        <v>43363</v>
      </c>
      <c r="T10" s="242">
        <v>43383</v>
      </c>
      <c r="U10" s="240" t="s">
        <v>488</v>
      </c>
      <c r="V10" s="240" t="s">
        <v>489</v>
      </c>
      <c r="W10" s="240">
        <v>2</v>
      </c>
      <c r="X10" s="240">
        <v>2</v>
      </c>
      <c r="Y10" s="240">
        <v>1</v>
      </c>
      <c r="Z10" s="240">
        <v>2</v>
      </c>
      <c r="AA10" s="240">
        <v>2</v>
      </c>
      <c r="AB10" s="240">
        <v>2</v>
      </c>
      <c r="AC10" s="240" t="s">
        <v>486</v>
      </c>
      <c r="AD10" s="240" t="s">
        <v>219</v>
      </c>
      <c r="AE10" s="240" t="s">
        <v>490</v>
      </c>
      <c r="AF10" s="240" t="s">
        <v>486</v>
      </c>
      <c r="AG10" s="240" t="s">
        <v>486</v>
      </c>
      <c r="AH10" s="240" t="s">
        <v>486</v>
      </c>
      <c r="AI10" s="240" t="s">
        <v>486</v>
      </c>
      <c r="AJ10" s="240" t="s">
        <v>486</v>
      </c>
      <c r="AK10" s="240" t="s">
        <v>486</v>
      </c>
      <c r="AL10" s="240" t="s">
        <v>486</v>
      </c>
      <c r="AM10" s="240" t="s">
        <v>491</v>
      </c>
      <c r="AN10" s="240" t="s">
        <v>231</v>
      </c>
      <c r="AO10" s="240" t="s">
        <v>231</v>
      </c>
      <c r="AP10" s="240" t="s">
        <v>231</v>
      </c>
      <c r="AQ10" s="240" t="s">
        <v>231</v>
      </c>
      <c r="AR10" s="240" t="s">
        <v>231</v>
      </c>
      <c r="AS10" s="240" t="s">
        <v>231</v>
      </c>
      <c r="AT10" s="240" t="s">
        <v>231</v>
      </c>
      <c r="AU10" s="240" t="s">
        <v>231</v>
      </c>
      <c r="AV10" s="240" t="s">
        <v>231</v>
      </c>
      <c r="AW10" s="240" t="s">
        <v>231</v>
      </c>
      <c r="AX10" s="240" t="s">
        <v>231</v>
      </c>
      <c r="AY10" s="240" t="s">
        <v>231</v>
      </c>
      <c r="AZ10" s="240" t="s">
        <v>231</v>
      </c>
      <c r="BA10" s="240" t="s">
        <v>231</v>
      </c>
      <c r="BB10" s="240" t="s">
        <v>231</v>
      </c>
      <c r="BC10" s="240" t="s">
        <v>231</v>
      </c>
      <c r="BD10" s="240" t="s">
        <v>231</v>
      </c>
      <c r="BE10" s="240" t="s">
        <v>231</v>
      </c>
      <c r="BF10" s="240" t="s">
        <v>231</v>
      </c>
      <c r="BG10" s="240" t="s">
        <v>231</v>
      </c>
      <c r="BH10" s="240" t="s">
        <v>492</v>
      </c>
      <c r="BI10" s="240" t="s">
        <v>492</v>
      </c>
      <c r="BJ10" s="240" t="s">
        <v>492</v>
      </c>
      <c r="BK10" s="240" t="s">
        <v>492</v>
      </c>
      <c r="BL10" s="240" t="s">
        <v>231</v>
      </c>
      <c r="BM10" s="240" t="s">
        <v>492</v>
      </c>
      <c r="BN10" s="240" t="s">
        <v>231</v>
      </c>
      <c r="BO10" s="240" t="s">
        <v>231</v>
      </c>
      <c r="BP10" s="240" t="s">
        <v>231</v>
      </c>
      <c r="BQ10" s="240" t="s">
        <v>231</v>
      </c>
      <c r="BR10" s="240" t="s">
        <v>231</v>
      </c>
      <c r="BS10" s="240" t="s">
        <v>231</v>
      </c>
      <c r="BT10" s="240" t="s">
        <v>231</v>
      </c>
      <c r="BU10" s="240" t="s">
        <v>231</v>
      </c>
      <c r="BV10" s="240" t="s">
        <v>231</v>
      </c>
      <c r="BW10" s="240" t="s">
        <v>231</v>
      </c>
      <c r="BX10" s="240" t="s">
        <v>231</v>
      </c>
      <c r="BY10" s="240" t="s">
        <v>231</v>
      </c>
      <c r="BZ10" s="240" t="s">
        <v>231</v>
      </c>
      <c r="CA10" s="240" t="s">
        <v>231</v>
      </c>
      <c r="CB10" s="240" t="s">
        <v>231</v>
      </c>
      <c r="CC10" s="240" t="s">
        <v>231</v>
      </c>
      <c r="CD10" s="240" t="s">
        <v>231</v>
      </c>
      <c r="CE10" s="240" t="s">
        <v>231</v>
      </c>
      <c r="CF10" s="240" t="s">
        <v>231</v>
      </c>
      <c r="CG10" s="240" t="s">
        <v>231</v>
      </c>
      <c r="CH10" s="240" t="s">
        <v>231</v>
      </c>
      <c r="CI10" s="240" t="s">
        <v>231</v>
      </c>
      <c r="CJ10" s="240" t="s">
        <v>231</v>
      </c>
      <c r="CK10" s="240" t="s">
        <v>231</v>
      </c>
      <c r="CL10" s="240" t="s">
        <v>231</v>
      </c>
      <c r="CM10" s="240" t="s">
        <v>231</v>
      </c>
      <c r="CN10" s="240" t="s">
        <v>231</v>
      </c>
      <c r="CO10" s="240" t="s">
        <v>231</v>
      </c>
      <c r="CP10" s="240" t="s">
        <v>231</v>
      </c>
      <c r="CQ10" s="240" t="s">
        <v>231</v>
      </c>
      <c r="CR10" s="240" t="s">
        <v>231</v>
      </c>
      <c r="CS10" s="240" t="s">
        <v>231</v>
      </c>
      <c r="CT10" s="240" t="s">
        <v>492</v>
      </c>
      <c r="CU10" s="240" t="s">
        <v>492</v>
      </c>
      <c r="CV10" s="240" t="s">
        <v>492</v>
      </c>
      <c r="CW10" s="240" t="s">
        <v>231</v>
      </c>
      <c r="CX10" s="240" t="s">
        <v>231</v>
      </c>
      <c r="CY10" s="240" t="s">
        <v>231</v>
      </c>
      <c r="CZ10" s="240" t="s">
        <v>231</v>
      </c>
      <c r="DA10" s="240" t="s">
        <v>231</v>
      </c>
      <c r="DB10" s="240" t="s">
        <v>231</v>
      </c>
      <c r="DC10" s="240" t="s">
        <v>231</v>
      </c>
      <c r="DD10" s="240" t="s">
        <v>231</v>
      </c>
      <c r="DE10" s="240" t="s">
        <v>231</v>
      </c>
      <c r="DF10" s="240" t="s">
        <v>231</v>
      </c>
      <c r="DG10" s="240" t="s">
        <v>231</v>
      </c>
      <c r="DH10" s="240" t="s">
        <v>231</v>
      </c>
      <c r="DI10" s="240" t="s">
        <v>231</v>
      </c>
      <c r="DJ10" s="240" t="s">
        <v>231</v>
      </c>
      <c r="DK10" s="240" t="s">
        <v>231</v>
      </c>
      <c r="DL10" s="240" t="s">
        <v>231</v>
      </c>
      <c r="DM10" s="240" t="s">
        <v>231</v>
      </c>
      <c r="DN10" s="240" t="s">
        <v>231</v>
      </c>
      <c r="DO10" s="240" t="s">
        <v>231</v>
      </c>
      <c r="DP10" s="240" t="s">
        <v>231</v>
      </c>
      <c r="DQ10" s="240" t="s">
        <v>231</v>
      </c>
      <c r="DR10" s="240" t="s">
        <v>231</v>
      </c>
      <c r="DS10" s="240" t="s">
        <v>231</v>
      </c>
      <c r="DT10" s="240" t="s">
        <v>231</v>
      </c>
      <c r="DU10" s="240" t="s">
        <v>231</v>
      </c>
      <c r="DV10" s="240" t="s">
        <v>492</v>
      </c>
      <c r="DW10" s="240" t="s">
        <v>492</v>
      </c>
      <c r="DX10" s="240" t="s">
        <v>492</v>
      </c>
      <c r="DY10" s="240" t="s">
        <v>492</v>
      </c>
      <c r="DZ10" s="240" t="s">
        <v>492</v>
      </c>
      <c r="EA10" s="240" t="s">
        <v>492</v>
      </c>
      <c r="EB10" s="240" t="s">
        <v>492</v>
      </c>
      <c r="EC10" s="240" t="s">
        <v>492</v>
      </c>
      <c r="ED10" s="240" t="s">
        <v>492</v>
      </c>
      <c r="EE10" s="240" t="s">
        <v>492</v>
      </c>
      <c r="EF10" s="240" t="s">
        <v>492</v>
      </c>
      <c r="EG10" s="240" t="s">
        <v>492</v>
      </c>
      <c r="EH10" s="240" t="s">
        <v>492</v>
      </c>
      <c r="EI10" s="240" t="s">
        <v>492</v>
      </c>
      <c r="EJ10" s="240" t="s">
        <v>231</v>
      </c>
      <c r="EK10" s="240" t="s">
        <v>231</v>
      </c>
      <c r="EL10" s="240" t="s">
        <v>231</v>
      </c>
      <c r="EM10" s="240" t="s">
        <v>231</v>
      </c>
      <c r="EN10" s="240" t="s">
        <v>231</v>
      </c>
      <c r="EO10" s="240" t="s">
        <v>231</v>
      </c>
      <c r="EP10" s="240" t="s">
        <v>231</v>
      </c>
      <c r="EQ10" s="240" t="s">
        <v>231</v>
      </c>
      <c r="ER10" s="240" t="s">
        <v>231</v>
      </c>
      <c r="ES10" s="240" t="s">
        <v>231</v>
      </c>
      <c r="ET10" s="240" t="s">
        <v>231</v>
      </c>
      <c r="EU10" s="240" t="s">
        <v>231</v>
      </c>
      <c r="EV10" s="240" t="s">
        <v>231</v>
      </c>
      <c r="EW10" s="240" t="s">
        <v>231</v>
      </c>
      <c r="EX10" s="240" t="s">
        <v>231</v>
      </c>
      <c r="EY10" s="240" t="s">
        <v>231</v>
      </c>
      <c r="EZ10" s="240" t="s">
        <v>231</v>
      </c>
      <c r="FA10" s="240" t="s">
        <v>231</v>
      </c>
      <c r="FB10" s="240" t="s">
        <v>231</v>
      </c>
      <c r="FC10" s="240" t="s">
        <v>231</v>
      </c>
      <c r="FD10" s="240" t="s">
        <v>231</v>
      </c>
      <c r="FE10" s="240" t="s">
        <v>231</v>
      </c>
      <c r="FF10" s="240" t="s">
        <v>231</v>
      </c>
      <c r="FG10" s="240" t="s">
        <v>492</v>
      </c>
      <c r="FH10" s="240" t="s">
        <v>492</v>
      </c>
      <c r="FI10" s="240" t="s">
        <v>492</v>
      </c>
      <c r="FJ10" s="240" t="s">
        <v>492</v>
      </c>
      <c r="FK10" s="240" t="s">
        <v>492</v>
      </c>
      <c r="FL10" s="240" t="s">
        <v>492</v>
      </c>
      <c r="FM10" s="240" t="s">
        <v>231</v>
      </c>
      <c r="FN10" s="240" t="s">
        <v>231</v>
      </c>
      <c r="FO10" s="240" t="s">
        <v>231</v>
      </c>
      <c r="FP10" s="240" t="s">
        <v>231</v>
      </c>
      <c r="FQ10" s="240" t="s">
        <v>231</v>
      </c>
      <c r="FR10" s="240" t="s">
        <v>231</v>
      </c>
      <c r="FS10" s="240" t="s">
        <v>231</v>
      </c>
      <c r="FT10" s="240" t="s">
        <v>492</v>
      </c>
      <c r="FU10" s="240" t="s">
        <v>231</v>
      </c>
      <c r="FV10" s="240" t="s">
        <v>231</v>
      </c>
      <c r="FW10" s="240" t="s">
        <v>231</v>
      </c>
      <c r="FX10" s="240" t="s">
        <v>492</v>
      </c>
      <c r="FY10" s="240" t="s">
        <v>231</v>
      </c>
      <c r="FZ10" s="240" t="s">
        <v>231</v>
      </c>
      <c r="GA10" s="240" t="s">
        <v>231</v>
      </c>
      <c r="GB10" s="240" t="s">
        <v>231</v>
      </c>
      <c r="GC10" s="240" t="s">
        <v>231</v>
      </c>
      <c r="GD10" s="240" t="s">
        <v>231</v>
      </c>
      <c r="GE10" s="240" t="s">
        <v>231</v>
      </c>
      <c r="GF10" s="240" t="s">
        <v>231</v>
      </c>
      <c r="GG10" s="240" t="s">
        <v>231</v>
      </c>
      <c r="GH10" s="240" t="s">
        <v>231</v>
      </c>
      <c r="GI10" s="240" t="s">
        <v>231</v>
      </c>
      <c r="GJ10" s="240" t="s">
        <v>231</v>
      </c>
      <c r="GK10" s="240" t="s">
        <v>231</v>
      </c>
      <c r="GL10" s="240" t="s">
        <v>231</v>
      </c>
      <c r="GM10" s="240" t="s">
        <v>231</v>
      </c>
      <c r="GN10" s="240" t="s">
        <v>231</v>
      </c>
      <c r="GO10" s="240" t="s">
        <v>231</v>
      </c>
      <c r="GP10" s="240" t="s">
        <v>492</v>
      </c>
      <c r="GQ10" s="240" t="s">
        <v>231</v>
      </c>
      <c r="GR10" s="240" t="s">
        <v>231</v>
      </c>
      <c r="GS10" s="240" t="s">
        <v>231</v>
      </c>
      <c r="GT10" s="240" t="s">
        <v>231</v>
      </c>
      <c r="GU10" s="240" t="s">
        <v>231</v>
      </c>
      <c r="GV10" s="240" t="s">
        <v>492</v>
      </c>
      <c r="GW10" s="240" t="s">
        <v>231</v>
      </c>
      <c r="GX10" s="240" t="s">
        <v>231</v>
      </c>
      <c r="GY10" s="240" t="s">
        <v>231</v>
      </c>
      <c r="GZ10" s="240" t="s">
        <v>231</v>
      </c>
      <c r="HA10" s="240" t="s">
        <v>231</v>
      </c>
      <c r="HB10" s="240" t="s">
        <v>231</v>
      </c>
      <c r="HC10" s="240" t="s">
        <v>231</v>
      </c>
      <c r="HD10" s="240" t="s">
        <v>231</v>
      </c>
      <c r="HE10" s="240" t="s">
        <v>492</v>
      </c>
      <c r="HF10" s="240" t="s">
        <v>231</v>
      </c>
      <c r="HG10" s="240" t="s">
        <v>231</v>
      </c>
      <c r="HH10" s="240" t="s">
        <v>231</v>
      </c>
      <c r="HI10" s="240" t="s">
        <v>231</v>
      </c>
      <c r="HJ10" s="240" t="s">
        <v>231</v>
      </c>
      <c r="HK10" s="240" t="s">
        <v>231</v>
      </c>
      <c r="HL10" s="240" t="s">
        <v>231</v>
      </c>
      <c r="HM10" s="240" t="s">
        <v>231</v>
      </c>
      <c r="HN10" s="240" t="s">
        <v>231</v>
      </c>
      <c r="HO10" s="240" t="s">
        <v>231</v>
      </c>
      <c r="HP10" s="240" t="s">
        <v>231</v>
      </c>
      <c r="HQ10" s="240" t="s">
        <v>231</v>
      </c>
      <c r="HR10" s="240" t="s">
        <v>492</v>
      </c>
      <c r="HS10" s="240" t="s">
        <v>492</v>
      </c>
      <c r="HT10" s="240" t="s">
        <v>492</v>
      </c>
      <c r="HU10" s="240" t="s">
        <v>231</v>
      </c>
      <c r="HV10" s="240" t="s">
        <v>231</v>
      </c>
      <c r="HW10" s="240" t="s">
        <v>231</v>
      </c>
      <c r="HX10" s="240" t="s">
        <v>231</v>
      </c>
      <c r="HY10" s="240" t="s">
        <v>231</v>
      </c>
      <c r="HZ10" s="240" t="s">
        <v>231</v>
      </c>
      <c r="IA10" s="240" t="s">
        <v>231</v>
      </c>
      <c r="IB10" s="240" t="s">
        <v>231</v>
      </c>
      <c r="IC10" s="240" t="s">
        <v>231</v>
      </c>
      <c r="ID10" s="240" t="s">
        <v>231</v>
      </c>
      <c r="IE10" s="240" t="s">
        <v>231</v>
      </c>
      <c r="IF10" s="240" t="s">
        <v>231</v>
      </c>
      <c r="IG10" s="240" t="s">
        <v>231</v>
      </c>
      <c r="IH10" s="240" t="s">
        <v>231</v>
      </c>
      <c r="II10" s="240" t="s">
        <v>231</v>
      </c>
      <c r="IJ10" s="240" t="s">
        <v>231</v>
      </c>
      <c r="IK10" s="240" t="s">
        <v>231</v>
      </c>
      <c r="IL10" s="240" t="s">
        <v>231</v>
      </c>
      <c r="IM10" s="240" t="s">
        <v>231</v>
      </c>
      <c r="IN10" s="240" t="s">
        <v>231</v>
      </c>
      <c r="IO10" s="240" t="s">
        <v>220</v>
      </c>
      <c r="IP10" s="240" t="s">
        <v>493</v>
      </c>
      <c r="IQ10" s="240" t="s">
        <v>219</v>
      </c>
      <c r="IR10" s="240" t="s">
        <v>490</v>
      </c>
      <c r="IS10" s="240" t="s">
        <v>231</v>
      </c>
      <c r="IT10" s="240" t="s">
        <v>231</v>
      </c>
    </row>
    <row r="11" spans="1:254" ht="14.45" customHeight="1" x14ac:dyDescent="0.25">
      <c r="A11" s="258" t="str">
        <f>HYPERLINK("http://www.ofsted.gov.uk/inspection-reports/find-inspection-report/provider/ELS/135699 ","Ofsted School Webpage")</f>
        <v>Ofsted School Webpage</v>
      </c>
      <c r="B11" s="237">
        <v>135699</v>
      </c>
      <c r="C11" s="237">
        <v>8216205</v>
      </c>
      <c r="D11" s="237" t="s">
        <v>515</v>
      </c>
      <c r="E11" s="237" t="s">
        <v>247</v>
      </c>
      <c r="F11" s="237" t="s">
        <v>482</v>
      </c>
      <c r="G11" s="237" t="s">
        <v>516</v>
      </c>
      <c r="H11" s="237" t="s">
        <v>516</v>
      </c>
      <c r="I11" s="237" t="s">
        <v>517</v>
      </c>
      <c r="J11" s="237" t="s">
        <v>518</v>
      </c>
      <c r="K11" s="237" t="s">
        <v>93</v>
      </c>
      <c r="L11" s="237" t="s">
        <v>71</v>
      </c>
      <c r="M11" s="237" t="s">
        <v>71</v>
      </c>
      <c r="N11" s="237" t="s">
        <v>71</v>
      </c>
      <c r="O11" s="237" t="s">
        <v>486</v>
      </c>
      <c r="P11" s="237" t="s">
        <v>487</v>
      </c>
      <c r="Q11" s="238">
        <v>10054009</v>
      </c>
      <c r="R11" s="239">
        <v>43361</v>
      </c>
      <c r="S11" s="239">
        <v>43363</v>
      </c>
      <c r="T11" s="239">
        <v>43408</v>
      </c>
      <c r="U11" s="237" t="s">
        <v>488</v>
      </c>
      <c r="V11" s="237" t="s">
        <v>489</v>
      </c>
      <c r="W11" s="237">
        <v>2</v>
      </c>
      <c r="X11" s="237">
        <v>2</v>
      </c>
      <c r="Y11" s="237">
        <v>2</v>
      </c>
      <c r="Z11" s="237">
        <v>2</v>
      </c>
      <c r="AA11" s="237">
        <v>2</v>
      </c>
      <c r="AB11" s="237">
        <v>2</v>
      </c>
      <c r="AC11" s="237" t="s">
        <v>486</v>
      </c>
      <c r="AD11" s="237" t="s">
        <v>219</v>
      </c>
      <c r="AE11" s="237" t="s">
        <v>490</v>
      </c>
      <c r="AF11" s="237" t="s">
        <v>486</v>
      </c>
      <c r="AG11" s="237" t="s">
        <v>486</v>
      </c>
      <c r="AH11" s="237" t="s">
        <v>486</v>
      </c>
      <c r="AI11" s="237" t="s">
        <v>486</v>
      </c>
      <c r="AJ11" s="237" t="s">
        <v>486</v>
      </c>
      <c r="AK11" s="237" t="s">
        <v>486</v>
      </c>
      <c r="AL11" s="237" t="s">
        <v>486</v>
      </c>
      <c r="AM11" s="237" t="s">
        <v>491</v>
      </c>
      <c r="AN11" s="237" t="s">
        <v>231</v>
      </c>
      <c r="AO11" s="237" t="s">
        <v>231</v>
      </c>
      <c r="AP11" s="237" t="s">
        <v>231</v>
      </c>
      <c r="AQ11" s="237" t="s">
        <v>231</v>
      </c>
      <c r="AR11" s="237" t="s">
        <v>231</v>
      </c>
      <c r="AS11" s="237" t="s">
        <v>231</v>
      </c>
      <c r="AT11" s="237" t="s">
        <v>231</v>
      </c>
      <c r="AU11" s="237" t="s">
        <v>231</v>
      </c>
      <c r="AV11" s="237" t="s">
        <v>231</v>
      </c>
      <c r="AW11" s="237" t="s">
        <v>231</v>
      </c>
      <c r="AX11" s="237" t="s">
        <v>231</v>
      </c>
      <c r="AY11" s="237" t="s">
        <v>231</v>
      </c>
      <c r="AZ11" s="237" t="s">
        <v>231</v>
      </c>
      <c r="BA11" s="237" t="s">
        <v>231</v>
      </c>
      <c r="BB11" s="237" t="s">
        <v>231</v>
      </c>
      <c r="BC11" s="237" t="s">
        <v>231</v>
      </c>
      <c r="BD11" s="237" t="s">
        <v>492</v>
      </c>
      <c r="BE11" s="237" t="s">
        <v>231</v>
      </c>
      <c r="BF11" s="237" t="s">
        <v>231</v>
      </c>
      <c r="BG11" s="237" t="s">
        <v>231</v>
      </c>
      <c r="BH11" s="237" t="s">
        <v>231</v>
      </c>
      <c r="BI11" s="237" t="s">
        <v>231</v>
      </c>
      <c r="BJ11" s="237" t="s">
        <v>231</v>
      </c>
      <c r="BK11" s="237" t="s">
        <v>231</v>
      </c>
      <c r="BL11" s="237" t="s">
        <v>492</v>
      </c>
      <c r="BM11" s="237" t="s">
        <v>492</v>
      </c>
      <c r="BN11" s="237" t="s">
        <v>231</v>
      </c>
      <c r="BO11" s="237" t="s">
        <v>231</v>
      </c>
      <c r="BP11" s="237" t="s">
        <v>231</v>
      </c>
      <c r="BQ11" s="237" t="s">
        <v>231</v>
      </c>
      <c r="BR11" s="237" t="s">
        <v>231</v>
      </c>
      <c r="BS11" s="237" t="s">
        <v>231</v>
      </c>
      <c r="BT11" s="237" t="s">
        <v>231</v>
      </c>
      <c r="BU11" s="237" t="s">
        <v>231</v>
      </c>
      <c r="BV11" s="237" t="s">
        <v>231</v>
      </c>
      <c r="BW11" s="237" t="s">
        <v>231</v>
      </c>
      <c r="BX11" s="237" t="s">
        <v>231</v>
      </c>
      <c r="BY11" s="237" t="s">
        <v>231</v>
      </c>
      <c r="BZ11" s="237" t="s">
        <v>231</v>
      </c>
      <c r="CA11" s="237" t="s">
        <v>231</v>
      </c>
      <c r="CB11" s="237" t="s">
        <v>231</v>
      </c>
      <c r="CC11" s="237" t="s">
        <v>231</v>
      </c>
      <c r="CD11" s="237" t="s">
        <v>231</v>
      </c>
      <c r="CE11" s="237" t="s">
        <v>231</v>
      </c>
      <c r="CF11" s="237" t="s">
        <v>231</v>
      </c>
      <c r="CG11" s="237" t="s">
        <v>231</v>
      </c>
      <c r="CH11" s="237" t="s">
        <v>231</v>
      </c>
      <c r="CI11" s="237" t="s">
        <v>231</v>
      </c>
      <c r="CJ11" s="237" t="s">
        <v>231</v>
      </c>
      <c r="CK11" s="237" t="s">
        <v>231</v>
      </c>
      <c r="CL11" s="237" t="s">
        <v>231</v>
      </c>
      <c r="CM11" s="237" t="s">
        <v>231</v>
      </c>
      <c r="CN11" s="237" t="s">
        <v>231</v>
      </c>
      <c r="CO11" s="237" t="s">
        <v>231</v>
      </c>
      <c r="CP11" s="237" t="s">
        <v>231</v>
      </c>
      <c r="CQ11" s="237" t="s">
        <v>231</v>
      </c>
      <c r="CR11" s="237" t="s">
        <v>231</v>
      </c>
      <c r="CS11" s="237" t="s">
        <v>231</v>
      </c>
      <c r="CT11" s="237" t="s">
        <v>492</v>
      </c>
      <c r="CU11" s="237" t="s">
        <v>492</v>
      </c>
      <c r="CV11" s="237" t="s">
        <v>492</v>
      </c>
      <c r="CW11" s="237" t="s">
        <v>231</v>
      </c>
      <c r="CX11" s="237" t="s">
        <v>231</v>
      </c>
      <c r="CY11" s="237" t="s">
        <v>231</v>
      </c>
      <c r="CZ11" s="237" t="s">
        <v>231</v>
      </c>
      <c r="DA11" s="237" t="s">
        <v>231</v>
      </c>
      <c r="DB11" s="237" t="s">
        <v>231</v>
      </c>
      <c r="DC11" s="237" t="s">
        <v>231</v>
      </c>
      <c r="DD11" s="237" t="s">
        <v>231</v>
      </c>
      <c r="DE11" s="237" t="s">
        <v>231</v>
      </c>
      <c r="DF11" s="237" t="s">
        <v>231</v>
      </c>
      <c r="DG11" s="237" t="s">
        <v>231</v>
      </c>
      <c r="DH11" s="237" t="s">
        <v>231</v>
      </c>
      <c r="DI11" s="237" t="s">
        <v>231</v>
      </c>
      <c r="DJ11" s="237" t="s">
        <v>231</v>
      </c>
      <c r="DK11" s="237" t="s">
        <v>231</v>
      </c>
      <c r="DL11" s="237" t="s">
        <v>231</v>
      </c>
      <c r="DM11" s="237" t="s">
        <v>231</v>
      </c>
      <c r="DN11" s="237" t="s">
        <v>231</v>
      </c>
      <c r="DO11" s="237" t="s">
        <v>231</v>
      </c>
      <c r="DP11" s="237" t="s">
        <v>231</v>
      </c>
      <c r="DQ11" s="237" t="s">
        <v>231</v>
      </c>
      <c r="DR11" s="237" t="s">
        <v>231</v>
      </c>
      <c r="DS11" s="237" t="s">
        <v>492</v>
      </c>
      <c r="DT11" s="237" t="s">
        <v>492</v>
      </c>
      <c r="DU11" s="237" t="s">
        <v>231</v>
      </c>
      <c r="DV11" s="237" t="s">
        <v>492</v>
      </c>
      <c r="DW11" s="237" t="s">
        <v>492</v>
      </c>
      <c r="DX11" s="237" t="s">
        <v>492</v>
      </c>
      <c r="DY11" s="237" t="s">
        <v>492</v>
      </c>
      <c r="DZ11" s="237" t="s">
        <v>492</v>
      </c>
      <c r="EA11" s="237" t="s">
        <v>492</v>
      </c>
      <c r="EB11" s="237" t="s">
        <v>492</v>
      </c>
      <c r="EC11" s="237" t="s">
        <v>492</v>
      </c>
      <c r="ED11" s="237" t="s">
        <v>492</v>
      </c>
      <c r="EE11" s="237" t="s">
        <v>492</v>
      </c>
      <c r="EF11" s="237" t="s">
        <v>492</v>
      </c>
      <c r="EG11" s="237" t="s">
        <v>492</v>
      </c>
      <c r="EH11" s="237" t="s">
        <v>492</v>
      </c>
      <c r="EI11" s="237" t="s">
        <v>492</v>
      </c>
      <c r="EJ11" s="237" t="s">
        <v>492</v>
      </c>
      <c r="EK11" s="237" t="s">
        <v>492</v>
      </c>
      <c r="EL11" s="237" t="s">
        <v>492</v>
      </c>
      <c r="EM11" s="237" t="s">
        <v>492</v>
      </c>
      <c r="EN11" s="237" t="s">
        <v>492</v>
      </c>
      <c r="EO11" s="237" t="s">
        <v>492</v>
      </c>
      <c r="EP11" s="237" t="s">
        <v>492</v>
      </c>
      <c r="EQ11" s="237" t="s">
        <v>492</v>
      </c>
      <c r="ER11" s="237" t="s">
        <v>492</v>
      </c>
      <c r="ES11" s="237" t="s">
        <v>231</v>
      </c>
      <c r="ET11" s="237" t="s">
        <v>231</v>
      </c>
      <c r="EU11" s="237" t="s">
        <v>231</v>
      </c>
      <c r="EV11" s="237" t="s">
        <v>231</v>
      </c>
      <c r="EW11" s="237" t="s">
        <v>231</v>
      </c>
      <c r="EX11" s="237" t="s">
        <v>231</v>
      </c>
      <c r="EY11" s="237" t="s">
        <v>231</v>
      </c>
      <c r="EZ11" s="237" t="s">
        <v>231</v>
      </c>
      <c r="FA11" s="237" t="s">
        <v>231</v>
      </c>
      <c r="FB11" s="237" t="s">
        <v>231</v>
      </c>
      <c r="FC11" s="237" t="s">
        <v>231</v>
      </c>
      <c r="FD11" s="237" t="s">
        <v>231</v>
      </c>
      <c r="FE11" s="237" t="s">
        <v>231</v>
      </c>
      <c r="FF11" s="237" t="s">
        <v>231</v>
      </c>
      <c r="FG11" s="237" t="s">
        <v>492</v>
      </c>
      <c r="FH11" s="237" t="s">
        <v>492</v>
      </c>
      <c r="FI11" s="237" t="s">
        <v>492</v>
      </c>
      <c r="FJ11" s="237" t="s">
        <v>492</v>
      </c>
      <c r="FK11" s="237" t="s">
        <v>492</v>
      </c>
      <c r="FL11" s="237" t="s">
        <v>492</v>
      </c>
      <c r="FM11" s="237" t="s">
        <v>492</v>
      </c>
      <c r="FN11" s="237" t="s">
        <v>492</v>
      </c>
      <c r="FO11" s="237" t="s">
        <v>493</v>
      </c>
      <c r="FP11" s="237" t="s">
        <v>492</v>
      </c>
      <c r="FQ11" s="237" t="s">
        <v>231</v>
      </c>
      <c r="FR11" s="237" t="s">
        <v>231</v>
      </c>
      <c r="FS11" s="237" t="s">
        <v>231</v>
      </c>
      <c r="FT11" s="237" t="s">
        <v>231</v>
      </c>
      <c r="FU11" s="237" t="s">
        <v>231</v>
      </c>
      <c r="FV11" s="237" t="s">
        <v>231</v>
      </c>
      <c r="FW11" s="237" t="s">
        <v>231</v>
      </c>
      <c r="FX11" s="237" t="s">
        <v>492</v>
      </c>
      <c r="FY11" s="237" t="s">
        <v>231</v>
      </c>
      <c r="FZ11" s="237" t="s">
        <v>231</v>
      </c>
      <c r="GA11" s="237" t="s">
        <v>231</v>
      </c>
      <c r="GB11" s="237" t="s">
        <v>231</v>
      </c>
      <c r="GC11" s="237" t="s">
        <v>231</v>
      </c>
      <c r="GD11" s="237" t="s">
        <v>231</v>
      </c>
      <c r="GE11" s="237" t="s">
        <v>231</v>
      </c>
      <c r="GF11" s="237" t="s">
        <v>231</v>
      </c>
      <c r="GG11" s="237" t="s">
        <v>231</v>
      </c>
      <c r="GH11" s="237" t="s">
        <v>231</v>
      </c>
      <c r="GI11" s="237" t="s">
        <v>231</v>
      </c>
      <c r="GJ11" s="237" t="s">
        <v>231</v>
      </c>
      <c r="GK11" s="237" t="s">
        <v>231</v>
      </c>
      <c r="GL11" s="237" t="s">
        <v>231</v>
      </c>
      <c r="GM11" s="237" t="s">
        <v>231</v>
      </c>
      <c r="GN11" s="237" t="s">
        <v>231</v>
      </c>
      <c r="GO11" s="237" t="s">
        <v>231</v>
      </c>
      <c r="GP11" s="237" t="s">
        <v>492</v>
      </c>
      <c r="GQ11" s="237" t="s">
        <v>231</v>
      </c>
      <c r="GR11" s="237" t="s">
        <v>231</v>
      </c>
      <c r="GS11" s="237" t="s">
        <v>231</v>
      </c>
      <c r="GT11" s="237" t="s">
        <v>231</v>
      </c>
      <c r="GU11" s="237" t="s">
        <v>231</v>
      </c>
      <c r="GV11" s="237" t="s">
        <v>231</v>
      </c>
      <c r="GW11" s="237" t="s">
        <v>231</v>
      </c>
      <c r="GX11" s="237" t="s">
        <v>231</v>
      </c>
      <c r="GY11" s="237" t="s">
        <v>492</v>
      </c>
      <c r="GZ11" s="237" t="s">
        <v>231</v>
      </c>
      <c r="HA11" s="237" t="s">
        <v>492</v>
      </c>
      <c r="HB11" s="237" t="s">
        <v>231</v>
      </c>
      <c r="HC11" s="237" t="s">
        <v>231</v>
      </c>
      <c r="HD11" s="237" t="s">
        <v>231</v>
      </c>
      <c r="HE11" s="237" t="s">
        <v>231</v>
      </c>
      <c r="HF11" s="237" t="s">
        <v>492</v>
      </c>
      <c r="HG11" s="237" t="s">
        <v>231</v>
      </c>
      <c r="HH11" s="237" t="s">
        <v>231</v>
      </c>
      <c r="HI11" s="237" t="s">
        <v>231</v>
      </c>
      <c r="HJ11" s="237" t="s">
        <v>231</v>
      </c>
      <c r="HK11" s="237" t="s">
        <v>231</v>
      </c>
      <c r="HL11" s="237" t="s">
        <v>231</v>
      </c>
      <c r="HM11" s="237" t="s">
        <v>231</v>
      </c>
      <c r="HN11" s="237" t="s">
        <v>231</v>
      </c>
      <c r="HO11" s="237" t="s">
        <v>231</v>
      </c>
      <c r="HP11" s="237" t="s">
        <v>231</v>
      </c>
      <c r="HQ11" s="237" t="s">
        <v>231</v>
      </c>
      <c r="HR11" s="237" t="s">
        <v>492</v>
      </c>
      <c r="HS11" s="237" t="s">
        <v>492</v>
      </c>
      <c r="HT11" s="237" t="s">
        <v>492</v>
      </c>
      <c r="HU11" s="237" t="s">
        <v>231</v>
      </c>
      <c r="HV11" s="237" t="s">
        <v>231</v>
      </c>
      <c r="HW11" s="237" t="s">
        <v>231</v>
      </c>
      <c r="HX11" s="237" t="s">
        <v>231</v>
      </c>
      <c r="HY11" s="237" t="s">
        <v>231</v>
      </c>
      <c r="HZ11" s="237" t="s">
        <v>231</v>
      </c>
      <c r="IA11" s="237" t="s">
        <v>231</v>
      </c>
      <c r="IB11" s="237" t="s">
        <v>231</v>
      </c>
      <c r="IC11" s="237" t="s">
        <v>231</v>
      </c>
      <c r="ID11" s="237" t="s">
        <v>231</v>
      </c>
      <c r="IE11" s="237" t="s">
        <v>231</v>
      </c>
      <c r="IF11" s="237" t="s">
        <v>231</v>
      </c>
      <c r="IG11" s="237" t="s">
        <v>231</v>
      </c>
      <c r="IH11" s="237" t="s">
        <v>231</v>
      </c>
      <c r="II11" s="237" t="s">
        <v>231</v>
      </c>
      <c r="IJ11" s="237" t="s">
        <v>231</v>
      </c>
      <c r="IK11" s="237" t="s">
        <v>231</v>
      </c>
      <c r="IL11" s="237" t="s">
        <v>231</v>
      </c>
      <c r="IM11" s="237" t="s">
        <v>231</v>
      </c>
      <c r="IN11" s="237" t="s">
        <v>231</v>
      </c>
      <c r="IO11" s="237" t="s">
        <v>220</v>
      </c>
      <c r="IP11" s="237" t="s">
        <v>493</v>
      </c>
      <c r="IQ11" s="237" t="s">
        <v>219</v>
      </c>
      <c r="IR11" s="237" t="s">
        <v>490</v>
      </c>
      <c r="IS11" s="237" t="s">
        <v>231</v>
      </c>
      <c r="IT11" s="237" t="s">
        <v>231</v>
      </c>
    </row>
    <row r="12" spans="1:254" ht="14.45" customHeight="1" x14ac:dyDescent="0.25">
      <c r="A12" s="259" t="str">
        <f>HYPERLINK("http://www.ofsted.gov.uk/inspection-reports/find-inspection-report/provider/ELS/123621 ","Ofsted School Webpage")</f>
        <v>Ofsted School Webpage</v>
      </c>
      <c r="B12" s="240">
        <v>123621</v>
      </c>
      <c r="C12" s="240">
        <v>8946003</v>
      </c>
      <c r="D12" s="240" t="s">
        <v>519</v>
      </c>
      <c r="E12" s="240" t="s">
        <v>248</v>
      </c>
      <c r="F12" s="240" t="s">
        <v>501</v>
      </c>
      <c r="G12" s="240" t="s">
        <v>502</v>
      </c>
      <c r="H12" s="240" t="s">
        <v>502</v>
      </c>
      <c r="I12" s="240" t="s">
        <v>520</v>
      </c>
      <c r="J12" s="240" t="s">
        <v>521</v>
      </c>
      <c r="K12" s="240" t="s">
        <v>93</v>
      </c>
      <c r="L12" s="240" t="s">
        <v>93</v>
      </c>
      <c r="M12" s="240" t="s">
        <v>93</v>
      </c>
      <c r="N12" s="240" t="s">
        <v>90</v>
      </c>
      <c r="O12" s="240" t="s">
        <v>486</v>
      </c>
      <c r="P12" s="240" t="s">
        <v>487</v>
      </c>
      <c r="Q12" s="241">
        <v>10052717</v>
      </c>
      <c r="R12" s="242">
        <v>43361</v>
      </c>
      <c r="S12" s="242">
        <v>43363</v>
      </c>
      <c r="T12" s="242">
        <v>43383</v>
      </c>
      <c r="U12" s="240" t="s">
        <v>488</v>
      </c>
      <c r="V12" s="240" t="s">
        <v>489</v>
      </c>
      <c r="W12" s="240">
        <v>3</v>
      </c>
      <c r="X12" s="240">
        <v>3</v>
      </c>
      <c r="Y12" s="240">
        <v>2</v>
      </c>
      <c r="Z12" s="240">
        <v>2</v>
      </c>
      <c r="AA12" s="240">
        <v>2</v>
      </c>
      <c r="AB12" s="240" t="s">
        <v>486</v>
      </c>
      <c r="AC12" s="240">
        <v>2</v>
      </c>
      <c r="AD12" s="240" t="s">
        <v>219</v>
      </c>
      <c r="AE12" s="240" t="s">
        <v>490</v>
      </c>
      <c r="AF12" s="240" t="s">
        <v>486</v>
      </c>
      <c r="AG12" s="240" t="s">
        <v>486</v>
      </c>
      <c r="AH12" s="240" t="s">
        <v>486</v>
      </c>
      <c r="AI12" s="240" t="s">
        <v>486</v>
      </c>
      <c r="AJ12" s="240" t="s">
        <v>486</v>
      </c>
      <c r="AK12" s="240" t="s">
        <v>486</v>
      </c>
      <c r="AL12" s="240" t="s">
        <v>486</v>
      </c>
      <c r="AM12" s="240" t="s">
        <v>491</v>
      </c>
      <c r="AN12" s="240" t="s">
        <v>231</v>
      </c>
      <c r="AO12" s="240" t="s">
        <v>231</v>
      </c>
      <c r="AP12" s="240" t="s">
        <v>231</v>
      </c>
      <c r="AQ12" s="240" t="s">
        <v>231</v>
      </c>
      <c r="AR12" s="240" t="s">
        <v>231</v>
      </c>
      <c r="AS12" s="240" t="s">
        <v>231</v>
      </c>
      <c r="AT12" s="240" t="s">
        <v>231</v>
      </c>
      <c r="AU12" s="240" t="s">
        <v>231</v>
      </c>
      <c r="AV12" s="240" t="s">
        <v>231</v>
      </c>
      <c r="AW12" s="240" t="s">
        <v>231</v>
      </c>
      <c r="AX12" s="240" t="s">
        <v>231</v>
      </c>
      <c r="AY12" s="240" t="s">
        <v>231</v>
      </c>
      <c r="AZ12" s="240" t="s">
        <v>231</v>
      </c>
      <c r="BA12" s="240" t="s">
        <v>231</v>
      </c>
      <c r="BB12" s="240" t="s">
        <v>231</v>
      </c>
      <c r="BC12" s="240" t="s">
        <v>231</v>
      </c>
      <c r="BD12" s="240" t="s">
        <v>492</v>
      </c>
      <c r="BE12" s="240" t="s">
        <v>231</v>
      </c>
      <c r="BF12" s="240" t="s">
        <v>231</v>
      </c>
      <c r="BG12" s="240" t="s">
        <v>231</v>
      </c>
      <c r="BH12" s="240" t="s">
        <v>231</v>
      </c>
      <c r="BI12" s="240" t="s">
        <v>231</v>
      </c>
      <c r="BJ12" s="240" t="s">
        <v>231</v>
      </c>
      <c r="BK12" s="240" t="s">
        <v>231</v>
      </c>
      <c r="BL12" s="240" t="s">
        <v>231</v>
      </c>
      <c r="BM12" s="240" t="s">
        <v>231</v>
      </c>
      <c r="BN12" s="240" t="s">
        <v>231</v>
      </c>
      <c r="BO12" s="240" t="s">
        <v>231</v>
      </c>
      <c r="BP12" s="240" t="s">
        <v>231</v>
      </c>
      <c r="BQ12" s="240" t="s">
        <v>231</v>
      </c>
      <c r="BR12" s="240" t="s">
        <v>231</v>
      </c>
      <c r="BS12" s="240" t="s">
        <v>231</v>
      </c>
      <c r="BT12" s="240" t="s">
        <v>231</v>
      </c>
      <c r="BU12" s="240" t="s">
        <v>231</v>
      </c>
      <c r="BV12" s="240" t="s">
        <v>231</v>
      </c>
      <c r="BW12" s="240" t="s">
        <v>231</v>
      </c>
      <c r="BX12" s="240" t="s">
        <v>231</v>
      </c>
      <c r="BY12" s="240" t="s">
        <v>231</v>
      </c>
      <c r="BZ12" s="240" t="s">
        <v>231</v>
      </c>
      <c r="CA12" s="240" t="s">
        <v>231</v>
      </c>
      <c r="CB12" s="240" t="s">
        <v>231</v>
      </c>
      <c r="CC12" s="240" t="s">
        <v>231</v>
      </c>
      <c r="CD12" s="240" t="s">
        <v>231</v>
      </c>
      <c r="CE12" s="240" t="s">
        <v>231</v>
      </c>
      <c r="CF12" s="240" t="s">
        <v>231</v>
      </c>
      <c r="CG12" s="240" t="s">
        <v>231</v>
      </c>
      <c r="CH12" s="240" t="s">
        <v>231</v>
      </c>
      <c r="CI12" s="240" t="s">
        <v>231</v>
      </c>
      <c r="CJ12" s="240" t="s">
        <v>231</v>
      </c>
      <c r="CK12" s="240" t="s">
        <v>231</v>
      </c>
      <c r="CL12" s="240" t="s">
        <v>231</v>
      </c>
      <c r="CM12" s="240" t="s">
        <v>231</v>
      </c>
      <c r="CN12" s="240" t="s">
        <v>231</v>
      </c>
      <c r="CO12" s="240" t="s">
        <v>231</v>
      </c>
      <c r="CP12" s="240" t="s">
        <v>231</v>
      </c>
      <c r="CQ12" s="240" t="s">
        <v>231</v>
      </c>
      <c r="CR12" s="240" t="s">
        <v>231</v>
      </c>
      <c r="CS12" s="240" t="s">
        <v>231</v>
      </c>
      <c r="CT12" s="240" t="s">
        <v>231</v>
      </c>
      <c r="CU12" s="240" t="s">
        <v>231</v>
      </c>
      <c r="CV12" s="240" t="s">
        <v>231</v>
      </c>
      <c r="CW12" s="240" t="s">
        <v>231</v>
      </c>
      <c r="CX12" s="240" t="s">
        <v>231</v>
      </c>
      <c r="CY12" s="240" t="s">
        <v>231</v>
      </c>
      <c r="CZ12" s="240" t="s">
        <v>231</v>
      </c>
      <c r="DA12" s="240" t="s">
        <v>231</v>
      </c>
      <c r="DB12" s="240" t="s">
        <v>231</v>
      </c>
      <c r="DC12" s="240" t="s">
        <v>231</v>
      </c>
      <c r="DD12" s="240" t="s">
        <v>231</v>
      </c>
      <c r="DE12" s="240" t="s">
        <v>231</v>
      </c>
      <c r="DF12" s="240" t="s">
        <v>231</v>
      </c>
      <c r="DG12" s="240" t="s">
        <v>231</v>
      </c>
      <c r="DH12" s="240" t="s">
        <v>231</v>
      </c>
      <c r="DI12" s="240" t="s">
        <v>231</v>
      </c>
      <c r="DJ12" s="240" t="s">
        <v>231</v>
      </c>
      <c r="DK12" s="240" t="s">
        <v>231</v>
      </c>
      <c r="DL12" s="240" t="s">
        <v>231</v>
      </c>
      <c r="DM12" s="240" t="s">
        <v>231</v>
      </c>
      <c r="DN12" s="240" t="s">
        <v>231</v>
      </c>
      <c r="DO12" s="240" t="s">
        <v>231</v>
      </c>
      <c r="DP12" s="240" t="s">
        <v>231</v>
      </c>
      <c r="DQ12" s="240" t="s">
        <v>231</v>
      </c>
      <c r="DR12" s="240" t="s">
        <v>231</v>
      </c>
      <c r="DS12" s="240" t="s">
        <v>231</v>
      </c>
      <c r="DT12" s="240" t="s">
        <v>231</v>
      </c>
      <c r="DU12" s="240" t="s">
        <v>231</v>
      </c>
      <c r="DV12" s="240" t="s">
        <v>231</v>
      </c>
      <c r="DW12" s="240" t="s">
        <v>231</v>
      </c>
      <c r="DX12" s="240" t="s">
        <v>231</v>
      </c>
      <c r="DY12" s="240" t="s">
        <v>231</v>
      </c>
      <c r="DZ12" s="240" t="s">
        <v>231</v>
      </c>
      <c r="EA12" s="240" t="s">
        <v>231</v>
      </c>
      <c r="EB12" s="240" t="s">
        <v>231</v>
      </c>
      <c r="EC12" s="240" t="s">
        <v>231</v>
      </c>
      <c r="ED12" s="240" t="s">
        <v>231</v>
      </c>
      <c r="EE12" s="240" t="s">
        <v>231</v>
      </c>
      <c r="EF12" s="240" t="s">
        <v>231</v>
      </c>
      <c r="EG12" s="240" t="s">
        <v>231</v>
      </c>
      <c r="EH12" s="240" t="s">
        <v>231</v>
      </c>
      <c r="EI12" s="240" t="s">
        <v>231</v>
      </c>
      <c r="EJ12" s="240" t="s">
        <v>231</v>
      </c>
      <c r="EK12" s="240" t="s">
        <v>231</v>
      </c>
      <c r="EL12" s="240" t="s">
        <v>231</v>
      </c>
      <c r="EM12" s="240" t="s">
        <v>231</v>
      </c>
      <c r="EN12" s="240" t="s">
        <v>231</v>
      </c>
      <c r="EO12" s="240" t="s">
        <v>231</v>
      </c>
      <c r="EP12" s="240" t="s">
        <v>231</v>
      </c>
      <c r="EQ12" s="240" t="s">
        <v>231</v>
      </c>
      <c r="ER12" s="240" t="s">
        <v>231</v>
      </c>
      <c r="ES12" s="240" t="s">
        <v>231</v>
      </c>
      <c r="ET12" s="240" t="s">
        <v>231</v>
      </c>
      <c r="EU12" s="240" t="s">
        <v>231</v>
      </c>
      <c r="EV12" s="240" t="s">
        <v>231</v>
      </c>
      <c r="EW12" s="240" t="s">
        <v>231</v>
      </c>
      <c r="EX12" s="240" t="s">
        <v>231</v>
      </c>
      <c r="EY12" s="240" t="s">
        <v>231</v>
      </c>
      <c r="EZ12" s="240" t="s">
        <v>231</v>
      </c>
      <c r="FA12" s="240" t="s">
        <v>231</v>
      </c>
      <c r="FB12" s="240" t="s">
        <v>231</v>
      </c>
      <c r="FC12" s="240" t="s">
        <v>231</v>
      </c>
      <c r="FD12" s="240" t="s">
        <v>231</v>
      </c>
      <c r="FE12" s="240" t="s">
        <v>231</v>
      </c>
      <c r="FF12" s="240" t="s">
        <v>231</v>
      </c>
      <c r="FG12" s="240" t="s">
        <v>231</v>
      </c>
      <c r="FH12" s="240" t="s">
        <v>231</v>
      </c>
      <c r="FI12" s="240" t="s">
        <v>231</v>
      </c>
      <c r="FJ12" s="240" t="s">
        <v>231</v>
      </c>
      <c r="FK12" s="240" t="s">
        <v>231</v>
      </c>
      <c r="FL12" s="240" t="s">
        <v>231</v>
      </c>
      <c r="FM12" s="240" t="s">
        <v>492</v>
      </c>
      <c r="FN12" s="240" t="s">
        <v>231</v>
      </c>
      <c r="FO12" s="240" t="s">
        <v>231</v>
      </c>
      <c r="FP12" s="240" t="s">
        <v>231</v>
      </c>
      <c r="FQ12" s="240" t="s">
        <v>231</v>
      </c>
      <c r="FR12" s="240" t="s">
        <v>231</v>
      </c>
      <c r="FS12" s="240" t="s">
        <v>231</v>
      </c>
      <c r="FT12" s="240" t="s">
        <v>231</v>
      </c>
      <c r="FU12" s="240" t="s">
        <v>231</v>
      </c>
      <c r="FV12" s="240" t="s">
        <v>231</v>
      </c>
      <c r="FW12" s="240" t="s">
        <v>231</v>
      </c>
      <c r="FX12" s="240" t="s">
        <v>231</v>
      </c>
      <c r="FY12" s="240" t="s">
        <v>231</v>
      </c>
      <c r="FZ12" s="240" t="s">
        <v>231</v>
      </c>
      <c r="GA12" s="240" t="s">
        <v>231</v>
      </c>
      <c r="GB12" s="240" t="s">
        <v>231</v>
      </c>
      <c r="GC12" s="240" t="s">
        <v>231</v>
      </c>
      <c r="GD12" s="240" t="s">
        <v>231</v>
      </c>
      <c r="GE12" s="240" t="s">
        <v>231</v>
      </c>
      <c r="GF12" s="240" t="s">
        <v>231</v>
      </c>
      <c r="GG12" s="240" t="s">
        <v>231</v>
      </c>
      <c r="GH12" s="240" t="s">
        <v>231</v>
      </c>
      <c r="GI12" s="240" t="s">
        <v>231</v>
      </c>
      <c r="GJ12" s="240" t="s">
        <v>231</v>
      </c>
      <c r="GK12" s="240" t="s">
        <v>231</v>
      </c>
      <c r="GL12" s="240" t="s">
        <v>231</v>
      </c>
      <c r="GM12" s="240" t="s">
        <v>231</v>
      </c>
      <c r="GN12" s="240" t="s">
        <v>231</v>
      </c>
      <c r="GO12" s="240" t="s">
        <v>231</v>
      </c>
      <c r="GP12" s="240" t="s">
        <v>231</v>
      </c>
      <c r="GQ12" s="240" t="s">
        <v>231</v>
      </c>
      <c r="GR12" s="240" t="s">
        <v>231</v>
      </c>
      <c r="GS12" s="240" t="s">
        <v>231</v>
      </c>
      <c r="GT12" s="240" t="s">
        <v>231</v>
      </c>
      <c r="GU12" s="240" t="s">
        <v>231</v>
      </c>
      <c r="GV12" s="240" t="s">
        <v>231</v>
      </c>
      <c r="GW12" s="240" t="s">
        <v>231</v>
      </c>
      <c r="GX12" s="240" t="s">
        <v>231</v>
      </c>
      <c r="GY12" s="240" t="s">
        <v>231</v>
      </c>
      <c r="GZ12" s="240" t="s">
        <v>231</v>
      </c>
      <c r="HA12" s="240" t="s">
        <v>231</v>
      </c>
      <c r="HB12" s="240" t="s">
        <v>231</v>
      </c>
      <c r="HC12" s="240" t="s">
        <v>231</v>
      </c>
      <c r="HD12" s="240" t="s">
        <v>231</v>
      </c>
      <c r="HE12" s="240" t="s">
        <v>231</v>
      </c>
      <c r="HF12" s="240" t="s">
        <v>492</v>
      </c>
      <c r="HG12" s="240" t="s">
        <v>492</v>
      </c>
      <c r="HH12" s="240" t="s">
        <v>231</v>
      </c>
      <c r="HI12" s="240" t="s">
        <v>231</v>
      </c>
      <c r="HJ12" s="240" t="s">
        <v>231</v>
      </c>
      <c r="HK12" s="240" t="s">
        <v>231</v>
      </c>
      <c r="HL12" s="240" t="s">
        <v>231</v>
      </c>
      <c r="HM12" s="240" t="s">
        <v>231</v>
      </c>
      <c r="HN12" s="240" t="s">
        <v>231</v>
      </c>
      <c r="HO12" s="240" t="s">
        <v>231</v>
      </c>
      <c r="HP12" s="240" t="s">
        <v>231</v>
      </c>
      <c r="HQ12" s="240" t="s">
        <v>231</v>
      </c>
      <c r="HR12" s="240" t="s">
        <v>492</v>
      </c>
      <c r="HS12" s="240" t="s">
        <v>492</v>
      </c>
      <c r="HT12" s="240" t="s">
        <v>492</v>
      </c>
      <c r="HU12" s="240" t="s">
        <v>231</v>
      </c>
      <c r="HV12" s="240" t="s">
        <v>231</v>
      </c>
      <c r="HW12" s="240" t="s">
        <v>231</v>
      </c>
      <c r="HX12" s="240" t="s">
        <v>231</v>
      </c>
      <c r="HY12" s="240" t="s">
        <v>231</v>
      </c>
      <c r="HZ12" s="240" t="s">
        <v>231</v>
      </c>
      <c r="IA12" s="240" t="s">
        <v>231</v>
      </c>
      <c r="IB12" s="240" t="s">
        <v>231</v>
      </c>
      <c r="IC12" s="240" t="s">
        <v>231</v>
      </c>
      <c r="ID12" s="240" t="s">
        <v>231</v>
      </c>
      <c r="IE12" s="240" t="s">
        <v>231</v>
      </c>
      <c r="IF12" s="240" t="s">
        <v>231</v>
      </c>
      <c r="IG12" s="240" t="s">
        <v>231</v>
      </c>
      <c r="IH12" s="240" t="s">
        <v>231</v>
      </c>
      <c r="II12" s="240" t="s">
        <v>231</v>
      </c>
      <c r="IJ12" s="240" t="s">
        <v>231</v>
      </c>
      <c r="IK12" s="240" t="s">
        <v>231</v>
      </c>
      <c r="IL12" s="240" t="s">
        <v>231</v>
      </c>
      <c r="IM12" s="240" t="s">
        <v>231</v>
      </c>
      <c r="IN12" s="240" t="s">
        <v>231</v>
      </c>
      <c r="IO12" s="240" t="s">
        <v>220</v>
      </c>
      <c r="IP12" s="240" t="s">
        <v>493</v>
      </c>
      <c r="IQ12" s="240" t="s">
        <v>219</v>
      </c>
      <c r="IR12" s="240" t="s">
        <v>490</v>
      </c>
      <c r="IS12" s="240" t="s">
        <v>492</v>
      </c>
      <c r="IT12" s="240" t="s">
        <v>492</v>
      </c>
    </row>
    <row r="13" spans="1:254" ht="14.45" customHeight="1" x14ac:dyDescent="0.25">
      <c r="A13" s="258" t="str">
        <f>HYPERLINK("http://www.ofsted.gov.uk/inspection-reports/find-inspection-report/provider/ELS/141860 ","Ofsted School Webpage")</f>
        <v>Ofsted School Webpage</v>
      </c>
      <c r="B13" s="237">
        <v>141860</v>
      </c>
      <c r="C13" s="237">
        <v>3846003</v>
      </c>
      <c r="D13" s="237" t="s">
        <v>522</v>
      </c>
      <c r="E13" s="237" t="s">
        <v>248</v>
      </c>
      <c r="F13" s="237" t="s">
        <v>501</v>
      </c>
      <c r="G13" s="237" t="s">
        <v>523</v>
      </c>
      <c r="H13" s="237" t="s">
        <v>524</v>
      </c>
      <c r="I13" s="237" t="s">
        <v>525</v>
      </c>
      <c r="J13" s="237" t="s">
        <v>526</v>
      </c>
      <c r="K13" s="237" t="s">
        <v>93</v>
      </c>
      <c r="L13" s="237" t="s">
        <v>93</v>
      </c>
      <c r="M13" s="237" t="s">
        <v>93</v>
      </c>
      <c r="N13" s="237" t="s">
        <v>90</v>
      </c>
      <c r="O13" s="237" t="s">
        <v>486</v>
      </c>
      <c r="P13" s="237" t="s">
        <v>487</v>
      </c>
      <c r="Q13" s="238">
        <v>10055380</v>
      </c>
      <c r="R13" s="239">
        <v>43361</v>
      </c>
      <c r="S13" s="239">
        <v>43363</v>
      </c>
      <c r="T13" s="239">
        <v>43408</v>
      </c>
      <c r="U13" s="237" t="s">
        <v>488</v>
      </c>
      <c r="V13" s="237" t="s">
        <v>489</v>
      </c>
      <c r="W13" s="237">
        <v>2</v>
      </c>
      <c r="X13" s="237">
        <v>2</v>
      </c>
      <c r="Y13" s="237">
        <v>2</v>
      </c>
      <c r="Z13" s="237">
        <v>2</v>
      </c>
      <c r="AA13" s="237">
        <v>2</v>
      </c>
      <c r="AB13" s="237" t="s">
        <v>486</v>
      </c>
      <c r="AC13" s="237" t="s">
        <v>486</v>
      </c>
      <c r="AD13" s="237" t="s">
        <v>219</v>
      </c>
      <c r="AE13" s="237" t="s">
        <v>490</v>
      </c>
      <c r="AF13" s="237" t="s">
        <v>486</v>
      </c>
      <c r="AG13" s="237" t="s">
        <v>486</v>
      </c>
      <c r="AH13" s="237" t="s">
        <v>486</v>
      </c>
      <c r="AI13" s="237" t="s">
        <v>486</v>
      </c>
      <c r="AJ13" s="237" t="s">
        <v>486</v>
      </c>
      <c r="AK13" s="237" t="s">
        <v>486</v>
      </c>
      <c r="AL13" s="237" t="s">
        <v>486</v>
      </c>
      <c r="AM13" s="237" t="s">
        <v>491</v>
      </c>
      <c r="AN13" s="237" t="s">
        <v>231</v>
      </c>
      <c r="AO13" s="237" t="s">
        <v>231</v>
      </c>
      <c r="AP13" s="237" t="s">
        <v>231</v>
      </c>
      <c r="AQ13" s="237" t="s">
        <v>231</v>
      </c>
      <c r="AR13" s="237" t="s">
        <v>231</v>
      </c>
      <c r="AS13" s="237" t="s">
        <v>231</v>
      </c>
      <c r="AT13" s="237" t="s">
        <v>231</v>
      </c>
      <c r="AU13" s="237" t="s">
        <v>231</v>
      </c>
      <c r="AV13" s="237" t="s">
        <v>231</v>
      </c>
      <c r="AW13" s="237" t="s">
        <v>231</v>
      </c>
      <c r="AX13" s="237" t="s">
        <v>231</v>
      </c>
      <c r="AY13" s="237" t="s">
        <v>231</v>
      </c>
      <c r="AZ13" s="237" t="s">
        <v>231</v>
      </c>
      <c r="BA13" s="237" t="s">
        <v>231</v>
      </c>
      <c r="BB13" s="237" t="s">
        <v>231</v>
      </c>
      <c r="BC13" s="237" t="s">
        <v>231</v>
      </c>
      <c r="BD13" s="237" t="s">
        <v>231</v>
      </c>
      <c r="BE13" s="237" t="s">
        <v>231</v>
      </c>
      <c r="BF13" s="237" t="s">
        <v>231</v>
      </c>
      <c r="BG13" s="237" t="s">
        <v>231</v>
      </c>
      <c r="BH13" s="237" t="s">
        <v>231</v>
      </c>
      <c r="BI13" s="237" t="s">
        <v>231</v>
      </c>
      <c r="BJ13" s="237" t="s">
        <v>231</v>
      </c>
      <c r="BK13" s="237" t="s">
        <v>231</v>
      </c>
      <c r="BL13" s="237" t="s">
        <v>492</v>
      </c>
      <c r="BM13" s="237" t="s">
        <v>492</v>
      </c>
      <c r="BN13" s="237" t="s">
        <v>231</v>
      </c>
      <c r="BO13" s="237" t="s">
        <v>231</v>
      </c>
      <c r="BP13" s="237" t="s">
        <v>231</v>
      </c>
      <c r="BQ13" s="237" t="s">
        <v>231</v>
      </c>
      <c r="BR13" s="237" t="s">
        <v>231</v>
      </c>
      <c r="BS13" s="237" t="s">
        <v>231</v>
      </c>
      <c r="BT13" s="237" t="s">
        <v>231</v>
      </c>
      <c r="BU13" s="237" t="s">
        <v>231</v>
      </c>
      <c r="BV13" s="237" t="s">
        <v>231</v>
      </c>
      <c r="BW13" s="237" t="s">
        <v>231</v>
      </c>
      <c r="BX13" s="237" t="s">
        <v>231</v>
      </c>
      <c r="BY13" s="237" t="s">
        <v>231</v>
      </c>
      <c r="BZ13" s="237" t="s">
        <v>231</v>
      </c>
      <c r="CA13" s="237" t="s">
        <v>231</v>
      </c>
      <c r="CB13" s="237" t="s">
        <v>231</v>
      </c>
      <c r="CC13" s="237" t="s">
        <v>231</v>
      </c>
      <c r="CD13" s="237" t="s">
        <v>231</v>
      </c>
      <c r="CE13" s="237" t="s">
        <v>231</v>
      </c>
      <c r="CF13" s="237" t="s">
        <v>231</v>
      </c>
      <c r="CG13" s="237" t="s">
        <v>231</v>
      </c>
      <c r="CH13" s="237" t="s">
        <v>231</v>
      </c>
      <c r="CI13" s="237" t="s">
        <v>231</v>
      </c>
      <c r="CJ13" s="237" t="s">
        <v>231</v>
      </c>
      <c r="CK13" s="237" t="s">
        <v>231</v>
      </c>
      <c r="CL13" s="237" t="s">
        <v>231</v>
      </c>
      <c r="CM13" s="237" t="s">
        <v>231</v>
      </c>
      <c r="CN13" s="237" t="s">
        <v>231</v>
      </c>
      <c r="CO13" s="237" t="s">
        <v>231</v>
      </c>
      <c r="CP13" s="237" t="s">
        <v>231</v>
      </c>
      <c r="CQ13" s="237" t="s">
        <v>231</v>
      </c>
      <c r="CR13" s="237" t="s">
        <v>231</v>
      </c>
      <c r="CS13" s="237" t="s">
        <v>231</v>
      </c>
      <c r="CT13" s="237" t="s">
        <v>231</v>
      </c>
      <c r="CU13" s="237" t="s">
        <v>231</v>
      </c>
      <c r="CV13" s="237" t="s">
        <v>231</v>
      </c>
      <c r="CW13" s="237" t="s">
        <v>231</v>
      </c>
      <c r="CX13" s="237" t="s">
        <v>231</v>
      </c>
      <c r="CY13" s="237" t="s">
        <v>231</v>
      </c>
      <c r="CZ13" s="237" t="s">
        <v>231</v>
      </c>
      <c r="DA13" s="237" t="s">
        <v>231</v>
      </c>
      <c r="DB13" s="237" t="s">
        <v>231</v>
      </c>
      <c r="DC13" s="237" t="s">
        <v>231</v>
      </c>
      <c r="DD13" s="237" t="s">
        <v>231</v>
      </c>
      <c r="DE13" s="237" t="s">
        <v>231</v>
      </c>
      <c r="DF13" s="237" t="s">
        <v>231</v>
      </c>
      <c r="DG13" s="237" t="s">
        <v>231</v>
      </c>
      <c r="DH13" s="237" t="s">
        <v>231</v>
      </c>
      <c r="DI13" s="237" t="s">
        <v>231</v>
      </c>
      <c r="DJ13" s="237" t="s">
        <v>231</v>
      </c>
      <c r="DK13" s="237" t="s">
        <v>231</v>
      </c>
      <c r="DL13" s="237" t="s">
        <v>231</v>
      </c>
      <c r="DM13" s="237" t="s">
        <v>231</v>
      </c>
      <c r="DN13" s="237" t="s">
        <v>231</v>
      </c>
      <c r="DO13" s="237" t="s">
        <v>231</v>
      </c>
      <c r="DP13" s="237" t="s">
        <v>231</v>
      </c>
      <c r="DQ13" s="237" t="s">
        <v>231</v>
      </c>
      <c r="DR13" s="237" t="s">
        <v>231</v>
      </c>
      <c r="DS13" s="237" t="s">
        <v>231</v>
      </c>
      <c r="DT13" s="237" t="s">
        <v>492</v>
      </c>
      <c r="DU13" s="237" t="s">
        <v>231</v>
      </c>
      <c r="DV13" s="237" t="s">
        <v>231</v>
      </c>
      <c r="DW13" s="237" t="s">
        <v>231</v>
      </c>
      <c r="DX13" s="237" t="s">
        <v>231</v>
      </c>
      <c r="DY13" s="237" t="s">
        <v>231</v>
      </c>
      <c r="DZ13" s="237" t="s">
        <v>231</v>
      </c>
      <c r="EA13" s="237" t="s">
        <v>231</v>
      </c>
      <c r="EB13" s="237" t="s">
        <v>231</v>
      </c>
      <c r="EC13" s="237" t="s">
        <v>231</v>
      </c>
      <c r="ED13" s="237" t="s">
        <v>231</v>
      </c>
      <c r="EE13" s="237" t="s">
        <v>231</v>
      </c>
      <c r="EF13" s="237" t="s">
        <v>231</v>
      </c>
      <c r="EG13" s="237" t="s">
        <v>231</v>
      </c>
      <c r="EH13" s="237" t="s">
        <v>492</v>
      </c>
      <c r="EI13" s="237" t="s">
        <v>231</v>
      </c>
      <c r="EJ13" s="237" t="s">
        <v>231</v>
      </c>
      <c r="EK13" s="237" t="s">
        <v>231</v>
      </c>
      <c r="EL13" s="237" t="s">
        <v>231</v>
      </c>
      <c r="EM13" s="237" t="s">
        <v>231</v>
      </c>
      <c r="EN13" s="237" t="s">
        <v>231</v>
      </c>
      <c r="EO13" s="237" t="s">
        <v>231</v>
      </c>
      <c r="EP13" s="237" t="s">
        <v>231</v>
      </c>
      <c r="EQ13" s="237" t="s">
        <v>231</v>
      </c>
      <c r="ER13" s="237" t="s">
        <v>231</v>
      </c>
      <c r="ES13" s="237" t="s">
        <v>231</v>
      </c>
      <c r="ET13" s="237" t="s">
        <v>231</v>
      </c>
      <c r="EU13" s="237" t="s">
        <v>231</v>
      </c>
      <c r="EV13" s="237" t="s">
        <v>231</v>
      </c>
      <c r="EW13" s="237" t="s">
        <v>231</v>
      </c>
      <c r="EX13" s="237" t="s">
        <v>231</v>
      </c>
      <c r="EY13" s="237" t="s">
        <v>231</v>
      </c>
      <c r="EZ13" s="237" t="s">
        <v>231</v>
      </c>
      <c r="FA13" s="237" t="s">
        <v>231</v>
      </c>
      <c r="FB13" s="237" t="s">
        <v>231</v>
      </c>
      <c r="FC13" s="237" t="s">
        <v>231</v>
      </c>
      <c r="FD13" s="237" t="s">
        <v>231</v>
      </c>
      <c r="FE13" s="237" t="s">
        <v>231</v>
      </c>
      <c r="FF13" s="237" t="s">
        <v>231</v>
      </c>
      <c r="FG13" s="237" t="s">
        <v>231</v>
      </c>
      <c r="FH13" s="237" t="s">
        <v>231</v>
      </c>
      <c r="FI13" s="237" t="s">
        <v>231</v>
      </c>
      <c r="FJ13" s="237" t="s">
        <v>231</v>
      </c>
      <c r="FK13" s="237" t="s">
        <v>231</v>
      </c>
      <c r="FL13" s="237" t="s">
        <v>231</v>
      </c>
      <c r="FM13" s="237" t="s">
        <v>231</v>
      </c>
      <c r="FN13" s="237" t="s">
        <v>231</v>
      </c>
      <c r="FO13" s="237" t="s">
        <v>231</v>
      </c>
      <c r="FP13" s="237" t="s">
        <v>231</v>
      </c>
      <c r="FQ13" s="237" t="s">
        <v>231</v>
      </c>
      <c r="FR13" s="237" t="s">
        <v>231</v>
      </c>
      <c r="FS13" s="237" t="s">
        <v>231</v>
      </c>
      <c r="FT13" s="237" t="s">
        <v>231</v>
      </c>
      <c r="FU13" s="237" t="s">
        <v>231</v>
      </c>
      <c r="FV13" s="237" t="s">
        <v>231</v>
      </c>
      <c r="FW13" s="237" t="s">
        <v>231</v>
      </c>
      <c r="FX13" s="237" t="s">
        <v>492</v>
      </c>
      <c r="FY13" s="237" t="s">
        <v>231</v>
      </c>
      <c r="FZ13" s="237" t="s">
        <v>231</v>
      </c>
      <c r="GA13" s="237" t="s">
        <v>231</v>
      </c>
      <c r="GB13" s="237" t="s">
        <v>231</v>
      </c>
      <c r="GC13" s="237" t="s">
        <v>231</v>
      </c>
      <c r="GD13" s="237" t="s">
        <v>231</v>
      </c>
      <c r="GE13" s="237" t="s">
        <v>231</v>
      </c>
      <c r="GF13" s="237" t="s">
        <v>231</v>
      </c>
      <c r="GG13" s="237" t="s">
        <v>231</v>
      </c>
      <c r="GH13" s="237" t="s">
        <v>231</v>
      </c>
      <c r="GI13" s="237" t="s">
        <v>231</v>
      </c>
      <c r="GJ13" s="237" t="s">
        <v>231</v>
      </c>
      <c r="GK13" s="237" t="s">
        <v>231</v>
      </c>
      <c r="GL13" s="237" t="s">
        <v>231</v>
      </c>
      <c r="GM13" s="237" t="s">
        <v>231</v>
      </c>
      <c r="GN13" s="237" t="s">
        <v>231</v>
      </c>
      <c r="GO13" s="237" t="s">
        <v>231</v>
      </c>
      <c r="GP13" s="237" t="s">
        <v>492</v>
      </c>
      <c r="GQ13" s="237" t="s">
        <v>231</v>
      </c>
      <c r="GR13" s="237" t="s">
        <v>231</v>
      </c>
      <c r="GS13" s="237" t="s">
        <v>231</v>
      </c>
      <c r="GT13" s="237" t="s">
        <v>231</v>
      </c>
      <c r="GU13" s="237" t="s">
        <v>231</v>
      </c>
      <c r="GV13" s="237" t="s">
        <v>231</v>
      </c>
      <c r="GW13" s="237" t="s">
        <v>231</v>
      </c>
      <c r="GX13" s="237" t="s">
        <v>231</v>
      </c>
      <c r="GY13" s="237" t="s">
        <v>231</v>
      </c>
      <c r="GZ13" s="237" t="s">
        <v>231</v>
      </c>
      <c r="HA13" s="237" t="s">
        <v>231</v>
      </c>
      <c r="HB13" s="237" t="s">
        <v>231</v>
      </c>
      <c r="HC13" s="237" t="s">
        <v>231</v>
      </c>
      <c r="HD13" s="237" t="s">
        <v>231</v>
      </c>
      <c r="HE13" s="237" t="s">
        <v>231</v>
      </c>
      <c r="HF13" s="237" t="s">
        <v>231</v>
      </c>
      <c r="HG13" s="237" t="s">
        <v>492</v>
      </c>
      <c r="HH13" s="237" t="s">
        <v>231</v>
      </c>
      <c r="HI13" s="237" t="s">
        <v>231</v>
      </c>
      <c r="HJ13" s="237" t="s">
        <v>231</v>
      </c>
      <c r="HK13" s="237" t="s">
        <v>231</v>
      </c>
      <c r="HL13" s="237" t="s">
        <v>231</v>
      </c>
      <c r="HM13" s="237" t="s">
        <v>231</v>
      </c>
      <c r="HN13" s="237" t="s">
        <v>231</v>
      </c>
      <c r="HO13" s="237" t="s">
        <v>231</v>
      </c>
      <c r="HP13" s="237" t="s">
        <v>231</v>
      </c>
      <c r="HQ13" s="237" t="s">
        <v>492</v>
      </c>
      <c r="HR13" s="237" t="s">
        <v>492</v>
      </c>
      <c r="HS13" s="237" t="s">
        <v>492</v>
      </c>
      <c r="HT13" s="237" t="s">
        <v>492</v>
      </c>
      <c r="HU13" s="237" t="s">
        <v>231</v>
      </c>
      <c r="HV13" s="237" t="s">
        <v>231</v>
      </c>
      <c r="HW13" s="237" t="s">
        <v>231</v>
      </c>
      <c r="HX13" s="237" t="s">
        <v>231</v>
      </c>
      <c r="HY13" s="237" t="s">
        <v>231</v>
      </c>
      <c r="HZ13" s="237" t="s">
        <v>231</v>
      </c>
      <c r="IA13" s="237" t="s">
        <v>231</v>
      </c>
      <c r="IB13" s="237" t="s">
        <v>231</v>
      </c>
      <c r="IC13" s="237" t="s">
        <v>231</v>
      </c>
      <c r="ID13" s="237" t="s">
        <v>231</v>
      </c>
      <c r="IE13" s="237" t="s">
        <v>231</v>
      </c>
      <c r="IF13" s="237" t="s">
        <v>231</v>
      </c>
      <c r="IG13" s="237" t="s">
        <v>231</v>
      </c>
      <c r="IH13" s="237" t="s">
        <v>231</v>
      </c>
      <c r="II13" s="237" t="s">
        <v>231</v>
      </c>
      <c r="IJ13" s="237" t="s">
        <v>231</v>
      </c>
      <c r="IK13" s="237" t="s">
        <v>231</v>
      </c>
      <c r="IL13" s="237" t="s">
        <v>231</v>
      </c>
      <c r="IM13" s="237" t="s">
        <v>231</v>
      </c>
      <c r="IN13" s="237" t="s">
        <v>231</v>
      </c>
      <c r="IO13" s="237" t="s">
        <v>220</v>
      </c>
      <c r="IP13" s="237" t="s">
        <v>493</v>
      </c>
      <c r="IQ13" s="237" t="s">
        <v>219</v>
      </c>
      <c r="IR13" s="237" t="s">
        <v>490</v>
      </c>
      <c r="IS13" s="237" t="s">
        <v>492</v>
      </c>
      <c r="IT13" s="237" t="s">
        <v>492</v>
      </c>
    </row>
    <row r="14" spans="1:254" ht="14.45" customHeight="1" x14ac:dyDescent="0.25">
      <c r="A14" s="259" t="str">
        <f>HYPERLINK("http://www.ofsted.gov.uk/inspection-reports/find-inspection-report/provider/ELS/121251 ","Ofsted School Webpage")</f>
        <v>Ofsted School Webpage</v>
      </c>
      <c r="B14" s="240">
        <v>121251</v>
      </c>
      <c r="C14" s="240">
        <v>9266143</v>
      </c>
      <c r="D14" s="240" t="s">
        <v>527</v>
      </c>
      <c r="E14" s="240" t="s">
        <v>247</v>
      </c>
      <c r="F14" s="240" t="s">
        <v>482</v>
      </c>
      <c r="G14" s="240" t="s">
        <v>516</v>
      </c>
      <c r="H14" s="240" t="s">
        <v>516</v>
      </c>
      <c r="I14" s="240" t="s">
        <v>528</v>
      </c>
      <c r="J14" s="240" t="s">
        <v>529</v>
      </c>
      <c r="K14" s="240" t="s">
        <v>93</v>
      </c>
      <c r="L14" s="240" t="s">
        <v>93</v>
      </c>
      <c r="M14" s="240" t="s">
        <v>93</v>
      </c>
      <c r="N14" s="240" t="s">
        <v>90</v>
      </c>
      <c r="O14" s="240" t="s">
        <v>486</v>
      </c>
      <c r="P14" s="240" t="s">
        <v>487</v>
      </c>
      <c r="Q14" s="241">
        <v>10055828</v>
      </c>
      <c r="R14" s="242">
        <v>43361</v>
      </c>
      <c r="S14" s="242">
        <v>43363</v>
      </c>
      <c r="T14" s="242">
        <v>43390</v>
      </c>
      <c r="U14" s="240" t="s">
        <v>488</v>
      </c>
      <c r="V14" s="240" t="s">
        <v>489</v>
      </c>
      <c r="W14" s="240">
        <v>2</v>
      </c>
      <c r="X14" s="240">
        <v>2</v>
      </c>
      <c r="Y14" s="240">
        <v>2</v>
      </c>
      <c r="Z14" s="240">
        <v>2</v>
      </c>
      <c r="AA14" s="240">
        <v>2</v>
      </c>
      <c r="AB14" s="240">
        <v>2</v>
      </c>
      <c r="AC14" s="240" t="s">
        <v>486</v>
      </c>
      <c r="AD14" s="240" t="s">
        <v>219</v>
      </c>
      <c r="AE14" s="240" t="s">
        <v>512</v>
      </c>
      <c r="AF14" s="240" t="s">
        <v>486</v>
      </c>
      <c r="AG14" s="240" t="s">
        <v>486</v>
      </c>
      <c r="AH14" s="240" t="s">
        <v>490</v>
      </c>
      <c r="AI14" s="240" t="s">
        <v>486</v>
      </c>
      <c r="AJ14" s="240" t="s">
        <v>486</v>
      </c>
      <c r="AK14" s="240" t="s">
        <v>486</v>
      </c>
      <c r="AL14" s="240" t="s">
        <v>486</v>
      </c>
      <c r="AM14" s="240" t="s">
        <v>491</v>
      </c>
      <c r="AN14" s="240" t="s">
        <v>231</v>
      </c>
      <c r="AO14" s="240" t="s">
        <v>231</v>
      </c>
      <c r="AP14" s="240" t="s">
        <v>231</v>
      </c>
      <c r="AQ14" s="240" t="s">
        <v>231</v>
      </c>
      <c r="AR14" s="240" t="s">
        <v>231</v>
      </c>
      <c r="AS14" s="240" t="s">
        <v>231</v>
      </c>
      <c r="AT14" s="240" t="s">
        <v>231</v>
      </c>
      <c r="AU14" s="240" t="s">
        <v>231</v>
      </c>
      <c r="AV14" s="240" t="s">
        <v>231</v>
      </c>
      <c r="AW14" s="240" t="s">
        <v>231</v>
      </c>
      <c r="AX14" s="240" t="s">
        <v>231</v>
      </c>
      <c r="AY14" s="240" t="s">
        <v>231</v>
      </c>
      <c r="AZ14" s="240" t="s">
        <v>231</v>
      </c>
      <c r="BA14" s="240" t="s">
        <v>231</v>
      </c>
      <c r="BB14" s="240" t="s">
        <v>231</v>
      </c>
      <c r="BC14" s="240" t="s">
        <v>231</v>
      </c>
      <c r="BD14" s="240" t="s">
        <v>492</v>
      </c>
      <c r="BE14" s="240" t="s">
        <v>231</v>
      </c>
      <c r="BF14" s="240" t="s">
        <v>231</v>
      </c>
      <c r="BG14" s="240" t="s">
        <v>231</v>
      </c>
      <c r="BH14" s="240" t="s">
        <v>492</v>
      </c>
      <c r="BI14" s="240" t="s">
        <v>492</v>
      </c>
      <c r="BJ14" s="240" t="s">
        <v>492</v>
      </c>
      <c r="BK14" s="240" t="s">
        <v>492</v>
      </c>
      <c r="BL14" s="240" t="s">
        <v>492</v>
      </c>
      <c r="BM14" s="240" t="s">
        <v>492</v>
      </c>
      <c r="BN14" s="240" t="s">
        <v>231</v>
      </c>
      <c r="BO14" s="240" t="s">
        <v>231</v>
      </c>
      <c r="BP14" s="240" t="s">
        <v>231</v>
      </c>
      <c r="BQ14" s="240" t="s">
        <v>231</v>
      </c>
      <c r="BR14" s="240" t="s">
        <v>231</v>
      </c>
      <c r="BS14" s="240" t="s">
        <v>231</v>
      </c>
      <c r="BT14" s="240" t="s">
        <v>231</v>
      </c>
      <c r="BU14" s="240" t="s">
        <v>231</v>
      </c>
      <c r="BV14" s="240" t="s">
        <v>231</v>
      </c>
      <c r="BW14" s="240" t="s">
        <v>231</v>
      </c>
      <c r="BX14" s="240" t="s">
        <v>231</v>
      </c>
      <c r="BY14" s="240" t="s">
        <v>231</v>
      </c>
      <c r="BZ14" s="240" t="s">
        <v>231</v>
      </c>
      <c r="CA14" s="240" t="s">
        <v>231</v>
      </c>
      <c r="CB14" s="240" t="s">
        <v>231</v>
      </c>
      <c r="CC14" s="240" t="s">
        <v>231</v>
      </c>
      <c r="CD14" s="240" t="s">
        <v>231</v>
      </c>
      <c r="CE14" s="240" t="s">
        <v>231</v>
      </c>
      <c r="CF14" s="240" t="s">
        <v>231</v>
      </c>
      <c r="CG14" s="240" t="s">
        <v>231</v>
      </c>
      <c r="CH14" s="240" t="s">
        <v>231</v>
      </c>
      <c r="CI14" s="240" t="s">
        <v>231</v>
      </c>
      <c r="CJ14" s="240" t="s">
        <v>231</v>
      </c>
      <c r="CK14" s="240" t="s">
        <v>231</v>
      </c>
      <c r="CL14" s="240" t="s">
        <v>231</v>
      </c>
      <c r="CM14" s="240" t="s">
        <v>231</v>
      </c>
      <c r="CN14" s="240" t="s">
        <v>231</v>
      </c>
      <c r="CO14" s="240" t="s">
        <v>231</v>
      </c>
      <c r="CP14" s="240" t="s">
        <v>231</v>
      </c>
      <c r="CQ14" s="240" t="s">
        <v>231</v>
      </c>
      <c r="CR14" s="240" t="s">
        <v>231</v>
      </c>
      <c r="CS14" s="240" t="s">
        <v>231</v>
      </c>
      <c r="CT14" s="240" t="s">
        <v>492</v>
      </c>
      <c r="CU14" s="240" t="s">
        <v>492</v>
      </c>
      <c r="CV14" s="240" t="s">
        <v>492</v>
      </c>
      <c r="CW14" s="240" t="s">
        <v>231</v>
      </c>
      <c r="CX14" s="240" t="s">
        <v>231</v>
      </c>
      <c r="CY14" s="240" t="s">
        <v>231</v>
      </c>
      <c r="CZ14" s="240" t="s">
        <v>231</v>
      </c>
      <c r="DA14" s="240" t="s">
        <v>231</v>
      </c>
      <c r="DB14" s="240" t="s">
        <v>231</v>
      </c>
      <c r="DC14" s="240" t="s">
        <v>231</v>
      </c>
      <c r="DD14" s="240" t="s">
        <v>231</v>
      </c>
      <c r="DE14" s="240" t="s">
        <v>231</v>
      </c>
      <c r="DF14" s="240" t="s">
        <v>231</v>
      </c>
      <c r="DG14" s="240" t="s">
        <v>231</v>
      </c>
      <c r="DH14" s="240" t="s">
        <v>231</v>
      </c>
      <c r="DI14" s="240" t="s">
        <v>231</v>
      </c>
      <c r="DJ14" s="240" t="s">
        <v>231</v>
      </c>
      <c r="DK14" s="240" t="s">
        <v>231</v>
      </c>
      <c r="DL14" s="240" t="s">
        <v>231</v>
      </c>
      <c r="DM14" s="240" t="s">
        <v>231</v>
      </c>
      <c r="DN14" s="240" t="s">
        <v>231</v>
      </c>
      <c r="DO14" s="240" t="s">
        <v>231</v>
      </c>
      <c r="DP14" s="240" t="s">
        <v>231</v>
      </c>
      <c r="DQ14" s="240" t="s">
        <v>231</v>
      </c>
      <c r="DR14" s="240" t="s">
        <v>231</v>
      </c>
      <c r="DS14" s="240" t="s">
        <v>231</v>
      </c>
      <c r="DT14" s="240" t="s">
        <v>492</v>
      </c>
      <c r="DU14" s="240" t="s">
        <v>231</v>
      </c>
      <c r="DV14" s="240" t="s">
        <v>492</v>
      </c>
      <c r="DW14" s="240" t="s">
        <v>492</v>
      </c>
      <c r="DX14" s="240" t="s">
        <v>492</v>
      </c>
      <c r="DY14" s="240" t="s">
        <v>492</v>
      </c>
      <c r="DZ14" s="240" t="s">
        <v>492</v>
      </c>
      <c r="EA14" s="240" t="s">
        <v>492</v>
      </c>
      <c r="EB14" s="240" t="s">
        <v>492</v>
      </c>
      <c r="EC14" s="240" t="s">
        <v>492</v>
      </c>
      <c r="ED14" s="240" t="s">
        <v>492</v>
      </c>
      <c r="EE14" s="240" t="s">
        <v>492</v>
      </c>
      <c r="EF14" s="240" t="s">
        <v>492</v>
      </c>
      <c r="EG14" s="240" t="s">
        <v>492</v>
      </c>
      <c r="EH14" s="240" t="s">
        <v>492</v>
      </c>
      <c r="EI14" s="240" t="s">
        <v>492</v>
      </c>
      <c r="EJ14" s="240" t="s">
        <v>231</v>
      </c>
      <c r="EK14" s="240" t="s">
        <v>231</v>
      </c>
      <c r="EL14" s="240" t="s">
        <v>231</v>
      </c>
      <c r="EM14" s="240" t="s">
        <v>231</v>
      </c>
      <c r="EN14" s="240" t="s">
        <v>231</v>
      </c>
      <c r="EO14" s="240" t="s">
        <v>231</v>
      </c>
      <c r="EP14" s="240" t="s">
        <v>231</v>
      </c>
      <c r="EQ14" s="240" t="s">
        <v>231</v>
      </c>
      <c r="ER14" s="240" t="s">
        <v>231</v>
      </c>
      <c r="ES14" s="240" t="s">
        <v>231</v>
      </c>
      <c r="ET14" s="240" t="s">
        <v>231</v>
      </c>
      <c r="EU14" s="240" t="s">
        <v>231</v>
      </c>
      <c r="EV14" s="240" t="s">
        <v>231</v>
      </c>
      <c r="EW14" s="240" t="s">
        <v>231</v>
      </c>
      <c r="EX14" s="240" t="s">
        <v>231</v>
      </c>
      <c r="EY14" s="240" t="s">
        <v>231</v>
      </c>
      <c r="EZ14" s="240" t="s">
        <v>231</v>
      </c>
      <c r="FA14" s="240" t="s">
        <v>231</v>
      </c>
      <c r="FB14" s="240" t="s">
        <v>231</v>
      </c>
      <c r="FC14" s="240" t="s">
        <v>231</v>
      </c>
      <c r="FD14" s="240" t="s">
        <v>231</v>
      </c>
      <c r="FE14" s="240" t="s">
        <v>231</v>
      </c>
      <c r="FF14" s="240" t="s">
        <v>231</v>
      </c>
      <c r="FG14" s="240" t="s">
        <v>492</v>
      </c>
      <c r="FH14" s="240" t="s">
        <v>492</v>
      </c>
      <c r="FI14" s="240" t="s">
        <v>492</v>
      </c>
      <c r="FJ14" s="240" t="s">
        <v>492</v>
      </c>
      <c r="FK14" s="240" t="s">
        <v>492</v>
      </c>
      <c r="FL14" s="240" t="s">
        <v>492</v>
      </c>
      <c r="FM14" s="240" t="s">
        <v>231</v>
      </c>
      <c r="FN14" s="240" t="s">
        <v>231</v>
      </c>
      <c r="FO14" s="240" t="s">
        <v>231</v>
      </c>
      <c r="FP14" s="240" t="s">
        <v>231</v>
      </c>
      <c r="FQ14" s="240" t="s">
        <v>231</v>
      </c>
      <c r="FR14" s="240" t="s">
        <v>231</v>
      </c>
      <c r="FS14" s="240" t="s">
        <v>231</v>
      </c>
      <c r="FT14" s="240" t="s">
        <v>492</v>
      </c>
      <c r="FU14" s="240" t="s">
        <v>231</v>
      </c>
      <c r="FV14" s="240" t="s">
        <v>231</v>
      </c>
      <c r="FW14" s="240" t="s">
        <v>231</v>
      </c>
      <c r="FX14" s="240" t="s">
        <v>492</v>
      </c>
      <c r="FY14" s="240" t="s">
        <v>231</v>
      </c>
      <c r="FZ14" s="240" t="s">
        <v>231</v>
      </c>
      <c r="GA14" s="240" t="s">
        <v>231</v>
      </c>
      <c r="GB14" s="240" t="s">
        <v>231</v>
      </c>
      <c r="GC14" s="240" t="s">
        <v>231</v>
      </c>
      <c r="GD14" s="240" t="s">
        <v>231</v>
      </c>
      <c r="GE14" s="240" t="s">
        <v>231</v>
      </c>
      <c r="GF14" s="240" t="s">
        <v>231</v>
      </c>
      <c r="GG14" s="240" t="s">
        <v>231</v>
      </c>
      <c r="GH14" s="240" t="s">
        <v>231</v>
      </c>
      <c r="GI14" s="240" t="s">
        <v>231</v>
      </c>
      <c r="GJ14" s="240" t="s">
        <v>231</v>
      </c>
      <c r="GK14" s="240" t="s">
        <v>231</v>
      </c>
      <c r="GL14" s="240" t="s">
        <v>231</v>
      </c>
      <c r="GM14" s="240" t="s">
        <v>231</v>
      </c>
      <c r="GN14" s="240" t="s">
        <v>231</v>
      </c>
      <c r="GO14" s="240" t="s">
        <v>231</v>
      </c>
      <c r="GP14" s="240" t="s">
        <v>492</v>
      </c>
      <c r="GQ14" s="240" t="s">
        <v>231</v>
      </c>
      <c r="GR14" s="240" t="s">
        <v>231</v>
      </c>
      <c r="GS14" s="240" t="s">
        <v>231</v>
      </c>
      <c r="GT14" s="240" t="s">
        <v>231</v>
      </c>
      <c r="GU14" s="240" t="s">
        <v>231</v>
      </c>
      <c r="GV14" s="240" t="s">
        <v>492</v>
      </c>
      <c r="GW14" s="240" t="s">
        <v>231</v>
      </c>
      <c r="GX14" s="240" t="s">
        <v>231</v>
      </c>
      <c r="GY14" s="240" t="s">
        <v>231</v>
      </c>
      <c r="GZ14" s="240" t="s">
        <v>231</v>
      </c>
      <c r="HA14" s="240" t="s">
        <v>231</v>
      </c>
      <c r="HB14" s="240" t="s">
        <v>231</v>
      </c>
      <c r="HC14" s="240" t="s">
        <v>231</v>
      </c>
      <c r="HD14" s="240" t="s">
        <v>231</v>
      </c>
      <c r="HE14" s="240" t="s">
        <v>231</v>
      </c>
      <c r="HF14" s="240" t="s">
        <v>492</v>
      </c>
      <c r="HG14" s="240" t="s">
        <v>492</v>
      </c>
      <c r="HH14" s="240" t="s">
        <v>231</v>
      </c>
      <c r="HI14" s="240" t="s">
        <v>231</v>
      </c>
      <c r="HJ14" s="240" t="s">
        <v>231</v>
      </c>
      <c r="HK14" s="240" t="s">
        <v>231</v>
      </c>
      <c r="HL14" s="240" t="s">
        <v>231</v>
      </c>
      <c r="HM14" s="240" t="s">
        <v>231</v>
      </c>
      <c r="HN14" s="240" t="s">
        <v>231</v>
      </c>
      <c r="HO14" s="240" t="s">
        <v>231</v>
      </c>
      <c r="HP14" s="240" t="s">
        <v>231</v>
      </c>
      <c r="HQ14" s="240" t="s">
        <v>231</v>
      </c>
      <c r="HR14" s="240" t="s">
        <v>231</v>
      </c>
      <c r="HS14" s="240" t="s">
        <v>231</v>
      </c>
      <c r="HT14" s="240" t="s">
        <v>231</v>
      </c>
      <c r="HU14" s="240" t="s">
        <v>231</v>
      </c>
      <c r="HV14" s="240" t="s">
        <v>231</v>
      </c>
      <c r="HW14" s="240" t="s">
        <v>231</v>
      </c>
      <c r="HX14" s="240" t="s">
        <v>231</v>
      </c>
      <c r="HY14" s="240" t="s">
        <v>231</v>
      </c>
      <c r="HZ14" s="240" t="s">
        <v>231</v>
      </c>
      <c r="IA14" s="240" t="s">
        <v>231</v>
      </c>
      <c r="IB14" s="240" t="s">
        <v>231</v>
      </c>
      <c r="IC14" s="240" t="s">
        <v>231</v>
      </c>
      <c r="ID14" s="240" t="s">
        <v>231</v>
      </c>
      <c r="IE14" s="240" t="s">
        <v>231</v>
      </c>
      <c r="IF14" s="240" t="s">
        <v>231</v>
      </c>
      <c r="IG14" s="240" t="s">
        <v>231</v>
      </c>
      <c r="IH14" s="240" t="s">
        <v>231</v>
      </c>
      <c r="II14" s="240" t="s">
        <v>231</v>
      </c>
      <c r="IJ14" s="240" t="s">
        <v>231</v>
      </c>
      <c r="IK14" s="240" t="s">
        <v>231</v>
      </c>
      <c r="IL14" s="240" t="s">
        <v>231</v>
      </c>
      <c r="IM14" s="240" t="s">
        <v>231</v>
      </c>
      <c r="IN14" s="240" t="s">
        <v>231</v>
      </c>
      <c r="IO14" s="240" t="s">
        <v>220</v>
      </c>
      <c r="IP14" s="240" t="s">
        <v>493</v>
      </c>
      <c r="IQ14" s="240" t="s">
        <v>219</v>
      </c>
      <c r="IR14" s="240" t="s">
        <v>490</v>
      </c>
      <c r="IS14" s="240" t="s">
        <v>231</v>
      </c>
      <c r="IT14" s="240" t="s">
        <v>231</v>
      </c>
    </row>
    <row r="15" spans="1:254" ht="15" x14ac:dyDescent="0.25">
      <c r="A15" s="258" t="str">
        <f>HYPERLINK("http://www.ofsted.gov.uk/inspection-reports/find-inspection-report/provider/ELS/145308 ","Ofsted School Webpage")</f>
        <v>Ofsted School Webpage</v>
      </c>
      <c r="B15" s="237">
        <v>145308</v>
      </c>
      <c r="C15" s="237">
        <v>9336009</v>
      </c>
      <c r="D15" s="237" t="s">
        <v>530</v>
      </c>
      <c r="E15" s="237" t="s">
        <v>248</v>
      </c>
      <c r="F15" s="237" t="s">
        <v>501</v>
      </c>
      <c r="G15" s="237" t="s">
        <v>483</v>
      </c>
      <c r="H15" s="237" t="s">
        <v>483</v>
      </c>
      <c r="I15" s="237" t="s">
        <v>531</v>
      </c>
      <c r="J15" s="237" t="s">
        <v>532</v>
      </c>
      <c r="K15" s="237" t="s">
        <v>93</v>
      </c>
      <c r="L15" s="237" t="s">
        <v>93</v>
      </c>
      <c r="M15" s="237" t="s">
        <v>93</v>
      </c>
      <c r="N15" s="237" t="s">
        <v>90</v>
      </c>
      <c r="O15" s="237" t="s">
        <v>486</v>
      </c>
      <c r="P15" s="237" t="s">
        <v>487</v>
      </c>
      <c r="Q15" s="238">
        <v>10053796</v>
      </c>
      <c r="R15" s="239">
        <v>43362</v>
      </c>
      <c r="S15" s="239">
        <v>43364</v>
      </c>
      <c r="T15" s="239">
        <v>43388</v>
      </c>
      <c r="U15" s="237" t="s">
        <v>499</v>
      </c>
      <c r="V15" s="237" t="s">
        <v>489</v>
      </c>
      <c r="W15" s="237">
        <v>2</v>
      </c>
      <c r="X15" s="237">
        <v>2</v>
      </c>
      <c r="Y15" s="237">
        <v>1</v>
      </c>
      <c r="Z15" s="237">
        <v>2</v>
      </c>
      <c r="AA15" s="237">
        <v>2</v>
      </c>
      <c r="AB15" s="237" t="s">
        <v>486</v>
      </c>
      <c r="AC15" s="237" t="s">
        <v>486</v>
      </c>
      <c r="AD15" s="237" t="s">
        <v>219</v>
      </c>
      <c r="AE15" s="237" t="s">
        <v>490</v>
      </c>
      <c r="AF15" s="237" t="s">
        <v>486</v>
      </c>
      <c r="AG15" s="237" t="s">
        <v>486</v>
      </c>
      <c r="AH15" s="237" t="s">
        <v>486</v>
      </c>
      <c r="AI15" s="237" t="s">
        <v>486</v>
      </c>
      <c r="AJ15" s="237" t="s">
        <v>486</v>
      </c>
      <c r="AK15" s="237" t="s">
        <v>486</v>
      </c>
      <c r="AL15" s="237" t="s">
        <v>486</v>
      </c>
      <c r="AM15" s="237" t="s">
        <v>491</v>
      </c>
      <c r="AN15" s="237" t="s">
        <v>231</v>
      </c>
      <c r="AO15" s="237" t="s">
        <v>231</v>
      </c>
      <c r="AP15" s="237" t="s">
        <v>231</v>
      </c>
      <c r="AQ15" s="237" t="s">
        <v>231</v>
      </c>
      <c r="AR15" s="237" t="s">
        <v>231</v>
      </c>
      <c r="AS15" s="237" t="s">
        <v>231</v>
      </c>
      <c r="AT15" s="237" t="s">
        <v>231</v>
      </c>
      <c r="AU15" s="237" t="s">
        <v>231</v>
      </c>
      <c r="AV15" s="237" t="s">
        <v>231</v>
      </c>
      <c r="AW15" s="237" t="s">
        <v>231</v>
      </c>
      <c r="AX15" s="237" t="s">
        <v>231</v>
      </c>
      <c r="AY15" s="237" t="s">
        <v>231</v>
      </c>
      <c r="AZ15" s="237" t="s">
        <v>231</v>
      </c>
      <c r="BA15" s="237" t="s">
        <v>231</v>
      </c>
      <c r="BB15" s="237" t="s">
        <v>231</v>
      </c>
      <c r="BC15" s="237" t="s">
        <v>231</v>
      </c>
      <c r="BD15" s="237" t="s">
        <v>492</v>
      </c>
      <c r="BE15" s="237" t="s">
        <v>231</v>
      </c>
      <c r="BF15" s="237" t="s">
        <v>231</v>
      </c>
      <c r="BG15" s="237" t="s">
        <v>231</v>
      </c>
      <c r="BH15" s="237" t="s">
        <v>231</v>
      </c>
      <c r="BI15" s="237" t="s">
        <v>231</v>
      </c>
      <c r="BJ15" s="237" t="s">
        <v>231</v>
      </c>
      <c r="BK15" s="237" t="s">
        <v>231</v>
      </c>
      <c r="BL15" s="237" t="s">
        <v>492</v>
      </c>
      <c r="BM15" s="237" t="s">
        <v>492</v>
      </c>
      <c r="BN15" s="237" t="s">
        <v>231</v>
      </c>
      <c r="BO15" s="237" t="s">
        <v>231</v>
      </c>
      <c r="BP15" s="237" t="s">
        <v>231</v>
      </c>
      <c r="BQ15" s="237" t="s">
        <v>231</v>
      </c>
      <c r="BR15" s="237" t="s">
        <v>231</v>
      </c>
      <c r="BS15" s="237" t="s">
        <v>231</v>
      </c>
      <c r="BT15" s="237" t="s">
        <v>231</v>
      </c>
      <c r="BU15" s="237" t="s">
        <v>231</v>
      </c>
      <c r="BV15" s="237" t="s">
        <v>231</v>
      </c>
      <c r="BW15" s="237" t="s">
        <v>231</v>
      </c>
      <c r="BX15" s="237" t="s">
        <v>231</v>
      </c>
      <c r="BY15" s="237" t="s">
        <v>231</v>
      </c>
      <c r="BZ15" s="237" t="s">
        <v>231</v>
      </c>
      <c r="CA15" s="237" t="s">
        <v>231</v>
      </c>
      <c r="CB15" s="237" t="s">
        <v>231</v>
      </c>
      <c r="CC15" s="237" t="s">
        <v>231</v>
      </c>
      <c r="CD15" s="237" t="s">
        <v>231</v>
      </c>
      <c r="CE15" s="237" t="s">
        <v>231</v>
      </c>
      <c r="CF15" s="237" t="s">
        <v>231</v>
      </c>
      <c r="CG15" s="237" t="s">
        <v>231</v>
      </c>
      <c r="CH15" s="237" t="s">
        <v>231</v>
      </c>
      <c r="CI15" s="237" t="s">
        <v>231</v>
      </c>
      <c r="CJ15" s="237" t="s">
        <v>231</v>
      </c>
      <c r="CK15" s="237" t="s">
        <v>231</v>
      </c>
      <c r="CL15" s="237" t="s">
        <v>231</v>
      </c>
      <c r="CM15" s="237" t="s">
        <v>231</v>
      </c>
      <c r="CN15" s="237" t="s">
        <v>231</v>
      </c>
      <c r="CO15" s="237" t="s">
        <v>231</v>
      </c>
      <c r="CP15" s="237" t="s">
        <v>231</v>
      </c>
      <c r="CQ15" s="237" t="s">
        <v>231</v>
      </c>
      <c r="CR15" s="237" t="s">
        <v>231</v>
      </c>
      <c r="CS15" s="237" t="s">
        <v>231</v>
      </c>
      <c r="CT15" s="237" t="s">
        <v>231</v>
      </c>
      <c r="CU15" s="237" t="s">
        <v>231</v>
      </c>
      <c r="CV15" s="237" t="s">
        <v>492</v>
      </c>
      <c r="CW15" s="237" t="s">
        <v>231</v>
      </c>
      <c r="CX15" s="237" t="s">
        <v>231</v>
      </c>
      <c r="CY15" s="237" t="s">
        <v>231</v>
      </c>
      <c r="CZ15" s="237" t="s">
        <v>231</v>
      </c>
      <c r="DA15" s="237" t="s">
        <v>231</v>
      </c>
      <c r="DB15" s="237" t="s">
        <v>231</v>
      </c>
      <c r="DC15" s="237" t="s">
        <v>231</v>
      </c>
      <c r="DD15" s="237" t="s">
        <v>231</v>
      </c>
      <c r="DE15" s="237" t="s">
        <v>231</v>
      </c>
      <c r="DF15" s="237" t="s">
        <v>231</v>
      </c>
      <c r="DG15" s="237" t="s">
        <v>231</v>
      </c>
      <c r="DH15" s="237" t="s">
        <v>231</v>
      </c>
      <c r="DI15" s="237" t="s">
        <v>231</v>
      </c>
      <c r="DJ15" s="237" t="s">
        <v>231</v>
      </c>
      <c r="DK15" s="237" t="s">
        <v>231</v>
      </c>
      <c r="DL15" s="237" t="s">
        <v>231</v>
      </c>
      <c r="DM15" s="237" t="s">
        <v>231</v>
      </c>
      <c r="DN15" s="237" t="s">
        <v>231</v>
      </c>
      <c r="DO15" s="237" t="s">
        <v>231</v>
      </c>
      <c r="DP15" s="237" t="s">
        <v>231</v>
      </c>
      <c r="DQ15" s="237" t="s">
        <v>231</v>
      </c>
      <c r="DR15" s="237" t="s">
        <v>231</v>
      </c>
      <c r="DS15" s="237" t="s">
        <v>492</v>
      </c>
      <c r="DT15" s="237" t="s">
        <v>492</v>
      </c>
      <c r="DU15" s="237" t="s">
        <v>231</v>
      </c>
      <c r="DV15" s="237" t="s">
        <v>231</v>
      </c>
      <c r="DW15" s="237" t="s">
        <v>492</v>
      </c>
      <c r="DX15" s="237" t="s">
        <v>492</v>
      </c>
      <c r="DY15" s="237" t="s">
        <v>492</v>
      </c>
      <c r="DZ15" s="237" t="s">
        <v>492</v>
      </c>
      <c r="EA15" s="237" t="s">
        <v>492</v>
      </c>
      <c r="EB15" s="237" t="s">
        <v>492</v>
      </c>
      <c r="EC15" s="237" t="s">
        <v>492</v>
      </c>
      <c r="ED15" s="237" t="s">
        <v>492</v>
      </c>
      <c r="EE15" s="237" t="s">
        <v>492</v>
      </c>
      <c r="EF15" s="237" t="s">
        <v>492</v>
      </c>
      <c r="EG15" s="237" t="s">
        <v>492</v>
      </c>
      <c r="EH15" s="237" t="s">
        <v>492</v>
      </c>
      <c r="EI15" s="237" t="s">
        <v>492</v>
      </c>
      <c r="EJ15" s="237" t="s">
        <v>231</v>
      </c>
      <c r="EK15" s="237" t="s">
        <v>231</v>
      </c>
      <c r="EL15" s="237" t="s">
        <v>231</v>
      </c>
      <c r="EM15" s="237" t="s">
        <v>231</v>
      </c>
      <c r="EN15" s="237" t="s">
        <v>231</v>
      </c>
      <c r="EO15" s="237" t="s">
        <v>231</v>
      </c>
      <c r="EP15" s="237" t="s">
        <v>231</v>
      </c>
      <c r="EQ15" s="237" t="s">
        <v>492</v>
      </c>
      <c r="ER15" s="237" t="s">
        <v>231</v>
      </c>
      <c r="ES15" s="237" t="s">
        <v>231</v>
      </c>
      <c r="ET15" s="237" t="s">
        <v>231</v>
      </c>
      <c r="EU15" s="237" t="s">
        <v>231</v>
      </c>
      <c r="EV15" s="237" t="s">
        <v>231</v>
      </c>
      <c r="EW15" s="237" t="s">
        <v>231</v>
      </c>
      <c r="EX15" s="237" t="s">
        <v>231</v>
      </c>
      <c r="EY15" s="237" t="s">
        <v>231</v>
      </c>
      <c r="EZ15" s="237" t="s">
        <v>231</v>
      </c>
      <c r="FA15" s="237" t="s">
        <v>231</v>
      </c>
      <c r="FB15" s="237" t="s">
        <v>231</v>
      </c>
      <c r="FC15" s="237" t="s">
        <v>231</v>
      </c>
      <c r="FD15" s="237" t="s">
        <v>231</v>
      </c>
      <c r="FE15" s="237" t="s">
        <v>231</v>
      </c>
      <c r="FF15" s="237" t="s">
        <v>492</v>
      </c>
      <c r="FG15" s="237" t="s">
        <v>492</v>
      </c>
      <c r="FH15" s="237" t="s">
        <v>492</v>
      </c>
      <c r="FI15" s="237" t="s">
        <v>492</v>
      </c>
      <c r="FJ15" s="237" t="s">
        <v>492</v>
      </c>
      <c r="FK15" s="237" t="s">
        <v>492</v>
      </c>
      <c r="FL15" s="237" t="s">
        <v>492</v>
      </c>
      <c r="FM15" s="237" t="s">
        <v>231</v>
      </c>
      <c r="FN15" s="237" t="s">
        <v>492</v>
      </c>
      <c r="FO15" s="237" t="s">
        <v>231</v>
      </c>
      <c r="FP15" s="237" t="s">
        <v>231</v>
      </c>
      <c r="FQ15" s="237" t="s">
        <v>231</v>
      </c>
      <c r="FR15" s="237" t="s">
        <v>231</v>
      </c>
      <c r="FS15" s="237" t="s">
        <v>231</v>
      </c>
      <c r="FT15" s="237" t="s">
        <v>231</v>
      </c>
      <c r="FU15" s="237" t="s">
        <v>492</v>
      </c>
      <c r="FV15" s="237" t="s">
        <v>492</v>
      </c>
      <c r="FW15" s="237" t="s">
        <v>231</v>
      </c>
      <c r="FX15" s="237" t="s">
        <v>492</v>
      </c>
      <c r="FY15" s="237" t="s">
        <v>231</v>
      </c>
      <c r="FZ15" s="237" t="s">
        <v>231</v>
      </c>
      <c r="GA15" s="237" t="s">
        <v>231</v>
      </c>
      <c r="GB15" s="237" t="s">
        <v>231</v>
      </c>
      <c r="GC15" s="237" t="s">
        <v>231</v>
      </c>
      <c r="GD15" s="237" t="s">
        <v>231</v>
      </c>
      <c r="GE15" s="237" t="s">
        <v>231</v>
      </c>
      <c r="GF15" s="237" t="s">
        <v>231</v>
      </c>
      <c r="GG15" s="237" t="s">
        <v>231</v>
      </c>
      <c r="GH15" s="237" t="s">
        <v>231</v>
      </c>
      <c r="GI15" s="237" t="s">
        <v>231</v>
      </c>
      <c r="GJ15" s="237" t="s">
        <v>231</v>
      </c>
      <c r="GK15" s="237" t="s">
        <v>231</v>
      </c>
      <c r="GL15" s="237" t="s">
        <v>231</v>
      </c>
      <c r="GM15" s="237" t="s">
        <v>231</v>
      </c>
      <c r="GN15" s="237" t="s">
        <v>231</v>
      </c>
      <c r="GO15" s="237" t="s">
        <v>231</v>
      </c>
      <c r="GP15" s="237" t="s">
        <v>492</v>
      </c>
      <c r="GQ15" s="237" t="s">
        <v>231</v>
      </c>
      <c r="GR15" s="237" t="s">
        <v>231</v>
      </c>
      <c r="GS15" s="237" t="s">
        <v>231</v>
      </c>
      <c r="GT15" s="237" t="s">
        <v>231</v>
      </c>
      <c r="GU15" s="237" t="s">
        <v>492</v>
      </c>
      <c r="GV15" s="237" t="s">
        <v>492</v>
      </c>
      <c r="GW15" s="237" t="s">
        <v>231</v>
      </c>
      <c r="GX15" s="237" t="s">
        <v>231</v>
      </c>
      <c r="GY15" s="237" t="s">
        <v>231</v>
      </c>
      <c r="GZ15" s="237" t="s">
        <v>231</v>
      </c>
      <c r="HA15" s="237" t="s">
        <v>231</v>
      </c>
      <c r="HB15" s="237" t="s">
        <v>231</v>
      </c>
      <c r="HC15" s="237" t="s">
        <v>231</v>
      </c>
      <c r="HD15" s="237" t="s">
        <v>231</v>
      </c>
      <c r="HE15" s="237" t="s">
        <v>231</v>
      </c>
      <c r="HF15" s="237" t="s">
        <v>231</v>
      </c>
      <c r="HG15" s="237" t="s">
        <v>492</v>
      </c>
      <c r="HH15" s="237" t="s">
        <v>231</v>
      </c>
      <c r="HI15" s="237" t="s">
        <v>231</v>
      </c>
      <c r="HJ15" s="237" t="s">
        <v>231</v>
      </c>
      <c r="HK15" s="237" t="s">
        <v>231</v>
      </c>
      <c r="HL15" s="237" t="s">
        <v>231</v>
      </c>
      <c r="HM15" s="237" t="s">
        <v>231</v>
      </c>
      <c r="HN15" s="237" t="s">
        <v>231</v>
      </c>
      <c r="HO15" s="237" t="s">
        <v>231</v>
      </c>
      <c r="HP15" s="237" t="s">
        <v>492</v>
      </c>
      <c r="HQ15" s="237" t="s">
        <v>231</v>
      </c>
      <c r="HR15" s="237" t="s">
        <v>492</v>
      </c>
      <c r="HS15" s="237" t="s">
        <v>492</v>
      </c>
      <c r="HT15" s="237" t="s">
        <v>492</v>
      </c>
      <c r="HU15" s="237" t="s">
        <v>231</v>
      </c>
      <c r="HV15" s="237" t="s">
        <v>231</v>
      </c>
      <c r="HW15" s="237" t="s">
        <v>231</v>
      </c>
      <c r="HX15" s="237" t="s">
        <v>231</v>
      </c>
      <c r="HY15" s="237" t="s">
        <v>231</v>
      </c>
      <c r="HZ15" s="237" t="s">
        <v>231</v>
      </c>
      <c r="IA15" s="237" t="s">
        <v>231</v>
      </c>
      <c r="IB15" s="237" t="s">
        <v>231</v>
      </c>
      <c r="IC15" s="237" t="s">
        <v>231</v>
      </c>
      <c r="ID15" s="237" t="s">
        <v>231</v>
      </c>
      <c r="IE15" s="237" t="s">
        <v>231</v>
      </c>
      <c r="IF15" s="237" t="s">
        <v>231</v>
      </c>
      <c r="IG15" s="237" t="s">
        <v>231</v>
      </c>
      <c r="IH15" s="237" t="s">
        <v>231</v>
      </c>
      <c r="II15" s="237" t="s">
        <v>231</v>
      </c>
      <c r="IJ15" s="237" t="s">
        <v>231</v>
      </c>
      <c r="IK15" s="237" t="s">
        <v>231</v>
      </c>
      <c r="IL15" s="237" t="s">
        <v>231</v>
      </c>
      <c r="IM15" s="237" t="s">
        <v>231</v>
      </c>
      <c r="IN15" s="237" t="s">
        <v>231</v>
      </c>
      <c r="IO15" s="237" t="s">
        <v>220</v>
      </c>
      <c r="IP15" s="237" t="s">
        <v>493</v>
      </c>
      <c r="IQ15" s="237" t="s">
        <v>219</v>
      </c>
      <c r="IR15" s="237" t="s">
        <v>490</v>
      </c>
      <c r="IS15" s="237" t="s">
        <v>492</v>
      </c>
      <c r="IT15" s="237" t="s">
        <v>492</v>
      </c>
    </row>
    <row r="16" spans="1:254" ht="15" x14ac:dyDescent="0.25">
      <c r="A16" s="259" t="str">
        <f>HYPERLINK("http://www.ofsted.gov.uk/inspection-reports/find-inspection-report/provider/ELS/135219 ","Ofsted School Webpage")</f>
        <v>Ofsted School Webpage</v>
      </c>
      <c r="B16" s="240">
        <v>135219</v>
      </c>
      <c r="C16" s="240">
        <v>8886097</v>
      </c>
      <c r="D16" s="240" t="s">
        <v>533</v>
      </c>
      <c r="E16" s="240" t="s">
        <v>247</v>
      </c>
      <c r="F16" s="240" t="s">
        <v>482</v>
      </c>
      <c r="G16" s="240" t="s">
        <v>495</v>
      </c>
      <c r="H16" s="240" t="s">
        <v>495</v>
      </c>
      <c r="I16" s="240" t="s">
        <v>534</v>
      </c>
      <c r="J16" s="240" t="s">
        <v>535</v>
      </c>
      <c r="K16" s="240" t="s">
        <v>93</v>
      </c>
      <c r="L16" s="240" t="s">
        <v>84</v>
      </c>
      <c r="M16" s="240" t="s">
        <v>84</v>
      </c>
      <c r="N16" s="240" t="s">
        <v>84</v>
      </c>
      <c r="O16" s="240" t="s">
        <v>486</v>
      </c>
      <c r="P16" s="240" t="s">
        <v>487</v>
      </c>
      <c r="Q16" s="241">
        <v>10048593</v>
      </c>
      <c r="R16" s="242">
        <v>43368</v>
      </c>
      <c r="S16" s="242">
        <v>43370</v>
      </c>
      <c r="T16" s="242">
        <v>43395</v>
      </c>
      <c r="U16" s="240" t="s">
        <v>488</v>
      </c>
      <c r="V16" s="240" t="s">
        <v>489</v>
      </c>
      <c r="W16" s="240">
        <v>2</v>
      </c>
      <c r="X16" s="240">
        <v>2</v>
      </c>
      <c r="Y16" s="240">
        <v>1</v>
      </c>
      <c r="Z16" s="240">
        <v>2</v>
      </c>
      <c r="AA16" s="240">
        <v>2</v>
      </c>
      <c r="AB16" s="240">
        <v>2</v>
      </c>
      <c r="AC16" s="240" t="s">
        <v>486</v>
      </c>
      <c r="AD16" s="240" t="s">
        <v>219</v>
      </c>
      <c r="AE16" s="240" t="s">
        <v>490</v>
      </c>
      <c r="AF16" s="240" t="s">
        <v>486</v>
      </c>
      <c r="AG16" s="240" t="s">
        <v>486</v>
      </c>
      <c r="AH16" s="240" t="s">
        <v>486</v>
      </c>
      <c r="AI16" s="240" t="s">
        <v>486</v>
      </c>
      <c r="AJ16" s="240" t="s">
        <v>486</v>
      </c>
      <c r="AK16" s="240" t="s">
        <v>486</v>
      </c>
      <c r="AL16" s="240" t="s">
        <v>486</v>
      </c>
      <c r="AM16" s="240" t="s">
        <v>491</v>
      </c>
      <c r="AN16" s="240" t="s">
        <v>231</v>
      </c>
      <c r="AO16" s="240" t="s">
        <v>231</v>
      </c>
      <c r="AP16" s="240" t="s">
        <v>231</v>
      </c>
      <c r="AQ16" s="240" t="s">
        <v>231</v>
      </c>
      <c r="AR16" s="240" t="s">
        <v>231</v>
      </c>
      <c r="AS16" s="240" t="s">
        <v>231</v>
      </c>
      <c r="AT16" s="240" t="s">
        <v>231</v>
      </c>
      <c r="AU16" s="240" t="s">
        <v>231</v>
      </c>
      <c r="AV16" s="240" t="s">
        <v>231</v>
      </c>
      <c r="AW16" s="240" t="s">
        <v>231</v>
      </c>
      <c r="AX16" s="240" t="s">
        <v>231</v>
      </c>
      <c r="AY16" s="240" t="s">
        <v>231</v>
      </c>
      <c r="AZ16" s="240" t="s">
        <v>231</v>
      </c>
      <c r="BA16" s="240" t="s">
        <v>231</v>
      </c>
      <c r="BB16" s="240" t="s">
        <v>231</v>
      </c>
      <c r="BC16" s="240" t="s">
        <v>231</v>
      </c>
      <c r="BD16" s="240" t="s">
        <v>231</v>
      </c>
      <c r="BE16" s="240" t="s">
        <v>231</v>
      </c>
      <c r="BF16" s="240" t="s">
        <v>231</v>
      </c>
      <c r="BG16" s="240" t="s">
        <v>231</v>
      </c>
      <c r="BH16" s="240" t="s">
        <v>492</v>
      </c>
      <c r="BI16" s="240" t="s">
        <v>492</v>
      </c>
      <c r="BJ16" s="240" t="s">
        <v>492</v>
      </c>
      <c r="BK16" s="240" t="s">
        <v>492</v>
      </c>
      <c r="BL16" s="240" t="s">
        <v>231</v>
      </c>
      <c r="BM16" s="240" t="s">
        <v>492</v>
      </c>
      <c r="BN16" s="240" t="s">
        <v>231</v>
      </c>
      <c r="BO16" s="240" t="s">
        <v>231</v>
      </c>
      <c r="BP16" s="240" t="s">
        <v>231</v>
      </c>
      <c r="BQ16" s="240" t="s">
        <v>231</v>
      </c>
      <c r="BR16" s="240" t="s">
        <v>231</v>
      </c>
      <c r="BS16" s="240" t="s">
        <v>231</v>
      </c>
      <c r="BT16" s="240" t="s">
        <v>231</v>
      </c>
      <c r="BU16" s="240" t="s">
        <v>231</v>
      </c>
      <c r="BV16" s="240" t="s">
        <v>231</v>
      </c>
      <c r="BW16" s="240" t="s">
        <v>231</v>
      </c>
      <c r="BX16" s="240" t="s">
        <v>231</v>
      </c>
      <c r="BY16" s="240" t="s">
        <v>231</v>
      </c>
      <c r="BZ16" s="240" t="s">
        <v>231</v>
      </c>
      <c r="CA16" s="240" t="s">
        <v>231</v>
      </c>
      <c r="CB16" s="240" t="s">
        <v>231</v>
      </c>
      <c r="CC16" s="240" t="s">
        <v>231</v>
      </c>
      <c r="CD16" s="240" t="s">
        <v>231</v>
      </c>
      <c r="CE16" s="240" t="s">
        <v>231</v>
      </c>
      <c r="CF16" s="240" t="s">
        <v>231</v>
      </c>
      <c r="CG16" s="240" t="s">
        <v>231</v>
      </c>
      <c r="CH16" s="240" t="s">
        <v>231</v>
      </c>
      <c r="CI16" s="240" t="s">
        <v>231</v>
      </c>
      <c r="CJ16" s="240" t="s">
        <v>231</v>
      </c>
      <c r="CK16" s="240" t="s">
        <v>231</v>
      </c>
      <c r="CL16" s="240" t="s">
        <v>231</v>
      </c>
      <c r="CM16" s="240" t="s">
        <v>231</v>
      </c>
      <c r="CN16" s="240" t="s">
        <v>231</v>
      </c>
      <c r="CO16" s="240" t="s">
        <v>231</v>
      </c>
      <c r="CP16" s="240" t="s">
        <v>231</v>
      </c>
      <c r="CQ16" s="240" t="s">
        <v>231</v>
      </c>
      <c r="CR16" s="240" t="s">
        <v>231</v>
      </c>
      <c r="CS16" s="240" t="s">
        <v>231</v>
      </c>
      <c r="CT16" s="240" t="s">
        <v>492</v>
      </c>
      <c r="CU16" s="240" t="s">
        <v>492</v>
      </c>
      <c r="CV16" s="240" t="s">
        <v>492</v>
      </c>
      <c r="CW16" s="240" t="s">
        <v>231</v>
      </c>
      <c r="CX16" s="240" t="s">
        <v>231</v>
      </c>
      <c r="CY16" s="240" t="s">
        <v>231</v>
      </c>
      <c r="CZ16" s="240" t="s">
        <v>231</v>
      </c>
      <c r="DA16" s="240" t="s">
        <v>231</v>
      </c>
      <c r="DB16" s="240" t="s">
        <v>231</v>
      </c>
      <c r="DC16" s="240" t="s">
        <v>231</v>
      </c>
      <c r="DD16" s="240" t="s">
        <v>231</v>
      </c>
      <c r="DE16" s="240" t="s">
        <v>231</v>
      </c>
      <c r="DF16" s="240" t="s">
        <v>231</v>
      </c>
      <c r="DG16" s="240" t="s">
        <v>231</v>
      </c>
      <c r="DH16" s="240" t="s">
        <v>231</v>
      </c>
      <c r="DI16" s="240" t="s">
        <v>231</v>
      </c>
      <c r="DJ16" s="240" t="s">
        <v>231</v>
      </c>
      <c r="DK16" s="240" t="s">
        <v>231</v>
      </c>
      <c r="DL16" s="240" t="s">
        <v>231</v>
      </c>
      <c r="DM16" s="240" t="s">
        <v>231</v>
      </c>
      <c r="DN16" s="240" t="s">
        <v>231</v>
      </c>
      <c r="DO16" s="240" t="s">
        <v>231</v>
      </c>
      <c r="DP16" s="240" t="s">
        <v>231</v>
      </c>
      <c r="DQ16" s="240" t="s">
        <v>231</v>
      </c>
      <c r="DR16" s="240" t="s">
        <v>231</v>
      </c>
      <c r="DS16" s="240" t="s">
        <v>492</v>
      </c>
      <c r="DT16" s="240" t="s">
        <v>492</v>
      </c>
      <c r="DU16" s="240" t="s">
        <v>231</v>
      </c>
      <c r="DV16" s="240" t="s">
        <v>492</v>
      </c>
      <c r="DW16" s="240" t="s">
        <v>492</v>
      </c>
      <c r="DX16" s="240" t="s">
        <v>492</v>
      </c>
      <c r="DY16" s="240" t="s">
        <v>492</v>
      </c>
      <c r="DZ16" s="240" t="s">
        <v>492</v>
      </c>
      <c r="EA16" s="240" t="s">
        <v>492</v>
      </c>
      <c r="EB16" s="240" t="s">
        <v>492</v>
      </c>
      <c r="EC16" s="240" t="s">
        <v>492</v>
      </c>
      <c r="ED16" s="240" t="s">
        <v>492</v>
      </c>
      <c r="EE16" s="240" t="s">
        <v>492</v>
      </c>
      <c r="EF16" s="240" t="s">
        <v>492</v>
      </c>
      <c r="EG16" s="240" t="s">
        <v>492</v>
      </c>
      <c r="EH16" s="240" t="s">
        <v>492</v>
      </c>
      <c r="EI16" s="240" t="s">
        <v>492</v>
      </c>
      <c r="EJ16" s="240" t="s">
        <v>492</v>
      </c>
      <c r="EK16" s="240" t="s">
        <v>492</v>
      </c>
      <c r="EL16" s="240" t="s">
        <v>492</v>
      </c>
      <c r="EM16" s="240" t="s">
        <v>492</v>
      </c>
      <c r="EN16" s="240" t="s">
        <v>492</v>
      </c>
      <c r="EO16" s="240" t="s">
        <v>492</v>
      </c>
      <c r="EP16" s="240" t="s">
        <v>492</v>
      </c>
      <c r="EQ16" s="240" t="s">
        <v>492</v>
      </c>
      <c r="ER16" s="240" t="s">
        <v>492</v>
      </c>
      <c r="ES16" s="240" t="s">
        <v>231</v>
      </c>
      <c r="ET16" s="240" t="s">
        <v>231</v>
      </c>
      <c r="EU16" s="240" t="s">
        <v>231</v>
      </c>
      <c r="EV16" s="240" t="s">
        <v>231</v>
      </c>
      <c r="EW16" s="240" t="s">
        <v>231</v>
      </c>
      <c r="EX16" s="240" t="s">
        <v>231</v>
      </c>
      <c r="EY16" s="240" t="s">
        <v>231</v>
      </c>
      <c r="EZ16" s="240" t="s">
        <v>231</v>
      </c>
      <c r="FA16" s="240" t="s">
        <v>231</v>
      </c>
      <c r="FB16" s="240" t="s">
        <v>231</v>
      </c>
      <c r="FC16" s="240" t="s">
        <v>231</v>
      </c>
      <c r="FD16" s="240" t="s">
        <v>492</v>
      </c>
      <c r="FE16" s="240" t="s">
        <v>231</v>
      </c>
      <c r="FF16" s="240" t="s">
        <v>231</v>
      </c>
      <c r="FG16" s="240" t="s">
        <v>492</v>
      </c>
      <c r="FH16" s="240" t="s">
        <v>492</v>
      </c>
      <c r="FI16" s="240" t="s">
        <v>492</v>
      </c>
      <c r="FJ16" s="240" t="s">
        <v>492</v>
      </c>
      <c r="FK16" s="240" t="s">
        <v>492</v>
      </c>
      <c r="FL16" s="240" t="s">
        <v>492</v>
      </c>
      <c r="FM16" s="240" t="s">
        <v>492</v>
      </c>
      <c r="FN16" s="240" t="s">
        <v>492</v>
      </c>
      <c r="FO16" s="240" t="s">
        <v>493</v>
      </c>
      <c r="FP16" s="240" t="s">
        <v>492</v>
      </c>
      <c r="FQ16" s="240" t="s">
        <v>231</v>
      </c>
      <c r="FR16" s="240" t="s">
        <v>231</v>
      </c>
      <c r="FS16" s="240" t="s">
        <v>231</v>
      </c>
      <c r="FT16" s="240" t="s">
        <v>492</v>
      </c>
      <c r="FU16" s="240" t="s">
        <v>231</v>
      </c>
      <c r="FV16" s="240" t="s">
        <v>231</v>
      </c>
      <c r="FW16" s="240" t="s">
        <v>231</v>
      </c>
      <c r="FX16" s="240" t="s">
        <v>492</v>
      </c>
      <c r="FY16" s="240" t="s">
        <v>231</v>
      </c>
      <c r="FZ16" s="240" t="s">
        <v>231</v>
      </c>
      <c r="GA16" s="240" t="s">
        <v>231</v>
      </c>
      <c r="GB16" s="240" t="s">
        <v>231</v>
      </c>
      <c r="GC16" s="240" t="s">
        <v>231</v>
      </c>
      <c r="GD16" s="240" t="s">
        <v>231</v>
      </c>
      <c r="GE16" s="240" t="s">
        <v>231</v>
      </c>
      <c r="GF16" s="240" t="s">
        <v>231</v>
      </c>
      <c r="GG16" s="240" t="s">
        <v>231</v>
      </c>
      <c r="GH16" s="240" t="s">
        <v>231</v>
      </c>
      <c r="GI16" s="240" t="s">
        <v>231</v>
      </c>
      <c r="GJ16" s="240" t="s">
        <v>231</v>
      </c>
      <c r="GK16" s="240" t="s">
        <v>231</v>
      </c>
      <c r="GL16" s="240" t="s">
        <v>231</v>
      </c>
      <c r="GM16" s="240" t="s">
        <v>231</v>
      </c>
      <c r="GN16" s="240" t="s">
        <v>231</v>
      </c>
      <c r="GO16" s="240" t="s">
        <v>231</v>
      </c>
      <c r="GP16" s="240" t="s">
        <v>492</v>
      </c>
      <c r="GQ16" s="240" t="s">
        <v>231</v>
      </c>
      <c r="GR16" s="240" t="s">
        <v>231</v>
      </c>
      <c r="GS16" s="240" t="s">
        <v>231</v>
      </c>
      <c r="GT16" s="240" t="s">
        <v>231</v>
      </c>
      <c r="GU16" s="240" t="s">
        <v>231</v>
      </c>
      <c r="GV16" s="240" t="s">
        <v>492</v>
      </c>
      <c r="GW16" s="240" t="s">
        <v>231</v>
      </c>
      <c r="GX16" s="240" t="s">
        <v>231</v>
      </c>
      <c r="GY16" s="240" t="s">
        <v>492</v>
      </c>
      <c r="GZ16" s="240" t="s">
        <v>492</v>
      </c>
      <c r="HA16" s="240" t="s">
        <v>492</v>
      </c>
      <c r="HB16" s="240" t="s">
        <v>231</v>
      </c>
      <c r="HC16" s="240" t="s">
        <v>231</v>
      </c>
      <c r="HD16" s="240" t="s">
        <v>231</v>
      </c>
      <c r="HE16" s="240" t="s">
        <v>231</v>
      </c>
      <c r="HF16" s="240" t="s">
        <v>492</v>
      </c>
      <c r="HG16" s="240" t="s">
        <v>492</v>
      </c>
      <c r="HH16" s="240" t="s">
        <v>231</v>
      </c>
      <c r="HI16" s="240" t="s">
        <v>231</v>
      </c>
      <c r="HJ16" s="240" t="s">
        <v>231</v>
      </c>
      <c r="HK16" s="240" t="s">
        <v>492</v>
      </c>
      <c r="HL16" s="240" t="s">
        <v>231</v>
      </c>
      <c r="HM16" s="240" t="s">
        <v>231</v>
      </c>
      <c r="HN16" s="240" t="s">
        <v>231</v>
      </c>
      <c r="HO16" s="240" t="s">
        <v>231</v>
      </c>
      <c r="HP16" s="240" t="s">
        <v>231</v>
      </c>
      <c r="HQ16" s="240" t="s">
        <v>492</v>
      </c>
      <c r="HR16" s="240" t="s">
        <v>492</v>
      </c>
      <c r="HS16" s="240" t="s">
        <v>492</v>
      </c>
      <c r="HT16" s="240" t="s">
        <v>492</v>
      </c>
      <c r="HU16" s="240" t="s">
        <v>231</v>
      </c>
      <c r="HV16" s="240" t="s">
        <v>231</v>
      </c>
      <c r="HW16" s="240" t="s">
        <v>231</v>
      </c>
      <c r="HX16" s="240" t="s">
        <v>231</v>
      </c>
      <c r="HY16" s="240" t="s">
        <v>231</v>
      </c>
      <c r="HZ16" s="240" t="s">
        <v>231</v>
      </c>
      <c r="IA16" s="240" t="s">
        <v>231</v>
      </c>
      <c r="IB16" s="240" t="s">
        <v>231</v>
      </c>
      <c r="IC16" s="240" t="s">
        <v>231</v>
      </c>
      <c r="ID16" s="240" t="s">
        <v>231</v>
      </c>
      <c r="IE16" s="240" t="s">
        <v>231</v>
      </c>
      <c r="IF16" s="240" t="s">
        <v>231</v>
      </c>
      <c r="IG16" s="240" t="s">
        <v>231</v>
      </c>
      <c r="IH16" s="240" t="s">
        <v>231</v>
      </c>
      <c r="II16" s="240" t="s">
        <v>231</v>
      </c>
      <c r="IJ16" s="240" t="s">
        <v>231</v>
      </c>
      <c r="IK16" s="240" t="s">
        <v>231</v>
      </c>
      <c r="IL16" s="240" t="s">
        <v>231</v>
      </c>
      <c r="IM16" s="240" t="s">
        <v>231</v>
      </c>
      <c r="IN16" s="240" t="s">
        <v>231</v>
      </c>
      <c r="IO16" s="240" t="s">
        <v>220</v>
      </c>
      <c r="IP16" s="240" t="s">
        <v>493</v>
      </c>
      <c r="IQ16" s="240" t="s">
        <v>219</v>
      </c>
      <c r="IR16" s="240" t="s">
        <v>490</v>
      </c>
      <c r="IS16" s="240" t="s">
        <v>231</v>
      </c>
      <c r="IT16" s="240" t="s">
        <v>231</v>
      </c>
    </row>
    <row r="17" spans="1:254" ht="15" x14ac:dyDescent="0.25">
      <c r="A17" s="258" t="str">
        <f>HYPERLINK("http://www.ofsted.gov.uk/inspection-reports/find-inspection-report/provider/ELS/121252 ","Ofsted School Webpage")</f>
        <v>Ofsted School Webpage</v>
      </c>
      <c r="B17" s="237">
        <v>121252</v>
      </c>
      <c r="C17" s="237">
        <v>9266145</v>
      </c>
      <c r="D17" s="237" t="s">
        <v>536</v>
      </c>
      <c r="E17" s="237" t="s">
        <v>248</v>
      </c>
      <c r="F17" s="237" t="s">
        <v>501</v>
      </c>
      <c r="G17" s="237" t="s">
        <v>516</v>
      </c>
      <c r="H17" s="237" t="s">
        <v>516</v>
      </c>
      <c r="I17" s="237" t="s">
        <v>528</v>
      </c>
      <c r="J17" s="237" t="s">
        <v>537</v>
      </c>
      <c r="K17" s="237" t="s">
        <v>77</v>
      </c>
      <c r="L17" s="237" t="s">
        <v>77</v>
      </c>
      <c r="M17" s="237" t="s">
        <v>77</v>
      </c>
      <c r="N17" s="237" t="s">
        <v>71</v>
      </c>
      <c r="O17" s="237" t="s">
        <v>486</v>
      </c>
      <c r="P17" s="237" t="s">
        <v>487</v>
      </c>
      <c r="Q17" s="238">
        <v>10054008</v>
      </c>
      <c r="R17" s="239">
        <v>43368</v>
      </c>
      <c r="S17" s="239">
        <v>43370</v>
      </c>
      <c r="T17" s="239">
        <v>43411</v>
      </c>
      <c r="U17" s="237" t="s">
        <v>488</v>
      </c>
      <c r="V17" s="237" t="s">
        <v>489</v>
      </c>
      <c r="W17" s="237">
        <v>2</v>
      </c>
      <c r="X17" s="237">
        <v>2</v>
      </c>
      <c r="Y17" s="237">
        <v>2</v>
      </c>
      <c r="Z17" s="237">
        <v>2</v>
      </c>
      <c r="AA17" s="237">
        <v>2</v>
      </c>
      <c r="AB17" s="237" t="s">
        <v>486</v>
      </c>
      <c r="AC17" s="237" t="s">
        <v>486</v>
      </c>
      <c r="AD17" s="237" t="s">
        <v>219</v>
      </c>
      <c r="AE17" s="237" t="s">
        <v>490</v>
      </c>
      <c r="AF17" s="237" t="s">
        <v>486</v>
      </c>
      <c r="AG17" s="237" t="s">
        <v>486</v>
      </c>
      <c r="AH17" s="237" t="s">
        <v>486</v>
      </c>
      <c r="AI17" s="237" t="s">
        <v>486</v>
      </c>
      <c r="AJ17" s="237" t="s">
        <v>486</v>
      </c>
      <c r="AK17" s="237" t="s">
        <v>486</v>
      </c>
      <c r="AL17" s="237" t="s">
        <v>486</v>
      </c>
      <c r="AM17" s="237" t="s">
        <v>491</v>
      </c>
      <c r="AN17" s="237" t="s">
        <v>231</v>
      </c>
      <c r="AO17" s="237" t="s">
        <v>231</v>
      </c>
      <c r="AP17" s="237" t="s">
        <v>231</v>
      </c>
      <c r="AQ17" s="237" t="s">
        <v>231</v>
      </c>
      <c r="AR17" s="237" t="s">
        <v>231</v>
      </c>
      <c r="AS17" s="237" t="s">
        <v>231</v>
      </c>
      <c r="AT17" s="237" t="s">
        <v>231</v>
      </c>
      <c r="AU17" s="237" t="s">
        <v>231</v>
      </c>
      <c r="AV17" s="237" t="s">
        <v>231</v>
      </c>
      <c r="AW17" s="237" t="s">
        <v>231</v>
      </c>
      <c r="AX17" s="237" t="s">
        <v>231</v>
      </c>
      <c r="AY17" s="237" t="s">
        <v>231</v>
      </c>
      <c r="AZ17" s="237" t="s">
        <v>231</v>
      </c>
      <c r="BA17" s="237" t="s">
        <v>231</v>
      </c>
      <c r="BB17" s="237" t="s">
        <v>231</v>
      </c>
      <c r="BC17" s="237" t="s">
        <v>231</v>
      </c>
      <c r="BD17" s="237" t="s">
        <v>492</v>
      </c>
      <c r="BE17" s="237" t="s">
        <v>231</v>
      </c>
      <c r="BF17" s="237" t="s">
        <v>231</v>
      </c>
      <c r="BG17" s="237" t="s">
        <v>231</v>
      </c>
      <c r="BH17" s="237" t="s">
        <v>231</v>
      </c>
      <c r="BI17" s="237" t="s">
        <v>231</v>
      </c>
      <c r="BJ17" s="237" t="s">
        <v>231</v>
      </c>
      <c r="BK17" s="237" t="s">
        <v>231</v>
      </c>
      <c r="BL17" s="237" t="s">
        <v>492</v>
      </c>
      <c r="BM17" s="237" t="s">
        <v>231</v>
      </c>
      <c r="BN17" s="237" t="s">
        <v>231</v>
      </c>
      <c r="BO17" s="237" t="s">
        <v>231</v>
      </c>
      <c r="BP17" s="237" t="s">
        <v>231</v>
      </c>
      <c r="BQ17" s="237" t="s">
        <v>231</v>
      </c>
      <c r="BR17" s="237" t="s">
        <v>231</v>
      </c>
      <c r="BS17" s="237" t="s">
        <v>231</v>
      </c>
      <c r="BT17" s="237" t="s">
        <v>231</v>
      </c>
      <c r="BU17" s="237" t="s">
        <v>231</v>
      </c>
      <c r="BV17" s="237" t="s">
        <v>231</v>
      </c>
      <c r="BW17" s="237" t="s">
        <v>231</v>
      </c>
      <c r="BX17" s="237" t="s">
        <v>231</v>
      </c>
      <c r="BY17" s="237" t="s">
        <v>231</v>
      </c>
      <c r="BZ17" s="237" t="s">
        <v>231</v>
      </c>
      <c r="CA17" s="237" t="s">
        <v>231</v>
      </c>
      <c r="CB17" s="237" t="s">
        <v>231</v>
      </c>
      <c r="CC17" s="237" t="s">
        <v>231</v>
      </c>
      <c r="CD17" s="237" t="s">
        <v>231</v>
      </c>
      <c r="CE17" s="237" t="s">
        <v>231</v>
      </c>
      <c r="CF17" s="237" t="s">
        <v>231</v>
      </c>
      <c r="CG17" s="237" t="s">
        <v>231</v>
      </c>
      <c r="CH17" s="237" t="s">
        <v>231</v>
      </c>
      <c r="CI17" s="237" t="s">
        <v>231</v>
      </c>
      <c r="CJ17" s="237" t="s">
        <v>231</v>
      </c>
      <c r="CK17" s="237" t="s">
        <v>231</v>
      </c>
      <c r="CL17" s="237" t="s">
        <v>231</v>
      </c>
      <c r="CM17" s="237" t="s">
        <v>231</v>
      </c>
      <c r="CN17" s="237" t="s">
        <v>231</v>
      </c>
      <c r="CO17" s="237" t="s">
        <v>231</v>
      </c>
      <c r="CP17" s="237" t="s">
        <v>231</v>
      </c>
      <c r="CQ17" s="237" t="s">
        <v>231</v>
      </c>
      <c r="CR17" s="237" t="s">
        <v>231</v>
      </c>
      <c r="CS17" s="237" t="s">
        <v>231</v>
      </c>
      <c r="CT17" s="237" t="s">
        <v>492</v>
      </c>
      <c r="CU17" s="237" t="s">
        <v>492</v>
      </c>
      <c r="CV17" s="237" t="s">
        <v>492</v>
      </c>
      <c r="CW17" s="237" t="s">
        <v>231</v>
      </c>
      <c r="CX17" s="237" t="s">
        <v>231</v>
      </c>
      <c r="CY17" s="237" t="s">
        <v>231</v>
      </c>
      <c r="CZ17" s="237" t="s">
        <v>231</v>
      </c>
      <c r="DA17" s="237" t="s">
        <v>231</v>
      </c>
      <c r="DB17" s="237" t="s">
        <v>231</v>
      </c>
      <c r="DC17" s="237" t="s">
        <v>231</v>
      </c>
      <c r="DD17" s="237" t="s">
        <v>231</v>
      </c>
      <c r="DE17" s="237" t="s">
        <v>231</v>
      </c>
      <c r="DF17" s="237" t="s">
        <v>231</v>
      </c>
      <c r="DG17" s="237" t="s">
        <v>231</v>
      </c>
      <c r="DH17" s="237" t="s">
        <v>231</v>
      </c>
      <c r="DI17" s="237" t="s">
        <v>231</v>
      </c>
      <c r="DJ17" s="237" t="s">
        <v>231</v>
      </c>
      <c r="DK17" s="237" t="s">
        <v>231</v>
      </c>
      <c r="DL17" s="237" t="s">
        <v>231</v>
      </c>
      <c r="DM17" s="237" t="s">
        <v>231</v>
      </c>
      <c r="DN17" s="237" t="s">
        <v>231</v>
      </c>
      <c r="DO17" s="237" t="s">
        <v>231</v>
      </c>
      <c r="DP17" s="237" t="s">
        <v>231</v>
      </c>
      <c r="DQ17" s="237" t="s">
        <v>231</v>
      </c>
      <c r="DR17" s="237" t="s">
        <v>231</v>
      </c>
      <c r="DS17" s="237" t="s">
        <v>231</v>
      </c>
      <c r="DT17" s="237" t="s">
        <v>492</v>
      </c>
      <c r="DU17" s="237" t="s">
        <v>231</v>
      </c>
      <c r="DV17" s="237" t="s">
        <v>231</v>
      </c>
      <c r="DW17" s="237" t="s">
        <v>231</v>
      </c>
      <c r="DX17" s="237" t="s">
        <v>231</v>
      </c>
      <c r="DY17" s="237" t="s">
        <v>231</v>
      </c>
      <c r="DZ17" s="237" t="s">
        <v>231</v>
      </c>
      <c r="EA17" s="237" t="s">
        <v>231</v>
      </c>
      <c r="EB17" s="237" t="s">
        <v>231</v>
      </c>
      <c r="EC17" s="237" t="s">
        <v>231</v>
      </c>
      <c r="ED17" s="237" t="s">
        <v>231</v>
      </c>
      <c r="EE17" s="237" t="s">
        <v>231</v>
      </c>
      <c r="EF17" s="237" t="s">
        <v>231</v>
      </c>
      <c r="EG17" s="237" t="s">
        <v>231</v>
      </c>
      <c r="EH17" s="237" t="s">
        <v>492</v>
      </c>
      <c r="EI17" s="237" t="s">
        <v>231</v>
      </c>
      <c r="EJ17" s="237" t="s">
        <v>231</v>
      </c>
      <c r="EK17" s="237" t="s">
        <v>231</v>
      </c>
      <c r="EL17" s="237" t="s">
        <v>231</v>
      </c>
      <c r="EM17" s="237" t="s">
        <v>231</v>
      </c>
      <c r="EN17" s="237" t="s">
        <v>231</v>
      </c>
      <c r="EO17" s="237" t="s">
        <v>231</v>
      </c>
      <c r="EP17" s="237" t="s">
        <v>231</v>
      </c>
      <c r="EQ17" s="237" t="s">
        <v>231</v>
      </c>
      <c r="ER17" s="237" t="s">
        <v>231</v>
      </c>
      <c r="ES17" s="237" t="s">
        <v>231</v>
      </c>
      <c r="ET17" s="237" t="s">
        <v>231</v>
      </c>
      <c r="EU17" s="237" t="s">
        <v>231</v>
      </c>
      <c r="EV17" s="237" t="s">
        <v>231</v>
      </c>
      <c r="EW17" s="237" t="s">
        <v>231</v>
      </c>
      <c r="EX17" s="237" t="s">
        <v>231</v>
      </c>
      <c r="EY17" s="237" t="s">
        <v>231</v>
      </c>
      <c r="EZ17" s="237" t="s">
        <v>231</v>
      </c>
      <c r="FA17" s="237" t="s">
        <v>231</v>
      </c>
      <c r="FB17" s="237" t="s">
        <v>231</v>
      </c>
      <c r="FC17" s="237" t="s">
        <v>231</v>
      </c>
      <c r="FD17" s="237" t="s">
        <v>231</v>
      </c>
      <c r="FE17" s="237" t="s">
        <v>231</v>
      </c>
      <c r="FF17" s="237" t="s">
        <v>231</v>
      </c>
      <c r="FG17" s="237" t="s">
        <v>231</v>
      </c>
      <c r="FH17" s="237" t="s">
        <v>231</v>
      </c>
      <c r="FI17" s="237" t="s">
        <v>231</v>
      </c>
      <c r="FJ17" s="237" t="s">
        <v>231</v>
      </c>
      <c r="FK17" s="237" t="s">
        <v>231</v>
      </c>
      <c r="FL17" s="237" t="s">
        <v>231</v>
      </c>
      <c r="FM17" s="237" t="s">
        <v>231</v>
      </c>
      <c r="FN17" s="237" t="s">
        <v>231</v>
      </c>
      <c r="FO17" s="237" t="s">
        <v>231</v>
      </c>
      <c r="FP17" s="237" t="s">
        <v>231</v>
      </c>
      <c r="FQ17" s="237" t="s">
        <v>231</v>
      </c>
      <c r="FR17" s="237" t="s">
        <v>231</v>
      </c>
      <c r="FS17" s="237" t="s">
        <v>231</v>
      </c>
      <c r="FT17" s="237" t="s">
        <v>231</v>
      </c>
      <c r="FU17" s="237" t="s">
        <v>231</v>
      </c>
      <c r="FV17" s="237" t="s">
        <v>231</v>
      </c>
      <c r="FW17" s="237" t="s">
        <v>231</v>
      </c>
      <c r="FX17" s="237" t="s">
        <v>231</v>
      </c>
      <c r="FY17" s="237" t="s">
        <v>231</v>
      </c>
      <c r="FZ17" s="237" t="s">
        <v>231</v>
      </c>
      <c r="GA17" s="237" t="s">
        <v>231</v>
      </c>
      <c r="GB17" s="237" t="s">
        <v>231</v>
      </c>
      <c r="GC17" s="237" t="s">
        <v>231</v>
      </c>
      <c r="GD17" s="237" t="s">
        <v>231</v>
      </c>
      <c r="GE17" s="237" t="s">
        <v>231</v>
      </c>
      <c r="GF17" s="237" t="s">
        <v>231</v>
      </c>
      <c r="GG17" s="237" t="s">
        <v>231</v>
      </c>
      <c r="GH17" s="237" t="s">
        <v>231</v>
      </c>
      <c r="GI17" s="237" t="s">
        <v>231</v>
      </c>
      <c r="GJ17" s="237" t="s">
        <v>231</v>
      </c>
      <c r="GK17" s="237" t="s">
        <v>231</v>
      </c>
      <c r="GL17" s="237" t="s">
        <v>231</v>
      </c>
      <c r="GM17" s="237" t="s">
        <v>231</v>
      </c>
      <c r="GN17" s="237" t="s">
        <v>231</v>
      </c>
      <c r="GO17" s="237" t="s">
        <v>231</v>
      </c>
      <c r="GP17" s="237" t="s">
        <v>492</v>
      </c>
      <c r="GQ17" s="237" t="s">
        <v>231</v>
      </c>
      <c r="GR17" s="237" t="s">
        <v>231</v>
      </c>
      <c r="GS17" s="237" t="s">
        <v>231</v>
      </c>
      <c r="GT17" s="237" t="s">
        <v>231</v>
      </c>
      <c r="GU17" s="237" t="s">
        <v>231</v>
      </c>
      <c r="GV17" s="237" t="s">
        <v>492</v>
      </c>
      <c r="GW17" s="237" t="s">
        <v>231</v>
      </c>
      <c r="GX17" s="237" t="s">
        <v>231</v>
      </c>
      <c r="GY17" s="237" t="s">
        <v>231</v>
      </c>
      <c r="GZ17" s="237" t="s">
        <v>231</v>
      </c>
      <c r="HA17" s="237" t="s">
        <v>231</v>
      </c>
      <c r="HB17" s="237" t="s">
        <v>231</v>
      </c>
      <c r="HC17" s="237" t="s">
        <v>231</v>
      </c>
      <c r="HD17" s="237" t="s">
        <v>231</v>
      </c>
      <c r="HE17" s="237" t="s">
        <v>492</v>
      </c>
      <c r="HF17" s="237" t="s">
        <v>231</v>
      </c>
      <c r="HG17" s="237" t="s">
        <v>231</v>
      </c>
      <c r="HH17" s="237" t="s">
        <v>231</v>
      </c>
      <c r="HI17" s="237" t="s">
        <v>231</v>
      </c>
      <c r="HJ17" s="237" t="s">
        <v>231</v>
      </c>
      <c r="HK17" s="237" t="s">
        <v>231</v>
      </c>
      <c r="HL17" s="237" t="s">
        <v>231</v>
      </c>
      <c r="HM17" s="237" t="s">
        <v>231</v>
      </c>
      <c r="HN17" s="237" t="s">
        <v>231</v>
      </c>
      <c r="HO17" s="237" t="s">
        <v>231</v>
      </c>
      <c r="HP17" s="237" t="s">
        <v>231</v>
      </c>
      <c r="HQ17" s="237" t="s">
        <v>231</v>
      </c>
      <c r="HR17" s="237" t="s">
        <v>231</v>
      </c>
      <c r="HS17" s="237" t="s">
        <v>231</v>
      </c>
      <c r="HT17" s="237" t="s">
        <v>231</v>
      </c>
      <c r="HU17" s="237" t="s">
        <v>231</v>
      </c>
      <c r="HV17" s="237" t="s">
        <v>231</v>
      </c>
      <c r="HW17" s="237" t="s">
        <v>231</v>
      </c>
      <c r="HX17" s="237" t="s">
        <v>231</v>
      </c>
      <c r="HY17" s="237" t="s">
        <v>231</v>
      </c>
      <c r="HZ17" s="237" t="s">
        <v>231</v>
      </c>
      <c r="IA17" s="237" t="s">
        <v>231</v>
      </c>
      <c r="IB17" s="237" t="s">
        <v>231</v>
      </c>
      <c r="IC17" s="237" t="s">
        <v>231</v>
      </c>
      <c r="ID17" s="237" t="s">
        <v>231</v>
      </c>
      <c r="IE17" s="237" t="s">
        <v>231</v>
      </c>
      <c r="IF17" s="237" t="s">
        <v>231</v>
      </c>
      <c r="IG17" s="237" t="s">
        <v>231</v>
      </c>
      <c r="IH17" s="237" t="s">
        <v>231</v>
      </c>
      <c r="II17" s="237" t="s">
        <v>231</v>
      </c>
      <c r="IJ17" s="237" t="s">
        <v>231</v>
      </c>
      <c r="IK17" s="237" t="s">
        <v>231</v>
      </c>
      <c r="IL17" s="237" t="s">
        <v>231</v>
      </c>
      <c r="IM17" s="237" t="s">
        <v>231</v>
      </c>
      <c r="IN17" s="237" t="s">
        <v>231</v>
      </c>
      <c r="IO17" s="237" t="s">
        <v>220</v>
      </c>
      <c r="IP17" s="237" t="s">
        <v>493</v>
      </c>
      <c r="IQ17" s="237" t="s">
        <v>219</v>
      </c>
      <c r="IR17" s="237" t="s">
        <v>490</v>
      </c>
      <c r="IS17" s="237" t="s">
        <v>492</v>
      </c>
      <c r="IT17" s="237" t="s">
        <v>492</v>
      </c>
    </row>
    <row r="18" spans="1:254" ht="15" x14ac:dyDescent="0.25">
      <c r="A18" s="259" t="str">
        <f>HYPERLINK("http://www.ofsted.gov.uk/inspection-reports/find-inspection-report/provider/ELS/145127 ","Ofsted School Webpage")</f>
        <v>Ofsted School Webpage</v>
      </c>
      <c r="B18" s="240">
        <v>145127</v>
      </c>
      <c r="C18" s="240">
        <v>8416008</v>
      </c>
      <c r="D18" s="240" t="s">
        <v>538</v>
      </c>
      <c r="E18" s="240" t="s">
        <v>248</v>
      </c>
      <c r="F18" s="240" t="s">
        <v>501</v>
      </c>
      <c r="G18" s="240" t="s">
        <v>523</v>
      </c>
      <c r="H18" s="240" t="s">
        <v>539</v>
      </c>
      <c r="I18" s="240" t="s">
        <v>540</v>
      </c>
      <c r="J18" s="240" t="s">
        <v>541</v>
      </c>
      <c r="K18" s="240" t="s">
        <v>93</v>
      </c>
      <c r="L18" s="240" t="s">
        <v>93</v>
      </c>
      <c r="M18" s="240" t="s">
        <v>93</v>
      </c>
      <c r="N18" s="240" t="s">
        <v>90</v>
      </c>
      <c r="O18" s="240" t="s">
        <v>486</v>
      </c>
      <c r="P18" s="240" t="s">
        <v>487</v>
      </c>
      <c r="Q18" s="241">
        <v>10053840</v>
      </c>
      <c r="R18" s="242">
        <v>43368</v>
      </c>
      <c r="S18" s="242">
        <v>43370</v>
      </c>
      <c r="T18" s="242">
        <v>43415</v>
      </c>
      <c r="U18" s="240" t="s">
        <v>499</v>
      </c>
      <c r="V18" s="240" t="s">
        <v>489</v>
      </c>
      <c r="W18" s="240">
        <v>2</v>
      </c>
      <c r="X18" s="240">
        <v>2</v>
      </c>
      <c r="Y18" s="240">
        <v>2</v>
      </c>
      <c r="Z18" s="240">
        <v>2</v>
      </c>
      <c r="AA18" s="240">
        <v>2</v>
      </c>
      <c r="AB18" s="240" t="s">
        <v>486</v>
      </c>
      <c r="AC18" s="240" t="s">
        <v>486</v>
      </c>
      <c r="AD18" s="240" t="s">
        <v>219</v>
      </c>
      <c r="AE18" s="240" t="s">
        <v>490</v>
      </c>
      <c r="AF18" s="240" t="s">
        <v>486</v>
      </c>
      <c r="AG18" s="240" t="s">
        <v>486</v>
      </c>
      <c r="AH18" s="240" t="s">
        <v>486</v>
      </c>
      <c r="AI18" s="240" t="s">
        <v>486</v>
      </c>
      <c r="AJ18" s="240" t="s">
        <v>486</v>
      </c>
      <c r="AK18" s="240" t="s">
        <v>486</v>
      </c>
      <c r="AL18" s="240" t="s">
        <v>486</v>
      </c>
      <c r="AM18" s="240" t="s">
        <v>491</v>
      </c>
      <c r="AN18" s="240" t="s">
        <v>231</v>
      </c>
      <c r="AO18" s="240" t="s">
        <v>231</v>
      </c>
      <c r="AP18" s="240" t="s">
        <v>231</v>
      </c>
      <c r="AQ18" s="240" t="s">
        <v>231</v>
      </c>
      <c r="AR18" s="240" t="s">
        <v>231</v>
      </c>
      <c r="AS18" s="240" t="s">
        <v>231</v>
      </c>
      <c r="AT18" s="240" t="s">
        <v>231</v>
      </c>
      <c r="AU18" s="240" t="s">
        <v>231</v>
      </c>
      <c r="AV18" s="240" t="s">
        <v>231</v>
      </c>
      <c r="AW18" s="240" t="s">
        <v>231</v>
      </c>
      <c r="AX18" s="240" t="s">
        <v>231</v>
      </c>
      <c r="AY18" s="240" t="s">
        <v>231</v>
      </c>
      <c r="AZ18" s="240" t="s">
        <v>231</v>
      </c>
      <c r="BA18" s="240" t="s">
        <v>231</v>
      </c>
      <c r="BB18" s="240" t="s">
        <v>231</v>
      </c>
      <c r="BC18" s="240" t="s">
        <v>231</v>
      </c>
      <c r="BD18" s="240" t="s">
        <v>492</v>
      </c>
      <c r="BE18" s="240" t="s">
        <v>231</v>
      </c>
      <c r="BF18" s="240" t="s">
        <v>231</v>
      </c>
      <c r="BG18" s="240" t="s">
        <v>231</v>
      </c>
      <c r="BH18" s="240" t="s">
        <v>231</v>
      </c>
      <c r="BI18" s="240" t="s">
        <v>231</v>
      </c>
      <c r="BJ18" s="240" t="s">
        <v>231</v>
      </c>
      <c r="BK18" s="240" t="s">
        <v>231</v>
      </c>
      <c r="BL18" s="240" t="s">
        <v>492</v>
      </c>
      <c r="BM18" s="240" t="s">
        <v>492</v>
      </c>
      <c r="BN18" s="240" t="s">
        <v>231</v>
      </c>
      <c r="BO18" s="240" t="s">
        <v>231</v>
      </c>
      <c r="BP18" s="240" t="s">
        <v>231</v>
      </c>
      <c r="BQ18" s="240" t="s">
        <v>231</v>
      </c>
      <c r="BR18" s="240" t="s">
        <v>231</v>
      </c>
      <c r="BS18" s="240" t="s">
        <v>231</v>
      </c>
      <c r="BT18" s="240" t="s">
        <v>231</v>
      </c>
      <c r="BU18" s="240" t="s">
        <v>231</v>
      </c>
      <c r="BV18" s="240" t="s">
        <v>231</v>
      </c>
      <c r="BW18" s="240" t="s">
        <v>231</v>
      </c>
      <c r="BX18" s="240" t="s">
        <v>231</v>
      </c>
      <c r="BY18" s="240" t="s">
        <v>231</v>
      </c>
      <c r="BZ18" s="240" t="s">
        <v>231</v>
      </c>
      <c r="CA18" s="240" t="s">
        <v>231</v>
      </c>
      <c r="CB18" s="240" t="s">
        <v>231</v>
      </c>
      <c r="CC18" s="240" t="s">
        <v>231</v>
      </c>
      <c r="CD18" s="240" t="s">
        <v>231</v>
      </c>
      <c r="CE18" s="240" t="s">
        <v>231</v>
      </c>
      <c r="CF18" s="240" t="s">
        <v>231</v>
      </c>
      <c r="CG18" s="240" t="s">
        <v>231</v>
      </c>
      <c r="CH18" s="240" t="s">
        <v>231</v>
      </c>
      <c r="CI18" s="240" t="s">
        <v>231</v>
      </c>
      <c r="CJ18" s="240" t="s">
        <v>231</v>
      </c>
      <c r="CK18" s="240" t="s">
        <v>231</v>
      </c>
      <c r="CL18" s="240" t="s">
        <v>231</v>
      </c>
      <c r="CM18" s="240" t="s">
        <v>231</v>
      </c>
      <c r="CN18" s="240" t="s">
        <v>231</v>
      </c>
      <c r="CO18" s="240" t="s">
        <v>231</v>
      </c>
      <c r="CP18" s="240" t="s">
        <v>231</v>
      </c>
      <c r="CQ18" s="240" t="s">
        <v>231</v>
      </c>
      <c r="CR18" s="240" t="s">
        <v>231</v>
      </c>
      <c r="CS18" s="240" t="s">
        <v>231</v>
      </c>
      <c r="CT18" s="240" t="s">
        <v>492</v>
      </c>
      <c r="CU18" s="240" t="s">
        <v>492</v>
      </c>
      <c r="CV18" s="240" t="s">
        <v>492</v>
      </c>
      <c r="CW18" s="240" t="s">
        <v>231</v>
      </c>
      <c r="CX18" s="240" t="s">
        <v>231</v>
      </c>
      <c r="CY18" s="240" t="s">
        <v>231</v>
      </c>
      <c r="CZ18" s="240" t="s">
        <v>231</v>
      </c>
      <c r="DA18" s="240" t="s">
        <v>231</v>
      </c>
      <c r="DB18" s="240" t="s">
        <v>231</v>
      </c>
      <c r="DC18" s="240" t="s">
        <v>231</v>
      </c>
      <c r="DD18" s="240" t="s">
        <v>231</v>
      </c>
      <c r="DE18" s="240" t="s">
        <v>231</v>
      </c>
      <c r="DF18" s="240" t="s">
        <v>231</v>
      </c>
      <c r="DG18" s="240" t="s">
        <v>231</v>
      </c>
      <c r="DH18" s="240" t="s">
        <v>231</v>
      </c>
      <c r="DI18" s="240" t="s">
        <v>231</v>
      </c>
      <c r="DJ18" s="240" t="s">
        <v>231</v>
      </c>
      <c r="DK18" s="240" t="s">
        <v>231</v>
      </c>
      <c r="DL18" s="240" t="s">
        <v>231</v>
      </c>
      <c r="DM18" s="240" t="s">
        <v>231</v>
      </c>
      <c r="DN18" s="240" t="s">
        <v>231</v>
      </c>
      <c r="DO18" s="240" t="s">
        <v>231</v>
      </c>
      <c r="DP18" s="240" t="s">
        <v>231</v>
      </c>
      <c r="DQ18" s="240" t="s">
        <v>231</v>
      </c>
      <c r="DR18" s="240" t="s">
        <v>231</v>
      </c>
      <c r="DS18" s="240" t="s">
        <v>492</v>
      </c>
      <c r="DT18" s="240" t="s">
        <v>492</v>
      </c>
      <c r="DU18" s="240" t="s">
        <v>231</v>
      </c>
      <c r="DV18" s="240" t="s">
        <v>231</v>
      </c>
      <c r="DW18" s="240" t="s">
        <v>231</v>
      </c>
      <c r="DX18" s="240" t="s">
        <v>231</v>
      </c>
      <c r="DY18" s="240" t="s">
        <v>231</v>
      </c>
      <c r="DZ18" s="240" t="s">
        <v>231</v>
      </c>
      <c r="EA18" s="240" t="s">
        <v>231</v>
      </c>
      <c r="EB18" s="240" t="s">
        <v>231</v>
      </c>
      <c r="EC18" s="240" t="s">
        <v>231</v>
      </c>
      <c r="ED18" s="240" t="s">
        <v>231</v>
      </c>
      <c r="EE18" s="240" t="s">
        <v>231</v>
      </c>
      <c r="EF18" s="240" t="s">
        <v>231</v>
      </c>
      <c r="EG18" s="240" t="s">
        <v>231</v>
      </c>
      <c r="EH18" s="240" t="s">
        <v>492</v>
      </c>
      <c r="EI18" s="240" t="s">
        <v>231</v>
      </c>
      <c r="EJ18" s="240" t="s">
        <v>231</v>
      </c>
      <c r="EK18" s="240" t="s">
        <v>231</v>
      </c>
      <c r="EL18" s="240" t="s">
        <v>231</v>
      </c>
      <c r="EM18" s="240" t="s">
        <v>231</v>
      </c>
      <c r="EN18" s="240" t="s">
        <v>231</v>
      </c>
      <c r="EO18" s="240" t="s">
        <v>231</v>
      </c>
      <c r="EP18" s="240" t="s">
        <v>231</v>
      </c>
      <c r="EQ18" s="240" t="s">
        <v>231</v>
      </c>
      <c r="ER18" s="240" t="s">
        <v>231</v>
      </c>
      <c r="ES18" s="240" t="s">
        <v>231</v>
      </c>
      <c r="ET18" s="240" t="s">
        <v>231</v>
      </c>
      <c r="EU18" s="240" t="s">
        <v>231</v>
      </c>
      <c r="EV18" s="240" t="s">
        <v>231</v>
      </c>
      <c r="EW18" s="240" t="s">
        <v>231</v>
      </c>
      <c r="EX18" s="240" t="s">
        <v>231</v>
      </c>
      <c r="EY18" s="240" t="s">
        <v>231</v>
      </c>
      <c r="EZ18" s="240" t="s">
        <v>231</v>
      </c>
      <c r="FA18" s="240" t="s">
        <v>231</v>
      </c>
      <c r="FB18" s="240" t="s">
        <v>231</v>
      </c>
      <c r="FC18" s="240" t="s">
        <v>231</v>
      </c>
      <c r="FD18" s="240" t="s">
        <v>231</v>
      </c>
      <c r="FE18" s="240" t="s">
        <v>231</v>
      </c>
      <c r="FF18" s="240" t="s">
        <v>492</v>
      </c>
      <c r="FG18" s="240" t="s">
        <v>492</v>
      </c>
      <c r="FH18" s="240" t="s">
        <v>492</v>
      </c>
      <c r="FI18" s="240" t="s">
        <v>492</v>
      </c>
      <c r="FJ18" s="240" t="s">
        <v>492</v>
      </c>
      <c r="FK18" s="240" t="s">
        <v>492</v>
      </c>
      <c r="FL18" s="240" t="s">
        <v>492</v>
      </c>
      <c r="FM18" s="240" t="s">
        <v>231</v>
      </c>
      <c r="FN18" s="240" t="s">
        <v>492</v>
      </c>
      <c r="FO18" s="240" t="s">
        <v>493</v>
      </c>
      <c r="FP18" s="240" t="s">
        <v>492</v>
      </c>
      <c r="FQ18" s="240" t="s">
        <v>231</v>
      </c>
      <c r="FR18" s="240" t="s">
        <v>231</v>
      </c>
      <c r="FS18" s="240" t="s">
        <v>231</v>
      </c>
      <c r="FT18" s="240" t="s">
        <v>231</v>
      </c>
      <c r="FU18" s="240" t="s">
        <v>231</v>
      </c>
      <c r="FV18" s="240" t="s">
        <v>231</v>
      </c>
      <c r="FW18" s="240" t="s">
        <v>231</v>
      </c>
      <c r="FX18" s="240" t="s">
        <v>492</v>
      </c>
      <c r="FY18" s="240" t="s">
        <v>231</v>
      </c>
      <c r="FZ18" s="240" t="s">
        <v>231</v>
      </c>
      <c r="GA18" s="240" t="s">
        <v>231</v>
      </c>
      <c r="GB18" s="240" t="s">
        <v>231</v>
      </c>
      <c r="GC18" s="240" t="s">
        <v>231</v>
      </c>
      <c r="GD18" s="240" t="s">
        <v>231</v>
      </c>
      <c r="GE18" s="240" t="s">
        <v>231</v>
      </c>
      <c r="GF18" s="240" t="s">
        <v>231</v>
      </c>
      <c r="GG18" s="240" t="s">
        <v>231</v>
      </c>
      <c r="GH18" s="240" t="s">
        <v>231</v>
      </c>
      <c r="GI18" s="240" t="s">
        <v>231</v>
      </c>
      <c r="GJ18" s="240" t="s">
        <v>231</v>
      </c>
      <c r="GK18" s="240" t="s">
        <v>231</v>
      </c>
      <c r="GL18" s="240" t="s">
        <v>231</v>
      </c>
      <c r="GM18" s="240" t="s">
        <v>231</v>
      </c>
      <c r="GN18" s="240" t="s">
        <v>231</v>
      </c>
      <c r="GO18" s="240" t="s">
        <v>231</v>
      </c>
      <c r="GP18" s="240" t="s">
        <v>492</v>
      </c>
      <c r="GQ18" s="240" t="s">
        <v>231</v>
      </c>
      <c r="GR18" s="240" t="s">
        <v>231</v>
      </c>
      <c r="GS18" s="240" t="s">
        <v>231</v>
      </c>
      <c r="GT18" s="240" t="s">
        <v>231</v>
      </c>
      <c r="GU18" s="240" t="s">
        <v>492</v>
      </c>
      <c r="GV18" s="240" t="s">
        <v>492</v>
      </c>
      <c r="GW18" s="240" t="s">
        <v>231</v>
      </c>
      <c r="GX18" s="240" t="s">
        <v>231</v>
      </c>
      <c r="GY18" s="240" t="s">
        <v>231</v>
      </c>
      <c r="GZ18" s="240" t="s">
        <v>231</v>
      </c>
      <c r="HA18" s="240" t="s">
        <v>231</v>
      </c>
      <c r="HB18" s="240" t="s">
        <v>231</v>
      </c>
      <c r="HC18" s="240" t="s">
        <v>231</v>
      </c>
      <c r="HD18" s="240" t="s">
        <v>231</v>
      </c>
      <c r="HE18" s="240" t="s">
        <v>492</v>
      </c>
      <c r="HF18" s="240" t="s">
        <v>231</v>
      </c>
      <c r="HG18" s="240" t="s">
        <v>492</v>
      </c>
      <c r="HH18" s="240" t="s">
        <v>231</v>
      </c>
      <c r="HI18" s="240" t="s">
        <v>231</v>
      </c>
      <c r="HJ18" s="240" t="s">
        <v>231</v>
      </c>
      <c r="HK18" s="240" t="s">
        <v>231</v>
      </c>
      <c r="HL18" s="240" t="s">
        <v>231</v>
      </c>
      <c r="HM18" s="240" t="s">
        <v>231</v>
      </c>
      <c r="HN18" s="240" t="s">
        <v>231</v>
      </c>
      <c r="HO18" s="240" t="s">
        <v>231</v>
      </c>
      <c r="HP18" s="240" t="s">
        <v>492</v>
      </c>
      <c r="HQ18" s="240" t="s">
        <v>492</v>
      </c>
      <c r="HR18" s="240" t="s">
        <v>492</v>
      </c>
      <c r="HS18" s="240" t="s">
        <v>492</v>
      </c>
      <c r="HT18" s="240" t="s">
        <v>492</v>
      </c>
      <c r="HU18" s="240" t="s">
        <v>231</v>
      </c>
      <c r="HV18" s="240" t="s">
        <v>231</v>
      </c>
      <c r="HW18" s="240" t="s">
        <v>231</v>
      </c>
      <c r="HX18" s="240" t="s">
        <v>231</v>
      </c>
      <c r="HY18" s="240" t="s">
        <v>231</v>
      </c>
      <c r="HZ18" s="240" t="s">
        <v>231</v>
      </c>
      <c r="IA18" s="240" t="s">
        <v>231</v>
      </c>
      <c r="IB18" s="240" t="s">
        <v>231</v>
      </c>
      <c r="IC18" s="240" t="s">
        <v>231</v>
      </c>
      <c r="ID18" s="240" t="s">
        <v>231</v>
      </c>
      <c r="IE18" s="240" t="s">
        <v>231</v>
      </c>
      <c r="IF18" s="240" t="s">
        <v>231</v>
      </c>
      <c r="IG18" s="240" t="s">
        <v>231</v>
      </c>
      <c r="IH18" s="240" t="s">
        <v>231</v>
      </c>
      <c r="II18" s="240" t="s">
        <v>231</v>
      </c>
      <c r="IJ18" s="240" t="s">
        <v>231</v>
      </c>
      <c r="IK18" s="240" t="s">
        <v>231</v>
      </c>
      <c r="IL18" s="240" t="s">
        <v>231</v>
      </c>
      <c r="IM18" s="240" t="s">
        <v>231</v>
      </c>
      <c r="IN18" s="240" t="s">
        <v>231</v>
      </c>
      <c r="IO18" s="240" t="s">
        <v>219</v>
      </c>
      <c r="IP18" s="240" t="s">
        <v>220</v>
      </c>
      <c r="IQ18" s="240" t="s">
        <v>219</v>
      </c>
      <c r="IR18" s="240" t="s">
        <v>490</v>
      </c>
      <c r="IS18" s="240" t="s">
        <v>492</v>
      </c>
      <c r="IT18" s="240" t="s">
        <v>492</v>
      </c>
    </row>
    <row r="19" spans="1:254" ht="15" x14ac:dyDescent="0.25">
      <c r="A19" s="258" t="str">
        <f>HYPERLINK("http://www.ofsted.gov.uk/inspection-reports/find-inspection-report/provider/ELS/101576 ","Ofsted School Webpage")</f>
        <v>Ofsted School Webpage</v>
      </c>
      <c r="B19" s="237">
        <v>101576</v>
      </c>
      <c r="C19" s="237">
        <v>3046072</v>
      </c>
      <c r="D19" s="237" t="s">
        <v>542</v>
      </c>
      <c r="E19" s="237" t="s">
        <v>247</v>
      </c>
      <c r="F19" s="237" t="s">
        <v>482</v>
      </c>
      <c r="G19" s="237" t="s">
        <v>506</v>
      </c>
      <c r="H19" s="237" t="s">
        <v>506</v>
      </c>
      <c r="I19" s="237" t="s">
        <v>543</v>
      </c>
      <c r="J19" s="237" t="s">
        <v>544</v>
      </c>
      <c r="K19" s="237" t="s">
        <v>93</v>
      </c>
      <c r="L19" s="237" t="s">
        <v>84</v>
      </c>
      <c r="M19" s="237" t="s">
        <v>84</v>
      </c>
      <c r="N19" s="237" t="s">
        <v>84</v>
      </c>
      <c r="O19" s="237" t="s">
        <v>486</v>
      </c>
      <c r="P19" s="237" t="s">
        <v>487</v>
      </c>
      <c r="Q19" s="238">
        <v>10038154</v>
      </c>
      <c r="R19" s="239">
        <v>43368</v>
      </c>
      <c r="S19" s="239">
        <v>43370</v>
      </c>
      <c r="T19" s="239">
        <v>43423</v>
      </c>
      <c r="U19" s="237" t="s">
        <v>488</v>
      </c>
      <c r="V19" s="237" t="s">
        <v>489</v>
      </c>
      <c r="W19" s="237">
        <v>3</v>
      </c>
      <c r="X19" s="237">
        <v>3</v>
      </c>
      <c r="Y19" s="237">
        <v>2</v>
      </c>
      <c r="Z19" s="237">
        <v>3</v>
      </c>
      <c r="AA19" s="237">
        <v>3</v>
      </c>
      <c r="AB19" s="237">
        <v>4</v>
      </c>
      <c r="AC19" s="237" t="s">
        <v>486</v>
      </c>
      <c r="AD19" s="237" t="s">
        <v>219</v>
      </c>
      <c r="AE19" s="237" t="s">
        <v>490</v>
      </c>
      <c r="AF19" s="237" t="s">
        <v>486</v>
      </c>
      <c r="AG19" s="237" t="s">
        <v>486</v>
      </c>
      <c r="AH19" s="237" t="s">
        <v>486</v>
      </c>
      <c r="AI19" s="237" t="s">
        <v>486</v>
      </c>
      <c r="AJ19" s="237" t="s">
        <v>486</v>
      </c>
      <c r="AK19" s="237" t="s">
        <v>486</v>
      </c>
      <c r="AL19" s="237" t="s">
        <v>486</v>
      </c>
      <c r="AM19" s="237" t="s">
        <v>545</v>
      </c>
      <c r="AN19" s="237" t="s">
        <v>546</v>
      </c>
      <c r="AO19" s="237" t="s">
        <v>231</v>
      </c>
      <c r="AP19" s="237" t="s">
        <v>231</v>
      </c>
      <c r="AQ19" s="237" t="s">
        <v>231</v>
      </c>
      <c r="AR19" s="237" t="s">
        <v>231</v>
      </c>
      <c r="AS19" s="237" t="s">
        <v>231</v>
      </c>
      <c r="AT19" s="237" t="s">
        <v>231</v>
      </c>
      <c r="AU19" s="237" t="s">
        <v>546</v>
      </c>
      <c r="AV19" s="237" t="s">
        <v>231</v>
      </c>
      <c r="AW19" s="237" t="s">
        <v>231</v>
      </c>
      <c r="AX19" s="237" t="s">
        <v>231</v>
      </c>
      <c r="AY19" s="237" t="s">
        <v>231</v>
      </c>
      <c r="AZ19" s="237" t="s">
        <v>231</v>
      </c>
      <c r="BA19" s="237" t="s">
        <v>231</v>
      </c>
      <c r="BB19" s="237" t="s">
        <v>231</v>
      </c>
      <c r="BC19" s="237" t="s">
        <v>231</v>
      </c>
      <c r="BD19" s="237" t="s">
        <v>492</v>
      </c>
      <c r="BE19" s="237" t="s">
        <v>231</v>
      </c>
      <c r="BF19" s="237" t="s">
        <v>231</v>
      </c>
      <c r="BG19" s="237" t="s">
        <v>231</v>
      </c>
      <c r="BH19" s="237" t="s">
        <v>231</v>
      </c>
      <c r="BI19" s="237" t="s">
        <v>231</v>
      </c>
      <c r="BJ19" s="237" t="s">
        <v>231</v>
      </c>
      <c r="BK19" s="237" t="s">
        <v>231</v>
      </c>
      <c r="BL19" s="237" t="s">
        <v>231</v>
      </c>
      <c r="BM19" s="237" t="s">
        <v>492</v>
      </c>
      <c r="BN19" s="237" t="s">
        <v>231</v>
      </c>
      <c r="BO19" s="237" t="s">
        <v>231</v>
      </c>
      <c r="BP19" s="237" t="s">
        <v>232</v>
      </c>
      <c r="BQ19" s="237" t="s">
        <v>231</v>
      </c>
      <c r="BR19" s="237" t="s">
        <v>231</v>
      </c>
      <c r="BS19" s="237" t="s">
        <v>231</v>
      </c>
      <c r="BT19" s="237" t="s">
        <v>231</v>
      </c>
      <c r="BU19" s="237" t="s">
        <v>231</v>
      </c>
      <c r="BV19" s="237" t="s">
        <v>231</v>
      </c>
      <c r="BW19" s="237" t="s">
        <v>231</v>
      </c>
      <c r="BX19" s="237" t="s">
        <v>231</v>
      </c>
      <c r="BY19" s="237" t="s">
        <v>231</v>
      </c>
      <c r="BZ19" s="237" t="s">
        <v>232</v>
      </c>
      <c r="CA19" s="237" t="s">
        <v>231</v>
      </c>
      <c r="CB19" s="237" t="s">
        <v>231</v>
      </c>
      <c r="CC19" s="237" t="s">
        <v>231</v>
      </c>
      <c r="CD19" s="237" t="s">
        <v>231</v>
      </c>
      <c r="CE19" s="237" t="s">
        <v>231</v>
      </c>
      <c r="CF19" s="237" t="s">
        <v>231</v>
      </c>
      <c r="CG19" s="237" t="s">
        <v>231</v>
      </c>
      <c r="CH19" s="237" t="s">
        <v>231</v>
      </c>
      <c r="CI19" s="237" t="s">
        <v>231</v>
      </c>
      <c r="CJ19" s="237" t="s">
        <v>231</v>
      </c>
      <c r="CK19" s="237" t="s">
        <v>231</v>
      </c>
      <c r="CL19" s="237" t="s">
        <v>231</v>
      </c>
      <c r="CM19" s="237" t="s">
        <v>231</v>
      </c>
      <c r="CN19" s="237" t="s">
        <v>231</v>
      </c>
      <c r="CO19" s="237" t="s">
        <v>231</v>
      </c>
      <c r="CP19" s="237" t="s">
        <v>231</v>
      </c>
      <c r="CQ19" s="237" t="s">
        <v>231</v>
      </c>
      <c r="CR19" s="237" t="s">
        <v>231</v>
      </c>
      <c r="CS19" s="237" t="s">
        <v>231</v>
      </c>
      <c r="CT19" s="237" t="s">
        <v>492</v>
      </c>
      <c r="CU19" s="237" t="s">
        <v>492</v>
      </c>
      <c r="CV19" s="237" t="s">
        <v>492</v>
      </c>
      <c r="CW19" s="237" t="s">
        <v>231</v>
      </c>
      <c r="CX19" s="237" t="s">
        <v>231</v>
      </c>
      <c r="CY19" s="237" t="s">
        <v>231</v>
      </c>
      <c r="CZ19" s="237" t="s">
        <v>231</v>
      </c>
      <c r="DA19" s="237" t="s">
        <v>231</v>
      </c>
      <c r="DB19" s="237" t="s">
        <v>231</v>
      </c>
      <c r="DC19" s="237" t="s">
        <v>231</v>
      </c>
      <c r="DD19" s="237" t="s">
        <v>231</v>
      </c>
      <c r="DE19" s="237" t="s">
        <v>231</v>
      </c>
      <c r="DF19" s="237" t="s">
        <v>231</v>
      </c>
      <c r="DG19" s="237" t="s">
        <v>231</v>
      </c>
      <c r="DH19" s="237" t="s">
        <v>231</v>
      </c>
      <c r="DI19" s="237" t="s">
        <v>231</v>
      </c>
      <c r="DJ19" s="237" t="s">
        <v>231</v>
      </c>
      <c r="DK19" s="237" t="s">
        <v>231</v>
      </c>
      <c r="DL19" s="237" t="s">
        <v>231</v>
      </c>
      <c r="DM19" s="237" t="s">
        <v>231</v>
      </c>
      <c r="DN19" s="237" t="s">
        <v>231</v>
      </c>
      <c r="DO19" s="237" t="s">
        <v>231</v>
      </c>
      <c r="DP19" s="237" t="s">
        <v>231</v>
      </c>
      <c r="DQ19" s="237" t="s">
        <v>231</v>
      </c>
      <c r="DR19" s="237" t="s">
        <v>231</v>
      </c>
      <c r="DS19" s="237" t="s">
        <v>231</v>
      </c>
      <c r="DT19" s="237" t="s">
        <v>492</v>
      </c>
      <c r="DU19" s="237" t="s">
        <v>231</v>
      </c>
      <c r="DV19" s="237" t="s">
        <v>231</v>
      </c>
      <c r="DW19" s="237" t="s">
        <v>231</v>
      </c>
      <c r="DX19" s="237" t="s">
        <v>231</v>
      </c>
      <c r="DY19" s="237" t="s">
        <v>231</v>
      </c>
      <c r="DZ19" s="237" t="s">
        <v>231</v>
      </c>
      <c r="EA19" s="237" t="s">
        <v>231</v>
      </c>
      <c r="EB19" s="237" t="s">
        <v>231</v>
      </c>
      <c r="EC19" s="237" t="s">
        <v>231</v>
      </c>
      <c r="ED19" s="237" t="s">
        <v>231</v>
      </c>
      <c r="EE19" s="237" t="s">
        <v>231</v>
      </c>
      <c r="EF19" s="237" t="s">
        <v>231</v>
      </c>
      <c r="EG19" s="237" t="s">
        <v>231</v>
      </c>
      <c r="EH19" s="237" t="s">
        <v>492</v>
      </c>
      <c r="EI19" s="237" t="s">
        <v>231</v>
      </c>
      <c r="EJ19" s="237" t="s">
        <v>231</v>
      </c>
      <c r="EK19" s="237" t="s">
        <v>231</v>
      </c>
      <c r="EL19" s="237" t="s">
        <v>231</v>
      </c>
      <c r="EM19" s="237" t="s">
        <v>231</v>
      </c>
      <c r="EN19" s="237" t="s">
        <v>231</v>
      </c>
      <c r="EO19" s="237" t="s">
        <v>231</v>
      </c>
      <c r="EP19" s="237" t="s">
        <v>231</v>
      </c>
      <c r="EQ19" s="237" t="s">
        <v>231</v>
      </c>
      <c r="ER19" s="237" t="s">
        <v>231</v>
      </c>
      <c r="ES19" s="237" t="s">
        <v>231</v>
      </c>
      <c r="ET19" s="237" t="s">
        <v>231</v>
      </c>
      <c r="EU19" s="237" t="s">
        <v>231</v>
      </c>
      <c r="EV19" s="237" t="s">
        <v>231</v>
      </c>
      <c r="EW19" s="237" t="s">
        <v>231</v>
      </c>
      <c r="EX19" s="237" t="s">
        <v>231</v>
      </c>
      <c r="EY19" s="237" t="s">
        <v>231</v>
      </c>
      <c r="EZ19" s="237" t="s">
        <v>231</v>
      </c>
      <c r="FA19" s="237" t="s">
        <v>231</v>
      </c>
      <c r="FB19" s="237" t="s">
        <v>231</v>
      </c>
      <c r="FC19" s="237" t="s">
        <v>231</v>
      </c>
      <c r="FD19" s="237" t="s">
        <v>231</v>
      </c>
      <c r="FE19" s="237" t="s">
        <v>231</v>
      </c>
      <c r="FF19" s="237" t="s">
        <v>231</v>
      </c>
      <c r="FG19" s="237" t="s">
        <v>231</v>
      </c>
      <c r="FH19" s="237" t="s">
        <v>231</v>
      </c>
      <c r="FI19" s="237" t="s">
        <v>231</v>
      </c>
      <c r="FJ19" s="237" t="s">
        <v>231</v>
      </c>
      <c r="FK19" s="237" t="s">
        <v>231</v>
      </c>
      <c r="FL19" s="237" t="s">
        <v>231</v>
      </c>
      <c r="FM19" s="237" t="s">
        <v>231</v>
      </c>
      <c r="FN19" s="237" t="s">
        <v>231</v>
      </c>
      <c r="FO19" s="237" t="s">
        <v>231</v>
      </c>
      <c r="FP19" s="237" t="s">
        <v>231</v>
      </c>
      <c r="FQ19" s="237" t="s">
        <v>231</v>
      </c>
      <c r="FR19" s="237" t="s">
        <v>231</v>
      </c>
      <c r="FS19" s="237" t="s">
        <v>231</v>
      </c>
      <c r="FT19" s="237" t="s">
        <v>231</v>
      </c>
      <c r="FU19" s="237" t="s">
        <v>231</v>
      </c>
      <c r="FV19" s="237" t="s">
        <v>231</v>
      </c>
      <c r="FW19" s="237" t="s">
        <v>231</v>
      </c>
      <c r="FX19" s="237" t="s">
        <v>231</v>
      </c>
      <c r="FY19" s="237" t="s">
        <v>231</v>
      </c>
      <c r="FZ19" s="237" t="s">
        <v>231</v>
      </c>
      <c r="GA19" s="237" t="s">
        <v>231</v>
      </c>
      <c r="GB19" s="237" t="s">
        <v>231</v>
      </c>
      <c r="GC19" s="237" t="s">
        <v>231</v>
      </c>
      <c r="GD19" s="237" t="s">
        <v>231</v>
      </c>
      <c r="GE19" s="237" t="s">
        <v>231</v>
      </c>
      <c r="GF19" s="237" t="s">
        <v>231</v>
      </c>
      <c r="GG19" s="237" t="s">
        <v>231</v>
      </c>
      <c r="GH19" s="237" t="s">
        <v>231</v>
      </c>
      <c r="GI19" s="237" t="s">
        <v>231</v>
      </c>
      <c r="GJ19" s="237" t="s">
        <v>231</v>
      </c>
      <c r="GK19" s="237" t="s">
        <v>231</v>
      </c>
      <c r="GL19" s="237" t="s">
        <v>231</v>
      </c>
      <c r="GM19" s="237" t="s">
        <v>231</v>
      </c>
      <c r="GN19" s="237" t="s">
        <v>231</v>
      </c>
      <c r="GO19" s="237" t="s">
        <v>231</v>
      </c>
      <c r="GP19" s="237" t="s">
        <v>492</v>
      </c>
      <c r="GQ19" s="237" t="s">
        <v>231</v>
      </c>
      <c r="GR19" s="237" t="s">
        <v>231</v>
      </c>
      <c r="GS19" s="237" t="s">
        <v>231</v>
      </c>
      <c r="GT19" s="237" t="s">
        <v>231</v>
      </c>
      <c r="GU19" s="237" t="s">
        <v>231</v>
      </c>
      <c r="GV19" s="237" t="s">
        <v>231</v>
      </c>
      <c r="GW19" s="237" t="s">
        <v>231</v>
      </c>
      <c r="GX19" s="237" t="s">
        <v>231</v>
      </c>
      <c r="GY19" s="237" t="s">
        <v>492</v>
      </c>
      <c r="GZ19" s="237" t="s">
        <v>492</v>
      </c>
      <c r="HA19" s="237" t="s">
        <v>231</v>
      </c>
      <c r="HB19" s="237" t="s">
        <v>231</v>
      </c>
      <c r="HC19" s="237" t="s">
        <v>231</v>
      </c>
      <c r="HD19" s="237" t="s">
        <v>231</v>
      </c>
      <c r="HE19" s="237" t="s">
        <v>492</v>
      </c>
      <c r="HF19" s="237" t="s">
        <v>231</v>
      </c>
      <c r="HG19" s="237" t="s">
        <v>492</v>
      </c>
      <c r="HH19" s="237" t="s">
        <v>231</v>
      </c>
      <c r="HI19" s="237" t="s">
        <v>231</v>
      </c>
      <c r="HJ19" s="237" t="s">
        <v>231</v>
      </c>
      <c r="HK19" s="237" t="s">
        <v>231</v>
      </c>
      <c r="HL19" s="237" t="s">
        <v>231</v>
      </c>
      <c r="HM19" s="237" t="s">
        <v>231</v>
      </c>
      <c r="HN19" s="237" t="s">
        <v>231</v>
      </c>
      <c r="HO19" s="237" t="s">
        <v>231</v>
      </c>
      <c r="HP19" s="237" t="s">
        <v>231</v>
      </c>
      <c r="HQ19" s="237" t="s">
        <v>492</v>
      </c>
      <c r="HR19" s="237" t="s">
        <v>492</v>
      </c>
      <c r="HS19" s="237" t="s">
        <v>492</v>
      </c>
      <c r="HT19" s="237" t="s">
        <v>492</v>
      </c>
      <c r="HU19" s="237" t="s">
        <v>231</v>
      </c>
      <c r="HV19" s="237" t="s">
        <v>231</v>
      </c>
      <c r="HW19" s="237" t="s">
        <v>231</v>
      </c>
      <c r="HX19" s="237" t="s">
        <v>231</v>
      </c>
      <c r="HY19" s="237" t="s">
        <v>231</v>
      </c>
      <c r="HZ19" s="237" t="s">
        <v>231</v>
      </c>
      <c r="IA19" s="237" t="s">
        <v>231</v>
      </c>
      <c r="IB19" s="237" t="s">
        <v>231</v>
      </c>
      <c r="IC19" s="237" t="s">
        <v>231</v>
      </c>
      <c r="ID19" s="237" t="s">
        <v>231</v>
      </c>
      <c r="IE19" s="237" t="s">
        <v>231</v>
      </c>
      <c r="IF19" s="237" t="s">
        <v>231</v>
      </c>
      <c r="IG19" s="237" t="s">
        <v>231</v>
      </c>
      <c r="IH19" s="237" t="s">
        <v>231</v>
      </c>
      <c r="II19" s="237" t="s">
        <v>231</v>
      </c>
      <c r="IJ19" s="237" t="s">
        <v>231</v>
      </c>
      <c r="IK19" s="237" t="s">
        <v>232</v>
      </c>
      <c r="IL19" s="237" t="s">
        <v>232</v>
      </c>
      <c r="IM19" s="237" t="s">
        <v>232</v>
      </c>
      <c r="IN19" s="237" t="s">
        <v>231</v>
      </c>
      <c r="IO19" s="237" t="s">
        <v>220</v>
      </c>
      <c r="IP19" s="237" t="s">
        <v>493</v>
      </c>
      <c r="IQ19" s="237" t="s">
        <v>219</v>
      </c>
      <c r="IR19" s="237" t="s">
        <v>490</v>
      </c>
      <c r="IS19" s="237" t="s">
        <v>231</v>
      </c>
      <c r="IT19" s="237" t="s">
        <v>231</v>
      </c>
    </row>
    <row r="20" spans="1:254" ht="15" x14ac:dyDescent="0.25">
      <c r="A20" s="259" t="str">
        <f>HYPERLINK("http://www.ofsted.gov.uk/inspection-reports/find-inspection-report/provider/ELS/129571 ","Ofsted School Webpage")</f>
        <v>Ofsted School Webpage</v>
      </c>
      <c r="B20" s="240">
        <v>129571</v>
      </c>
      <c r="C20" s="240">
        <v>8886089</v>
      </c>
      <c r="D20" s="240" t="s">
        <v>547</v>
      </c>
      <c r="E20" s="240" t="s">
        <v>248</v>
      </c>
      <c r="F20" s="240" t="s">
        <v>501</v>
      </c>
      <c r="G20" s="240" t="s">
        <v>495</v>
      </c>
      <c r="H20" s="240" t="s">
        <v>495</v>
      </c>
      <c r="I20" s="240" t="s">
        <v>534</v>
      </c>
      <c r="J20" s="240" t="s">
        <v>548</v>
      </c>
      <c r="K20" s="240" t="s">
        <v>93</v>
      </c>
      <c r="L20" s="240" t="s">
        <v>93</v>
      </c>
      <c r="M20" s="240" t="s">
        <v>93</v>
      </c>
      <c r="N20" s="240" t="s">
        <v>90</v>
      </c>
      <c r="O20" s="240" t="s">
        <v>486</v>
      </c>
      <c r="P20" s="240" t="s">
        <v>487</v>
      </c>
      <c r="Q20" s="241">
        <v>10053725</v>
      </c>
      <c r="R20" s="242">
        <v>43368</v>
      </c>
      <c r="S20" s="242">
        <v>43370</v>
      </c>
      <c r="T20" s="242">
        <v>43391</v>
      </c>
      <c r="U20" s="240" t="s">
        <v>488</v>
      </c>
      <c r="V20" s="240" t="s">
        <v>489</v>
      </c>
      <c r="W20" s="240">
        <v>2</v>
      </c>
      <c r="X20" s="240">
        <v>2</v>
      </c>
      <c r="Y20" s="240">
        <v>2</v>
      </c>
      <c r="Z20" s="240">
        <v>2</v>
      </c>
      <c r="AA20" s="240">
        <v>2</v>
      </c>
      <c r="AB20" s="240" t="s">
        <v>486</v>
      </c>
      <c r="AC20" s="240" t="s">
        <v>486</v>
      </c>
      <c r="AD20" s="240" t="s">
        <v>219</v>
      </c>
      <c r="AE20" s="240" t="s">
        <v>490</v>
      </c>
      <c r="AF20" s="240" t="s">
        <v>486</v>
      </c>
      <c r="AG20" s="240" t="s">
        <v>486</v>
      </c>
      <c r="AH20" s="240" t="s">
        <v>486</v>
      </c>
      <c r="AI20" s="240" t="s">
        <v>486</v>
      </c>
      <c r="AJ20" s="240" t="s">
        <v>486</v>
      </c>
      <c r="AK20" s="240" t="s">
        <v>486</v>
      </c>
      <c r="AL20" s="240" t="s">
        <v>486</v>
      </c>
      <c r="AM20" s="240" t="s">
        <v>491</v>
      </c>
      <c r="AN20" s="240" t="s">
        <v>231</v>
      </c>
      <c r="AO20" s="240" t="s">
        <v>231</v>
      </c>
      <c r="AP20" s="240" t="s">
        <v>231</v>
      </c>
      <c r="AQ20" s="240" t="s">
        <v>231</v>
      </c>
      <c r="AR20" s="240" t="s">
        <v>231</v>
      </c>
      <c r="AS20" s="240" t="s">
        <v>231</v>
      </c>
      <c r="AT20" s="240" t="s">
        <v>231</v>
      </c>
      <c r="AU20" s="240" t="s">
        <v>231</v>
      </c>
      <c r="AV20" s="240" t="s">
        <v>231</v>
      </c>
      <c r="AW20" s="240" t="s">
        <v>231</v>
      </c>
      <c r="AX20" s="240" t="s">
        <v>231</v>
      </c>
      <c r="AY20" s="240" t="s">
        <v>231</v>
      </c>
      <c r="AZ20" s="240" t="s">
        <v>231</v>
      </c>
      <c r="BA20" s="240" t="s">
        <v>231</v>
      </c>
      <c r="BB20" s="240" t="s">
        <v>231</v>
      </c>
      <c r="BC20" s="240" t="s">
        <v>231</v>
      </c>
      <c r="BD20" s="240" t="s">
        <v>492</v>
      </c>
      <c r="BE20" s="240" t="s">
        <v>231</v>
      </c>
      <c r="BF20" s="240" t="s">
        <v>231</v>
      </c>
      <c r="BG20" s="240" t="s">
        <v>231</v>
      </c>
      <c r="BH20" s="240" t="s">
        <v>231</v>
      </c>
      <c r="BI20" s="240" t="s">
        <v>231</v>
      </c>
      <c r="BJ20" s="240" t="s">
        <v>231</v>
      </c>
      <c r="BK20" s="240" t="s">
        <v>231</v>
      </c>
      <c r="BL20" s="240" t="s">
        <v>492</v>
      </c>
      <c r="BM20" s="240" t="s">
        <v>492</v>
      </c>
      <c r="BN20" s="240" t="s">
        <v>231</v>
      </c>
      <c r="BO20" s="240" t="s">
        <v>231</v>
      </c>
      <c r="BP20" s="240" t="s">
        <v>231</v>
      </c>
      <c r="BQ20" s="240" t="s">
        <v>231</v>
      </c>
      <c r="BR20" s="240" t="s">
        <v>231</v>
      </c>
      <c r="BS20" s="240" t="s">
        <v>231</v>
      </c>
      <c r="BT20" s="240" t="s">
        <v>231</v>
      </c>
      <c r="BU20" s="240" t="s">
        <v>231</v>
      </c>
      <c r="BV20" s="240" t="s">
        <v>231</v>
      </c>
      <c r="BW20" s="240" t="s">
        <v>231</v>
      </c>
      <c r="BX20" s="240" t="s">
        <v>231</v>
      </c>
      <c r="BY20" s="240" t="s">
        <v>231</v>
      </c>
      <c r="BZ20" s="240" t="s">
        <v>231</v>
      </c>
      <c r="CA20" s="240" t="s">
        <v>231</v>
      </c>
      <c r="CB20" s="240" t="s">
        <v>231</v>
      </c>
      <c r="CC20" s="240" t="s">
        <v>231</v>
      </c>
      <c r="CD20" s="240" t="s">
        <v>231</v>
      </c>
      <c r="CE20" s="240" t="s">
        <v>231</v>
      </c>
      <c r="CF20" s="240" t="s">
        <v>231</v>
      </c>
      <c r="CG20" s="240" t="s">
        <v>231</v>
      </c>
      <c r="CH20" s="240" t="s">
        <v>231</v>
      </c>
      <c r="CI20" s="240" t="s">
        <v>231</v>
      </c>
      <c r="CJ20" s="240" t="s">
        <v>231</v>
      </c>
      <c r="CK20" s="240" t="s">
        <v>231</v>
      </c>
      <c r="CL20" s="240" t="s">
        <v>231</v>
      </c>
      <c r="CM20" s="240" t="s">
        <v>231</v>
      </c>
      <c r="CN20" s="240" t="s">
        <v>231</v>
      </c>
      <c r="CO20" s="240" t="s">
        <v>231</v>
      </c>
      <c r="CP20" s="240" t="s">
        <v>231</v>
      </c>
      <c r="CQ20" s="240" t="s">
        <v>231</v>
      </c>
      <c r="CR20" s="240" t="s">
        <v>231</v>
      </c>
      <c r="CS20" s="240" t="s">
        <v>231</v>
      </c>
      <c r="CT20" s="240" t="s">
        <v>492</v>
      </c>
      <c r="CU20" s="240" t="s">
        <v>492</v>
      </c>
      <c r="CV20" s="240" t="s">
        <v>492</v>
      </c>
      <c r="CW20" s="240" t="s">
        <v>231</v>
      </c>
      <c r="CX20" s="240" t="s">
        <v>231</v>
      </c>
      <c r="CY20" s="240" t="s">
        <v>231</v>
      </c>
      <c r="CZ20" s="240" t="s">
        <v>231</v>
      </c>
      <c r="DA20" s="240" t="s">
        <v>231</v>
      </c>
      <c r="DB20" s="240" t="s">
        <v>231</v>
      </c>
      <c r="DC20" s="240" t="s">
        <v>231</v>
      </c>
      <c r="DD20" s="240" t="s">
        <v>231</v>
      </c>
      <c r="DE20" s="240" t="s">
        <v>231</v>
      </c>
      <c r="DF20" s="240" t="s">
        <v>231</v>
      </c>
      <c r="DG20" s="240" t="s">
        <v>231</v>
      </c>
      <c r="DH20" s="240" t="s">
        <v>231</v>
      </c>
      <c r="DI20" s="240" t="s">
        <v>231</v>
      </c>
      <c r="DJ20" s="240" t="s">
        <v>231</v>
      </c>
      <c r="DK20" s="240" t="s">
        <v>231</v>
      </c>
      <c r="DL20" s="240" t="s">
        <v>231</v>
      </c>
      <c r="DM20" s="240" t="s">
        <v>231</v>
      </c>
      <c r="DN20" s="240" t="s">
        <v>231</v>
      </c>
      <c r="DO20" s="240" t="s">
        <v>231</v>
      </c>
      <c r="DP20" s="240" t="s">
        <v>231</v>
      </c>
      <c r="DQ20" s="240" t="s">
        <v>231</v>
      </c>
      <c r="DR20" s="240" t="s">
        <v>231</v>
      </c>
      <c r="DS20" s="240" t="s">
        <v>231</v>
      </c>
      <c r="DT20" s="240" t="s">
        <v>492</v>
      </c>
      <c r="DU20" s="240" t="s">
        <v>231</v>
      </c>
      <c r="DV20" s="240" t="s">
        <v>231</v>
      </c>
      <c r="DW20" s="240" t="s">
        <v>231</v>
      </c>
      <c r="DX20" s="240" t="s">
        <v>231</v>
      </c>
      <c r="DY20" s="240" t="s">
        <v>231</v>
      </c>
      <c r="DZ20" s="240" t="s">
        <v>231</v>
      </c>
      <c r="EA20" s="240" t="s">
        <v>231</v>
      </c>
      <c r="EB20" s="240" t="s">
        <v>231</v>
      </c>
      <c r="EC20" s="240" t="s">
        <v>231</v>
      </c>
      <c r="ED20" s="240" t="s">
        <v>231</v>
      </c>
      <c r="EE20" s="240" t="s">
        <v>231</v>
      </c>
      <c r="EF20" s="240" t="s">
        <v>231</v>
      </c>
      <c r="EG20" s="240" t="s">
        <v>231</v>
      </c>
      <c r="EH20" s="240" t="s">
        <v>492</v>
      </c>
      <c r="EI20" s="240" t="s">
        <v>231</v>
      </c>
      <c r="EJ20" s="240" t="s">
        <v>231</v>
      </c>
      <c r="EK20" s="240" t="s">
        <v>231</v>
      </c>
      <c r="EL20" s="240" t="s">
        <v>231</v>
      </c>
      <c r="EM20" s="240" t="s">
        <v>231</v>
      </c>
      <c r="EN20" s="240" t="s">
        <v>231</v>
      </c>
      <c r="EO20" s="240" t="s">
        <v>231</v>
      </c>
      <c r="EP20" s="240" t="s">
        <v>231</v>
      </c>
      <c r="EQ20" s="240" t="s">
        <v>231</v>
      </c>
      <c r="ER20" s="240" t="s">
        <v>231</v>
      </c>
      <c r="ES20" s="240" t="s">
        <v>231</v>
      </c>
      <c r="ET20" s="240" t="s">
        <v>231</v>
      </c>
      <c r="EU20" s="240" t="s">
        <v>231</v>
      </c>
      <c r="EV20" s="240" t="s">
        <v>231</v>
      </c>
      <c r="EW20" s="240" t="s">
        <v>231</v>
      </c>
      <c r="EX20" s="240" t="s">
        <v>231</v>
      </c>
      <c r="EY20" s="240" t="s">
        <v>231</v>
      </c>
      <c r="EZ20" s="240" t="s">
        <v>231</v>
      </c>
      <c r="FA20" s="240" t="s">
        <v>231</v>
      </c>
      <c r="FB20" s="240" t="s">
        <v>231</v>
      </c>
      <c r="FC20" s="240" t="s">
        <v>231</v>
      </c>
      <c r="FD20" s="240" t="s">
        <v>231</v>
      </c>
      <c r="FE20" s="240" t="s">
        <v>231</v>
      </c>
      <c r="FF20" s="240" t="s">
        <v>231</v>
      </c>
      <c r="FG20" s="240" t="s">
        <v>231</v>
      </c>
      <c r="FH20" s="240" t="s">
        <v>231</v>
      </c>
      <c r="FI20" s="240" t="s">
        <v>231</v>
      </c>
      <c r="FJ20" s="240" t="s">
        <v>231</v>
      </c>
      <c r="FK20" s="240" t="s">
        <v>231</v>
      </c>
      <c r="FL20" s="240" t="s">
        <v>231</v>
      </c>
      <c r="FM20" s="240" t="s">
        <v>231</v>
      </c>
      <c r="FN20" s="240" t="s">
        <v>231</v>
      </c>
      <c r="FO20" s="240" t="s">
        <v>231</v>
      </c>
      <c r="FP20" s="240" t="s">
        <v>231</v>
      </c>
      <c r="FQ20" s="240" t="s">
        <v>231</v>
      </c>
      <c r="FR20" s="240" t="s">
        <v>231</v>
      </c>
      <c r="FS20" s="240" t="s">
        <v>231</v>
      </c>
      <c r="FT20" s="240" t="s">
        <v>231</v>
      </c>
      <c r="FU20" s="240" t="s">
        <v>231</v>
      </c>
      <c r="FV20" s="240" t="s">
        <v>231</v>
      </c>
      <c r="FW20" s="240" t="s">
        <v>231</v>
      </c>
      <c r="FX20" s="240" t="s">
        <v>231</v>
      </c>
      <c r="FY20" s="240" t="s">
        <v>231</v>
      </c>
      <c r="FZ20" s="240" t="s">
        <v>231</v>
      </c>
      <c r="GA20" s="240" t="s">
        <v>231</v>
      </c>
      <c r="GB20" s="240" t="s">
        <v>231</v>
      </c>
      <c r="GC20" s="240" t="s">
        <v>231</v>
      </c>
      <c r="GD20" s="240" t="s">
        <v>231</v>
      </c>
      <c r="GE20" s="240" t="s">
        <v>231</v>
      </c>
      <c r="GF20" s="240" t="s">
        <v>231</v>
      </c>
      <c r="GG20" s="240" t="s">
        <v>231</v>
      </c>
      <c r="GH20" s="240" t="s">
        <v>231</v>
      </c>
      <c r="GI20" s="240" t="s">
        <v>231</v>
      </c>
      <c r="GJ20" s="240" t="s">
        <v>231</v>
      </c>
      <c r="GK20" s="240" t="s">
        <v>231</v>
      </c>
      <c r="GL20" s="240" t="s">
        <v>231</v>
      </c>
      <c r="GM20" s="240" t="s">
        <v>231</v>
      </c>
      <c r="GN20" s="240" t="s">
        <v>231</v>
      </c>
      <c r="GO20" s="240" t="s">
        <v>231</v>
      </c>
      <c r="GP20" s="240" t="s">
        <v>492</v>
      </c>
      <c r="GQ20" s="240" t="s">
        <v>231</v>
      </c>
      <c r="GR20" s="240" t="s">
        <v>231</v>
      </c>
      <c r="GS20" s="240" t="s">
        <v>231</v>
      </c>
      <c r="GT20" s="240" t="s">
        <v>231</v>
      </c>
      <c r="GU20" s="240" t="s">
        <v>231</v>
      </c>
      <c r="GV20" s="240" t="s">
        <v>231</v>
      </c>
      <c r="GW20" s="240" t="s">
        <v>231</v>
      </c>
      <c r="GX20" s="240" t="s">
        <v>231</v>
      </c>
      <c r="GY20" s="240" t="s">
        <v>231</v>
      </c>
      <c r="GZ20" s="240" t="s">
        <v>231</v>
      </c>
      <c r="HA20" s="240" t="s">
        <v>231</v>
      </c>
      <c r="HB20" s="240" t="s">
        <v>231</v>
      </c>
      <c r="HC20" s="240" t="s">
        <v>231</v>
      </c>
      <c r="HD20" s="240" t="s">
        <v>231</v>
      </c>
      <c r="HE20" s="240" t="s">
        <v>231</v>
      </c>
      <c r="HF20" s="240" t="s">
        <v>231</v>
      </c>
      <c r="HG20" s="240" t="s">
        <v>231</v>
      </c>
      <c r="HH20" s="240" t="s">
        <v>231</v>
      </c>
      <c r="HI20" s="240" t="s">
        <v>231</v>
      </c>
      <c r="HJ20" s="240" t="s">
        <v>231</v>
      </c>
      <c r="HK20" s="240" t="s">
        <v>231</v>
      </c>
      <c r="HL20" s="240" t="s">
        <v>231</v>
      </c>
      <c r="HM20" s="240" t="s">
        <v>231</v>
      </c>
      <c r="HN20" s="240" t="s">
        <v>231</v>
      </c>
      <c r="HO20" s="240" t="s">
        <v>231</v>
      </c>
      <c r="HP20" s="240" t="s">
        <v>231</v>
      </c>
      <c r="HQ20" s="240" t="s">
        <v>231</v>
      </c>
      <c r="HR20" s="240" t="s">
        <v>231</v>
      </c>
      <c r="HS20" s="240" t="s">
        <v>231</v>
      </c>
      <c r="HT20" s="240" t="s">
        <v>231</v>
      </c>
      <c r="HU20" s="240" t="s">
        <v>231</v>
      </c>
      <c r="HV20" s="240" t="s">
        <v>231</v>
      </c>
      <c r="HW20" s="240" t="s">
        <v>231</v>
      </c>
      <c r="HX20" s="240" t="s">
        <v>231</v>
      </c>
      <c r="HY20" s="240" t="s">
        <v>231</v>
      </c>
      <c r="HZ20" s="240" t="s">
        <v>231</v>
      </c>
      <c r="IA20" s="240" t="s">
        <v>231</v>
      </c>
      <c r="IB20" s="240" t="s">
        <v>231</v>
      </c>
      <c r="IC20" s="240" t="s">
        <v>231</v>
      </c>
      <c r="ID20" s="240" t="s">
        <v>231</v>
      </c>
      <c r="IE20" s="240" t="s">
        <v>231</v>
      </c>
      <c r="IF20" s="240" t="s">
        <v>231</v>
      </c>
      <c r="IG20" s="240" t="s">
        <v>231</v>
      </c>
      <c r="IH20" s="240" t="s">
        <v>231</v>
      </c>
      <c r="II20" s="240" t="s">
        <v>231</v>
      </c>
      <c r="IJ20" s="240" t="s">
        <v>231</v>
      </c>
      <c r="IK20" s="240" t="s">
        <v>231</v>
      </c>
      <c r="IL20" s="240" t="s">
        <v>231</v>
      </c>
      <c r="IM20" s="240" t="s">
        <v>231</v>
      </c>
      <c r="IN20" s="240" t="s">
        <v>231</v>
      </c>
      <c r="IO20" s="240" t="s">
        <v>220</v>
      </c>
      <c r="IP20" s="240" t="s">
        <v>493</v>
      </c>
      <c r="IQ20" s="240" t="s">
        <v>219</v>
      </c>
      <c r="IR20" s="240" t="s">
        <v>490</v>
      </c>
      <c r="IS20" s="240" t="s">
        <v>492</v>
      </c>
      <c r="IT20" s="240" t="s">
        <v>492</v>
      </c>
    </row>
    <row r="21" spans="1:254" ht="15" x14ac:dyDescent="0.25">
      <c r="A21" s="258" t="str">
        <f>HYPERLINK("http://www.ofsted.gov.uk/inspection-reports/find-inspection-report/provider/ELS/117033 ","Ofsted School Webpage")</f>
        <v>Ofsted School Webpage</v>
      </c>
      <c r="B21" s="237">
        <v>117033</v>
      </c>
      <c r="C21" s="237">
        <v>8856024</v>
      </c>
      <c r="D21" s="237" t="s">
        <v>549</v>
      </c>
      <c r="E21" s="237" t="s">
        <v>248</v>
      </c>
      <c r="F21" s="237" t="s">
        <v>501</v>
      </c>
      <c r="G21" s="237" t="s">
        <v>502</v>
      </c>
      <c r="H21" s="237" t="s">
        <v>502</v>
      </c>
      <c r="I21" s="237" t="s">
        <v>550</v>
      </c>
      <c r="J21" s="237" t="s">
        <v>551</v>
      </c>
      <c r="K21" s="237" t="s">
        <v>93</v>
      </c>
      <c r="L21" s="237" t="s">
        <v>93</v>
      </c>
      <c r="M21" s="237" t="s">
        <v>93</v>
      </c>
      <c r="N21" s="237" t="s">
        <v>90</v>
      </c>
      <c r="O21" s="237" t="s">
        <v>486</v>
      </c>
      <c r="P21" s="237" t="s">
        <v>487</v>
      </c>
      <c r="Q21" s="238">
        <v>10052716</v>
      </c>
      <c r="R21" s="239">
        <v>43368</v>
      </c>
      <c r="S21" s="239">
        <v>43370</v>
      </c>
      <c r="T21" s="239">
        <v>43395</v>
      </c>
      <c r="U21" s="237" t="s">
        <v>2930</v>
      </c>
      <c r="V21" s="237" t="s">
        <v>489</v>
      </c>
      <c r="W21" s="237">
        <v>3</v>
      </c>
      <c r="X21" s="237">
        <v>2</v>
      </c>
      <c r="Y21" s="237">
        <v>2</v>
      </c>
      <c r="Z21" s="237">
        <v>3</v>
      </c>
      <c r="AA21" s="237">
        <v>3</v>
      </c>
      <c r="AB21" s="237" t="s">
        <v>486</v>
      </c>
      <c r="AC21" s="237" t="s">
        <v>486</v>
      </c>
      <c r="AD21" s="237" t="s">
        <v>219</v>
      </c>
      <c r="AE21" s="237" t="s">
        <v>490</v>
      </c>
      <c r="AF21" s="237" t="s">
        <v>486</v>
      </c>
      <c r="AG21" s="237" t="s">
        <v>486</v>
      </c>
      <c r="AH21" s="237" t="s">
        <v>486</v>
      </c>
      <c r="AI21" s="237" t="s">
        <v>486</v>
      </c>
      <c r="AJ21" s="237" t="s">
        <v>486</v>
      </c>
      <c r="AK21" s="237" t="s">
        <v>486</v>
      </c>
      <c r="AL21" s="237" t="s">
        <v>486</v>
      </c>
      <c r="AM21" s="237" t="s">
        <v>491</v>
      </c>
      <c r="AN21" s="237" t="s">
        <v>231</v>
      </c>
      <c r="AO21" s="237" t="s">
        <v>231</v>
      </c>
      <c r="AP21" s="237" t="s">
        <v>231</v>
      </c>
      <c r="AQ21" s="237" t="s">
        <v>231</v>
      </c>
      <c r="AR21" s="237" t="s">
        <v>231</v>
      </c>
      <c r="AS21" s="237" t="s">
        <v>231</v>
      </c>
      <c r="AT21" s="237" t="s">
        <v>231</v>
      </c>
      <c r="AU21" s="237" t="s">
        <v>231</v>
      </c>
      <c r="AV21" s="237" t="s">
        <v>231</v>
      </c>
      <c r="AW21" s="237" t="s">
        <v>231</v>
      </c>
      <c r="AX21" s="237" t="s">
        <v>231</v>
      </c>
      <c r="AY21" s="237" t="s">
        <v>231</v>
      </c>
      <c r="AZ21" s="237" t="s">
        <v>231</v>
      </c>
      <c r="BA21" s="237" t="s">
        <v>231</v>
      </c>
      <c r="BB21" s="237" t="s">
        <v>231</v>
      </c>
      <c r="BC21" s="237" t="s">
        <v>231</v>
      </c>
      <c r="BD21" s="237" t="s">
        <v>492</v>
      </c>
      <c r="BE21" s="237" t="s">
        <v>231</v>
      </c>
      <c r="BF21" s="237" t="s">
        <v>231</v>
      </c>
      <c r="BG21" s="237" t="s">
        <v>231</v>
      </c>
      <c r="BH21" s="237" t="s">
        <v>231</v>
      </c>
      <c r="BI21" s="237" t="s">
        <v>231</v>
      </c>
      <c r="BJ21" s="237" t="s">
        <v>231</v>
      </c>
      <c r="BK21" s="237" t="s">
        <v>231</v>
      </c>
      <c r="BL21" s="237" t="s">
        <v>492</v>
      </c>
      <c r="BM21" s="237" t="s">
        <v>492</v>
      </c>
      <c r="BN21" s="237" t="s">
        <v>231</v>
      </c>
      <c r="BO21" s="237" t="s">
        <v>231</v>
      </c>
      <c r="BP21" s="237" t="s">
        <v>231</v>
      </c>
      <c r="BQ21" s="237" t="s">
        <v>231</v>
      </c>
      <c r="BR21" s="237" t="s">
        <v>231</v>
      </c>
      <c r="BS21" s="237" t="s">
        <v>231</v>
      </c>
      <c r="BT21" s="237" t="s">
        <v>231</v>
      </c>
      <c r="BU21" s="237" t="s">
        <v>231</v>
      </c>
      <c r="BV21" s="237" t="s">
        <v>231</v>
      </c>
      <c r="BW21" s="237" t="s">
        <v>231</v>
      </c>
      <c r="BX21" s="237" t="s">
        <v>231</v>
      </c>
      <c r="BY21" s="237" t="s">
        <v>231</v>
      </c>
      <c r="BZ21" s="237" t="s">
        <v>231</v>
      </c>
      <c r="CA21" s="237" t="s">
        <v>231</v>
      </c>
      <c r="CB21" s="237" t="s">
        <v>231</v>
      </c>
      <c r="CC21" s="237" t="s">
        <v>231</v>
      </c>
      <c r="CD21" s="237" t="s">
        <v>231</v>
      </c>
      <c r="CE21" s="237" t="s">
        <v>231</v>
      </c>
      <c r="CF21" s="237" t="s">
        <v>231</v>
      </c>
      <c r="CG21" s="237" t="s">
        <v>231</v>
      </c>
      <c r="CH21" s="237" t="s">
        <v>231</v>
      </c>
      <c r="CI21" s="237" t="s">
        <v>231</v>
      </c>
      <c r="CJ21" s="237" t="s">
        <v>231</v>
      </c>
      <c r="CK21" s="237" t="s">
        <v>231</v>
      </c>
      <c r="CL21" s="237" t="s">
        <v>231</v>
      </c>
      <c r="CM21" s="237" t="s">
        <v>231</v>
      </c>
      <c r="CN21" s="237" t="s">
        <v>231</v>
      </c>
      <c r="CO21" s="237" t="s">
        <v>231</v>
      </c>
      <c r="CP21" s="237" t="s">
        <v>231</v>
      </c>
      <c r="CQ21" s="237" t="s">
        <v>231</v>
      </c>
      <c r="CR21" s="237" t="s">
        <v>231</v>
      </c>
      <c r="CS21" s="237" t="s">
        <v>231</v>
      </c>
      <c r="CT21" s="237" t="s">
        <v>492</v>
      </c>
      <c r="CU21" s="237" t="s">
        <v>492</v>
      </c>
      <c r="CV21" s="237" t="s">
        <v>492</v>
      </c>
      <c r="CW21" s="237" t="s">
        <v>231</v>
      </c>
      <c r="CX21" s="237" t="s">
        <v>231</v>
      </c>
      <c r="CY21" s="237" t="s">
        <v>231</v>
      </c>
      <c r="CZ21" s="237" t="s">
        <v>231</v>
      </c>
      <c r="DA21" s="237" t="s">
        <v>231</v>
      </c>
      <c r="DB21" s="237" t="s">
        <v>231</v>
      </c>
      <c r="DC21" s="237" t="s">
        <v>231</v>
      </c>
      <c r="DD21" s="237" t="s">
        <v>231</v>
      </c>
      <c r="DE21" s="237" t="s">
        <v>231</v>
      </c>
      <c r="DF21" s="237" t="s">
        <v>231</v>
      </c>
      <c r="DG21" s="237" t="s">
        <v>231</v>
      </c>
      <c r="DH21" s="237" t="s">
        <v>231</v>
      </c>
      <c r="DI21" s="237" t="s">
        <v>231</v>
      </c>
      <c r="DJ21" s="237" t="s">
        <v>231</v>
      </c>
      <c r="DK21" s="237" t="s">
        <v>231</v>
      </c>
      <c r="DL21" s="237" t="s">
        <v>231</v>
      </c>
      <c r="DM21" s="237" t="s">
        <v>231</v>
      </c>
      <c r="DN21" s="237" t="s">
        <v>231</v>
      </c>
      <c r="DO21" s="237" t="s">
        <v>231</v>
      </c>
      <c r="DP21" s="237" t="s">
        <v>231</v>
      </c>
      <c r="DQ21" s="237" t="s">
        <v>231</v>
      </c>
      <c r="DR21" s="237" t="s">
        <v>231</v>
      </c>
      <c r="DS21" s="237" t="s">
        <v>231</v>
      </c>
      <c r="DT21" s="237" t="s">
        <v>492</v>
      </c>
      <c r="DU21" s="237" t="s">
        <v>231</v>
      </c>
      <c r="DV21" s="237" t="s">
        <v>231</v>
      </c>
      <c r="DW21" s="237" t="s">
        <v>231</v>
      </c>
      <c r="DX21" s="237" t="s">
        <v>231</v>
      </c>
      <c r="DY21" s="237" t="s">
        <v>231</v>
      </c>
      <c r="DZ21" s="237" t="s">
        <v>231</v>
      </c>
      <c r="EA21" s="237" t="s">
        <v>231</v>
      </c>
      <c r="EB21" s="237" t="s">
        <v>231</v>
      </c>
      <c r="EC21" s="237" t="s">
        <v>231</v>
      </c>
      <c r="ED21" s="237" t="s">
        <v>231</v>
      </c>
      <c r="EE21" s="237" t="s">
        <v>231</v>
      </c>
      <c r="EF21" s="237" t="s">
        <v>231</v>
      </c>
      <c r="EG21" s="237" t="s">
        <v>231</v>
      </c>
      <c r="EH21" s="237" t="s">
        <v>492</v>
      </c>
      <c r="EI21" s="237" t="s">
        <v>231</v>
      </c>
      <c r="EJ21" s="237" t="s">
        <v>231</v>
      </c>
      <c r="EK21" s="237" t="s">
        <v>231</v>
      </c>
      <c r="EL21" s="237" t="s">
        <v>231</v>
      </c>
      <c r="EM21" s="237" t="s">
        <v>231</v>
      </c>
      <c r="EN21" s="237" t="s">
        <v>231</v>
      </c>
      <c r="EO21" s="237" t="s">
        <v>231</v>
      </c>
      <c r="EP21" s="237" t="s">
        <v>231</v>
      </c>
      <c r="EQ21" s="237" t="s">
        <v>492</v>
      </c>
      <c r="ER21" s="237" t="s">
        <v>492</v>
      </c>
      <c r="ES21" s="237" t="s">
        <v>231</v>
      </c>
      <c r="ET21" s="237" t="s">
        <v>231</v>
      </c>
      <c r="EU21" s="237" t="s">
        <v>231</v>
      </c>
      <c r="EV21" s="237" t="s">
        <v>231</v>
      </c>
      <c r="EW21" s="237" t="s">
        <v>231</v>
      </c>
      <c r="EX21" s="237" t="s">
        <v>231</v>
      </c>
      <c r="EY21" s="237" t="s">
        <v>231</v>
      </c>
      <c r="EZ21" s="237" t="s">
        <v>231</v>
      </c>
      <c r="FA21" s="237" t="s">
        <v>231</v>
      </c>
      <c r="FB21" s="237" t="s">
        <v>231</v>
      </c>
      <c r="FC21" s="237" t="s">
        <v>231</v>
      </c>
      <c r="FD21" s="237" t="s">
        <v>231</v>
      </c>
      <c r="FE21" s="237" t="s">
        <v>231</v>
      </c>
      <c r="FF21" s="237" t="s">
        <v>492</v>
      </c>
      <c r="FG21" s="237" t="s">
        <v>231</v>
      </c>
      <c r="FH21" s="237" t="s">
        <v>231</v>
      </c>
      <c r="FI21" s="237" t="s">
        <v>231</v>
      </c>
      <c r="FJ21" s="237" t="s">
        <v>231</v>
      </c>
      <c r="FK21" s="237" t="s">
        <v>231</v>
      </c>
      <c r="FL21" s="237" t="s">
        <v>231</v>
      </c>
      <c r="FM21" s="237" t="s">
        <v>231</v>
      </c>
      <c r="FN21" s="237" t="s">
        <v>492</v>
      </c>
      <c r="FO21" s="237" t="s">
        <v>486</v>
      </c>
      <c r="FP21" s="237" t="s">
        <v>486</v>
      </c>
      <c r="FQ21" s="237" t="s">
        <v>231</v>
      </c>
      <c r="FR21" s="237" t="s">
        <v>231</v>
      </c>
      <c r="FS21" s="237" t="s">
        <v>231</v>
      </c>
      <c r="FT21" s="237" t="s">
        <v>231</v>
      </c>
      <c r="FU21" s="237" t="s">
        <v>231</v>
      </c>
      <c r="FV21" s="237" t="s">
        <v>231</v>
      </c>
      <c r="FW21" s="237" t="s">
        <v>231</v>
      </c>
      <c r="FX21" s="237" t="s">
        <v>231</v>
      </c>
      <c r="FY21" s="237" t="s">
        <v>231</v>
      </c>
      <c r="FZ21" s="237" t="s">
        <v>231</v>
      </c>
      <c r="GA21" s="237" t="s">
        <v>231</v>
      </c>
      <c r="GB21" s="237" t="s">
        <v>231</v>
      </c>
      <c r="GC21" s="237" t="s">
        <v>231</v>
      </c>
      <c r="GD21" s="237" t="s">
        <v>231</v>
      </c>
      <c r="GE21" s="237" t="s">
        <v>486</v>
      </c>
      <c r="GF21" s="237" t="s">
        <v>231</v>
      </c>
      <c r="GG21" s="237" t="s">
        <v>231</v>
      </c>
      <c r="GH21" s="237" t="s">
        <v>231</v>
      </c>
      <c r="GI21" s="237" t="s">
        <v>231</v>
      </c>
      <c r="GJ21" s="237" t="s">
        <v>231</v>
      </c>
      <c r="GK21" s="237" t="s">
        <v>231</v>
      </c>
      <c r="GL21" s="237" t="s">
        <v>231</v>
      </c>
      <c r="GM21" s="237" t="s">
        <v>231</v>
      </c>
      <c r="GN21" s="237" t="s">
        <v>231</v>
      </c>
      <c r="GO21" s="237" t="s">
        <v>231</v>
      </c>
      <c r="GP21" s="237" t="s">
        <v>492</v>
      </c>
      <c r="GQ21" s="237" t="s">
        <v>231</v>
      </c>
      <c r="GR21" s="237" t="s">
        <v>231</v>
      </c>
      <c r="GS21" s="237" t="s">
        <v>231</v>
      </c>
      <c r="GT21" s="237" t="s">
        <v>231</v>
      </c>
      <c r="GU21" s="237" t="s">
        <v>231</v>
      </c>
      <c r="GV21" s="237" t="s">
        <v>492</v>
      </c>
      <c r="GW21" s="237" t="s">
        <v>231</v>
      </c>
      <c r="GX21" s="237" t="s">
        <v>231</v>
      </c>
      <c r="GY21" s="237" t="s">
        <v>231</v>
      </c>
      <c r="GZ21" s="237" t="s">
        <v>231</v>
      </c>
      <c r="HA21" s="237" t="s">
        <v>231</v>
      </c>
      <c r="HB21" s="237" t="s">
        <v>231</v>
      </c>
      <c r="HC21" s="237" t="s">
        <v>231</v>
      </c>
      <c r="HD21" s="237" t="s">
        <v>231</v>
      </c>
      <c r="HE21" s="237" t="s">
        <v>492</v>
      </c>
      <c r="HF21" s="237" t="s">
        <v>231</v>
      </c>
      <c r="HG21" s="237" t="s">
        <v>231</v>
      </c>
      <c r="HH21" s="237" t="s">
        <v>231</v>
      </c>
      <c r="HI21" s="237" t="s">
        <v>231</v>
      </c>
      <c r="HJ21" s="237" t="s">
        <v>231</v>
      </c>
      <c r="HK21" s="237" t="s">
        <v>231</v>
      </c>
      <c r="HL21" s="237" t="s">
        <v>231</v>
      </c>
      <c r="HM21" s="237" t="s">
        <v>231</v>
      </c>
      <c r="HN21" s="237" t="s">
        <v>231</v>
      </c>
      <c r="HO21" s="237" t="s">
        <v>231</v>
      </c>
      <c r="HP21" s="237" t="s">
        <v>231</v>
      </c>
      <c r="HQ21" s="237" t="s">
        <v>492</v>
      </c>
      <c r="HR21" s="237" t="s">
        <v>492</v>
      </c>
      <c r="HS21" s="237" t="s">
        <v>492</v>
      </c>
      <c r="HT21" s="237" t="s">
        <v>492</v>
      </c>
      <c r="HU21" s="237" t="s">
        <v>231</v>
      </c>
      <c r="HV21" s="237" t="s">
        <v>231</v>
      </c>
      <c r="HW21" s="237" t="s">
        <v>231</v>
      </c>
      <c r="HX21" s="237" t="s">
        <v>231</v>
      </c>
      <c r="HY21" s="237" t="s">
        <v>231</v>
      </c>
      <c r="HZ21" s="237" t="s">
        <v>231</v>
      </c>
      <c r="IA21" s="237" t="s">
        <v>231</v>
      </c>
      <c r="IB21" s="237" t="s">
        <v>231</v>
      </c>
      <c r="IC21" s="237" t="s">
        <v>231</v>
      </c>
      <c r="ID21" s="237" t="s">
        <v>231</v>
      </c>
      <c r="IE21" s="237" t="s">
        <v>231</v>
      </c>
      <c r="IF21" s="237" t="s">
        <v>231</v>
      </c>
      <c r="IG21" s="237" t="s">
        <v>231</v>
      </c>
      <c r="IH21" s="237" t="s">
        <v>231</v>
      </c>
      <c r="II21" s="237" t="s">
        <v>231</v>
      </c>
      <c r="IJ21" s="237" t="s">
        <v>231</v>
      </c>
      <c r="IK21" s="237" t="s">
        <v>231</v>
      </c>
      <c r="IL21" s="237" t="s">
        <v>231</v>
      </c>
      <c r="IM21" s="237" t="s">
        <v>231</v>
      </c>
      <c r="IN21" s="237" t="s">
        <v>231</v>
      </c>
      <c r="IO21" s="237" t="s">
        <v>219</v>
      </c>
      <c r="IP21" s="237" t="s">
        <v>219</v>
      </c>
      <c r="IQ21" s="237" t="s">
        <v>219</v>
      </c>
      <c r="IR21" s="237" t="s">
        <v>490</v>
      </c>
      <c r="IS21" s="237" t="s">
        <v>492</v>
      </c>
      <c r="IT21" s="237" t="s">
        <v>492</v>
      </c>
    </row>
    <row r="22" spans="1:254" ht="15" x14ac:dyDescent="0.25">
      <c r="A22" s="259" t="str">
        <f>HYPERLINK("http://www.ofsted.gov.uk/inspection-reports/find-inspection-report/provider/ELS/140479 ","Ofsted School Webpage")</f>
        <v>Ofsted School Webpage</v>
      </c>
      <c r="B22" s="240">
        <v>140479</v>
      </c>
      <c r="C22" s="240">
        <v>3736004</v>
      </c>
      <c r="D22" s="240" t="s">
        <v>552</v>
      </c>
      <c r="E22" s="240" t="s">
        <v>247</v>
      </c>
      <c r="F22" s="240" t="s">
        <v>482</v>
      </c>
      <c r="G22" s="240" t="s">
        <v>523</v>
      </c>
      <c r="H22" s="240" t="s">
        <v>524</v>
      </c>
      <c r="I22" s="240" t="s">
        <v>553</v>
      </c>
      <c r="J22" s="240" t="s">
        <v>554</v>
      </c>
      <c r="K22" s="240" t="s">
        <v>93</v>
      </c>
      <c r="L22" s="240" t="s">
        <v>84</v>
      </c>
      <c r="M22" s="240" t="s">
        <v>84</v>
      </c>
      <c r="N22" s="240" t="s">
        <v>84</v>
      </c>
      <c r="O22" s="240" t="s">
        <v>486</v>
      </c>
      <c r="P22" s="240" t="s">
        <v>487</v>
      </c>
      <c r="Q22" s="241">
        <v>10040145</v>
      </c>
      <c r="R22" s="242">
        <v>43368</v>
      </c>
      <c r="S22" s="242">
        <v>43370</v>
      </c>
      <c r="T22" s="242">
        <v>43415</v>
      </c>
      <c r="U22" s="240" t="s">
        <v>488</v>
      </c>
      <c r="V22" s="240" t="s">
        <v>489</v>
      </c>
      <c r="W22" s="240">
        <v>2</v>
      </c>
      <c r="X22" s="240">
        <v>2</v>
      </c>
      <c r="Y22" s="240">
        <v>2</v>
      </c>
      <c r="Z22" s="240">
        <v>2</v>
      </c>
      <c r="AA22" s="240">
        <v>2</v>
      </c>
      <c r="AB22" s="240" t="s">
        <v>486</v>
      </c>
      <c r="AC22" s="240" t="s">
        <v>486</v>
      </c>
      <c r="AD22" s="240" t="s">
        <v>219</v>
      </c>
      <c r="AE22" s="240" t="s">
        <v>490</v>
      </c>
      <c r="AF22" s="240" t="s">
        <v>486</v>
      </c>
      <c r="AG22" s="240" t="s">
        <v>486</v>
      </c>
      <c r="AH22" s="240" t="s">
        <v>486</v>
      </c>
      <c r="AI22" s="240" t="s">
        <v>486</v>
      </c>
      <c r="AJ22" s="240" t="s">
        <v>486</v>
      </c>
      <c r="AK22" s="240" t="s">
        <v>486</v>
      </c>
      <c r="AL22" s="240" t="s">
        <v>486</v>
      </c>
      <c r="AM22" s="240" t="s">
        <v>491</v>
      </c>
      <c r="AN22" s="240" t="s">
        <v>231</v>
      </c>
      <c r="AO22" s="240" t="s">
        <v>231</v>
      </c>
      <c r="AP22" s="240" t="s">
        <v>231</v>
      </c>
      <c r="AQ22" s="240" t="s">
        <v>231</v>
      </c>
      <c r="AR22" s="240" t="s">
        <v>231</v>
      </c>
      <c r="AS22" s="240" t="s">
        <v>231</v>
      </c>
      <c r="AT22" s="240" t="s">
        <v>231</v>
      </c>
      <c r="AU22" s="240" t="s">
        <v>231</v>
      </c>
      <c r="AV22" s="240" t="s">
        <v>231</v>
      </c>
      <c r="AW22" s="240" t="s">
        <v>231</v>
      </c>
      <c r="AX22" s="240" t="s">
        <v>231</v>
      </c>
      <c r="AY22" s="240" t="s">
        <v>231</v>
      </c>
      <c r="AZ22" s="240" t="s">
        <v>231</v>
      </c>
      <c r="BA22" s="240" t="s">
        <v>231</v>
      </c>
      <c r="BB22" s="240" t="s">
        <v>231</v>
      </c>
      <c r="BC22" s="240" t="s">
        <v>231</v>
      </c>
      <c r="BD22" s="240" t="s">
        <v>492</v>
      </c>
      <c r="BE22" s="240" t="s">
        <v>231</v>
      </c>
      <c r="BF22" s="240" t="s">
        <v>231</v>
      </c>
      <c r="BG22" s="240" t="s">
        <v>231</v>
      </c>
      <c r="BH22" s="240" t="s">
        <v>231</v>
      </c>
      <c r="BI22" s="240" t="s">
        <v>231</v>
      </c>
      <c r="BJ22" s="240" t="s">
        <v>231</v>
      </c>
      <c r="BK22" s="240" t="s">
        <v>231</v>
      </c>
      <c r="BL22" s="240" t="s">
        <v>231</v>
      </c>
      <c r="BM22" s="240" t="s">
        <v>492</v>
      </c>
      <c r="BN22" s="240" t="s">
        <v>231</v>
      </c>
      <c r="BO22" s="240" t="s">
        <v>231</v>
      </c>
      <c r="BP22" s="240" t="s">
        <v>231</v>
      </c>
      <c r="BQ22" s="240" t="s">
        <v>231</v>
      </c>
      <c r="BR22" s="240" t="s">
        <v>231</v>
      </c>
      <c r="BS22" s="240" t="s">
        <v>231</v>
      </c>
      <c r="BT22" s="240" t="s">
        <v>231</v>
      </c>
      <c r="BU22" s="240" t="s">
        <v>231</v>
      </c>
      <c r="BV22" s="240" t="s">
        <v>231</v>
      </c>
      <c r="BW22" s="240" t="s">
        <v>231</v>
      </c>
      <c r="BX22" s="240" t="s">
        <v>231</v>
      </c>
      <c r="BY22" s="240" t="s">
        <v>231</v>
      </c>
      <c r="BZ22" s="240" t="s">
        <v>231</v>
      </c>
      <c r="CA22" s="240" t="s">
        <v>231</v>
      </c>
      <c r="CB22" s="240" t="s">
        <v>231</v>
      </c>
      <c r="CC22" s="240" t="s">
        <v>231</v>
      </c>
      <c r="CD22" s="240" t="s">
        <v>231</v>
      </c>
      <c r="CE22" s="240" t="s">
        <v>231</v>
      </c>
      <c r="CF22" s="240" t="s">
        <v>231</v>
      </c>
      <c r="CG22" s="240" t="s">
        <v>231</v>
      </c>
      <c r="CH22" s="240" t="s">
        <v>231</v>
      </c>
      <c r="CI22" s="240" t="s">
        <v>231</v>
      </c>
      <c r="CJ22" s="240" t="s">
        <v>231</v>
      </c>
      <c r="CK22" s="240" t="s">
        <v>231</v>
      </c>
      <c r="CL22" s="240" t="s">
        <v>231</v>
      </c>
      <c r="CM22" s="240" t="s">
        <v>231</v>
      </c>
      <c r="CN22" s="240" t="s">
        <v>231</v>
      </c>
      <c r="CO22" s="240" t="s">
        <v>231</v>
      </c>
      <c r="CP22" s="240" t="s">
        <v>231</v>
      </c>
      <c r="CQ22" s="240" t="s">
        <v>231</v>
      </c>
      <c r="CR22" s="240" t="s">
        <v>231</v>
      </c>
      <c r="CS22" s="240" t="s">
        <v>231</v>
      </c>
      <c r="CT22" s="240" t="s">
        <v>492</v>
      </c>
      <c r="CU22" s="240" t="s">
        <v>492</v>
      </c>
      <c r="CV22" s="240" t="s">
        <v>492</v>
      </c>
      <c r="CW22" s="240" t="s">
        <v>231</v>
      </c>
      <c r="CX22" s="240" t="s">
        <v>231</v>
      </c>
      <c r="CY22" s="240" t="s">
        <v>231</v>
      </c>
      <c r="CZ22" s="240" t="s">
        <v>231</v>
      </c>
      <c r="DA22" s="240" t="s">
        <v>231</v>
      </c>
      <c r="DB22" s="240" t="s">
        <v>231</v>
      </c>
      <c r="DC22" s="240" t="s">
        <v>231</v>
      </c>
      <c r="DD22" s="240" t="s">
        <v>231</v>
      </c>
      <c r="DE22" s="240" t="s">
        <v>231</v>
      </c>
      <c r="DF22" s="240" t="s">
        <v>231</v>
      </c>
      <c r="DG22" s="240" t="s">
        <v>231</v>
      </c>
      <c r="DH22" s="240" t="s">
        <v>231</v>
      </c>
      <c r="DI22" s="240" t="s">
        <v>231</v>
      </c>
      <c r="DJ22" s="240" t="s">
        <v>231</v>
      </c>
      <c r="DK22" s="240" t="s">
        <v>231</v>
      </c>
      <c r="DL22" s="240" t="s">
        <v>231</v>
      </c>
      <c r="DM22" s="240" t="s">
        <v>231</v>
      </c>
      <c r="DN22" s="240" t="s">
        <v>231</v>
      </c>
      <c r="DO22" s="240" t="s">
        <v>231</v>
      </c>
      <c r="DP22" s="240" t="s">
        <v>231</v>
      </c>
      <c r="DQ22" s="240" t="s">
        <v>231</v>
      </c>
      <c r="DR22" s="240" t="s">
        <v>231</v>
      </c>
      <c r="DS22" s="240" t="s">
        <v>492</v>
      </c>
      <c r="DT22" s="240" t="s">
        <v>492</v>
      </c>
      <c r="DU22" s="240" t="s">
        <v>231</v>
      </c>
      <c r="DV22" s="240" t="s">
        <v>492</v>
      </c>
      <c r="DW22" s="240" t="s">
        <v>492</v>
      </c>
      <c r="DX22" s="240" t="s">
        <v>492</v>
      </c>
      <c r="DY22" s="240" t="s">
        <v>492</v>
      </c>
      <c r="DZ22" s="240" t="s">
        <v>492</v>
      </c>
      <c r="EA22" s="240" t="s">
        <v>492</v>
      </c>
      <c r="EB22" s="240" t="s">
        <v>492</v>
      </c>
      <c r="EC22" s="240" t="s">
        <v>492</v>
      </c>
      <c r="ED22" s="240" t="s">
        <v>492</v>
      </c>
      <c r="EE22" s="240" t="s">
        <v>492</v>
      </c>
      <c r="EF22" s="240" t="s">
        <v>492</v>
      </c>
      <c r="EG22" s="240" t="s">
        <v>492</v>
      </c>
      <c r="EH22" s="240" t="s">
        <v>492</v>
      </c>
      <c r="EI22" s="240" t="s">
        <v>492</v>
      </c>
      <c r="EJ22" s="240" t="s">
        <v>231</v>
      </c>
      <c r="EK22" s="240" t="s">
        <v>231</v>
      </c>
      <c r="EL22" s="240" t="s">
        <v>231</v>
      </c>
      <c r="EM22" s="240" t="s">
        <v>231</v>
      </c>
      <c r="EN22" s="240" t="s">
        <v>231</v>
      </c>
      <c r="EO22" s="240" t="s">
        <v>231</v>
      </c>
      <c r="EP22" s="240" t="s">
        <v>231</v>
      </c>
      <c r="EQ22" s="240" t="s">
        <v>231</v>
      </c>
      <c r="ER22" s="240" t="s">
        <v>231</v>
      </c>
      <c r="ES22" s="240" t="s">
        <v>231</v>
      </c>
      <c r="ET22" s="240" t="s">
        <v>231</v>
      </c>
      <c r="EU22" s="240" t="s">
        <v>231</v>
      </c>
      <c r="EV22" s="240" t="s">
        <v>231</v>
      </c>
      <c r="EW22" s="240" t="s">
        <v>231</v>
      </c>
      <c r="EX22" s="240" t="s">
        <v>231</v>
      </c>
      <c r="EY22" s="240" t="s">
        <v>231</v>
      </c>
      <c r="EZ22" s="240" t="s">
        <v>231</v>
      </c>
      <c r="FA22" s="240" t="s">
        <v>231</v>
      </c>
      <c r="FB22" s="240" t="s">
        <v>231</v>
      </c>
      <c r="FC22" s="240" t="s">
        <v>231</v>
      </c>
      <c r="FD22" s="240" t="s">
        <v>231</v>
      </c>
      <c r="FE22" s="240" t="s">
        <v>231</v>
      </c>
      <c r="FF22" s="240" t="s">
        <v>492</v>
      </c>
      <c r="FG22" s="240" t="s">
        <v>492</v>
      </c>
      <c r="FH22" s="240" t="s">
        <v>492</v>
      </c>
      <c r="FI22" s="240" t="s">
        <v>492</v>
      </c>
      <c r="FJ22" s="240" t="s">
        <v>492</v>
      </c>
      <c r="FK22" s="240" t="s">
        <v>492</v>
      </c>
      <c r="FL22" s="240" t="s">
        <v>492</v>
      </c>
      <c r="FM22" s="240" t="s">
        <v>231</v>
      </c>
      <c r="FN22" s="240" t="s">
        <v>492</v>
      </c>
      <c r="FO22" s="240" t="s">
        <v>493</v>
      </c>
      <c r="FP22" s="240" t="s">
        <v>492</v>
      </c>
      <c r="FQ22" s="240" t="s">
        <v>231</v>
      </c>
      <c r="FR22" s="240" t="s">
        <v>231</v>
      </c>
      <c r="FS22" s="240" t="s">
        <v>231</v>
      </c>
      <c r="FT22" s="240" t="s">
        <v>231</v>
      </c>
      <c r="FU22" s="240" t="s">
        <v>231</v>
      </c>
      <c r="FV22" s="240" t="s">
        <v>231</v>
      </c>
      <c r="FW22" s="240" t="s">
        <v>231</v>
      </c>
      <c r="FX22" s="240" t="s">
        <v>492</v>
      </c>
      <c r="FY22" s="240" t="s">
        <v>231</v>
      </c>
      <c r="FZ22" s="240" t="s">
        <v>231</v>
      </c>
      <c r="GA22" s="240" t="s">
        <v>231</v>
      </c>
      <c r="GB22" s="240" t="s">
        <v>231</v>
      </c>
      <c r="GC22" s="240" t="s">
        <v>231</v>
      </c>
      <c r="GD22" s="240" t="s">
        <v>231</v>
      </c>
      <c r="GE22" s="240" t="s">
        <v>231</v>
      </c>
      <c r="GF22" s="240" t="s">
        <v>231</v>
      </c>
      <c r="GG22" s="240" t="s">
        <v>231</v>
      </c>
      <c r="GH22" s="240" t="s">
        <v>231</v>
      </c>
      <c r="GI22" s="240" t="s">
        <v>231</v>
      </c>
      <c r="GJ22" s="240" t="s">
        <v>231</v>
      </c>
      <c r="GK22" s="240" t="s">
        <v>231</v>
      </c>
      <c r="GL22" s="240" t="s">
        <v>231</v>
      </c>
      <c r="GM22" s="240" t="s">
        <v>231</v>
      </c>
      <c r="GN22" s="240" t="s">
        <v>231</v>
      </c>
      <c r="GO22" s="240" t="s">
        <v>231</v>
      </c>
      <c r="GP22" s="240" t="s">
        <v>492</v>
      </c>
      <c r="GQ22" s="240" t="s">
        <v>231</v>
      </c>
      <c r="GR22" s="240" t="s">
        <v>231</v>
      </c>
      <c r="GS22" s="240" t="s">
        <v>231</v>
      </c>
      <c r="GT22" s="240" t="s">
        <v>231</v>
      </c>
      <c r="GU22" s="240" t="s">
        <v>231</v>
      </c>
      <c r="GV22" s="240" t="s">
        <v>492</v>
      </c>
      <c r="GW22" s="240" t="s">
        <v>231</v>
      </c>
      <c r="GX22" s="240" t="s">
        <v>231</v>
      </c>
      <c r="GY22" s="240" t="s">
        <v>492</v>
      </c>
      <c r="GZ22" s="240" t="s">
        <v>492</v>
      </c>
      <c r="HA22" s="240" t="s">
        <v>231</v>
      </c>
      <c r="HB22" s="240" t="s">
        <v>231</v>
      </c>
      <c r="HC22" s="240" t="s">
        <v>231</v>
      </c>
      <c r="HD22" s="240" t="s">
        <v>231</v>
      </c>
      <c r="HE22" s="240" t="s">
        <v>492</v>
      </c>
      <c r="HF22" s="240" t="s">
        <v>231</v>
      </c>
      <c r="HG22" s="240" t="s">
        <v>231</v>
      </c>
      <c r="HH22" s="240" t="s">
        <v>231</v>
      </c>
      <c r="HI22" s="240" t="s">
        <v>231</v>
      </c>
      <c r="HJ22" s="240" t="s">
        <v>231</v>
      </c>
      <c r="HK22" s="240" t="s">
        <v>231</v>
      </c>
      <c r="HL22" s="240" t="s">
        <v>231</v>
      </c>
      <c r="HM22" s="240" t="s">
        <v>231</v>
      </c>
      <c r="HN22" s="240" t="s">
        <v>231</v>
      </c>
      <c r="HO22" s="240" t="s">
        <v>231</v>
      </c>
      <c r="HP22" s="240" t="s">
        <v>231</v>
      </c>
      <c r="HQ22" s="240" t="s">
        <v>492</v>
      </c>
      <c r="HR22" s="240" t="s">
        <v>492</v>
      </c>
      <c r="HS22" s="240" t="s">
        <v>492</v>
      </c>
      <c r="HT22" s="240" t="s">
        <v>492</v>
      </c>
      <c r="HU22" s="240" t="s">
        <v>231</v>
      </c>
      <c r="HV22" s="240" t="s">
        <v>231</v>
      </c>
      <c r="HW22" s="240" t="s">
        <v>231</v>
      </c>
      <c r="HX22" s="240" t="s">
        <v>231</v>
      </c>
      <c r="HY22" s="240" t="s">
        <v>231</v>
      </c>
      <c r="HZ22" s="240" t="s">
        <v>231</v>
      </c>
      <c r="IA22" s="240" t="s">
        <v>231</v>
      </c>
      <c r="IB22" s="240" t="s">
        <v>231</v>
      </c>
      <c r="IC22" s="240" t="s">
        <v>231</v>
      </c>
      <c r="ID22" s="240" t="s">
        <v>231</v>
      </c>
      <c r="IE22" s="240" t="s">
        <v>231</v>
      </c>
      <c r="IF22" s="240" t="s">
        <v>231</v>
      </c>
      <c r="IG22" s="240" t="s">
        <v>231</v>
      </c>
      <c r="IH22" s="240" t="s">
        <v>231</v>
      </c>
      <c r="II22" s="240" t="s">
        <v>231</v>
      </c>
      <c r="IJ22" s="240" t="s">
        <v>231</v>
      </c>
      <c r="IK22" s="240" t="s">
        <v>231</v>
      </c>
      <c r="IL22" s="240" t="s">
        <v>231</v>
      </c>
      <c r="IM22" s="240" t="s">
        <v>231</v>
      </c>
      <c r="IN22" s="240" t="s">
        <v>231</v>
      </c>
      <c r="IO22" s="240" t="s">
        <v>220</v>
      </c>
      <c r="IP22" s="240" t="s">
        <v>493</v>
      </c>
      <c r="IQ22" s="240" t="s">
        <v>219</v>
      </c>
      <c r="IR22" s="240" t="s">
        <v>490</v>
      </c>
      <c r="IS22" s="240" t="s">
        <v>231</v>
      </c>
      <c r="IT22" s="240" t="s">
        <v>231</v>
      </c>
    </row>
    <row r="23" spans="1:254" ht="15" x14ac:dyDescent="0.25">
      <c r="A23" s="258" t="str">
        <f>HYPERLINK("http://www.ofsted.gov.uk/inspection-reports/find-inspection-report/provider/ELS/117654 ","Ofsted School Webpage")</f>
        <v>Ofsted School Webpage</v>
      </c>
      <c r="B23" s="237">
        <v>117654</v>
      </c>
      <c r="C23" s="237">
        <v>9196228</v>
      </c>
      <c r="D23" s="237" t="s">
        <v>555</v>
      </c>
      <c r="E23" s="237" t="s">
        <v>247</v>
      </c>
      <c r="F23" s="237" t="s">
        <v>482</v>
      </c>
      <c r="G23" s="237" t="s">
        <v>516</v>
      </c>
      <c r="H23" s="237" t="s">
        <v>516</v>
      </c>
      <c r="I23" s="237" t="s">
        <v>556</v>
      </c>
      <c r="J23" s="237" t="s">
        <v>557</v>
      </c>
      <c r="K23" s="237" t="s">
        <v>86</v>
      </c>
      <c r="L23" s="237" t="s">
        <v>86</v>
      </c>
      <c r="M23" s="237" t="s">
        <v>86</v>
      </c>
      <c r="N23" s="237" t="s">
        <v>226</v>
      </c>
      <c r="O23" s="237" t="s">
        <v>486</v>
      </c>
      <c r="P23" s="237" t="s">
        <v>487</v>
      </c>
      <c r="Q23" s="238">
        <v>10054005</v>
      </c>
      <c r="R23" s="239">
        <v>43368</v>
      </c>
      <c r="S23" s="239">
        <v>43370</v>
      </c>
      <c r="T23" s="239">
        <v>43422</v>
      </c>
      <c r="U23" s="237" t="s">
        <v>488</v>
      </c>
      <c r="V23" s="237" t="s">
        <v>489</v>
      </c>
      <c r="W23" s="237">
        <v>4</v>
      </c>
      <c r="X23" s="237">
        <v>4</v>
      </c>
      <c r="Y23" s="237">
        <v>4</v>
      </c>
      <c r="Z23" s="237">
        <v>3</v>
      </c>
      <c r="AA23" s="237">
        <v>3</v>
      </c>
      <c r="AB23" s="237">
        <v>4</v>
      </c>
      <c r="AC23" s="237" t="s">
        <v>486</v>
      </c>
      <c r="AD23" s="237" t="s">
        <v>220</v>
      </c>
      <c r="AE23" s="237" t="s">
        <v>490</v>
      </c>
      <c r="AF23" s="237" t="s">
        <v>486</v>
      </c>
      <c r="AG23" s="237" t="s">
        <v>486</v>
      </c>
      <c r="AH23" s="237" t="s">
        <v>486</v>
      </c>
      <c r="AI23" s="237" t="s">
        <v>486</v>
      </c>
      <c r="AJ23" s="237" t="s">
        <v>486</v>
      </c>
      <c r="AK23" s="237" t="s">
        <v>486</v>
      </c>
      <c r="AL23" s="237" t="s">
        <v>486</v>
      </c>
      <c r="AM23" s="237" t="s">
        <v>545</v>
      </c>
      <c r="AN23" s="237" t="s">
        <v>546</v>
      </c>
      <c r="AO23" s="237" t="s">
        <v>231</v>
      </c>
      <c r="AP23" s="237" t="s">
        <v>546</v>
      </c>
      <c r="AQ23" s="237" t="s">
        <v>231</v>
      </c>
      <c r="AR23" s="237" t="s">
        <v>231</v>
      </c>
      <c r="AS23" s="237" t="s">
        <v>231</v>
      </c>
      <c r="AT23" s="237" t="s">
        <v>231</v>
      </c>
      <c r="AU23" s="237" t="s">
        <v>546</v>
      </c>
      <c r="AV23" s="237" t="s">
        <v>232</v>
      </c>
      <c r="AW23" s="237" t="s">
        <v>232</v>
      </c>
      <c r="AX23" s="237" t="s">
        <v>232</v>
      </c>
      <c r="AY23" s="237" t="s">
        <v>232</v>
      </c>
      <c r="AZ23" s="237" t="s">
        <v>231</v>
      </c>
      <c r="BA23" s="237" t="s">
        <v>231</v>
      </c>
      <c r="BB23" s="237" t="s">
        <v>231</v>
      </c>
      <c r="BC23" s="237" t="s">
        <v>231</v>
      </c>
      <c r="BD23" s="237" t="s">
        <v>231</v>
      </c>
      <c r="BE23" s="237" t="s">
        <v>231</v>
      </c>
      <c r="BF23" s="237" t="s">
        <v>231</v>
      </c>
      <c r="BG23" s="237" t="s">
        <v>231</v>
      </c>
      <c r="BH23" s="237" t="s">
        <v>492</v>
      </c>
      <c r="BI23" s="237" t="s">
        <v>492</v>
      </c>
      <c r="BJ23" s="237" t="s">
        <v>492</v>
      </c>
      <c r="BK23" s="237" t="s">
        <v>492</v>
      </c>
      <c r="BL23" s="237" t="s">
        <v>492</v>
      </c>
      <c r="BM23" s="237" t="s">
        <v>492</v>
      </c>
      <c r="BN23" s="237" t="s">
        <v>231</v>
      </c>
      <c r="BO23" s="237" t="s">
        <v>231</v>
      </c>
      <c r="BP23" s="237" t="s">
        <v>232</v>
      </c>
      <c r="BQ23" s="237" t="s">
        <v>232</v>
      </c>
      <c r="BR23" s="237" t="s">
        <v>231</v>
      </c>
      <c r="BS23" s="237" t="s">
        <v>232</v>
      </c>
      <c r="BT23" s="237" t="s">
        <v>232</v>
      </c>
      <c r="BU23" s="237" t="s">
        <v>231</v>
      </c>
      <c r="BV23" s="237" t="s">
        <v>231</v>
      </c>
      <c r="BW23" s="237" t="s">
        <v>232</v>
      </c>
      <c r="BX23" s="237" t="s">
        <v>231</v>
      </c>
      <c r="BY23" s="237" t="s">
        <v>231</v>
      </c>
      <c r="BZ23" s="237" t="s">
        <v>231</v>
      </c>
      <c r="CA23" s="237" t="s">
        <v>231</v>
      </c>
      <c r="CB23" s="237" t="s">
        <v>231</v>
      </c>
      <c r="CC23" s="237" t="s">
        <v>231</v>
      </c>
      <c r="CD23" s="237" t="s">
        <v>231</v>
      </c>
      <c r="CE23" s="237" t="s">
        <v>231</v>
      </c>
      <c r="CF23" s="237" t="s">
        <v>231</v>
      </c>
      <c r="CG23" s="237" t="s">
        <v>231</v>
      </c>
      <c r="CH23" s="237" t="s">
        <v>231</v>
      </c>
      <c r="CI23" s="237" t="s">
        <v>231</v>
      </c>
      <c r="CJ23" s="237" t="s">
        <v>231</v>
      </c>
      <c r="CK23" s="237" t="s">
        <v>231</v>
      </c>
      <c r="CL23" s="237" t="s">
        <v>231</v>
      </c>
      <c r="CM23" s="237" t="s">
        <v>231</v>
      </c>
      <c r="CN23" s="237" t="s">
        <v>231</v>
      </c>
      <c r="CO23" s="237" t="s">
        <v>231</v>
      </c>
      <c r="CP23" s="237" t="s">
        <v>231</v>
      </c>
      <c r="CQ23" s="237" t="s">
        <v>232</v>
      </c>
      <c r="CR23" s="237" t="s">
        <v>232</v>
      </c>
      <c r="CS23" s="237" t="s">
        <v>232</v>
      </c>
      <c r="CT23" s="237" t="s">
        <v>492</v>
      </c>
      <c r="CU23" s="237" t="s">
        <v>492</v>
      </c>
      <c r="CV23" s="237" t="s">
        <v>492</v>
      </c>
      <c r="CW23" s="237" t="s">
        <v>231</v>
      </c>
      <c r="CX23" s="237" t="s">
        <v>231</v>
      </c>
      <c r="CY23" s="237" t="s">
        <v>231</v>
      </c>
      <c r="CZ23" s="237" t="s">
        <v>231</v>
      </c>
      <c r="DA23" s="237" t="s">
        <v>231</v>
      </c>
      <c r="DB23" s="237" t="s">
        <v>231</v>
      </c>
      <c r="DC23" s="237" t="s">
        <v>231</v>
      </c>
      <c r="DD23" s="237" t="s">
        <v>231</v>
      </c>
      <c r="DE23" s="237" t="s">
        <v>231</v>
      </c>
      <c r="DF23" s="237" t="s">
        <v>231</v>
      </c>
      <c r="DG23" s="237" t="s">
        <v>231</v>
      </c>
      <c r="DH23" s="237" t="s">
        <v>231</v>
      </c>
      <c r="DI23" s="237" t="s">
        <v>231</v>
      </c>
      <c r="DJ23" s="237" t="s">
        <v>231</v>
      </c>
      <c r="DK23" s="237" t="s">
        <v>231</v>
      </c>
      <c r="DL23" s="237" t="s">
        <v>231</v>
      </c>
      <c r="DM23" s="237" t="s">
        <v>231</v>
      </c>
      <c r="DN23" s="237" t="s">
        <v>231</v>
      </c>
      <c r="DO23" s="237" t="s">
        <v>231</v>
      </c>
      <c r="DP23" s="237" t="s">
        <v>231</v>
      </c>
      <c r="DQ23" s="237" t="s">
        <v>231</v>
      </c>
      <c r="DR23" s="237" t="s">
        <v>231</v>
      </c>
      <c r="DS23" s="237" t="s">
        <v>231</v>
      </c>
      <c r="DT23" s="237" t="s">
        <v>231</v>
      </c>
      <c r="DU23" s="237" t="s">
        <v>231</v>
      </c>
      <c r="DV23" s="237" t="s">
        <v>231</v>
      </c>
      <c r="DW23" s="237" t="s">
        <v>231</v>
      </c>
      <c r="DX23" s="237" t="s">
        <v>231</v>
      </c>
      <c r="DY23" s="237" t="s">
        <v>231</v>
      </c>
      <c r="DZ23" s="237" t="s">
        <v>231</v>
      </c>
      <c r="EA23" s="237" t="s">
        <v>231</v>
      </c>
      <c r="EB23" s="237" t="s">
        <v>231</v>
      </c>
      <c r="EC23" s="237" t="s">
        <v>231</v>
      </c>
      <c r="ED23" s="237" t="s">
        <v>231</v>
      </c>
      <c r="EE23" s="237" t="s">
        <v>231</v>
      </c>
      <c r="EF23" s="237" t="s">
        <v>231</v>
      </c>
      <c r="EG23" s="237" t="s">
        <v>231</v>
      </c>
      <c r="EH23" s="237" t="s">
        <v>231</v>
      </c>
      <c r="EI23" s="237" t="s">
        <v>231</v>
      </c>
      <c r="EJ23" s="237" t="s">
        <v>231</v>
      </c>
      <c r="EK23" s="237" t="s">
        <v>231</v>
      </c>
      <c r="EL23" s="237" t="s">
        <v>231</v>
      </c>
      <c r="EM23" s="237" t="s">
        <v>231</v>
      </c>
      <c r="EN23" s="237" t="s">
        <v>231</v>
      </c>
      <c r="EO23" s="237" t="s">
        <v>231</v>
      </c>
      <c r="EP23" s="237" t="s">
        <v>231</v>
      </c>
      <c r="EQ23" s="237" t="s">
        <v>231</v>
      </c>
      <c r="ER23" s="237" t="s">
        <v>231</v>
      </c>
      <c r="ES23" s="237" t="s">
        <v>231</v>
      </c>
      <c r="ET23" s="237" t="s">
        <v>231</v>
      </c>
      <c r="EU23" s="237" t="s">
        <v>231</v>
      </c>
      <c r="EV23" s="237" t="s">
        <v>231</v>
      </c>
      <c r="EW23" s="237" t="s">
        <v>231</v>
      </c>
      <c r="EX23" s="237" t="s">
        <v>231</v>
      </c>
      <c r="EY23" s="237" t="s">
        <v>231</v>
      </c>
      <c r="EZ23" s="237" t="s">
        <v>231</v>
      </c>
      <c r="FA23" s="237" t="s">
        <v>231</v>
      </c>
      <c r="FB23" s="237" t="s">
        <v>231</v>
      </c>
      <c r="FC23" s="237" t="s">
        <v>231</v>
      </c>
      <c r="FD23" s="237" t="s">
        <v>231</v>
      </c>
      <c r="FE23" s="237" t="s">
        <v>231</v>
      </c>
      <c r="FF23" s="237" t="s">
        <v>231</v>
      </c>
      <c r="FG23" s="237" t="s">
        <v>231</v>
      </c>
      <c r="FH23" s="237" t="s">
        <v>231</v>
      </c>
      <c r="FI23" s="237" t="s">
        <v>231</v>
      </c>
      <c r="FJ23" s="237" t="s">
        <v>231</v>
      </c>
      <c r="FK23" s="237" t="s">
        <v>231</v>
      </c>
      <c r="FL23" s="237" t="s">
        <v>231</v>
      </c>
      <c r="FM23" s="237" t="s">
        <v>231</v>
      </c>
      <c r="FN23" s="237" t="s">
        <v>231</v>
      </c>
      <c r="FO23" s="237" t="s">
        <v>231</v>
      </c>
      <c r="FP23" s="237" t="s">
        <v>231</v>
      </c>
      <c r="FQ23" s="237" t="s">
        <v>231</v>
      </c>
      <c r="FR23" s="237" t="s">
        <v>231</v>
      </c>
      <c r="FS23" s="237" t="s">
        <v>231</v>
      </c>
      <c r="FT23" s="237" t="s">
        <v>231</v>
      </c>
      <c r="FU23" s="237" t="s">
        <v>231</v>
      </c>
      <c r="FV23" s="237" t="s">
        <v>231</v>
      </c>
      <c r="FW23" s="237" t="s">
        <v>231</v>
      </c>
      <c r="FX23" s="237" t="s">
        <v>231</v>
      </c>
      <c r="FY23" s="237" t="s">
        <v>231</v>
      </c>
      <c r="FZ23" s="237" t="s">
        <v>231</v>
      </c>
      <c r="GA23" s="237" t="s">
        <v>231</v>
      </c>
      <c r="GB23" s="237" t="s">
        <v>231</v>
      </c>
      <c r="GC23" s="237" t="s">
        <v>231</v>
      </c>
      <c r="GD23" s="237" t="s">
        <v>231</v>
      </c>
      <c r="GE23" s="237" t="s">
        <v>231</v>
      </c>
      <c r="GF23" s="237" t="s">
        <v>231</v>
      </c>
      <c r="GG23" s="237" t="s">
        <v>231</v>
      </c>
      <c r="GH23" s="237" t="s">
        <v>231</v>
      </c>
      <c r="GI23" s="237" t="s">
        <v>231</v>
      </c>
      <c r="GJ23" s="237" t="s">
        <v>231</v>
      </c>
      <c r="GK23" s="237" t="s">
        <v>231</v>
      </c>
      <c r="GL23" s="237" t="s">
        <v>231</v>
      </c>
      <c r="GM23" s="237" t="s">
        <v>231</v>
      </c>
      <c r="GN23" s="237" t="s">
        <v>231</v>
      </c>
      <c r="GO23" s="237" t="s">
        <v>231</v>
      </c>
      <c r="GP23" s="237" t="s">
        <v>492</v>
      </c>
      <c r="GQ23" s="237" t="s">
        <v>231</v>
      </c>
      <c r="GR23" s="237" t="s">
        <v>231</v>
      </c>
      <c r="GS23" s="237" t="s">
        <v>231</v>
      </c>
      <c r="GT23" s="237" t="s">
        <v>231</v>
      </c>
      <c r="GU23" s="237" t="s">
        <v>231</v>
      </c>
      <c r="GV23" s="237" t="s">
        <v>231</v>
      </c>
      <c r="GW23" s="237" t="s">
        <v>231</v>
      </c>
      <c r="GX23" s="237" t="s">
        <v>231</v>
      </c>
      <c r="GY23" s="237" t="s">
        <v>231</v>
      </c>
      <c r="GZ23" s="237" t="s">
        <v>231</v>
      </c>
      <c r="HA23" s="237" t="s">
        <v>231</v>
      </c>
      <c r="HB23" s="237" t="s">
        <v>231</v>
      </c>
      <c r="HC23" s="237" t="s">
        <v>231</v>
      </c>
      <c r="HD23" s="237" t="s">
        <v>231</v>
      </c>
      <c r="HE23" s="237" t="s">
        <v>492</v>
      </c>
      <c r="HF23" s="237" t="s">
        <v>231</v>
      </c>
      <c r="HG23" s="237" t="s">
        <v>231</v>
      </c>
      <c r="HH23" s="237" t="s">
        <v>231</v>
      </c>
      <c r="HI23" s="237" t="s">
        <v>231</v>
      </c>
      <c r="HJ23" s="237" t="s">
        <v>231</v>
      </c>
      <c r="HK23" s="237" t="s">
        <v>231</v>
      </c>
      <c r="HL23" s="237" t="s">
        <v>231</v>
      </c>
      <c r="HM23" s="237" t="s">
        <v>231</v>
      </c>
      <c r="HN23" s="237" t="s">
        <v>231</v>
      </c>
      <c r="HO23" s="237" t="s">
        <v>231</v>
      </c>
      <c r="HP23" s="237" t="s">
        <v>231</v>
      </c>
      <c r="HQ23" s="237" t="s">
        <v>231</v>
      </c>
      <c r="HR23" s="237" t="s">
        <v>231</v>
      </c>
      <c r="HS23" s="237" t="s">
        <v>231</v>
      </c>
      <c r="HT23" s="237" t="s">
        <v>231</v>
      </c>
      <c r="HU23" s="237" t="s">
        <v>231</v>
      </c>
      <c r="HV23" s="237" t="s">
        <v>231</v>
      </c>
      <c r="HW23" s="237" t="s">
        <v>231</v>
      </c>
      <c r="HX23" s="237" t="s">
        <v>231</v>
      </c>
      <c r="HY23" s="237" t="s">
        <v>231</v>
      </c>
      <c r="HZ23" s="237" t="s">
        <v>231</v>
      </c>
      <c r="IA23" s="237" t="s">
        <v>231</v>
      </c>
      <c r="IB23" s="237" t="s">
        <v>231</v>
      </c>
      <c r="IC23" s="237" t="s">
        <v>231</v>
      </c>
      <c r="ID23" s="237" t="s">
        <v>231</v>
      </c>
      <c r="IE23" s="237" t="s">
        <v>231</v>
      </c>
      <c r="IF23" s="237" t="s">
        <v>231</v>
      </c>
      <c r="IG23" s="237" t="s">
        <v>231</v>
      </c>
      <c r="IH23" s="237" t="s">
        <v>231</v>
      </c>
      <c r="II23" s="237" t="s">
        <v>231</v>
      </c>
      <c r="IJ23" s="237" t="s">
        <v>231</v>
      </c>
      <c r="IK23" s="237" t="s">
        <v>232</v>
      </c>
      <c r="IL23" s="237" t="s">
        <v>232</v>
      </c>
      <c r="IM23" s="237" t="s">
        <v>232</v>
      </c>
      <c r="IN23" s="237" t="s">
        <v>232</v>
      </c>
      <c r="IO23" s="237" t="s">
        <v>220</v>
      </c>
      <c r="IP23" s="237" t="s">
        <v>493</v>
      </c>
      <c r="IQ23" s="237" t="s">
        <v>219</v>
      </c>
      <c r="IR23" s="237" t="s">
        <v>512</v>
      </c>
      <c r="IS23" s="237" t="s">
        <v>232</v>
      </c>
      <c r="IT23" s="237" t="s">
        <v>231</v>
      </c>
    </row>
    <row r="24" spans="1:254" ht="15" x14ac:dyDescent="0.25">
      <c r="A24" s="259" t="str">
        <f>HYPERLINK("http://www.ofsted.gov.uk/inspection-reports/find-inspection-report/provider/ELS/136752 ","Ofsted School Webpage")</f>
        <v>Ofsted School Webpage</v>
      </c>
      <c r="B24" s="240">
        <v>136752</v>
      </c>
      <c r="C24" s="240">
        <v>3406001</v>
      </c>
      <c r="D24" s="240" t="s">
        <v>558</v>
      </c>
      <c r="E24" s="240" t="s">
        <v>248</v>
      </c>
      <c r="F24" s="240" t="s">
        <v>501</v>
      </c>
      <c r="G24" s="240" t="s">
        <v>495</v>
      </c>
      <c r="H24" s="240" t="s">
        <v>495</v>
      </c>
      <c r="I24" s="240" t="s">
        <v>559</v>
      </c>
      <c r="J24" s="240" t="s">
        <v>560</v>
      </c>
      <c r="K24" s="240" t="s">
        <v>93</v>
      </c>
      <c r="L24" s="240" t="s">
        <v>93</v>
      </c>
      <c r="M24" s="240" t="s">
        <v>93</v>
      </c>
      <c r="N24" s="240" t="s">
        <v>90</v>
      </c>
      <c r="O24" s="240" t="s">
        <v>486</v>
      </c>
      <c r="P24" s="240" t="s">
        <v>487</v>
      </c>
      <c r="Q24" s="241">
        <v>10053733</v>
      </c>
      <c r="R24" s="242">
        <v>43368</v>
      </c>
      <c r="S24" s="242">
        <v>43370</v>
      </c>
      <c r="T24" s="242">
        <v>43411</v>
      </c>
      <c r="U24" s="240" t="s">
        <v>2930</v>
      </c>
      <c r="V24" s="240" t="s">
        <v>489</v>
      </c>
      <c r="W24" s="240">
        <v>2</v>
      </c>
      <c r="X24" s="240">
        <v>2</v>
      </c>
      <c r="Y24" s="240">
        <v>2</v>
      </c>
      <c r="Z24" s="240">
        <v>2</v>
      </c>
      <c r="AA24" s="240">
        <v>2</v>
      </c>
      <c r="AB24" s="240" t="s">
        <v>486</v>
      </c>
      <c r="AC24" s="240" t="s">
        <v>486</v>
      </c>
      <c r="AD24" s="240" t="s">
        <v>219</v>
      </c>
      <c r="AE24" s="240" t="s">
        <v>490</v>
      </c>
      <c r="AF24" s="240" t="s">
        <v>486</v>
      </c>
      <c r="AG24" s="240" t="s">
        <v>486</v>
      </c>
      <c r="AH24" s="240" t="s">
        <v>486</v>
      </c>
      <c r="AI24" s="240" t="s">
        <v>486</v>
      </c>
      <c r="AJ24" s="240" t="s">
        <v>486</v>
      </c>
      <c r="AK24" s="240" t="s">
        <v>486</v>
      </c>
      <c r="AL24" s="240" t="s">
        <v>486</v>
      </c>
      <c r="AM24" s="240" t="s">
        <v>491</v>
      </c>
      <c r="AN24" s="240" t="s">
        <v>231</v>
      </c>
      <c r="AO24" s="240" t="s">
        <v>231</v>
      </c>
      <c r="AP24" s="240" t="s">
        <v>231</v>
      </c>
      <c r="AQ24" s="240" t="s">
        <v>231</v>
      </c>
      <c r="AR24" s="240" t="s">
        <v>231</v>
      </c>
      <c r="AS24" s="240" t="s">
        <v>231</v>
      </c>
      <c r="AT24" s="240" t="s">
        <v>231</v>
      </c>
      <c r="AU24" s="240" t="s">
        <v>231</v>
      </c>
      <c r="AV24" s="240" t="s">
        <v>231</v>
      </c>
      <c r="AW24" s="240" t="s">
        <v>231</v>
      </c>
      <c r="AX24" s="240" t="s">
        <v>231</v>
      </c>
      <c r="AY24" s="240" t="s">
        <v>231</v>
      </c>
      <c r="AZ24" s="240" t="s">
        <v>231</v>
      </c>
      <c r="BA24" s="240" t="s">
        <v>231</v>
      </c>
      <c r="BB24" s="240" t="s">
        <v>231</v>
      </c>
      <c r="BC24" s="240" t="s">
        <v>231</v>
      </c>
      <c r="BD24" s="240" t="s">
        <v>492</v>
      </c>
      <c r="BE24" s="240" t="s">
        <v>231</v>
      </c>
      <c r="BF24" s="240" t="s">
        <v>231</v>
      </c>
      <c r="BG24" s="240" t="s">
        <v>231</v>
      </c>
      <c r="BH24" s="240" t="s">
        <v>231</v>
      </c>
      <c r="BI24" s="240" t="s">
        <v>231</v>
      </c>
      <c r="BJ24" s="240" t="s">
        <v>231</v>
      </c>
      <c r="BK24" s="240" t="s">
        <v>231</v>
      </c>
      <c r="BL24" s="240" t="s">
        <v>492</v>
      </c>
      <c r="BM24" s="240" t="s">
        <v>231</v>
      </c>
      <c r="BN24" s="240" t="s">
        <v>231</v>
      </c>
      <c r="BO24" s="240" t="s">
        <v>231</v>
      </c>
      <c r="BP24" s="240" t="s">
        <v>231</v>
      </c>
      <c r="BQ24" s="240" t="s">
        <v>231</v>
      </c>
      <c r="BR24" s="240" t="s">
        <v>231</v>
      </c>
      <c r="BS24" s="240" t="s">
        <v>231</v>
      </c>
      <c r="BT24" s="240" t="s">
        <v>231</v>
      </c>
      <c r="BU24" s="240" t="s">
        <v>231</v>
      </c>
      <c r="BV24" s="240" t="s">
        <v>231</v>
      </c>
      <c r="BW24" s="240" t="s">
        <v>231</v>
      </c>
      <c r="BX24" s="240" t="s">
        <v>231</v>
      </c>
      <c r="BY24" s="240" t="s">
        <v>231</v>
      </c>
      <c r="BZ24" s="240" t="s">
        <v>231</v>
      </c>
      <c r="CA24" s="240" t="s">
        <v>231</v>
      </c>
      <c r="CB24" s="240" t="s">
        <v>231</v>
      </c>
      <c r="CC24" s="240" t="s">
        <v>231</v>
      </c>
      <c r="CD24" s="240" t="s">
        <v>231</v>
      </c>
      <c r="CE24" s="240" t="s">
        <v>231</v>
      </c>
      <c r="CF24" s="240" t="s">
        <v>231</v>
      </c>
      <c r="CG24" s="240" t="s">
        <v>231</v>
      </c>
      <c r="CH24" s="240" t="s">
        <v>231</v>
      </c>
      <c r="CI24" s="240" t="s">
        <v>231</v>
      </c>
      <c r="CJ24" s="240" t="s">
        <v>231</v>
      </c>
      <c r="CK24" s="240" t="s">
        <v>231</v>
      </c>
      <c r="CL24" s="240" t="s">
        <v>231</v>
      </c>
      <c r="CM24" s="240" t="s">
        <v>231</v>
      </c>
      <c r="CN24" s="240" t="s">
        <v>231</v>
      </c>
      <c r="CO24" s="240" t="s">
        <v>231</v>
      </c>
      <c r="CP24" s="240" t="s">
        <v>231</v>
      </c>
      <c r="CQ24" s="240" t="s">
        <v>231</v>
      </c>
      <c r="CR24" s="240" t="s">
        <v>231</v>
      </c>
      <c r="CS24" s="240" t="s">
        <v>231</v>
      </c>
      <c r="CT24" s="240" t="s">
        <v>231</v>
      </c>
      <c r="CU24" s="240" t="s">
        <v>231</v>
      </c>
      <c r="CV24" s="240" t="s">
        <v>231</v>
      </c>
      <c r="CW24" s="240" t="s">
        <v>231</v>
      </c>
      <c r="CX24" s="240" t="s">
        <v>231</v>
      </c>
      <c r="CY24" s="240" t="s">
        <v>231</v>
      </c>
      <c r="CZ24" s="240" t="s">
        <v>231</v>
      </c>
      <c r="DA24" s="240" t="s">
        <v>231</v>
      </c>
      <c r="DB24" s="240" t="s">
        <v>231</v>
      </c>
      <c r="DC24" s="240" t="s">
        <v>231</v>
      </c>
      <c r="DD24" s="240" t="s">
        <v>231</v>
      </c>
      <c r="DE24" s="240" t="s">
        <v>231</v>
      </c>
      <c r="DF24" s="240" t="s">
        <v>231</v>
      </c>
      <c r="DG24" s="240" t="s">
        <v>231</v>
      </c>
      <c r="DH24" s="240" t="s">
        <v>231</v>
      </c>
      <c r="DI24" s="240" t="s">
        <v>231</v>
      </c>
      <c r="DJ24" s="240" t="s">
        <v>231</v>
      </c>
      <c r="DK24" s="240" t="s">
        <v>231</v>
      </c>
      <c r="DL24" s="240" t="s">
        <v>231</v>
      </c>
      <c r="DM24" s="240" t="s">
        <v>231</v>
      </c>
      <c r="DN24" s="240" t="s">
        <v>231</v>
      </c>
      <c r="DO24" s="240" t="s">
        <v>231</v>
      </c>
      <c r="DP24" s="240" t="s">
        <v>231</v>
      </c>
      <c r="DQ24" s="240" t="s">
        <v>231</v>
      </c>
      <c r="DR24" s="240" t="s">
        <v>231</v>
      </c>
      <c r="DS24" s="240" t="s">
        <v>492</v>
      </c>
      <c r="DT24" s="240" t="s">
        <v>492</v>
      </c>
      <c r="DU24" s="240" t="s">
        <v>231</v>
      </c>
      <c r="DV24" s="240" t="s">
        <v>231</v>
      </c>
      <c r="DW24" s="240" t="s">
        <v>231</v>
      </c>
      <c r="DX24" s="240" t="s">
        <v>231</v>
      </c>
      <c r="DY24" s="240" t="s">
        <v>231</v>
      </c>
      <c r="DZ24" s="240" t="s">
        <v>231</v>
      </c>
      <c r="EA24" s="240" t="s">
        <v>231</v>
      </c>
      <c r="EB24" s="240" t="s">
        <v>231</v>
      </c>
      <c r="EC24" s="240" t="s">
        <v>231</v>
      </c>
      <c r="ED24" s="240" t="s">
        <v>231</v>
      </c>
      <c r="EE24" s="240" t="s">
        <v>231</v>
      </c>
      <c r="EF24" s="240" t="s">
        <v>231</v>
      </c>
      <c r="EG24" s="240" t="s">
        <v>231</v>
      </c>
      <c r="EH24" s="240" t="s">
        <v>492</v>
      </c>
      <c r="EI24" s="240" t="s">
        <v>231</v>
      </c>
      <c r="EJ24" s="240" t="s">
        <v>231</v>
      </c>
      <c r="EK24" s="240" t="s">
        <v>231</v>
      </c>
      <c r="EL24" s="240" t="s">
        <v>231</v>
      </c>
      <c r="EM24" s="240" t="s">
        <v>231</v>
      </c>
      <c r="EN24" s="240" t="s">
        <v>231</v>
      </c>
      <c r="EO24" s="240" t="s">
        <v>231</v>
      </c>
      <c r="EP24" s="240" t="s">
        <v>231</v>
      </c>
      <c r="EQ24" s="240" t="s">
        <v>231</v>
      </c>
      <c r="ER24" s="240" t="s">
        <v>231</v>
      </c>
      <c r="ES24" s="240" t="s">
        <v>231</v>
      </c>
      <c r="ET24" s="240" t="s">
        <v>231</v>
      </c>
      <c r="EU24" s="240" t="s">
        <v>231</v>
      </c>
      <c r="EV24" s="240" t="s">
        <v>231</v>
      </c>
      <c r="EW24" s="240" t="s">
        <v>231</v>
      </c>
      <c r="EX24" s="240" t="s">
        <v>231</v>
      </c>
      <c r="EY24" s="240" t="s">
        <v>231</v>
      </c>
      <c r="EZ24" s="240" t="s">
        <v>231</v>
      </c>
      <c r="FA24" s="240" t="s">
        <v>231</v>
      </c>
      <c r="FB24" s="240" t="s">
        <v>231</v>
      </c>
      <c r="FC24" s="240" t="s">
        <v>231</v>
      </c>
      <c r="FD24" s="240" t="s">
        <v>231</v>
      </c>
      <c r="FE24" s="240" t="s">
        <v>231</v>
      </c>
      <c r="FF24" s="240" t="s">
        <v>231</v>
      </c>
      <c r="FG24" s="240" t="s">
        <v>231</v>
      </c>
      <c r="FH24" s="240" t="s">
        <v>231</v>
      </c>
      <c r="FI24" s="240" t="s">
        <v>231</v>
      </c>
      <c r="FJ24" s="240" t="s">
        <v>231</v>
      </c>
      <c r="FK24" s="240" t="s">
        <v>231</v>
      </c>
      <c r="FL24" s="240" t="s">
        <v>231</v>
      </c>
      <c r="FM24" s="240" t="s">
        <v>231</v>
      </c>
      <c r="FN24" s="240" t="s">
        <v>231</v>
      </c>
      <c r="FO24" s="240" t="s">
        <v>231</v>
      </c>
      <c r="FP24" s="240" t="s">
        <v>231</v>
      </c>
      <c r="FQ24" s="240" t="s">
        <v>231</v>
      </c>
      <c r="FR24" s="240" t="s">
        <v>231</v>
      </c>
      <c r="FS24" s="240" t="s">
        <v>231</v>
      </c>
      <c r="FT24" s="240" t="s">
        <v>231</v>
      </c>
      <c r="FU24" s="240" t="s">
        <v>231</v>
      </c>
      <c r="FV24" s="240" t="s">
        <v>231</v>
      </c>
      <c r="FW24" s="240" t="s">
        <v>231</v>
      </c>
      <c r="FX24" s="240" t="s">
        <v>231</v>
      </c>
      <c r="FY24" s="240" t="s">
        <v>231</v>
      </c>
      <c r="FZ24" s="240" t="s">
        <v>231</v>
      </c>
      <c r="GA24" s="240" t="s">
        <v>231</v>
      </c>
      <c r="GB24" s="240" t="s">
        <v>231</v>
      </c>
      <c r="GC24" s="240" t="s">
        <v>231</v>
      </c>
      <c r="GD24" s="240" t="s">
        <v>231</v>
      </c>
      <c r="GE24" s="240" t="s">
        <v>231</v>
      </c>
      <c r="GF24" s="240" t="s">
        <v>231</v>
      </c>
      <c r="GG24" s="240" t="s">
        <v>231</v>
      </c>
      <c r="GH24" s="240" t="s">
        <v>231</v>
      </c>
      <c r="GI24" s="240" t="s">
        <v>231</v>
      </c>
      <c r="GJ24" s="240" t="s">
        <v>231</v>
      </c>
      <c r="GK24" s="240" t="s">
        <v>231</v>
      </c>
      <c r="GL24" s="240" t="s">
        <v>231</v>
      </c>
      <c r="GM24" s="240" t="s">
        <v>231</v>
      </c>
      <c r="GN24" s="240" t="s">
        <v>231</v>
      </c>
      <c r="GO24" s="240" t="s">
        <v>231</v>
      </c>
      <c r="GP24" s="240" t="s">
        <v>231</v>
      </c>
      <c r="GQ24" s="240" t="s">
        <v>231</v>
      </c>
      <c r="GR24" s="240" t="s">
        <v>231</v>
      </c>
      <c r="GS24" s="240" t="s">
        <v>231</v>
      </c>
      <c r="GT24" s="240" t="s">
        <v>231</v>
      </c>
      <c r="GU24" s="240" t="s">
        <v>231</v>
      </c>
      <c r="GV24" s="240" t="s">
        <v>231</v>
      </c>
      <c r="GW24" s="240" t="s">
        <v>231</v>
      </c>
      <c r="GX24" s="240" t="s">
        <v>231</v>
      </c>
      <c r="GY24" s="240" t="s">
        <v>231</v>
      </c>
      <c r="GZ24" s="240" t="s">
        <v>231</v>
      </c>
      <c r="HA24" s="240" t="s">
        <v>231</v>
      </c>
      <c r="HB24" s="240" t="s">
        <v>231</v>
      </c>
      <c r="HC24" s="240" t="s">
        <v>231</v>
      </c>
      <c r="HD24" s="240" t="s">
        <v>231</v>
      </c>
      <c r="HE24" s="240" t="s">
        <v>231</v>
      </c>
      <c r="HF24" s="240" t="s">
        <v>231</v>
      </c>
      <c r="HG24" s="240" t="s">
        <v>231</v>
      </c>
      <c r="HH24" s="240" t="s">
        <v>231</v>
      </c>
      <c r="HI24" s="240" t="s">
        <v>231</v>
      </c>
      <c r="HJ24" s="240" t="s">
        <v>231</v>
      </c>
      <c r="HK24" s="240" t="s">
        <v>231</v>
      </c>
      <c r="HL24" s="240" t="s">
        <v>231</v>
      </c>
      <c r="HM24" s="240" t="s">
        <v>231</v>
      </c>
      <c r="HN24" s="240" t="s">
        <v>231</v>
      </c>
      <c r="HO24" s="240" t="s">
        <v>231</v>
      </c>
      <c r="HP24" s="240" t="s">
        <v>231</v>
      </c>
      <c r="HQ24" s="240" t="s">
        <v>231</v>
      </c>
      <c r="HR24" s="240" t="s">
        <v>231</v>
      </c>
      <c r="HS24" s="240" t="s">
        <v>231</v>
      </c>
      <c r="HT24" s="240" t="s">
        <v>231</v>
      </c>
      <c r="HU24" s="240" t="s">
        <v>231</v>
      </c>
      <c r="HV24" s="240" t="s">
        <v>231</v>
      </c>
      <c r="HW24" s="240" t="s">
        <v>231</v>
      </c>
      <c r="HX24" s="240" t="s">
        <v>231</v>
      </c>
      <c r="HY24" s="240" t="s">
        <v>231</v>
      </c>
      <c r="HZ24" s="240" t="s">
        <v>231</v>
      </c>
      <c r="IA24" s="240" t="s">
        <v>231</v>
      </c>
      <c r="IB24" s="240" t="s">
        <v>231</v>
      </c>
      <c r="IC24" s="240" t="s">
        <v>231</v>
      </c>
      <c r="ID24" s="240" t="s">
        <v>231</v>
      </c>
      <c r="IE24" s="240" t="s">
        <v>231</v>
      </c>
      <c r="IF24" s="240" t="s">
        <v>231</v>
      </c>
      <c r="IG24" s="240" t="s">
        <v>231</v>
      </c>
      <c r="IH24" s="240" t="s">
        <v>231</v>
      </c>
      <c r="II24" s="240" t="s">
        <v>231</v>
      </c>
      <c r="IJ24" s="240" t="s">
        <v>231</v>
      </c>
      <c r="IK24" s="240" t="s">
        <v>231</v>
      </c>
      <c r="IL24" s="240" t="s">
        <v>231</v>
      </c>
      <c r="IM24" s="240" t="s">
        <v>231</v>
      </c>
      <c r="IN24" s="240" t="s">
        <v>231</v>
      </c>
      <c r="IO24" s="240" t="s">
        <v>220</v>
      </c>
      <c r="IP24" s="240" t="s">
        <v>493</v>
      </c>
      <c r="IQ24" s="240" t="s">
        <v>219</v>
      </c>
      <c r="IR24" s="240" t="s">
        <v>490</v>
      </c>
      <c r="IS24" s="240" t="s">
        <v>231</v>
      </c>
      <c r="IT24" s="240" t="s">
        <v>231</v>
      </c>
    </row>
    <row r="25" spans="1:254" ht="15" x14ac:dyDescent="0.25">
      <c r="A25" s="258" t="str">
        <f>HYPERLINK("http://www.ofsted.gov.uk/inspection-reports/find-inspection-report/provider/ELS/121250 ","Ofsted School Webpage")</f>
        <v>Ofsted School Webpage</v>
      </c>
      <c r="B25" s="237">
        <v>121250</v>
      </c>
      <c r="C25" s="237">
        <v>9266140</v>
      </c>
      <c r="D25" s="237" t="s">
        <v>561</v>
      </c>
      <c r="E25" s="237" t="s">
        <v>247</v>
      </c>
      <c r="F25" s="237" t="s">
        <v>482</v>
      </c>
      <c r="G25" s="237" t="s">
        <v>516</v>
      </c>
      <c r="H25" s="237" t="s">
        <v>516</v>
      </c>
      <c r="I25" s="237" t="s">
        <v>528</v>
      </c>
      <c r="J25" s="237" t="s">
        <v>562</v>
      </c>
      <c r="K25" s="237" t="s">
        <v>93</v>
      </c>
      <c r="L25" s="237" t="s">
        <v>71</v>
      </c>
      <c r="M25" s="237" t="s">
        <v>71</v>
      </c>
      <c r="N25" s="237" t="s">
        <v>71</v>
      </c>
      <c r="O25" s="237" t="s">
        <v>486</v>
      </c>
      <c r="P25" s="237" t="s">
        <v>487</v>
      </c>
      <c r="Q25" s="238">
        <v>10054007</v>
      </c>
      <c r="R25" s="239">
        <v>43368</v>
      </c>
      <c r="S25" s="239">
        <v>43370</v>
      </c>
      <c r="T25" s="239">
        <v>43416</v>
      </c>
      <c r="U25" s="237" t="s">
        <v>488</v>
      </c>
      <c r="V25" s="237" t="s">
        <v>489</v>
      </c>
      <c r="W25" s="237">
        <v>4</v>
      </c>
      <c r="X25" s="237">
        <v>4</v>
      </c>
      <c r="Y25" s="237">
        <v>4</v>
      </c>
      <c r="Z25" s="237">
        <v>3</v>
      </c>
      <c r="AA25" s="237">
        <v>3</v>
      </c>
      <c r="AB25" s="237" t="s">
        <v>486</v>
      </c>
      <c r="AC25" s="237" t="s">
        <v>486</v>
      </c>
      <c r="AD25" s="237" t="s">
        <v>220</v>
      </c>
      <c r="AE25" s="237" t="s">
        <v>490</v>
      </c>
      <c r="AF25" s="237" t="s">
        <v>486</v>
      </c>
      <c r="AG25" s="237" t="s">
        <v>486</v>
      </c>
      <c r="AH25" s="237" t="s">
        <v>486</v>
      </c>
      <c r="AI25" s="237" t="s">
        <v>486</v>
      </c>
      <c r="AJ25" s="237" t="s">
        <v>486</v>
      </c>
      <c r="AK25" s="237" t="s">
        <v>486</v>
      </c>
      <c r="AL25" s="237" t="s">
        <v>486</v>
      </c>
      <c r="AM25" s="237" t="s">
        <v>545</v>
      </c>
      <c r="AN25" s="237" t="s">
        <v>546</v>
      </c>
      <c r="AO25" s="237" t="s">
        <v>231</v>
      </c>
      <c r="AP25" s="237" t="s">
        <v>546</v>
      </c>
      <c r="AQ25" s="237" t="s">
        <v>231</v>
      </c>
      <c r="AR25" s="237" t="s">
        <v>231</v>
      </c>
      <c r="AS25" s="237" t="s">
        <v>231</v>
      </c>
      <c r="AT25" s="237" t="s">
        <v>231</v>
      </c>
      <c r="AU25" s="237" t="s">
        <v>546</v>
      </c>
      <c r="AV25" s="237" t="s">
        <v>232</v>
      </c>
      <c r="AW25" s="237" t="s">
        <v>232</v>
      </c>
      <c r="AX25" s="237" t="s">
        <v>232</v>
      </c>
      <c r="AY25" s="237" t="s">
        <v>232</v>
      </c>
      <c r="AZ25" s="237" t="s">
        <v>231</v>
      </c>
      <c r="BA25" s="237" t="s">
        <v>231</v>
      </c>
      <c r="BB25" s="237" t="s">
        <v>231</v>
      </c>
      <c r="BC25" s="237" t="s">
        <v>231</v>
      </c>
      <c r="BD25" s="237" t="s">
        <v>492</v>
      </c>
      <c r="BE25" s="237" t="s">
        <v>231</v>
      </c>
      <c r="BF25" s="237" t="s">
        <v>231</v>
      </c>
      <c r="BG25" s="237" t="s">
        <v>231</v>
      </c>
      <c r="BH25" s="237" t="s">
        <v>231</v>
      </c>
      <c r="BI25" s="237" t="s">
        <v>231</v>
      </c>
      <c r="BJ25" s="237" t="s">
        <v>231</v>
      </c>
      <c r="BK25" s="237" t="s">
        <v>231</v>
      </c>
      <c r="BL25" s="237" t="s">
        <v>492</v>
      </c>
      <c r="BM25" s="237" t="s">
        <v>231</v>
      </c>
      <c r="BN25" s="237" t="s">
        <v>231</v>
      </c>
      <c r="BO25" s="237" t="s">
        <v>231</v>
      </c>
      <c r="BP25" s="237" t="s">
        <v>232</v>
      </c>
      <c r="BQ25" s="237" t="s">
        <v>232</v>
      </c>
      <c r="BR25" s="237" t="s">
        <v>231</v>
      </c>
      <c r="BS25" s="237" t="s">
        <v>232</v>
      </c>
      <c r="BT25" s="237" t="s">
        <v>232</v>
      </c>
      <c r="BU25" s="237" t="s">
        <v>232</v>
      </c>
      <c r="BV25" s="237" t="s">
        <v>231</v>
      </c>
      <c r="BW25" s="237" t="s">
        <v>232</v>
      </c>
      <c r="BX25" s="237" t="s">
        <v>231</v>
      </c>
      <c r="BY25" s="237" t="s">
        <v>231</v>
      </c>
      <c r="BZ25" s="237" t="s">
        <v>231</v>
      </c>
      <c r="CA25" s="237" t="s">
        <v>231</v>
      </c>
      <c r="CB25" s="237" t="s">
        <v>231</v>
      </c>
      <c r="CC25" s="237" t="s">
        <v>231</v>
      </c>
      <c r="CD25" s="237" t="s">
        <v>231</v>
      </c>
      <c r="CE25" s="237" t="s">
        <v>231</v>
      </c>
      <c r="CF25" s="237" t="s">
        <v>231</v>
      </c>
      <c r="CG25" s="237" t="s">
        <v>231</v>
      </c>
      <c r="CH25" s="237" t="s">
        <v>231</v>
      </c>
      <c r="CI25" s="237" t="s">
        <v>231</v>
      </c>
      <c r="CJ25" s="237" t="s">
        <v>231</v>
      </c>
      <c r="CK25" s="237" t="s">
        <v>231</v>
      </c>
      <c r="CL25" s="237" t="s">
        <v>231</v>
      </c>
      <c r="CM25" s="237" t="s">
        <v>231</v>
      </c>
      <c r="CN25" s="237" t="s">
        <v>231</v>
      </c>
      <c r="CO25" s="237" t="s">
        <v>231</v>
      </c>
      <c r="CP25" s="237" t="s">
        <v>231</v>
      </c>
      <c r="CQ25" s="237" t="s">
        <v>232</v>
      </c>
      <c r="CR25" s="237" t="s">
        <v>232</v>
      </c>
      <c r="CS25" s="237" t="s">
        <v>232</v>
      </c>
      <c r="CT25" s="237" t="s">
        <v>492</v>
      </c>
      <c r="CU25" s="237" t="s">
        <v>492</v>
      </c>
      <c r="CV25" s="237" t="s">
        <v>492</v>
      </c>
      <c r="CW25" s="237" t="s">
        <v>231</v>
      </c>
      <c r="CX25" s="237" t="s">
        <v>231</v>
      </c>
      <c r="CY25" s="237" t="s">
        <v>231</v>
      </c>
      <c r="CZ25" s="237" t="s">
        <v>231</v>
      </c>
      <c r="DA25" s="237" t="s">
        <v>231</v>
      </c>
      <c r="DB25" s="237" t="s">
        <v>231</v>
      </c>
      <c r="DC25" s="237" t="s">
        <v>231</v>
      </c>
      <c r="DD25" s="237" t="s">
        <v>231</v>
      </c>
      <c r="DE25" s="237" t="s">
        <v>231</v>
      </c>
      <c r="DF25" s="237" t="s">
        <v>231</v>
      </c>
      <c r="DG25" s="237" t="s">
        <v>231</v>
      </c>
      <c r="DH25" s="237" t="s">
        <v>231</v>
      </c>
      <c r="DI25" s="237" t="s">
        <v>231</v>
      </c>
      <c r="DJ25" s="237" t="s">
        <v>231</v>
      </c>
      <c r="DK25" s="237" t="s">
        <v>231</v>
      </c>
      <c r="DL25" s="237" t="s">
        <v>231</v>
      </c>
      <c r="DM25" s="237" t="s">
        <v>231</v>
      </c>
      <c r="DN25" s="237" t="s">
        <v>231</v>
      </c>
      <c r="DO25" s="237" t="s">
        <v>231</v>
      </c>
      <c r="DP25" s="237" t="s">
        <v>231</v>
      </c>
      <c r="DQ25" s="237" t="s">
        <v>231</v>
      </c>
      <c r="DR25" s="237" t="s">
        <v>231</v>
      </c>
      <c r="DS25" s="237" t="s">
        <v>231</v>
      </c>
      <c r="DT25" s="237" t="s">
        <v>492</v>
      </c>
      <c r="DU25" s="237" t="s">
        <v>231</v>
      </c>
      <c r="DV25" s="237" t="s">
        <v>492</v>
      </c>
      <c r="DW25" s="237" t="s">
        <v>492</v>
      </c>
      <c r="DX25" s="237" t="s">
        <v>492</v>
      </c>
      <c r="DY25" s="237" t="s">
        <v>492</v>
      </c>
      <c r="DZ25" s="237" t="s">
        <v>492</v>
      </c>
      <c r="EA25" s="237" t="s">
        <v>492</v>
      </c>
      <c r="EB25" s="237" t="s">
        <v>492</v>
      </c>
      <c r="EC25" s="237" t="s">
        <v>492</v>
      </c>
      <c r="ED25" s="237" t="s">
        <v>492</v>
      </c>
      <c r="EE25" s="237" t="s">
        <v>492</v>
      </c>
      <c r="EF25" s="237" t="s">
        <v>492</v>
      </c>
      <c r="EG25" s="237" t="s">
        <v>492</v>
      </c>
      <c r="EH25" s="237" t="s">
        <v>492</v>
      </c>
      <c r="EI25" s="237" t="s">
        <v>492</v>
      </c>
      <c r="EJ25" s="237" t="s">
        <v>492</v>
      </c>
      <c r="EK25" s="237" t="s">
        <v>492</v>
      </c>
      <c r="EL25" s="237" t="s">
        <v>492</v>
      </c>
      <c r="EM25" s="237" t="s">
        <v>492</v>
      </c>
      <c r="EN25" s="237" t="s">
        <v>492</v>
      </c>
      <c r="EO25" s="237" t="s">
        <v>492</v>
      </c>
      <c r="EP25" s="237" t="s">
        <v>492</v>
      </c>
      <c r="EQ25" s="237" t="s">
        <v>492</v>
      </c>
      <c r="ER25" s="237" t="s">
        <v>492</v>
      </c>
      <c r="ES25" s="237" t="s">
        <v>231</v>
      </c>
      <c r="ET25" s="237" t="s">
        <v>231</v>
      </c>
      <c r="EU25" s="237" t="s">
        <v>231</v>
      </c>
      <c r="EV25" s="237" t="s">
        <v>231</v>
      </c>
      <c r="EW25" s="237" t="s">
        <v>231</v>
      </c>
      <c r="EX25" s="237" t="s">
        <v>231</v>
      </c>
      <c r="EY25" s="237" t="s">
        <v>231</v>
      </c>
      <c r="EZ25" s="237" t="s">
        <v>231</v>
      </c>
      <c r="FA25" s="237" t="s">
        <v>231</v>
      </c>
      <c r="FB25" s="237" t="s">
        <v>231</v>
      </c>
      <c r="FC25" s="237" t="s">
        <v>231</v>
      </c>
      <c r="FD25" s="237" t="s">
        <v>231</v>
      </c>
      <c r="FE25" s="237" t="s">
        <v>231</v>
      </c>
      <c r="FF25" s="237" t="s">
        <v>231</v>
      </c>
      <c r="FG25" s="237" t="s">
        <v>492</v>
      </c>
      <c r="FH25" s="237" t="s">
        <v>492</v>
      </c>
      <c r="FI25" s="237" t="s">
        <v>492</v>
      </c>
      <c r="FJ25" s="237" t="s">
        <v>492</v>
      </c>
      <c r="FK25" s="237" t="s">
        <v>492</v>
      </c>
      <c r="FL25" s="237" t="s">
        <v>492</v>
      </c>
      <c r="FM25" s="237" t="s">
        <v>492</v>
      </c>
      <c r="FN25" s="237" t="s">
        <v>492</v>
      </c>
      <c r="FO25" s="237" t="s">
        <v>493</v>
      </c>
      <c r="FP25" s="237" t="s">
        <v>492</v>
      </c>
      <c r="FQ25" s="237" t="s">
        <v>231</v>
      </c>
      <c r="FR25" s="237" t="s">
        <v>231</v>
      </c>
      <c r="FS25" s="237" t="s">
        <v>231</v>
      </c>
      <c r="FT25" s="237" t="s">
        <v>231</v>
      </c>
      <c r="FU25" s="237" t="s">
        <v>231</v>
      </c>
      <c r="FV25" s="237" t="s">
        <v>231</v>
      </c>
      <c r="FW25" s="237" t="s">
        <v>231</v>
      </c>
      <c r="FX25" s="237" t="s">
        <v>492</v>
      </c>
      <c r="FY25" s="237" t="s">
        <v>231</v>
      </c>
      <c r="FZ25" s="237" t="s">
        <v>231</v>
      </c>
      <c r="GA25" s="237" t="s">
        <v>231</v>
      </c>
      <c r="GB25" s="237" t="s">
        <v>231</v>
      </c>
      <c r="GC25" s="237" t="s">
        <v>231</v>
      </c>
      <c r="GD25" s="237" t="s">
        <v>231</v>
      </c>
      <c r="GE25" s="237" t="s">
        <v>231</v>
      </c>
      <c r="GF25" s="237" t="s">
        <v>231</v>
      </c>
      <c r="GG25" s="237" t="s">
        <v>231</v>
      </c>
      <c r="GH25" s="237" t="s">
        <v>231</v>
      </c>
      <c r="GI25" s="237" t="s">
        <v>231</v>
      </c>
      <c r="GJ25" s="237" t="s">
        <v>231</v>
      </c>
      <c r="GK25" s="237" t="s">
        <v>231</v>
      </c>
      <c r="GL25" s="237" t="s">
        <v>231</v>
      </c>
      <c r="GM25" s="237" t="s">
        <v>231</v>
      </c>
      <c r="GN25" s="237" t="s">
        <v>231</v>
      </c>
      <c r="GO25" s="237" t="s">
        <v>231</v>
      </c>
      <c r="GP25" s="237" t="s">
        <v>492</v>
      </c>
      <c r="GQ25" s="237" t="s">
        <v>231</v>
      </c>
      <c r="GR25" s="237" t="s">
        <v>231</v>
      </c>
      <c r="GS25" s="237" t="s">
        <v>231</v>
      </c>
      <c r="GT25" s="237" t="s">
        <v>231</v>
      </c>
      <c r="GU25" s="237" t="s">
        <v>231</v>
      </c>
      <c r="GV25" s="237" t="s">
        <v>492</v>
      </c>
      <c r="GW25" s="237" t="s">
        <v>231</v>
      </c>
      <c r="GX25" s="237" t="s">
        <v>231</v>
      </c>
      <c r="GY25" s="237" t="s">
        <v>231</v>
      </c>
      <c r="GZ25" s="237" t="s">
        <v>231</v>
      </c>
      <c r="HA25" s="237" t="s">
        <v>231</v>
      </c>
      <c r="HB25" s="237" t="s">
        <v>231</v>
      </c>
      <c r="HC25" s="237" t="s">
        <v>231</v>
      </c>
      <c r="HD25" s="237" t="s">
        <v>231</v>
      </c>
      <c r="HE25" s="237" t="s">
        <v>231</v>
      </c>
      <c r="HF25" s="237" t="s">
        <v>492</v>
      </c>
      <c r="HG25" s="237" t="s">
        <v>231</v>
      </c>
      <c r="HH25" s="237" t="s">
        <v>231</v>
      </c>
      <c r="HI25" s="237" t="s">
        <v>231</v>
      </c>
      <c r="HJ25" s="237" t="s">
        <v>231</v>
      </c>
      <c r="HK25" s="237" t="s">
        <v>231</v>
      </c>
      <c r="HL25" s="237" t="s">
        <v>231</v>
      </c>
      <c r="HM25" s="237" t="s">
        <v>231</v>
      </c>
      <c r="HN25" s="237" t="s">
        <v>231</v>
      </c>
      <c r="HO25" s="237" t="s">
        <v>231</v>
      </c>
      <c r="HP25" s="237" t="s">
        <v>231</v>
      </c>
      <c r="HQ25" s="237" t="s">
        <v>492</v>
      </c>
      <c r="HR25" s="237" t="s">
        <v>492</v>
      </c>
      <c r="HS25" s="237" t="s">
        <v>492</v>
      </c>
      <c r="HT25" s="237" t="s">
        <v>492</v>
      </c>
      <c r="HU25" s="237" t="s">
        <v>231</v>
      </c>
      <c r="HV25" s="237" t="s">
        <v>231</v>
      </c>
      <c r="HW25" s="237" t="s">
        <v>231</v>
      </c>
      <c r="HX25" s="237" t="s">
        <v>231</v>
      </c>
      <c r="HY25" s="237" t="s">
        <v>231</v>
      </c>
      <c r="HZ25" s="237" t="s">
        <v>231</v>
      </c>
      <c r="IA25" s="237" t="s">
        <v>231</v>
      </c>
      <c r="IB25" s="237" t="s">
        <v>231</v>
      </c>
      <c r="IC25" s="237" t="s">
        <v>231</v>
      </c>
      <c r="ID25" s="237" t="s">
        <v>231</v>
      </c>
      <c r="IE25" s="237" t="s">
        <v>231</v>
      </c>
      <c r="IF25" s="237" t="s">
        <v>231</v>
      </c>
      <c r="IG25" s="237" t="s">
        <v>231</v>
      </c>
      <c r="IH25" s="237" t="s">
        <v>231</v>
      </c>
      <c r="II25" s="237" t="s">
        <v>231</v>
      </c>
      <c r="IJ25" s="237" t="s">
        <v>231</v>
      </c>
      <c r="IK25" s="237" t="s">
        <v>232</v>
      </c>
      <c r="IL25" s="237" t="s">
        <v>232</v>
      </c>
      <c r="IM25" s="237" t="s">
        <v>232</v>
      </c>
      <c r="IN25" s="237" t="s">
        <v>232</v>
      </c>
      <c r="IO25" s="237" t="s">
        <v>220</v>
      </c>
      <c r="IP25" s="237" t="s">
        <v>493</v>
      </c>
      <c r="IQ25" s="237" t="s">
        <v>219</v>
      </c>
      <c r="IR25" s="237" t="s">
        <v>512</v>
      </c>
      <c r="IS25" s="237" t="s">
        <v>492</v>
      </c>
      <c r="IT25" s="237" t="s">
        <v>492</v>
      </c>
    </row>
    <row r="26" spans="1:254" ht="15" x14ac:dyDescent="0.25">
      <c r="A26" s="259" t="str">
        <f>HYPERLINK("http://www.ofsted.gov.uk/inspection-reports/find-inspection-report/provider/ELS/130391 ","Ofsted School Webpage")</f>
        <v>Ofsted School Webpage</v>
      </c>
      <c r="B26" s="240">
        <v>130391</v>
      </c>
      <c r="C26" s="240">
        <v>8016130</v>
      </c>
      <c r="D26" s="240" t="s">
        <v>563</v>
      </c>
      <c r="E26" s="240" t="s">
        <v>247</v>
      </c>
      <c r="F26" s="240" t="s">
        <v>482</v>
      </c>
      <c r="G26" s="240" t="s">
        <v>483</v>
      </c>
      <c r="H26" s="240" t="s">
        <v>483</v>
      </c>
      <c r="I26" s="240" t="s">
        <v>564</v>
      </c>
      <c r="J26" s="240" t="s">
        <v>565</v>
      </c>
      <c r="K26" s="240" t="s">
        <v>83</v>
      </c>
      <c r="L26" s="240" t="s">
        <v>84</v>
      </c>
      <c r="M26" s="240" t="s">
        <v>83</v>
      </c>
      <c r="N26" s="240" t="s">
        <v>84</v>
      </c>
      <c r="O26" s="240" t="s">
        <v>486</v>
      </c>
      <c r="P26" s="240" t="s">
        <v>487</v>
      </c>
      <c r="Q26" s="241">
        <v>10055843</v>
      </c>
      <c r="R26" s="242">
        <v>43368</v>
      </c>
      <c r="S26" s="242">
        <v>43370</v>
      </c>
      <c r="T26" s="242">
        <v>43397</v>
      </c>
      <c r="U26" s="240" t="s">
        <v>488</v>
      </c>
      <c r="V26" s="240" t="s">
        <v>489</v>
      </c>
      <c r="W26" s="240">
        <v>3</v>
      </c>
      <c r="X26" s="240">
        <v>3</v>
      </c>
      <c r="Y26" s="240">
        <v>3</v>
      </c>
      <c r="Z26" s="240">
        <v>3</v>
      </c>
      <c r="AA26" s="240">
        <v>3</v>
      </c>
      <c r="AB26" s="240">
        <v>3</v>
      </c>
      <c r="AC26" s="240" t="s">
        <v>486</v>
      </c>
      <c r="AD26" s="240" t="s">
        <v>219</v>
      </c>
      <c r="AE26" s="240" t="s">
        <v>490</v>
      </c>
      <c r="AF26" s="240" t="s">
        <v>486</v>
      </c>
      <c r="AG26" s="240" t="s">
        <v>486</v>
      </c>
      <c r="AH26" s="240" t="s">
        <v>486</v>
      </c>
      <c r="AI26" s="240" t="s">
        <v>486</v>
      </c>
      <c r="AJ26" s="240" t="s">
        <v>486</v>
      </c>
      <c r="AK26" s="240" t="s">
        <v>486</v>
      </c>
      <c r="AL26" s="240" t="s">
        <v>486</v>
      </c>
      <c r="AM26" s="240" t="s">
        <v>491</v>
      </c>
      <c r="AN26" s="240" t="s">
        <v>231</v>
      </c>
      <c r="AO26" s="240" t="s">
        <v>231</v>
      </c>
      <c r="AP26" s="240" t="s">
        <v>231</v>
      </c>
      <c r="AQ26" s="240" t="s">
        <v>231</v>
      </c>
      <c r="AR26" s="240" t="s">
        <v>231</v>
      </c>
      <c r="AS26" s="240" t="s">
        <v>231</v>
      </c>
      <c r="AT26" s="240" t="s">
        <v>231</v>
      </c>
      <c r="AU26" s="240" t="s">
        <v>231</v>
      </c>
      <c r="AV26" s="240" t="s">
        <v>231</v>
      </c>
      <c r="AW26" s="240" t="s">
        <v>231</v>
      </c>
      <c r="AX26" s="240" t="s">
        <v>231</v>
      </c>
      <c r="AY26" s="240" t="s">
        <v>231</v>
      </c>
      <c r="AZ26" s="240" t="s">
        <v>231</v>
      </c>
      <c r="BA26" s="240" t="s">
        <v>231</v>
      </c>
      <c r="BB26" s="240" t="s">
        <v>231</v>
      </c>
      <c r="BC26" s="240" t="s">
        <v>231</v>
      </c>
      <c r="BD26" s="240" t="s">
        <v>231</v>
      </c>
      <c r="BE26" s="240" t="s">
        <v>231</v>
      </c>
      <c r="BF26" s="240" t="s">
        <v>231</v>
      </c>
      <c r="BG26" s="240" t="s">
        <v>231</v>
      </c>
      <c r="BH26" s="240" t="s">
        <v>231</v>
      </c>
      <c r="BI26" s="240" t="s">
        <v>231</v>
      </c>
      <c r="BJ26" s="240" t="s">
        <v>231</v>
      </c>
      <c r="BK26" s="240" t="s">
        <v>231</v>
      </c>
      <c r="BL26" s="240" t="s">
        <v>231</v>
      </c>
      <c r="BM26" s="240" t="s">
        <v>492</v>
      </c>
      <c r="BN26" s="240" t="s">
        <v>231</v>
      </c>
      <c r="BO26" s="240" t="s">
        <v>231</v>
      </c>
      <c r="BP26" s="240" t="s">
        <v>231</v>
      </c>
      <c r="BQ26" s="240" t="s">
        <v>231</v>
      </c>
      <c r="BR26" s="240" t="s">
        <v>231</v>
      </c>
      <c r="BS26" s="240" t="s">
        <v>231</v>
      </c>
      <c r="BT26" s="240" t="s">
        <v>231</v>
      </c>
      <c r="BU26" s="240" t="s">
        <v>231</v>
      </c>
      <c r="BV26" s="240" t="s">
        <v>231</v>
      </c>
      <c r="BW26" s="240" t="s">
        <v>231</v>
      </c>
      <c r="BX26" s="240" t="s">
        <v>231</v>
      </c>
      <c r="BY26" s="240" t="s">
        <v>231</v>
      </c>
      <c r="BZ26" s="240" t="s">
        <v>231</v>
      </c>
      <c r="CA26" s="240" t="s">
        <v>231</v>
      </c>
      <c r="CB26" s="240" t="s">
        <v>231</v>
      </c>
      <c r="CC26" s="240" t="s">
        <v>231</v>
      </c>
      <c r="CD26" s="240" t="s">
        <v>231</v>
      </c>
      <c r="CE26" s="240" t="s">
        <v>231</v>
      </c>
      <c r="CF26" s="240" t="s">
        <v>231</v>
      </c>
      <c r="CG26" s="240" t="s">
        <v>231</v>
      </c>
      <c r="CH26" s="240" t="s">
        <v>231</v>
      </c>
      <c r="CI26" s="240" t="s">
        <v>231</v>
      </c>
      <c r="CJ26" s="240" t="s">
        <v>231</v>
      </c>
      <c r="CK26" s="240" t="s">
        <v>231</v>
      </c>
      <c r="CL26" s="240" t="s">
        <v>231</v>
      </c>
      <c r="CM26" s="240" t="s">
        <v>231</v>
      </c>
      <c r="CN26" s="240" t="s">
        <v>231</v>
      </c>
      <c r="CO26" s="240" t="s">
        <v>231</v>
      </c>
      <c r="CP26" s="240" t="s">
        <v>231</v>
      </c>
      <c r="CQ26" s="240" t="s">
        <v>231</v>
      </c>
      <c r="CR26" s="240" t="s">
        <v>231</v>
      </c>
      <c r="CS26" s="240" t="s">
        <v>231</v>
      </c>
      <c r="CT26" s="240" t="s">
        <v>492</v>
      </c>
      <c r="CU26" s="240" t="s">
        <v>492</v>
      </c>
      <c r="CV26" s="240" t="s">
        <v>492</v>
      </c>
      <c r="CW26" s="240" t="s">
        <v>231</v>
      </c>
      <c r="CX26" s="240" t="s">
        <v>231</v>
      </c>
      <c r="CY26" s="240" t="s">
        <v>231</v>
      </c>
      <c r="CZ26" s="240" t="s">
        <v>231</v>
      </c>
      <c r="DA26" s="240" t="s">
        <v>231</v>
      </c>
      <c r="DB26" s="240" t="s">
        <v>231</v>
      </c>
      <c r="DC26" s="240" t="s">
        <v>231</v>
      </c>
      <c r="DD26" s="240" t="s">
        <v>231</v>
      </c>
      <c r="DE26" s="240" t="s">
        <v>231</v>
      </c>
      <c r="DF26" s="240" t="s">
        <v>231</v>
      </c>
      <c r="DG26" s="240" t="s">
        <v>231</v>
      </c>
      <c r="DH26" s="240" t="s">
        <v>231</v>
      </c>
      <c r="DI26" s="240" t="s">
        <v>231</v>
      </c>
      <c r="DJ26" s="240" t="s">
        <v>231</v>
      </c>
      <c r="DK26" s="240" t="s">
        <v>231</v>
      </c>
      <c r="DL26" s="240" t="s">
        <v>231</v>
      </c>
      <c r="DM26" s="240" t="s">
        <v>231</v>
      </c>
      <c r="DN26" s="240" t="s">
        <v>231</v>
      </c>
      <c r="DO26" s="240" t="s">
        <v>231</v>
      </c>
      <c r="DP26" s="240" t="s">
        <v>231</v>
      </c>
      <c r="DQ26" s="240" t="s">
        <v>231</v>
      </c>
      <c r="DR26" s="240" t="s">
        <v>231</v>
      </c>
      <c r="DS26" s="240" t="s">
        <v>231</v>
      </c>
      <c r="DT26" s="240" t="s">
        <v>231</v>
      </c>
      <c r="DU26" s="240" t="s">
        <v>231</v>
      </c>
      <c r="DV26" s="240" t="s">
        <v>231</v>
      </c>
      <c r="DW26" s="240" t="s">
        <v>231</v>
      </c>
      <c r="DX26" s="240" t="s">
        <v>231</v>
      </c>
      <c r="DY26" s="240" t="s">
        <v>231</v>
      </c>
      <c r="DZ26" s="240" t="s">
        <v>231</v>
      </c>
      <c r="EA26" s="240" t="s">
        <v>231</v>
      </c>
      <c r="EB26" s="240" t="s">
        <v>231</v>
      </c>
      <c r="EC26" s="240" t="s">
        <v>231</v>
      </c>
      <c r="ED26" s="240" t="s">
        <v>231</v>
      </c>
      <c r="EE26" s="240" t="s">
        <v>231</v>
      </c>
      <c r="EF26" s="240" t="s">
        <v>231</v>
      </c>
      <c r="EG26" s="240" t="s">
        <v>231</v>
      </c>
      <c r="EH26" s="240" t="s">
        <v>492</v>
      </c>
      <c r="EI26" s="240" t="s">
        <v>231</v>
      </c>
      <c r="EJ26" s="240" t="s">
        <v>231</v>
      </c>
      <c r="EK26" s="240" t="s">
        <v>231</v>
      </c>
      <c r="EL26" s="240" t="s">
        <v>231</v>
      </c>
      <c r="EM26" s="240" t="s">
        <v>231</v>
      </c>
      <c r="EN26" s="240" t="s">
        <v>231</v>
      </c>
      <c r="EO26" s="240" t="s">
        <v>231</v>
      </c>
      <c r="EP26" s="240" t="s">
        <v>231</v>
      </c>
      <c r="EQ26" s="240" t="s">
        <v>231</v>
      </c>
      <c r="ER26" s="240" t="s">
        <v>231</v>
      </c>
      <c r="ES26" s="240" t="s">
        <v>231</v>
      </c>
      <c r="ET26" s="240" t="s">
        <v>231</v>
      </c>
      <c r="EU26" s="240" t="s">
        <v>231</v>
      </c>
      <c r="EV26" s="240" t="s">
        <v>231</v>
      </c>
      <c r="EW26" s="240" t="s">
        <v>231</v>
      </c>
      <c r="EX26" s="240" t="s">
        <v>231</v>
      </c>
      <c r="EY26" s="240" t="s">
        <v>231</v>
      </c>
      <c r="EZ26" s="240" t="s">
        <v>231</v>
      </c>
      <c r="FA26" s="240" t="s">
        <v>231</v>
      </c>
      <c r="FB26" s="240" t="s">
        <v>231</v>
      </c>
      <c r="FC26" s="240" t="s">
        <v>231</v>
      </c>
      <c r="FD26" s="240" t="s">
        <v>231</v>
      </c>
      <c r="FE26" s="240" t="s">
        <v>231</v>
      </c>
      <c r="FF26" s="240" t="s">
        <v>492</v>
      </c>
      <c r="FG26" s="240" t="s">
        <v>231</v>
      </c>
      <c r="FH26" s="240" t="s">
        <v>231</v>
      </c>
      <c r="FI26" s="240" t="s">
        <v>231</v>
      </c>
      <c r="FJ26" s="240" t="s">
        <v>231</v>
      </c>
      <c r="FK26" s="240" t="s">
        <v>231</v>
      </c>
      <c r="FL26" s="240" t="s">
        <v>231</v>
      </c>
      <c r="FM26" s="240" t="s">
        <v>231</v>
      </c>
      <c r="FN26" s="240" t="s">
        <v>231</v>
      </c>
      <c r="FO26" s="240" t="s">
        <v>231</v>
      </c>
      <c r="FP26" s="240" t="s">
        <v>231</v>
      </c>
      <c r="FQ26" s="240" t="s">
        <v>231</v>
      </c>
      <c r="FR26" s="240" t="s">
        <v>231</v>
      </c>
      <c r="FS26" s="240" t="s">
        <v>231</v>
      </c>
      <c r="FT26" s="240" t="s">
        <v>231</v>
      </c>
      <c r="FU26" s="240" t="s">
        <v>231</v>
      </c>
      <c r="FV26" s="240" t="s">
        <v>231</v>
      </c>
      <c r="FW26" s="240" t="s">
        <v>231</v>
      </c>
      <c r="FX26" s="240" t="s">
        <v>492</v>
      </c>
      <c r="FY26" s="240" t="s">
        <v>231</v>
      </c>
      <c r="FZ26" s="240" t="s">
        <v>231</v>
      </c>
      <c r="GA26" s="240" t="s">
        <v>231</v>
      </c>
      <c r="GB26" s="240" t="s">
        <v>231</v>
      </c>
      <c r="GC26" s="240" t="s">
        <v>231</v>
      </c>
      <c r="GD26" s="240" t="s">
        <v>231</v>
      </c>
      <c r="GE26" s="240" t="s">
        <v>231</v>
      </c>
      <c r="GF26" s="240" t="s">
        <v>231</v>
      </c>
      <c r="GG26" s="240" t="s">
        <v>231</v>
      </c>
      <c r="GH26" s="240" t="s">
        <v>231</v>
      </c>
      <c r="GI26" s="240" t="s">
        <v>231</v>
      </c>
      <c r="GJ26" s="240" t="s">
        <v>231</v>
      </c>
      <c r="GK26" s="240" t="s">
        <v>231</v>
      </c>
      <c r="GL26" s="240" t="s">
        <v>231</v>
      </c>
      <c r="GM26" s="240" t="s">
        <v>231</v>
      </c>
      <c r="GN26" s="240" t="s">
        <v>231</v>
      </c>
      <c r="GO26" s="240" t="s">
        <v>231</v>
      </c>
      <c r="GP26" s="240" t="s">
        <v>492</v>
      </c>
      <c r="GQ26" s="240" t="s">
        <v>231</v>
      </c>
      <c r="GR26" s="240" t="s">
        <v>231</v>
      </c>
      <c r="GS26" s="240" t="s">
        <v>231</v>
      </c>
      <c r="GT26" s="240" t="s">
        <v>231</v>
      </c>
      <c r="GU26" s="240" t="s">
        <v>231</v>
      </c>
      <c r="GV26" s="240" t="s">
        <v>492</v>
      </c>
      <c r="GW26" s="240" t="s">
        <v>231</v>
      </c>
      <c r="GX26" s="240" t="s">
        <v>231</v>
      </c>
      <c r="GY26" s="240" t="s">
        <v>492</v>
      </c>
      <c r="GZ26" s="240" t="s">
        <v>231</v>
      </c>
      <c r="HA26" s="240" t="s">
        <v>231</v>
      </c>
      <c r="HB26" s="240" t="s">
        <v>231</v>
      </c>
      <c r="HC26" s="240" t="s">
        <v>231</v>
      </c>
      <c r="HD26" s="240" t="s">
        <v>231</v>
      </c>
      <c r="HE26" s="240" t="s">
        <v>492</v>
      </c>
      <c r="HF26" s="240" t="s">
        <v>231</v>
      </c>
      <c r="HG26" s="240" t="s">
        <v>231</v>
      </c>
      <c r="HH26" s="240" t="s">
        <v>231</v>
      </c>
      <c r="HI26" s="240" t="s">
        <v>231</v>
      </c>
      <c r="HJ26" s="240" t="s">
        <v>231</v>
      </c>
      <c r="HK26" s="240" t="s">
        <v>231</v>
      </c>
      <c r="HL26" s="240" t="s">
        <v>231</v>
      </c>
      <c r="HM26" s="240" t="s">
        <v>231</v>
      </c>
      <c r="HN26" s="240" t="s">
        <v>231</v>
      </c>
      <c r="HO26" s="240" t="s">
        <v>231</v>
      </c>
      <c r="HP26" s="240" t="s">
        <v>231</v>
      </c>
      <c r="HQ26" s="240" t="s">
        <v>492</v>
      </c>
      <c r="HR26" s="240" t="s">
        <v>492</v>
      </c>
      <c r="HS26" s="240" t="s">
        <v>492</v>
      </c>
      <c r="HT26" s="240" t="s">
        <v>492</v>
      </c>
      <c r="HU26" s="240" t="s">
        <v>231</v>
      </c>
      <c r="HV26" s="240" t="s">
        <v>231</v>
      </c>
      <c r="HW26" s="240" t="s">
        <v>231</v>
      </c>
      <c r="HX26" s="240" t="s">
        <v>231</v>
      </c>
      <c r="HY26" s="240" t="s">
        <v>231</v>
      </c>
      <c r="HZ26" s="240" t="s">
        <v>231</v>
      </c>
      <c r="IA26" s="240" t="s">
        <v>231</v>
      </c>
      <c r="IB26" s="240" t="s">
        <v>231</v>
      </c>
      <c r="IC26" s="240" t="s">
        <v>231</v>
      </c>
      <c r="ID26" s="240" t="s">
        <v>231</v>
      </c>
      <c r="IE26" s="240" t="s">
        <v>231</v>
      </c>
      <c r="IF26" s="240" t="s">
        <v>231</v>
      </c>
      <c r="IG26" s="240" t="s">
        <v>231</v>
      </c>
      <c r="IH26" s="240" t="s">
        <v>231</v>
      </c>
      <c r="II26" s="240" t="s">
        <v>231</v>
      </c>
      <c r="IJ26" s="240" t="s">
        <v>231</v>
      </c>
      <c r="IK26" s="240" t="s">
        <v>231</v>
      </c>
      <c r="IL26" s="240" t="s">
        <v>231</v>
      </c>
      <c r="IM26" s="240" t="s">
        <v>231</v>
      </c>
      <c r="IN26" s="240" t="s">
        <v>231</v>
      </c>
      <c r="IO26" s="240" t="s">
        <v>220</v>
      </c>
      <c r="IP26" s="240" t="s">
        <v>493</v>
      </c>
      <c r="IQ26" s="240" t="s">
        <v>219</v>
      </c>
      <c r="IR26" s="240" t="s">
        <v>490</v>
      </c>
      <c r="IS26" s="240" t="s">
        <v>231</v>
      </c>
      <c r="IT26" s="240" t="s">
        <v>231</v>
      </c>
    </row>
    <row r="27" spans="1:254" ht="15" x14ac:dyDescent="0.25">
      <c r="A27" s="258" t="str">
        <f>HYPERLINK("http://www.ofsted.gov.uk/inspection-reports/find-inspection-report/provider/ELS/133385 ","Ofsted School Webpage")</f>
        <v>Ofsted School Webpage</v>
      </c>
      <c r="B27" s="237">
        <v>133385</v>
      </c>
      <c r="C27" s="237">
        <v>3046079</v>
      </c>
      <c r="D27" s="237" t="s">
        <v>566</v>
      </c>
      <c r="E27" s="237" t="s">
        <v>247</v>
      </c>
      <c r="F27" s="237" t="s">
        <v>482</v>
      </c>
      <c r="G27" s="237" t="s">
        <v>506</v>
      </c>
      <c r="H27" s="237" t="s">
        <v>506</v>
      </c>
      <c r="I27" s="237" t="s">
        <v>543</v>
      </c>
      <c r="J27" s="237" t="s">
        <v>567</v>
      </c>
      <c r="K27" s="237" t="s">
        <v>93</v>
      </c>
      <c r="L27" s="237" t="s">
        <v>84</v>
      </c>
      <c r="M27" s="237" t="s">
        <v>84</v>
      </c>
      <c r="N27" s="237" t="s">
        <v>84</v>
      </c>
      <c r="O27" s="237" t="s">
        <v>486</v>
      </c>
      <c r="P27" s="237" t="s">
        <v>487</v>
      </c>
      <c r="Q27" s="238">
        <v>10054290</v>
      </c>
      <c r="R27" s="239">
        <v>43368</v>
      </c>
      <c r="S27" s="239">
        <v>43370</v>
      </c>
      <c r="T27" s="239">
        <v>43419</v>
      </c>
      <c r="U27" s="237" t="s">
        <v>488</v>
      </c>
      <c r="V27" s="237" t="s">
        <v>489</v>
      </c>
      <c r="W27" s="237">
        <v>4</v>
      </c>
      <c r="X27" s="237">
        <v>4</v>
      </c>
      <c r="Y27" s="237">
        <v>3</v>
      </c>
      <c r="Z27" s="237">
        <v>4</v>
      </c>
      <c r="AA27" s="237">
        <v>4</v>
      </c>
      <c r="AB27" s="237" t="s">
        <v>486</v>
      </c>
      <c r="AC27" s="237" t="s">
        <v>486</v>
      </c>
      <c r="AD27" s="237" t="s">
        <v>220</v>
      </c>
      <c r="AE27" s="237" t="s">
        <v>512</v>
      </c>
      <c r="AF27" s="237" t="s">
        <v>486</v>
      </c>
      <c r="AG27" s="237" t="s">
        <v>486</v>
      </c>
      <c r="AH27" s="237" t="s">
        <v>486</v>
      </c>
      <c r="AI27" s="237" t="s">
        <v>490</v>
      </c>
      <c r="AJ27" s="237" t="s">
        <v>486</v>
      </c>
      <c r="AK27" s="237" t="s">
        <v>486</v>
      </c>
      <c r="AL27" s="237" t="s">
        <v>486</v>
      </c>
      <c r="AM27" s="237" t="s">
        <v>545</v>
      </c>
      <c r="AN27" s="237" t="s">
        <v>546</v>
      </c>
      <c r="AO27" s="237" t="s">
        <v>231</v>
      </c>
      <c r="AP27" s="237" t="s">
        <v>546</v>
      </c>
      <c r="AQ27" s="237" t="s">
        <v>546</v>
      </c>
      <c r="AR27" s="237" t="s">
        <v>231</v>
      </c>
      <c r="AS27" s="237" t="s">
        <v>231</v>
      </c>
      <c r="AT27" s="237" t="s">
        <v>231</v>
      </c>
      <c r="AU27" s="237" t="s">
        <v>546</v>
      </c>
      <c r="AV27" s="237" t="s">
        <v>232</v>
      </c>
      <c r="AW27" s="237" t="s">
        <v>232</v>
      </c>
      <c r="AX27" s="237" t="s">
        <v>232</v>
      </c>
      <c r="AY27" s="237" t="s">
        <v>232</v>
      </c>
      <c r="AZ27" s="237" t="s">
        <v>232</v>
      </c>
      <c r="BA27" s="237" t="s">
        <v>232</v>
      </c>
      <c r="BB27" s="237" t="s">
        <v>231</v>
      </c>
      <c r="BC27" s="237" t="s">
        <v>231</v>
      </c>
      <c r="BD27" s="237" t="s">
        <v>492</v>
      </c>
      <c r="BE27" s="237" t="s">
        <v>231</v>
      </c>
      <c r="BF27" s="237" t="s">
        <v>231</v>
      </c>
      <c r="BG27" s="237" t="s">
        <v>231</v>
      </c>
      <c r="BH27" s="237" t="s">
        <v>232</v>
      </c>
      <c r="BI27" s="237" t="s">
        <v>232</v>
      </c>
      <c r="BJ27" s="237" t="s">
        <v>232</v>
      </c>
      <c r="BK27" s="237" t="s">
        <v>232</v>
      </c>
      <c r="BL27" s="237" t="s">
        <v>492</v>
      </c>
      <c r="BM27" s="237" t="s">
        <v>492</v>
      </c>
      <c r="BN27" s="237" t="s">
        <v>231</v>
      </c>
      <c r="BO27" s="237" t="s">
        <v>231</v>
      </c>
      <c r="BP27" s="237" t="s">
        <v>232</v>
      </c>
      <c r="BQ27" s="237" t="s">
        <v>232</v>
      </c>
      <c r="BR27" s="237" t="s">
        <v>232</v>
      </c>
      <c r="BS27" s="237" t="s">
        <v>232</v>
      </c>
      <c r="BT27" s="237" t="s">
        <v>232</v>
      </c>
      <c r="BU27" s="237" t="s">
        <v>232</v>
      </c>
      <c r="BV27" s="237" t="s">
        <v>232</v>
      </c>
      <c r="BW27" s="237" t="s">
        <v>232</v>
      </c>
      <c r="BX27" s="237" t="s">
        <v>231</v>
      </c>
      <c r="BY27" s="237" t="s">
        <v>231</v>
      </c>
      <c r="BZ27" s="237" t="s">
        <v>231</v>
      </c>
      <c r="CA27" s="237" t="s">
        <v>231</v>
      </c>
      <c r="CB27" s="237" t="s">
        <v>231</v>
      </c>
      <c r="CC27" s="237" t="s">
        <v>231</v>
      </c>
      <c r="CD27" s="237" t="s">
        <v>231</v>
      </c>
      <c r="CE27" s="237" t="s">
        <v>231</v>
      </c>
      <c r="CF27" s="237" t="s">
        <v>231</v>
      </c>
      <c r="CG27" s="237" t="s">
        <v>231</v>
      </c>
      <c r="CH27" s="237" t="s">
        <v>231</v>
      </c>
      <c r="CI27" s="237" t="s">
        <v>231</v>
      </c>
      <c r="CJ27" s="237" t="s">
        <v>231</v>
      </c>
      <c r="CK27" s="237" t="s">
        <v>231</v>
      </c>
      <c r="CL27" s="237" t="s">
        <v>231</v>
      </c>
      <c r="CM27" s="237" t="s">
        <v>231</v>
      </c>
      <c r="CN27" s="237" t="s">
        <v>231</v>
      </c>
      <c r="CO27" s="237" t="s">
        <v>231</v>
      </c>
      <c r="CP27" s="237" t="s">
        <v>231</v>
      </c>
      <c r="CQ27" s="237" t="s">
        <v>232</v>
      </c>
      <c r="CR27" s="237" t="s">
        <v>232</v>
      </c>
      <c r="CS27" s="237" t="s">
        <v>232</v>
      </c>
      <c r="CT27" s="237" t="s">
        <v>492</v>
      </c>
      <c r="CU27" s="237" t="s">
        <v>492</v>
      </c>
      <c r="CV27" s="237" t="s">
        <v>492</v>
      </c>
      <c r="CW27" s="237" t="s">
        <v>231</v>
      </c>
      <c r="CX27" s="237" t="s">
        <v>231</v>
      </c>
      <c r="CY27" s="237" t="s">
        <v>231</v>
      </c>
      <c r="CZ27" s="237" t="s">
        <v>231</v>
      </c>
      <c r="DA27" s="237" t="s">
        <v>231</v>
      </c>
      <c r="DB27" s="237" t="s">
        <v>231</v>
      </c>
      <c r="DC27" s="237" t="s">
        <v>232</v>
      </c>
      <c r="DD27" s="237" t="s">
        <v>231</v>
      </c>
      <c r="DE27" s="237" t="s">
        <v>231</v>
      </c>
      <c r="DF27" s="237" t="s">
        <v>232</v>
      </c>
      <c r="DG27" s="237" t="s">
        <v>231</v>
      </c>
      <c r="DH27" s="237" t="s">
        <v>231</v>
      </c>
      <c r="DI27" s="237" t="s">
        <v>231</v>
      </c>
      <c r="DJ27" s="237" t="s">
        <v>232</v>
      </c>
      <c r="DK27" s="237" t="s">
        <v>232</v>
      </c>
      <c r="DL27" s="237" t="s">
        <v>232</v>
      </c>
      <c r="DM27" s="237" t="s">
        <v>231</v>
      </c>
      <c r="DN27" s="237" t="s">
        <v>231</v>
      </c>
      <c r="DO27" s="237" t="s">
        <v>231</v>
      </c>
      <c r="DP27" s="237" t="s">
        <v>231</v>
      </c>
      <c r="DQ27" s="237" t="s">
        <v>231</v>
      </c>
      <c r="DR27" s="237" t="s">
        <v>232</v>
      </c>
      <c r="DS27" s="237" t="s">
        <v>231</v>
      </c>
      <c r="DT27" s="237" t="s">
        <v>492</v>
      </c>
      <c r="DU27" s="237" t="s">
        <v>232</v>
      </c>
      <c r="DV27" s="237" t="s">
        <v>492</v>
      </c>
      <c r="DW27" s="237" t="s">
        <v>492</v>
      </c>
      <c r="DX27" s="237" t="s">
        <v>492</v>
      </c>
      <c r="DY27" s="237" t="s">
        <v>492</v>
      </c>
      <c r="DZ27" s="237" t="s">
        <v>492</v>
      </c>
      <c r="EA27" s="237" t="s">
        <v>492</v>
      </c>
      <c r="EB27" s="237" t="s">
        <v>492</v>
      </c>
      <c r="EC27" s="237" t="s">
        <v>492</v>
      </c>
      <c r="ED27" s="237" t="s">
        <v>492</v>
      </c>
      <c r="EE27" s="237" t="s">
        <v>492</v>
      </c>
      <c r="EF27" s="237" t="s">
        <v>492</v>
      </c>
      <c r="EG27" s="237" t="s">
        <v>492</v>
      </c>
      <c r="EH27" s="237" t="s">
        <v>492</v>
      </c>
      <c r="EI27" s="237" t="s">
        <v>492</v>
      </c>
      <c r="EJ27" s="237" t="s">
        <v>232</v>
      </c>
      <c r="EK27" s="237" t="s">
        <v>232</v>
      </c>
      <c r="EL27" s="237" t="s">
        <v>232</v>
      </c>
      <c r="EM27" s="237" t="s">
        <v>232</v>
      </c>
      <c r="EN27" s="237" t="s">
        <v>232</v>
      </c>
      <c r="EO27" s="237" t="s">
        <v>232</v>
      </c>
      <c r="EP27" s="237" t="s">
        <v>232</v>
      </c>
      <c r="EQ27" s="237" t="s">
        <v>232</v>
      </c>
      <c r="ER27" s="237" t="s">
        <v>492</v>
      </c>
      <c r="ES27" s="237" t="s">
        <v>232</v>
      </c>
      <c r="ET27" s="237" t="s">
        <v>231</v>
      </c>
      <c r="EU27" s="237" t="s">
        <v>232</v>
      </c>
      <c r="EV27" s="237" t="s">
        <v>232</v>
      </c>
      <c r="EW27" s="237" t="s">
        <v>232</v>
      </c>
      <c r="EX27" s="237" t="s">
        <v>232</v>
      </c>
      <c r="EY27" s="237" t="s">
        <v>232</v>
      </c>
      <c r="EZ27" s="237" t="s">
        <v>231</v>
      </c>
      <c r="FA27" s="237" t="s">
        <v>232</v>
      </c>
      <c r="FB27" s="237" t="s">
        <v>232</v>
      </c>
      <c r="FC27" s="237" t="s">
        <v>231</v>
      </c>
      <c r="FD27" s="237" t="s">
        <v>231</v>
      </c>
      <c r="FE27" s="237" t="s">
        <v>232</v>
      </c>
      <c r="FF27" s="237" t="s">
        <v>492</v>
      </c>
      <c r="FG27" s="237" t="s">
        <v>492</v>
      </c>
      <c r="FH27" s="237" t="s">
        <v>492</v>
      </c>
      <c r="FI27" s="237" t="s">
        <v>492</v>
      </c>
      <c r="FJ27" s="237" t="s">
        <v>492</v>
      </c>
      <c r="FK27" s="237" t="s">
        <v>492</v>
      </c>
      <c r="FL27" s="237" t="s">
        <v>492</v>
      </c>
      <c r="FM27" s="237" t="s">
        <v>232</v>
      </c>
      <c r="FN27" s="237" t="s">
        <v>232</v>
      </c>
      <c r="FO27" s="237" t="s">
        <v>232</v>
      </c>
      <c r="FP27" s="237" t="s">
        <v>232</v>
      </c>
      <c r="FQ27" s="237" t="s">
        <v>231</v>
      </c>
      <c r="FR27" s="237" t="s">
        <v>231</v>
      </c>
      <c r="FS27" s="237" t="s">
        <v>231</v>
      </c>
      <c r="FT27" s="237" t="s">
        <v>231</v>
      </c>
      <c r="FU27" s="237" t="s">
        <v>231</v>
      </c>
      <c r="FV27" s="237" t="s">
        <v>231</v>
      </c>
      <c r="FW27" s="237" t="s">
        <v>231</v>
      </c>
      <c r="FX27" s="237" t="s">
        <v>492</v>
      </c>
      <c r="FY27" s="237" t="s">
        <v>231</v>
      </c>
      <c r="FZ27" s="237" t="s">
        <v>231</v>
      </c>
      <c r="GA27" s="237" t="s">
        <v>231</v>
      </c>
      <c r="GB27" s="237" t="s">
        <v>231</v>
      </c>
      <c r="GC27" s="237" t="s">
        <v>231</v>
      </c>
      <c r="GD27" s="237" t="s">
        <v>231</v>
      </c>
      <c r="GE27" s="237" t="s">
        <v>231</v>
      </c>
      <c r="GF27" s="237" t="s">
        <v>231</v>
      </c>
      <c r="GG27" s="237" t="s">
        <v>231</v>
      </c>
      <c r="GH27" s="237" t="s">
        <v>231</v>
      </c>
      <c r="GI27" s="237" t="s">
        <v>231</v>
      </c>
      <c r="GJ27" s="237" t="s">
        <v>231</v>
      </c>
      <c r="GK27" s="237" t="s">
        <v>231</v>
      </c>
      <c r="GL27" s="237" t="s">
        <v>231</v>
      </c>
      <c r="GM27" s="237" t="s">
        <v>231</v>
      </c>
      <c r="GN27" s="237" t="s">
        <v>231</v>
      </c>
      <c r="GO27" s="237" t="s">
        <v>231</v>
      </c>
      <c r="GP27" s="237" t="s">
        <v>492</v>
      </c>
      <c r="GQ27" s="237" t="s">
        <v>231</v>
      </c>
      <c r="GR27" s="237" t="s">
        <v>231</v>
      </c>
      <c r="GS27" s="237" t="s">
        <v>231</v>
      </c>
      <c r="GT27" s="237" t="s">
        <v>231</v>
      </c>
      <c r="GU27" s="237" t="s">
        <v>231</v>
      </c>
      <c r="GV27" s="237" t="s">
        <v>492</v>
      </c>
      <c r="GW27" s="237" t="s">
        <v>231</v>
      </c>
      <c r="GX27" s="237" t="s">
        <v>231</v>
      </c>
      <c r="GY27" s="237" t="s">
        <v>492</v>
      </c>
      <c r="GZ27" s="237" t="s">
        <v>492</v>
      </c>
      <c r="HA27" s="237" t="s">
        <v>231</v>
      </c>
      <c r="HB27" s="237" t="s">
        <v>231</v>
      </c>
      <c r="HC27" s="237" t="s">
        <v>231</v>
      </c>
      <c r="HD27" s="237" t="s">
        <v>231</v>
      </c>
      <c r="HE27" s="237" t="s">
        <v>492</v>
      </c>
      <c r="HF27" s="237" t="s">
        <v>231</v>
      </c>
      <c r="HG27" s="237" t="s">
        <v>231</v>
      </c>
      <c r="HH27" s="237" t="s">
        <v>231</v>
      </c>
      <c r="HI27" s="237" t="s">
        <v>231</v>
      </c>
      <c r="HJ27" s="237" t="s">
        <v>231</v>
      </c>
      <c r="HK27" s="237" t="s">
        <v>492</v>
      </c>
      <c r="HL27" s="237" t="s">
        <v>231</v>
      </c>
      <c r="HM27" s="237" t="s">
        <v>231</v>
      </c>
      <c r="HN27" s="237" t="s">
        <v>231</v>
      </c>
      <c r="HO27" s="237" t="s">
        <v>231</v>
      </c>
      <c r="HP27" s="237" t="s">
        <v>231</v>
      </c>
      <c r="HQ27" s="237" t="s">
        <v>492</v>
      </c>
      <c r="HR27" s="237" t="s">
        <v>492</v>
      </c>
      <c r="HS27" s="237" t="s">
        <v>492</v>
      </c>
      <c r="HT27" s="237" t="s">
        <v>492</v>
      </c>
      <c r="HU27" s="237" t="s">
        <v>231</v>
      </c>
      <c r="HV27" s="237" t="s">
        <v>231</v>
      </c>
      <c r="HW27" s="237" t="s">
        <v>231</v>
      </c>
      <c r="HX27" s="237" t="s">
        <v>231</v>
      </c>
      <c r="HY27" s="237" t="s">
        <v>231</v>
      </c>
      <c r="HZ27" s="237" t="s">
        <v>231</v>
      </c>
      <c r="IA27" s="237" t="s">
        <v>231</v>
      </c>
      <c r="IB27" s="237" t="s">
        <v>231</v>
      </c>
      <c r="IC27" s="237" t="s">
        <v>231</v>
      </c>
      <c r="ID27" s="237" t="s">
        <v>231</v>
      </c>
      <c r="IE27" s="237" t="s">
        <v>231</v>
      </c>
      <c r="IF27" s="237" t="s">
        <v>231</v>
      </c>
      <c r="IG27" s="237" t="s">
        <v>231</v>
      </c>
      <c r="IH27" s="237" t="s">
        <v>231</v>
      </c>
      <c r="II27" s="237" t="s">
        <v>231</v>
      </c>
      <c r="IJ27" s="237" t="s">
        <v>231</v>
      </c>
      <c r="IK27" s="237" t="s">
        <v>232</v>
      </c>
      <c r="IL27" s="237" t="s">
        <v>232</v>
      </c>
      <c r="IM27" s="237" t="s">
        <v>232</v>
      </c>
      <c r="IN27" s="237" t="s">
        <v>232</v>
      </c>
      <c r="IO27" s="237" t="s">
        <v>220</v>
      </c>
      <c r="IP27" s="237" t="s">
        <v>493</v>
      </c>
      <c r="IQ27" s="237" t="s">
        <v>220</v>
      </c>
      <c r="IR27" s="237" t="s">
        <v>490</v>
      </c>
      <c r="IS27" s="237" t="s">
        <v>492</v>
      </c>
      <c r="IT27" s="237" t="s">
        <v>492</v>
      </c>
    </row>
    <row r="28" spans="1:254" ht="15" x14ac:dyDescent="0.25">
      <c r="A28" s="259" t="str">
        <f>HYPERLINK("http://www.ofsted.gov.uk/inspection-reports/find-inspection-report/provider/ELS/145059 ","Ofsted School Webpage")</f>
        <v>Ofsted School Webpage</v>
      </c>
      <c r="B28" s="240">
        <v>145059</v>
      </c>
      <c r="C28" s="240">
        <v>3366005</v>
      </c>
      <c r="D28" s="240" t="s">
        <v>568</v>
      </c>
      <c r="E28" s="240" t="s">
        <v>248</v>
      </c>
      <c r="F28" s="240" t="s">
        <v>501</v>
      </c>
      <c r="G28" s="240" t="s">
        <v>502</v>
      </c>
      <c r="H28" s="240" t="s">
        <v>502</v>
      </c>
      <c r="I28" s="240" t="s">
        <v>569</v>
      </c>
      <c r="J28" s="240" t="s">
        <v>570</v>
      </c>
      <c r="K28" s="240" t="s">
        <v>93</v>
      </c>
      <c r="L28" s="240" t="s">
        <v>93</v>
      </c>
      <c r="M28" s="240" t="s">
        <v>93</v>
      </c>
      <c r="N28" s="240" t="s">
        <v>90</v>
      </c>
      <c r="O28" s="240" t="s">
        <v>486</v>
      </c>
      <c r="P28" s="240" t="s">
        <v>487</v>
      </c>
      <c r="Q28" s="241">
        <v>10052719</v>
      </c>
      <c r="R28" s="242">
        <v>43368</v>
      </c>
      <c r="S28" s="242">
        <v>43370</v>
      </c>
      <c r="T28" s="242">
        <v>43397</v>
      </c>
      <c r="U28" s="240" t="s">
        <v>499</v>
      </c>
      <c r="V28" s="240" t="s">
        <v>489</v>
      </c>
      <c r="W28" s="240">
        <v>2</v>
      </c>
      <c r="X28" s="240">
        <v>2</v>
      </c>
      <c r="Y28" s="240">
        <v>2</v>
      </c>
      <c r="Z28" s="240">
        <v>2</v>
      </c>
      <c r="AA28" s="240">
        <v>2</v>
      </c>
      <c r="AB28" s="240" t="s">
        <v>486</v>
      </c>
      <c r="AC28" s="240" t="s">
        <v>486</v>
      </c>
      <c r="AD28" s="240" t="s">
        <v>219</v>
      </c>
      <c r="AE28" s="240" t="s">
        <v>490</v>
      </c>
      <c r="AF28" s="240" t="s">
        <v>486</v>
      </c>
      <c r="AG28" s="240" t="s">
        <v>486</v>
      </c>
      <c r="AH28" s="240" t="s">
        <v>486</v>
      </c>
      <c r="AI28" s="240" t="s">
        <v>486</v>
      </c>
      <c r="AJ28" s="240" t="s">
        <v>486</v>
      </c>
      <c r="AK28" s="240" t="s">
        <v>486</v>
      </c>
      <c r="AL28" s="240" t="s">
        <v>486</v>
      </c>
      <c r="AM28" s="240" t="s">
        <v>491</v>
      </c>
      <c r="AN28" s="240" t="s">
        <v>231</v>
      </c>
      <c r="AO28" s="240" t="s">
        <v>231</v>
      </c>
      <c r="AP28" s="240" t="s">
        <v>231</v>
      </c>
      <c r="AQ28" s="240" t="s">
        <v>231</v>
      </c>
      <c r="AR28" s="240" t="s">
        <v>231</v>
      </c>
      <c r="AS28" s="240" t="s">
        <v>231</v>
      </c>
      <c r="AT28" s="240" t="s">
        <v>231</v>
      </c>
      <c r="AU28" s="240" t="s">
        <v>231</v>
      </c>
      <c r="AV28" s="240" t="s">
        <v>231</v>
      </c>
      <c r="AW28" s="240" t="s">
        <v>231</v>
      </c>
      <c r="AX28" s="240" t="s">
        <v>231</v>
      </c>
      <c r="AY28" s="240" t="s">
        <v>231</v>
      </c>
      <c r="AZ28" s="240" t="s">
        <v>231</v>
      </c>
      <c r="BA28" s="240" t="s">
        <v>231</v>
      </c>
      <c r="BB28" s="240" t="s">
        <v>231</v>
      </c>
      <c r="BC28" s="240" t="s">
        <v>231</v>
      </c>
      <c r="BD28" s="240" t="s">
        <v>492</v>
      </c>
      <c r="BE28" s="240" t="s">
        <v>231</v>
      </c>
      <c r="BF28" s="240" t="s">
        <v>231</v>
      </c>
      <c r="BG28" s="240" t="s">
        <v>231</v>
      </c>
      <c r="BH28" s="240" t="s">
        <v>231</v>
      </c>
      <c r="BI28" s="240" t="s">
        <v>231</v>
      </c>
      <c r="BJ28" s="240" t="s">
        <v>231</v>
      </c>
      <c r="BK28" s="240" t="s">
        <v>231</v>
      </c>
      <c r="BL28" s="240" t="s">
        <v>492</v>
      </c>
      <c r="BM28" s="240" t="s">
        <v>231</v>
      </c>
      <c r="BN28" s="240" t="s">
        <v>231</v>
      </c>
      <c r="BO28" s="240" t="s">
        <v>231</v>
      </c>
      <c r="BP28" s="240" t="s">
        <v>231</v>
      </c>
      <c r="BQ28" s="240" t="s">
        <v>231</v>
      </c>
      <c r="BR28" s="240" t="s">
        <v>231</v>
      </c>
      <c r="BS28" s="240" t="s">
        <v>231</v>
      </c>
      <c r="BT28" s="240" t="s">
        <v>231</v>
      </c>
      <c r="BU28" s="240" t="s">
        <v>231</v>
      </c>
      <c r="BV28" s="240" t="s">
        <v>231</v>
      </c>
      <c r="BW28" s="240" t="s">
        <v>231</v>
      </c>
      <c r="BX28" s="240" t="s">
        <v>231</v>
      </c>
      <c r="BY28" s="240" t="s">
        <v>231</v>
      </c>
      <c r="BZ28" s="240" t="s">
        <v>231</v>
      </c>
      <c r="CA28" s="240" t="s">
        <v>231</v>
      </c>
      <c r="CB28" s="240" t="s">
        <v>231</v>
      </c>
      <c r="CC28" s="240" t="s">
        <v>231</v>
      </c>
      <c r="CD28" s="240" t="s">
        <v>231</v>
      </c>
      <c r="CE28" s="240" t="s">
        <v>231</v>
      </c>
      <c r="CF28" s="240" t="s">
        <v>231</v>
      </c>
      <c r="CG28" s="240" t="s">
        <v>231</v>
      </c>
      <c r="CH28" s="240" t="s">
        <v>231</v>
      </c>
      <c r="CI28" s="240" t="s">
        <v>231</v>
      </c>
      <c r="CJ28" s="240" t="s">
        <v>231</v>
      </c>
      <c r="CK28" s="240" t="s">
        <v>231</v>
      </c>
      <c r="CL28" s="240" t="s">
        <v>231</v>
      </c>
      <c r="CM28" s="240" t="s">
        <v>231</v>
      </c>
      <c r="CN28" s="240" t="s">
        <v>231</v>
      </c>
      <c r="CO28" s="240" t="s">
        <v>231</v>
      </c>
      <c r="CP28" s="240" t="s">
        <v>231</v>
      </c>
      <c r="CQ28" s="240" t="s">
        <v>231</v>
      </c>
      <c r="CR28" s="240" t="s">
        <v>231</v>
      </c>
      <c r="CS28" s="240" t="s">
        <v>231</v>
      </c>
      <c r="CT28" s="240" t="s">
        <v>492</v>
      </c>
      <c r="CU28" s="240" t="s">
        <v>492</v>
      </c>
      <c r="CV28" s="240" t="s">
        <v>492</v>
      </c>
      <c r="CW28" s="240" t="s">
        <v>231</v>
      </c>
      <c r="CX28" s="240" t="s">
        <v>231</v>
      </c>
      <c r="CY28" s="240" t="s">
        <v>231</v>
      </c>
      <c r="CZ28" s="240" t="s">
        <v>231</v>
      </c>
      <c r="DA28" s="240" t="s">
        <v>231</v>
      </c>
      <c r="DB28" s="240" t="s">
        <v>231</v>
      </c>
      <c r="DC28" s="240" t="s">
        <v>231</v>
      </c>
      <c r="DD28" s="240" t="s">
        <v>231</v>
      </c>
      <c r="DE28" s="240" t="s">
        <v>231</v>
      </c>
      <c r="DF28" s="240" t="s">
        <v>231</v>
      </c>
      <c r="DG28" s="240" t="s">
        <v>231</v>
      </c>
      <c r="DH28" s="240" t="s">
        <v>231</v>
      </c>
      <c r="DI28" s="240" t="s">
        <v>231</v>
      </c>
      <c r="DJ28" s="240" t="s">
        <v>231</v>
      </c>
      <c r="DK28" s="240" t="s">
        <v>231</v>
      </c>
      <c r="DL28" s="240" t="s">
        <v>231</v>
      </c>
      <c r="DM28" s="240" t="s">
        <v>231</v>
      </c>
      <c r="DN28" s="240" t="s">
        <v>231</v>
      </c>
      <c r="DO28" s="240" t="s">
        <v>231</v>
      </c>
      <c r="DP28" s="240" t="s">
        <v>231</v>
      </c>
      <c r="DQ28" s="240" t="s">
        <v>231</v>
      </c>
      <c r="DR28" s="240" t="s">
        <v>231</v>
      </c>
      <c r="DS28" s="240" t="s">
        <v>231</v>
      </c>
      <c r="DT28" s="240" t="s">
        <v>492</v>
      </c>
      <c r="DU28" s="240" t="s">
        <v>231</v>
      </c>
      <c r="DV28" s="240" t="s">
        <v>231</v>
      </c>
      <c r="DW28" s="240" t="s">
        <v>231</v>
      </c>
      <c r="DX28" s="240" t="s">
        <v>231</v>
      </c>
      <c r="DY28" s="240" t="s">
        <v>231</v>
      </c>
      <c r="DZ28" s="240" t="s">
        <v>231</v>
      </c>
      <c r="EA28" s="240" t="s">
        <v>231</v>
      </c>
      <c r="EB28" s="240" t="s">
        <v>231</v>
      </c>
      <c r="EC28" s="240" t="s">
        <v>231</v>
      </c>
      <c r="ED28" s="240" t="s">
        <v>231</v>
      </c>
      <c r="EE28" s="240" t="s">
        <v>231</v>
      </c>
      <c r="EF28" s="240" t="s">
        <v>231</v>
      </c>
      <c r="EG28" s="240" t="s">
        <v>231</v>
      </c>
      <c r="EH28" s="240" t="s">
        <v>492</v>
      </c>
      <c r="EI28" s="240" t="s">
        <v>231</v>
      </c>
      <c r="EJ28" s="240" t="s">
        <v>231</v>
      </c>
      <c r="EK28" s="240" t="s">
        <v>231</v>
      </c>
      <c r="EL28" s="240" t="s">
        <v>231</v>
      </c>
      <c r="EM28" s="240" t="s">
        <v>231</v>
      </c>
      <c r="EN28" s="240" t="s">
        <v>231</v>
      </c>
      <c r="EO28" s="240" t="s">
        <v>231</v>
      </c>
      <c r="EP28" s="240" t="s">
        <v>231</v>
      </c>
      <c r="EQ28" s="240" t="s">
        <v>231</v>
      </c>
      <c r="ER28" s="240" t="s">
        <v>231</v>
      </c>
      <c r="ES28" s="240" t="s">
        <v>231</v>
      </c>
      <c r="ET28" s="240" t="s">
        <v>231</v>
      </c>
      <c r="EU28" s="240" t="s">
        <v>231</v>
      </c>
      <c r="EV28" s="240" t="s">
        <v>231</v>
      </c>
      <c r="EW28" s="240" t="s">
        <v>231</v>
      </c>
      <c r="EX28" s="240" t="s">
        <v>231</v>
      </c>
      <c r="EY28" s="240" t="s">
        <v>231</v>
      </c>
      <c r="EZ28" s="240" t="s">
        <v>231</v>
      </c>
      <c r="FA28" s="240" t="s">
        <v>231</v>
      </c>
      <c r="FB28" s="240" t="s">
        <v>231</v>
      </c>
      <c r="FC28" s="240" t="s">
        <v>231</v>
      </c>
      <c r="FD28" s="240" t="s">
        <v>231</v>
      </c>
      <c r="FE28" s="240" t="s">
        <v>231</v>
      </c>
      <c r="FF28" s="240" t="s">
        <v>492</v>
      </c>
      <c r="FG28" s="240" t="s">
        <v>231</v>
      </c>
      <c r="FH28" s="240" t="s">
        <v>231</v>
      </c>
      <c r="FI28" s="240" t="s">
        <v>231</v>
      </c>
      <c r="FJ28" s="240" t="s">
        <v>231</v>
      </c>
      <c r="FK28" s="240" t="s">
        <v>231</v>
      </c>
      <c r="FL28" s="240" t="s">
        <v>231</v>
      </c>
      <c r="FM28" s="240" t="s">
        <v>231</v>
      </c>
      <c r="FN28" s="240" t="s">
        <v>492</v>
      </c>
      <c r="FO28" s="240" t="s">
        <v>231</v>
      </c>
      <c r="FP28" s="240" t="s">
        <v>231</v>
      </c>
      <c r="FQ28" s="240" t="s">
        <v>231</v>
      </c>
      <c r="FR28" s="240" t="s">
        <v>231</v>
      </c>
      <c r="FS28" s="240" t="s">
        <v>231</v>
      </c>
      <c r="FT28" s="240" t="s">
        <v>231</v>
      </c>
      <c r="FU28" s="240" t="s">
        <v>231</v>
      </c>
      <c r="FV28" s="240" t="s">
        <v>231</v>
      </c>
      <c r="FW28" s="240" t="s">
        <v>231</v>
      </c>
      <c r="FX28" s="240" t="s">
        <v>492</v>
      </c>
      <c r="FY28" s="240" t="s">
        <v>231</v>
      </c>
      <c r="FZ28" s="240" t="s">
        <v>231</v>
      </c>
      <c r="GA28" s="240" t="s">
        <v>231</v>
      </c>
      <c r="GB28" s="240" t="s">
        <v>231</v>
      </c>
      <c r="GC28" s="240" t="s">
        <v>231</v>
      </c>
      <c r="GD28" s="240" t="s">
        <v>231</v>
      </c>
      <c r="GE28" s="240" t="s">
        <v>231</v>
      </c>
      <c r="GF28" s="240" t="s">
        <v>231</v>
      </c>
      <c r="GG28" s="240" t="s">
        <v>231</v>
      </c>
      <c r="GH28" s="240" t="s">
        <v>231</v>
      </c>
      <c r="GI28" s="240" t="s">
        <v>231</v>
      </c>
      <c r="GJ28" s="240" t="s">
        <v>231</v>
      </c>
      <c r="GK28" s="240" t="s">
        <v>231</v>
      </c>
      <c r="GL28" s="240" t="s">
        <v>231</v>
      </c>
      <c r="GM28" s="240" t="s">
        <v>231</v>
      </c>
      <c r="GN28" s="240" t="s">
        <v>231</v>
      </c>
      <c r="GO28" s="240" t="s">
        <v>231</v>
      </c>
      <c r="GP28" s="240" t="s">
        <v>492</v>
      </c>
      <c r="GQ28" s="240" t="s">
        <v>231</v>
      </c>
      <c r="GR28" s="240" t="s">
        <v>231</v>
      </c>
      <c r="GS28" s="240" t="s">
        <v>231</v>
      </c>
      <c r="GT28" s="240" t="s">
        <v>231</v>
      </c>
      <c r="GU28" s="240" t="s">
        <v>492</v>
      </c>
      <c r="GV28" s="240" t="s">
        <v>492</v>
      </c>
      <c r="GW28" s="240" t="s">
        <v>231</v>
      </c>
      <c r="GX28" s="240" t="s">
        <v>231</v>
      </c>
      <c r="GY28" s="240" t="s">
        <v>231</v>
      </c>
      <c r="GZ28" s="240" t="s">
        <v>231</v>
      </c>
      <c r="HA28" s="240" t="s">
        <v>231</v>
      </c>
      <c r="HB28" s="240" t="s">
        <v>231</v>
      </c>
      <c r="HC28" s="240" t="s">
        <v>231</v>
      </c>
      <c r="HD28" s="240" t="s">
        <v>231</v>
      </c>
      <c r="HE28" s="240" t="s">
        <v>231</v>
      </c>
      <c r="HF28" s="240" t="s">
        <v>231</v>
      </c>
      <c r="HG28" s="240" t="s">
        <v>492</v>
      </c>
      <c r="HH28" s="240" t="s">
        <v>231</v>
      </c>
      <c r="HI28" s="240" t="s">
        <v>231</v>
      </c>
      <c r="HJ28" s="240" t="s">
        <v>231</v>
      </c>
      <c r="HK28" s="240" t="s">
        <v>231</v>
      </c>
      <c r="HL28" s="240" t="s">
        <v>231</v>
      </c>
      <c r="HM28" s="240" t="s">
        <v>231</v>
      </c>
      <c r="HN28" s="240" t="s">
        <v>231</v>
      </c>
      <c r="HO28" s="240" t="s">
        <v>231</v>
      </c>
      <c r="HP28" s="240" t="s">
        <v>492</v>
      </c>
      <c r="HQ28" s="240" t="s">
        <v>492</v>
      </c>
      <c r="HR28" s="240" t="s">
        <v>492</v>
      </c>
      <c r="HS28" s="240" t="s">
        <v>492</v>
      </c>
      <c r="HT28" s="240" t="s">
        <v>492</v>
      </c>
      <c r="HU28" s="240" t="s">
        <v>231</v>
      </c>
      <c r="HV28" s="240" t="s">
        <v>231</v>
      </c>
      <c r="HW28" s="240" t="s">
        <v>231</v>
      </c>
      <c r="HX28" s="240" t="s">
        <v>231</v>
      </c>
      <c r="HY28" s="240" t="s">
        <v>231</v>
      </c>
      <c r="HZ28" s="240" t="s">
        <v>231</v>
      </c>
      <c r="IA28" s="240" t="s">
        <v>231</v>
      </c>
      <c r="IB28" s="240" t="s">
        <v>231</v>
      </c>
      <c r="IC28" s="240" t="s">
        <v>231</v>
      </c>
      <c r="ID28" s="240" t="s">
        <v>231</v>
      </c>
      <c r="IE28" s="240" t="s">
        <v>231</v>
      </c>
      <c r="IF28" s="240" t="s">
        <v>231</v>
      </c>
      <c r="IG28" s="240" t="s">
        <v>231</v>
      </c>
      <c r="IH28" s="240" t="s">
        <v>231</v>
      </c>
      <c r="II28" s="240" t="s">
        <v>231</v>
      </c>
      <c r="IJ28" s="240" t="s">
        <v>231</v>
      </c>
      <c r="IK28" s="240" t="s">
        <v>231</v>
      </c>
      <c r="IL28" s="240" t="s">
        <v>231</v>
      </c>
      <c r="IM28" s="240" t="s">
        <v>231</v>
      </c>
      <c r="IN28" s="240" t="s">
        <v>231</v>
      </c>
      <c r="IO28" s="240" t="s">
        <v>220</v>
      </c>
      <c r="IP28" s="240" t="s">
        <v>493</v>
      </c>
      <c r="IQ28" s="240" t="s">
        <v>219</v>
      </c>
      <c r="IR28" s="240" t="s">
        <v>490</v>
      </c>
      <c r="IS28" s="240" t="s">
        <v>492</v>
      </c>
      <c r="IT28" s="240" t="s">
        <v>492</v>
      </c>
    </row>
    <row r="29" spans="1:254" ht="15" x14ac:dyDescent="0.25">
      <c r="A29" s="258" t="str">
        <f>HYPERLINK("http://www.ofsted.gov.uk/inspection-reports/find-inspection-report/provider/ELS/135241 ","Ofsted School Webpage")</f>
        <v>Ofsted School Webpage</v>
      </c>
      <c r="B29" s="237">
        <v>135241</v>
      </c>
      <c r="C29" s="237">
        <v>8306035</v>
      </c>
      <c r="D29" s="237" t="s">
        <v>571</v>
      </c>
      <c r="E29" s="237" t="s">
        <v>248</v>
      </c>
      <c r="F29" s="237" t="s">
        <v>501</v>
      </c>
      <c r="G29" s="237" t="s">
        <v>572</v>
      </c>
      <c r="H29" s="237" t="s">
        <v>572</v>
      </c>
      <c r="I29" s="237" t="s">
        <v>573</v>
      </c>
      <c r="J29" s="237" t="s">
        <v>574</v>
      </c>
      <c r="K29" s="237" t="s">
        <v>93</v>
      </c>
      <c r="L29" s="237" t="s">
        <v>93</v>
      </c>
      <c r="M29" s="237" t="s">
        <v>93</v>
      </c>
      <c r="N29" s="237" t="s">
        <v>90</v>
      </c>
      <c r="O29" s="237" t="s">
        <v>486</v>
      </c>
      <c r="P29" s="237" t="s">
        <v>487</v>
      </c>
      <c r="Q29" s="238">
        <v>10053978</v>
      </c>
      <c r="R29" s="239">
        <v>43375</v>
      </c>
      <c r="S29" s="239">
        <v>43376</v>
      </c>
      <c r="T29" s="239">
        <v>43415</v>
      </c>
      <c r="U29" s="237" t="s">
        <v>488</v>
      </c>
      <c r="V29" s="237" t="s">
        <v>489</v>
      </c>
      <c r="W29" s="237">
        <v>1</v>
      </c>
      <c r="X29" s="237">
        <v>1</v>
      </c>
      <c r="Y29" s="237">
        <v>1</v>
      </c>
      <c r="Z29" s="237">
        <v>1</v>
      </c>
      <c r="AA29" s="237">
        <v>1</v>
      </c>
      <c r="AB29" s="237" t="s">
        <v>486</v>
      </c>
      <c r="AC29" s="237" t="s">
        <v>486</v>
      </c>
      <c r="AD29" s="237" t="s">
        <v>219</v>
      </c>
      <c r="AE29" s="237" t="s">
        <v>490</v>
      </c>
      <c r="AF29" s="237" t="s">
        <v>486</v>
      </c>
      <c r="AG29" s="237" t="s">
        <v>486</v>
      </c>
      <c r="AH29" s="237" t="s">
        <v>486</v>
      </c>
      <c r="AI29" s="237" t="s">
        <v>486</v>
      </c>
      <c r="AJ29" s="237" t="s">
        <v>486</v>
      </c>
      <c r="AK29" s="237" t="s">
        <v>486</v>
      </c>
      <c r="AL29" s="237" t="s">
        <v>486</v>
      </c>
      <c r="AM29" s="237" t="s">
        <v>491</v>
      </c>
      <c r="AN29" s="237" t="s">
        <v>231</v>
      </c>
      <c r="AO29" s="237" t="s">
        <v>231</v>
      </c>
      <c r="AP29" s="237" t="s">
        <v>231</v>
      </c>
      <c r="AQ29" s="237" t="s">
        <v>231</v>
      </c>
      <c r="AR29" s="237" t="s">
        <v>231</v>
      </c>
      <c r="AS29" s="237" t="s">
        <v>231</v>
      </c>
      <c r="AT29" s="237" t="s">
        <v>231</v>
      </c>
      <c r="AU29" s="237" t="s">
        <v>231</v>
      </c>
      <c r="AV29" s="237" t="s">
        <v>231</v>
      </c>
      <c r="AW29" s="237" t="s">
        <v>231</v>
      </c>
      <c r="AX29" s="237" t="s">
        <v>231</v>
      </c>
      <c r="AY29" s="237" t="s">
        <v>231</v>
      </c>
      <c r="AZ29" s="237" t="s">
        <v>231</v>
      </c>
      <c r="BA29" s="237" t="s">
        <v>231</v>
      </c>
      <c r="BB29" s="237" t="s">
        <v>231</v>
      </c>
      <c r="BC29" s="237" t="s">
        <v>231</v>
      </c>
      <c r="BD29" s="237" t="s">
        <v>492</v>
      </c>
      <c r="BE29" s="237" t="s">
        <v>231</v>
      </c>
      <c r="BF29" s="237" t="s">
        <v>231</v>
      </c>
      <c r="BG29" s="237" t="s">
        <v>231</v>
      </c>
      <c r="BH29" s="237" t="s">
        <v>231</v>
      </c>
      <c r="BI29" s="237" t="s">
        <v>231</v>
      </c>
      <c r="BJ29" s="237" t="s">
        <v>231</v>
      </c>
      <c r="BK29" s="237" t="s">
        <v>231</v>
      </c>
      <c r="BL29" s="237" t="s">
        <v>492</v>
      </c>
      <c r="BM29" s="237" t="s">
        <v>231</v>
      </c>
      <c r="BN29" s="237" t="s">
        <v>231</v>
      </c>
      <c r="BO29" s="237" t="s">
        <v>231</v>
      </c>
      <c r="BP29" s="237" t="s">
        <v>231</v>
      </c>
      <c r="BQ29" s="237" t="s">
        <v>231</v>
      </c>
      <c r="BR29" s="237" t="s">
        <v>231</v>
      </c>
      <c r="BS29" s="237" t="s">
        <v>231</v>
      </c>
      <c r="BT29" s="237" t="s">
        <v>231</v>
      </c>
      <c r="BU29" s="237" t="s">
        <v>231</v>
      </c>
      <c r="BV29" s="237" t="s">
        <v>231</v>
      </c>
      <c r="BW29" s="237" t="s">
        <v>231</v>
      </c>
      <c r="BX29" s="237" t="s">
        <v>231</v>
      </c>
      <c r="BY29" s="237" t="s">
        <v>231</v>
      </c>
      <c r="BZ29" s="237" t="s">
        <v>231</v>
      </c>
      <c r="CA29" s="237" t="s">
        <v>231</v>
      </c>
      <c r="CB29" s="237" t="s">
        <v>231</v>
      </c>
      <c r="CC29" s="237" t="s">
        <v>231</v>
      </c>
      <c r="CD29" s="237" t="s">
        <v>231</v>
      </c>
      <c r="CE29" s="237" t="s">
        <v>231</v>
      </c>
      <c r="CF29" s="237" t="s">
        <v>231</v>
      </c>
      <c r="CG29" s="237" t="s">
        <v>231</v>
      </c>
      <c r="CH29" s="237" t="s">
        <v>231</v>
      </c>
      <c r="CI29" s="237" t="s">
        <v>231</v>
      </c>
      <c r="CJ29" s="237" t="s">
        <v>231</v>
      </c>
      <c r="CK29" s="237" t="s">
        <v>231</v>
      </c>
      <c r="CL29" s="237" t="s">
        <v>231</v>
      </c>
      <c r="CM29" s="237" t="s">
        <v>231</v>
      </c>
      <c r="CN29" s="237" t="s">
        <v>231</v>
      </c>
      <c r="CO29" s="237" t="s">
        <v>231</v>
      </c>
      <c r="CP29" s="237" t="s">
        <v>231</v>
      </c>
      <c r="CQ29" s="237" t="s">
        <v>231</v>
      </c>
      <c r="CR29" s="237" t="s">
        <v>231</v>
      </c>
      <c r="CS29" s="237" t="s">
        <v>231</v>
      </c>
      <c r="CT29" s="237" t="s">
        <v>492</v>
      </c>
      <c r="CU29" s="237" t="s">
        <v>492</v>
      </c>
      <c r="CV29" s="237" t="s">
        <v>492</v>
      </c>
      <c r="CW29" s="237" t="s">
        <v>231</v>
      </c>
      <c r="CX29" s="237" t="s">
        <v>231</v>
      </c>
      <c r="CY29" s="237" t="s">
        <v>231</v>
      </c>
      <c r="CZ29" s="237" t="s">
        <v>231</v>
      </c>
      <c r="DA29" s="237" t="s">
        <v>231</v>
      </c>
      <c r="DB29" s="237" t="s">
        <v>231</v>
      </c>
      <c r="DC29" s="237" t="s">
        <v>231</v>
      </c>
      <c r="DD29" s="237" t="s">
        <v>231</v>
      </c>
      <c r="DE29" s="237" t="s">
        <v>231</v>
      </c>
      <c r="DF29" s="237" t="s">
        <v>231</v>
      </c>
      <c r="DG29" s="237" t="s">
        <v>231</v>
      </c>
      <c r="DH29" s="237" t="s">
        <v>231</v>
      </c>
      <c r="DI29" s="237" t="s">
        <v>231</v>
      </c>
      <c r="DJ29" s="237" t="s">
        <v>231</v>
      </c>
      <c r="DK29" s="237" t="s">
        <v>231</v>
      </c>
      <c r="DL29" s="237" t="s">
        <v>231</v>
      </c>
      <c r="DM29" s="237" t="s">
        <v>231</v>
      </c>
      <c r="DN29" s="237" t="s">
        <v>231</v>
      </c>
      <c r="DO29" s="237" t="s">
        <v>231</v>
      </c>
      <c r="DP29" s="237" t="s">
        <v>231</v>
      </c>
      <c r="DQ29" s="237" t="s">
        <v>231</v>
      </c>
      <c r="DR29" s="237" t="s">
        <v>231</v>
      </c>
      <c r="DS29" s="237" t="s">
        <v>231</v>
      </c>
      <c r="DT29" s="237" t="s">
        <v>492</v>
      </c>
      <c r="DU29" s="237" t="s">
        <v>231</v>
      </c>
      <c r="DV29" s="237" t="s">
        <v>492</v>
      </c>
      <c r="DW29" s="237" t="s">
        <v>492</v>
      </c>
      <c r="DX29" s="237" t="s">
        <v>492</v>
      </c>
      <c r="DY29" s="237" t="s">
        <v>492</v>
      </c>
      <c r="DZ29" s="237" t="s">
        <v>492</v>
      </c>
      <c r="EA29" s="237" t="s">
        <v>492</v>
      </c>
      <c r="EB29" s="237" t="s">
        <v>492</v>
      </c>
      <c r="EC29" s="237" t="s">
        <v>492</v>
      </c>
      <c r="ED29" s="237" t="s">
        <v>492</v>
      </c>
      <c r="EE29" s="237" t="s">
        <v>492</v>
      </c>
      <c r="EF29" s="237" t="s">
        <v>492</v>
      </c>
      <c r="EG29" s="237" t="s">
        <v>492</v>
      </c>
      <c r="EH29" s="237" t="s">
        <v>492</v>
      </c>
      <c r="EI29" s="237" t="s">
        <v>492</v>
      </c>
      <c r="EJ29" s="237" t="s">
        <v>231</v>
      </c>
      <c r="EK29" s="237" t="s">
        <v>231</v>
      </c>
      <c r="EL29" s="237" t="s">
        <v>231</v>
      </c>
      <c r="EM29" s="237" t="s">
        <v>231</v>
      </c>
      <c r="EN29" s="237" t="s">
        <v>231</v>
      </c>
      <c r="EO29" s="237" t="s">
        <v>231</v>
      </c>
      <c r="EP29" s="237" t="s">
        <v>231</v>
      </c>
      <c r="EQ29" s="237" t="s">
        <v>231</v>
      </c>
      <c r="ER29" s="237" t="s">
        <v>231</v>
      </c>
      <c r="ES29" s="237" t="s">
        <v>231</v>
      </c>
      <c r="ET29" s="237" t="s">
        <v>231</v>
      </c>
      <c r="EU29" s="237" t="s">
        <v>231</v>
      </c>
      <c r="EV29" s="237" t="s">
        <v>231</v>
      </c>
      <c r="EW29" s="237" t="s">
        <v>231</v>
      </c>
      <c r="EX29" s="237" t="s">
        <v>231</v>
      </c>
      <c r="EY29" s="237" t="s">
        <v>231</v>
      </c>
      <c r="EZ29" s="237" t="s">
        <v>231</v>
      </c>
      <c r="FA29" s="237" t="s">
        <v>231</v>
      </c>
      <c r="FB29" s="237" t="s">
        <v>231</v>
      </c>
      <c r="FC29" s="237" t="s">
        <v>231</v>
      </c>
      <c r="FD29" s="237" t="s">
        <v>231</v>
      </c>
      <c r="FE29" s="237" t="s">
        <v>231</v>
      </c>
      <c r="FF29" s="237" t="s">
        <v>231</v>
      </c>
      <c r="FG29" s="237" t="s">
        <v>492</v>
      </c>
      <c r="FH29" s="237" t="s">
        <v>492</v>
      </c>
      <c r="FI29" s="237" t="s">
        <v>492</v>
      </c>
      <c r="FJ29" s="237" t="s">
        <v>492</v>
      </c>
      <c r="FK29" s="237" t="s">
        <v>492</v>
      </c>
      <c r="FL29" s="237" t="s">
        <v>492</v>
      </c>
      <c r="FM29" s="237" t="s">
        <v>492</v>
      </c>
      <c r="FN29" s="237" t="s">
        <v>231</v>
      </c>
      <c r="FO29" s="237" t="s">
        <v>231</v>
      </c>
      <c r="FP29" s="237" t="s">
        <v>231</v>
      </c>
      <c r="FQ29" s="237" t="s">
        <v>231</v>
      </c>
      <c r="FR29" s="237" t="s">
        <v>231</v>
      </c>
      <c r="FS29" s="237" t="s">
        <v>492</v>
      </c>
      <c r="FT29" s="237" t="s">
        <v>231</v>
      </c>
      <c r="FU29" s="237" t="s">
        <v>231</v>
      </c>
      <c r="FV29" s="237" t="s">
        <v>231</v>
      </c>
      <c r="FW29" s="237" t="s">
        <v>231</v>
      </c>
      <c r="FX29" s="237" t="s">
        <v>231</v>
      </c>
      <c r="FY29" s="237" t="s">
        <v>231</v>
      </c>
      <c r="FZ29" s="237" t="s">
        <v>231</v>
      </c>
      <c r="GA29" s="237" t="s">
        <v>231</v>
      </c>
      <c r="GB29" s="237" t="s">
        <v>231</v>
      </c>
      <c r="GC29" s="237" t="s">
        <v>231</v>
      </c>
      <c r="GD29" s="237" t="s">
        <v>231</v>
      </c>
      <c r="GE29" s="237" t="s">
        <v>231</v>
      </c>
      <c r="GF29" s="237" t="s">
        <v>231</v>
      </c>
      <c r="GG29" s="237" t="s">
        <v>231</v>
      </c>
      <c r="GH29" s="237" t="s">
        <v>231</v>
      </c>
      <c r="GI29" s="237" t="s">
        <v>231</v>
      </c>
      <c r="GJ29" s="237" t="s">
        <v>231</v>
      </c>
      <c r="GK29" s="237" t="s">
        <v>231</v>
      </c>
      <c r="GL29" s="237" t="s">
        <v>231</v>
      </c>
      <c r="GM29" s="237" t="s">
        <v>231</v>
      </c>
      <c r="GN29" s="237" t="s">
        <v>231</v>
      </c>
      <c r="GO29" s="237" t="s">
        <v>231</v>
      </c>
      <c r="GP29" s="237" t="s">
        <v>492</v>
      </c>
      <c r="GQ29" s="237" t="s">
        <v>231</v>
      </c>
      <c r="GR29" s="237" t="s">
        <v>231</v>
      </c>
      <c r="GS29" s="237" t="s">
        <v>231</v>
      </c>
      <c r="GT29" s="237" t="s">
        <v>231</v>
      </c>
      <c r="GU29" s="237" t="s">
        <v>231</v>
      </c>
      <c r="GV29" s="237" t="s">
        <v>492</v>
      </c>
      <c r="GW29" s="237" t="s">
        <v>231</v>
      </c>
      <c r="GX29" s="237" t="s">
        <v>231</v>
      </c>
      <c r="GY29" s="237" t="s">
        <v>231</v>
      </c>
      <c r="GZ29" s="237" t="s">
        <v>492</v>
      </c>
      <c r="HA29" s="237" t="s">
        <v>231</v>
      </c>
      <c r="HB29" s="237" t="s">
        <v>231</v>
      </c>
      <c r="HC29" s="237" t="s">
        <v>231</v>
      </c>
      <c r="HD29" s="237" t="s">
        <v>231</v>
      </c>
      <c r="HE29" s="237" t="s">
        <v>492</v>
      </c>
      <c r="HF29" s="237" t="s">
        <v>231</v>
      </c>
      <c r="HG29" s="237" t="s">
        <v>492</v>
      </c>
      <c r="HH29" s="237" t="s">
        <v>231</v>
      </c>
      <c r="HI29" s="237" t="s">
        <v>231</v>
      </c>
      <c r="HJ29" s="237" t="s">
        <v>231</v>
      </c>
      <c r="HK29" s="237" t="s">
        <v>492</v>
      </c>
      <c r="HL29" s="237" t="s">
        <v>231</v>
      </c>
      <c r="HM29" s="237" t="s">
        <v>231</v>
      </c>
      <c r="HN29" s="237" t="s">
        <v>231</v>
      </c>
      <c r="HO29" s="237" t="s">
        <v>231</v>
      </c>
      <c r="HP29" s="237" t="s">
        <v>231</v>
      </c>
      <c r="HQ29" s="237" t="s">
        <v>492</v>
      </c>
      <c r="HR29" s="237" t="s">
        <v>492</v>
      </c>
      <c r="HS29" s="237" t="s">
        <v>492</v>
      </c>
      <c r="HT29" s="237" t="s">
        <v>492</v>
      </c>
      <c r="HU29" s="237" t="s">
        <v>231</v>
      </c>
      <c r="HV29" s="237" t="s">
        <v>231</v>
      </c>
      <c r="HW29" s="237" t="s">
        <v>231</v>
      </c>
      <c r="HX29" s="237" t="s">
        <v>231</v>
      </c>
      <c r="HY29" s="237" t="s">
        <v>231</v>
      </c>
      <c r="HZ29" s="237" t="s">
        <v>231</v>
      </c>
      <c r="IA29" s="237" t="s">
        <v>231</v>
      </c>
      <c r="IB29" s="237" t="s">
        <v>231</v>
      </c>
      <c r="IC29" s="237" t="s">
        <v>231</v>
      </c>
      <c r="ID29" s="237" t="s">
        <v>231</v>
      </c>
      <c r="IE29" s="237" t="s">
        <v>231</v>
      </c>
      <c r="IF29" s="237" t="s">
        <v>231</v>
      </c>
      <c r="IG29" s="237" t="s">
        <v>231</v>
      </c>
      <c r="IH29" s="237" t="s">
        <v>231</v>
      </c>
      <c r="II29" s="237" t="s">
        <v>231</v>
      </c>
      <c r="IJ29" s="237" t="s">
        <v>231</v>
      </c>
      <c r="IK29" s="237" t="s">
        <v>231</v>
      </c>
      <c r="IL29" s="237" t="s">
        <v>231</v>
      </c>
      <c r="IM29" s="237" t="s">
        <v>231</v>
      </c>
      <c r="IN29" s="237" t="s">
        <v>231</v>
      </c>
      <c r="IO29" s="237" t="s">
        <v>220</v>
      </c>
      <c r="IP29" s="237" t="s">
        <v>493</v>
      </c>
      <c r="IQ29" s="237" t="s">
        <v>219</v>
      </c>
      <c r="IR29" s="237" t="s">
        <v>490</v>
      </c>
      <c r="IS29" s="237" t="s">
        <v>492</v>
      </c>
      <c r="IT29" s="237" t="s">
        <v>492</v>
      </c>
    </row>
    <row r="30" spans="1:254" ht="15" x14ac:dyDescent="0.25">
      <c r="A30" s="259" t="str">
        <f>HYPERLINK("http://www.ofsted.gov.uk/inspection-reports/find-inspection-report/provider/ELS/145184 ","Ofsted School Webpage")</f>
        <v>Ofsted School Webpage</v>
      </c>
      <c r="B30" s="240">
        <v>145184</v>
      </c>
      <c r="C30" s="240">
        <v>9296004</v>
      </c>
      <c r="D30" s="240" t="s">
        <v>575</v>
      </c>
      <c r="E30" s="240" t="s">
        <v>248</v>
      </c>
      <c r="F30" s="240" t="s">
        <v>501</v>
      </c>
      <c r="G30" s="240" t="s">
        <v>523</v>
      </c>
      <c r="H30" s="240" t="s">
        <v>539</v>
      </c>
      <c r="I30" s="240" t="s">
        <v>576</v>
      </c>
      <c r="J30" s="240" t="s">
        <v>577</v>
      </c>
      <c r="K30" s="240" t="s">
        <v>93</v>
      </c>
      <c r="L30" s="240" t="s">
        <v>93</v>
      </c>
      <c r="M30" s="240" t="s">
        <v>93</v>
      </c>
      <c r="N30" s="240" t="s">
        <v>90</v>
      </c>
      <c r="O30" s="240" t="s">
        <v>486</v>
      </c>
      <c r="P30" s="240" t="s">
        <v>487</v>
      </c>
      <c r="Q30" s="241">
        <v>10053842</v>
      </c>
      <c r="R30" s="242">
        <v>43375</v>
      </c>
      <c r="S30" s="242">
        <v>43376</v>
      </c>
      <c r="T30" s="242">
        <v>43432</v>
      </c>
      <c r="U30" s="240" t="s">
        <v>499</v>
      </c>
      <c r="V30" s="240" t="s">
        <v>489</v>
      </c>
      <c r="W30" s="240">
        <v>3</v>
      </c>
      <c r="X30" s="240">
        <v>3</v>
      </c>
      <c r="Y30" s="240">
        <v>3</v>
      </c>
      <c r="Z30" s="240">
        <v>3</v>
      </c>
      <c r="AA30" s="240">
        <v>3</v>
      </c>
      <c r="AB30" s="240" t="s">
        <v>486</v>
      </c>
      <c r="AC30" s="240" t="s">
        <v>486</v>
      </c>
      <c r="AD30" s="240" t="s">
        <v>219</v>
      </c>
      <c r="AE30" s="240" t="s">
        <v>490</v>
      </c>
      <c r="AF30" s="240" t="s">
        <v>486</v>
      </c>
      <c r="AG30" s="240" t="s">
        <v>486</v>
      </c>
      <c r="AH30" s="240" t="s">
        <v>486</v>
      </c>
      <c r="AI30" s="240" t="s">
        <v>486</v>
      </c>
      <c r="AJ30" s="240" t="s">
        <v>486</v>
      </c>
      <c r="AK30" s="240" t="s">
        <v>486</v>
      </c>
      <c r="AL30" s="240" t="s">
        <v>486</v>
      </c>
      <c r="AM30" s="240" t="s">
        <v>545</v>
      </c>
      <c r="AN30" s="240" t="s">
        <v>231</v>
      </c>
      <c r="AO30" s="240" t="s">
        <v>231</v>
      </c>
      <c r="AP30" s="240" t="s">
        <v>231</v>
      </c>
      <c r="AQ30" s="240" t="s">
        <v>231</v>
      </c>
      <c r="AR30" s="240" t="s">
        <v>546</v>
      </c>
      <c r="AS30" s="240" t="s">
        <v>231</v>
      </c>
      <c r="AT30" s="240" t="s">
        <v>231</v>
      </c>
      <c r="AU30" s="240" t="s">
        <v>546</v>
      </c>
      <c r="AV30" s="240" t="s">
        <v>231</v>
      </c>
      <c r="AW30" s="240" t="s">
        <v>231</v>
      </c>
      <c r="AX30" s="240" t="s">
        <v>231</v>
      </c>
      <c r="AY30" s="240" t="s">
        <v>231</v>
      </c>
      <c r="AZ30" s="240" t="s">
        <v>231</v>
      </c>
      <c r="BA30" s="240" t="s">
        <v>231</v>
      </c>
      <c r="BB30" s="240" t="s">
        <v>231</v>
      </c>
      <c r="BC30" s="240" t="s">
        <v>231</v>
      </c>
      <c r="BD30" s="240" t="s">
        <v>231</v>
      </c>
      <c r="BE30" s="240" t="s">
        <v>231</v>
      </c>
      <c r="BF30" s="240" t="s">
        <v>231</v>
      </c>
      <c r="BG30" s="240" t="s">
        <v>231</v>
      </c>
      <c r="BH30" s="240" t="s">
        <v>231</v>
      </c>
      <c r="BI30" s="240" t="s">
        <v>231</v>
      </c>
      <c r="BJ30" s="240" t="s">
        <v>231</v>
      </c>
      <c r="BK30" s="240" t="s">
        <v>231</v>
      </c>
      <c r="BL30" s="240" t="s">
        <v>231</v>
      </c>
      <c r="BM30" s="240" t="s">
        <v>231</v>
      </c>
      <c r="BN30" s="240" t="s">
        <v>231</v>
      </c>
      <c r="BO30" s="240" t="s">
        <v>231</v>
      </c>
      <c r="BP30" s="240" t="s">
        <v>231</v>
      </c>
      <c r="BQ30" s="240" t="s">
        <v>231</v>
      </c>
      <c r="BR30" s="240" t="s">
        <v>231</v>
      </c>
      <c r="BS30" s="240" t="s">
        <v>231</v>
      </c>
      <c r="BT30" s="240" t="s">
        <v>231</v>
      </c>
      <c r="BU30" s="240" t="s">
        <v>231</v>
      </c>
      <c r="BV30" s="240" t="s">
        <v>231</v>
      </c>
      <c r="BW30" s="240" t="s">
        <v>231</v>
      </c>
      <c r="BX30" s="240" t="s">
        <v>231</v>
      </c>
      <c r="BY30" s="240" t="s">
        <v>231</v>
      </c>
      <c r="BZ30" s="240" t="s">
        <v>231</v>
      </c>
      <c r="CA30" s="240" t="s">
        <v>231</v>
      </c>
      <c r="CB30" s="240" t="s">
        <v>231</v>
      </c>
      <c r="CC30" s="240" t="s">
        <v>231</v>
      </c>
      <c r="CD30" s="240" t="s">
        <v>231</v>
      </c>
      <c r="CE30" s="240" t="s">
        <v>231</v>
      </c>
      <c r="CF30" s="240" t="s">
        <v>231</v>
      </c>
      <c r="CG30" s="240" t="s">
        <v>231</v>
      </c>
      <c r="CH30" s="240" t="s">
        <v>231</v>
      </c>
      <c r="CI30" s="240" t="s">
        <v>231</v>
      </c>
      <c r="CJ30" s="240" t="s">
        <v>231</v>
      </c>
      <c r="CK30" s="240" t="s">
        <v>231</v>
      </c>
      <c r="CL30" s="240" t="s">
        <v>231</v>
      </c>
      <c r="CM30" s="240" t="s">
        <v>231</v>
      </c>
      <c r="CN30" s="240" t="s">
        <v>231</v>
      </c>
      <c r="CO30" s="240" t="s">
        <v>231</v>
      </c>
      <c r="CP30" s="240" t="s">
        <v>231</v>
      </c>
      <c r="CQ30" s="240" t="s">
        <v>231</v>
      </c>
      <c r="CR30" s="240" t="s">
        <v>231</v>
      </c>
      <c r="CS30" s="240" t="s">
        <v>231</v>
      </c>
      <c r="CT30" s="240" t="s">
        <v>231</v>
      </c>
      <c r="CU30" s="240" t="s">
        <v>231</v>
      </c>
      <c r="CV30" s="240" t="s">
        <v>231</v>
      </c>
      <c r="CW30" s="240" t="s">
        <v>231</v>
      </c>
      <c r="CX30" s="240" t="s">
        <v>231</v>
      </c>
      <c r="CY30" s="240" t="s">
        <v>231</v>
      </c>
      <c r="CZ30" s="240" t="s">
        <v>231</v>
      </c>
      <c r="DA30" s="240" t="s">
        <v>231</v>
      </c>
      <c r="DB30" s="240" t="s">
        <v>231</v>
      </c>
      <c r="DC30" s="240" t="s">
        <v>231</v>
      </c>
      <c r="DD30" s="240" t="s">
        <v>231</v>
      </c>
      <c r="DE30" s="240" t="s">
        <v>231</v>
      </c>
      <c r="DF30" s="240" t="s">
        <v>231</v>
      </c>
      <c r="DG30" s="240" t="s">
        <v>231</v>
      </c>
      <c r="DH30" s="240" t="s">
        <v>231</v>
      </c>
      <c r="DI30" s="240" t="s">
        <v>231</v>
      </c>
      <c r="DJ30" s="240" t="s">
        <v>231</v>
      </c>
      <c r="DK30" s="240" t="s">
        <v>231</v>
      </c>
      <c r="DL30" s="240" t="s">
        <v>231</v>
      </c>
      <c r="DM30" s="240" t="s">
        <v>231</v>
      </c>
      <c r="DN30" s="240" t="s">
        <v>231</v>
      </c>
      <c r="DO30" s="240" t="s">
        <v>231</v>
      </c>
      <c r="DP30" s="240" t="s">
        <v>231</v>
      </c>
      <c r="DQ30" s="240" t="s">
        <v>231</v>
      </c>
      <c r="DR30" s="240" t="s">
        <v>231</v>
      </c>
      <c r="DS30" s="240" t="s">
        <v>231</v>
      </c>
      <c r="DT30" s="240" t="s">
        <v>492</v>
      </c>
      <c r="DU30" s="240" t="s">
        <v>231</v>
      </c>
      <c r="DV30" s="240" t="s">
        <v>492</v>
      </c>
      <c r="DW30" s="240" t="s">
        <v>492</v>
      </c>
      <c r="DX30" s="240" t="s">
        <v>492</v>
      </c>
      <c r="DY30" s="240" t="s">
        <v>492</v>
      </c>
      <c r="DZ30" s="240" t="s">
        <v>492</v>
      </c>
      <c r="EA30" s="240" t="s">
        <v>492</v>
      </c>
      <c r="EB30" s="240" t="s">
        <v>492</v>
      </c>
      <c r="EC30" s="240" t="s">
        <v>492</v>
      </c>
      <c r="ED30" s="240" t="s">
        <v>492</v>
      </c>
      <c r="EE30" s="240" t="s">
        <v>492</v>
      </c>
      <c r="EF30" s="240" t="s">
        <v>492</v>
      </c>
      <c r="EG30" s="240" t="s">
        <v>492</v>
      </c>
      <c r="EH30" s="240" t="s">
        <v>492</v>
      </c>
      <c r="EI30" s="240" t="s">
        <v>492</v>
      </c>
      <c r="EJ30" s="240" t="s">
        <v>492</v>
      </c>
      <c r="EK30" s="240" t="s">
        <v>492</v>
      </c>
      <c r="EL30" s="240" t="s">
        <v>492</v>
      </c>
      <c r="EM30" s="240" t="s">
        <v>492</v>
      </c>
      <c r="EN30" s="240" t="s">
        <v>492</v>
      </c>
      <c r="EO30" s="240" t="s">
        <v>492</v>
      </c>
      <c r="EP30" s="240" t="s">
        <v>492</v>
      </c>
      <c r="EQ30" s="240" t="s">
        <v>492</v>
      </c>
      <c r="ER30" s="240" t="s">
        <v>492</v>
      </c>
      <c r="ES30" s="240" t="s">
        <v>231</v>
      </c>
      <c r="ET30" s="240" t="s">
        <v>231</v>
      </c>
      <c r="EU30" s="240" t="s">
        <v>231</v>
      </c>
      <c r="EV30" s="240" t="s">
        <v>231</v>
      </c>
      <c r="EW30" s="240" t="s">
        <v>231</v>
      </c>
      <c r="EX30" s="240" t="s">
        <v>231</v>
      </c>
      <c r="EY30" s="240" t="s">
        <v>231</v>
      </c>
      <c r="EZ30" s="240" t="s">
        <v>231</v>
      </c>
      <c r="FA30" s="240" t="s">
        <v>231</v>
      </c>
      <c r="FB30" s="240" t="s">
        <v>231</v>
      </c>
      <c r="FC30" s="240" t="s">
        <v>231</v>
      </c>
      <c r="FD30" s="240" t="s">
        <v>231</v>
      </c>
      <c r="FE30" s="240" t="s">
        <v>231</v>
      </c>
      <c r="FF30" s="240" t="s">
        <v>231</v>
      </c>
      <c r="FG30" s="240" t="s">
        <v>492</v>
      </c>
      <c r="FH30" s="240" t="s">
        <v>492</v>
      </c>
      <c r="FI30" s="240" t="s">
        <v>492</v>
      </c>
      <c r="FJ30" s="240" t="s">
        <v>492</v>
      </c>
      <c r="FK30" s="240" t="s">
        <v>231</v>
      </c>
      <c r="FL30" s="240" t="s">
        <v>231</v>
      </c>
      <c r="FM30" s="240" t="s">
        <v>231</v>
      </c>
      <c r="FN30" s="240" t="s">
        <v>231</v>
      </c>
      <c r="FO30" s="240" t="s">
        <v>231</v>
      </c>
      <c r="FP30" s="240" t="s">
        <v>231</v>
      </c>
      <c r="FQ30" s="240" t="s">
        <v>231</v>
      </c>
      <c r="FR30" s="240" t="s">
        <v>231</v>
      </c>
      <c r="FS30" s="240" t="s">
        <v>231</v>
      </c>
      <c r="FT30" s="240" t="s">
        <v>231</v>
      </c>
      <c r="FU30" s="240" t="s">
        <v>231</v>
      </c>
      <c r="FV30" s="240" t="s">
        <v>231</v>
      </c>
      <c r="FW30" s="240" t="s">
        <v>231</v>
      </c>
      <c r="FX30" s="240" t="s">
        <v>231</v>
      </c>
      <c r="FY30" s="240" t="s">
        <v>231</v>
      </c>
      <c r="FZ30" s="240" t="s">
        <v>231</v>
      </c>
      <c r="GA30" s="240" t="s">
        <v>231</v>
      </c>
      <c r="GB30" s="240" t="s">
        <v>231</v>
      </c>
      <c r="GC30" s="240" t="s">
        <v>231</v>
      </c>
      <c r="GD30" s="240" t="s">
        <v>231</v>
      </c>
      <c r="GE30" s="240" t="s">
        <v>231</v>
      </c>
      <c r="GF30" s="240" t="s">
        <v>231</v>
      </c>
      <c r="GG30" s="240" t="s">
        <v>231</v>
      </c>
      <c r="GH30" s="240" t="s">
        <v>231</v>
      </c>
      <c r="GI30" s="240" t="s">
        <v>231</v>
      </c>
      <c r="GJ30" s="240" t="s">
        <v>231</v>
      </c>
      <c r="GK30" s="240" t="s">
        <v>231</v>
      </c>
      <c r="GL30" s="240" t="s">
        <v>231</v>
      </c>
      <c r="GM30" s="240" t="s">
        <v>232</v>
      </c>
      <c r="GN30" s="240" t="s">
        <v>231</v>
      </c>
      <c r="GO30" s="240" t="s">
        <v>232</v>
      </c>
      <c r="GP30" s="240" t="s">
        <v>492</v>
      </c>
      <c r="GQ30" s="240" t="s">
        <v>231</v>
      </c>
      <c r="GR30" s="240" t="s">
        <v>231</v>
      </c>
      <c r="GS30" s="240" t="s">
        <v>231</v>
      </c>
      <c r="GT30" s="240" t="s">
        <v>231</v>
      </c>
      <c r="GU30" s="240" t="s">
        <v>231</v>
      </c>
      <c r="GV30" s="240" t="s">
        <v>231</v>
      </c>
      <c r="GW30" s="240" t="s">
        <v>231</v>
      </c>
      <c r="GX30" s="240" t="s">
        <v>231</v>
      </c>
      <c r="GY30" s="240" t="s">
        <v>231</v>
      </c>
      <c r="GZ30" s="240" t="s">
        <v>231</v>
      </c>
      <c r="HA30" s="240" t="s">
        <v>231</v>
      </c>
      <c r="HB30" s="240" t="s">
        <v>231</v>
      </c>
      <c r="HC30" s="240" t="s">
        <v>231</v>
      </c>
      <c r="HD30" s="240" t="s">
        <v>231</v>
      </c>
      <c r="HE30" s="240" t="s">
        <v>231</v>
      </c>
      <c r="HF30" s="240" t="s">
        <v>231</v>
      </c>
      <c r="HG30" s="240" t="s">
        <v>231</v>
      </c>
      <c r="HH30" s="240" t="s">
        <v>231</v>
      </c>
      <c r="HI30" s="240" t="s">
        <v>231</v>
      </c>
      <c r="HJ30" s="240" t="s">
        <v>231</v>
      </c>
      <c r="HK30" s="240" t="s">
        <v>231</v>
      </c>
      <c r="HL30" s="240" t="s">
        <v>231</v>
      </c>
      <c r="HM30" s="240" t="s">
        <v>231</v>
      </c>
      <c r="HN30" s="240" t="s">
        <v>231</v>
      </c>
      <c r="HO30" s="240" t="s">
        <v>231</v>
      </c>
      <c r="HP30" s="240" t="s">
        <v>231</v>
      </c>
      <c r="HQ30" s="240" t="s">
        <v>231</v>
      </c>
      <c r="HR30" s="240" t="s">
        <v>492</v>
      </c>
      <c r="HS30" s="240" t="s">
        <v>492</v>
      </c>
      <c r="HT30" s="240" t="s">
        <v>492</v>
      </c>
      <c r="HU30" s="240" t="s">
        <v>231</v>
      </c>
      <c r="HV30" s="240" t="s">
        <v>231</v>
      </c>
      <c r="HW30" s="240" t="s">
        <v>231</v>
      </c>
      <c r="HX30" s="240" t="s">
        <v>231</v>
      </c>
      <c r="HY30" s="240" t="s">
        <v>231</v>
      </c>
      <c r="HZ30" s="240" t="s">
        <v>231</v>
      </c>
      <c r="IA30" s="240" t="s">
        <v>231</v>
      </c>
      <c r="IB30" s="240" t="s">
        <v>231</v>
      </c>
      <c r="IC30" s="240" t="s">
        <v>231</v>
      </c>
      <c r="ID30" s="240" t="s">
        <v>231</v>
      </c>
      <c r="IE30" s="240" t="s">
        <v>231</v>
      </c>
      <c r="IF30" s="240" t="s">
        <v>231</v>
      </c>
      <c r="IG30" s="240" t="s">
        <v>231</v>
      </c>
      <c r="IH30" s="240" t="s">
        <v>231</v>
      </c>
      <c r="II30" s="240" t="s">
        <v>231</v>
      </c>
      <c r="IJ30" s="240" t="s">
        <v>231</v>
      </c>
      <c r="IK30" s="240" t="s">
        <v>232</v>
      </c>
      <c r="IL30" s="240" t="s">
        <v>232</v>
      </c>
      <c r="IM30" s="240" t="s">
        <v>232</v>
      </c>
      <c r="IN30" s="240" t="s">
        <v>232</v>
      </c>
      <c r="IO30" s="240" t="s">
        <v>220</v>
      </c>
      <c r="IP30" s="240" t="s">
        <v>493</v>
      </c>
      <c r="IQ30" s="240" t="s">
        <v>219</v>
      </c>
      <c r="IR30" s="240" t="s">
        <v>490</v>
      </c>
      <c r="IS30" s="240" t="s">
        <v>492</v>
      </c>
      <c r="IT30" s="240" t="s">
        <v>492</v>
      </c>
    </row>
    <row r="31" spans="1:254" ht="15" x14ac:dyDescent="0.25">
      <c r="A31" s="258" t="str">
        <f>HYPERLINK("http://www.ofsted.gov.uk/inspection-reports/find-inspection-report/provider/ELS/145470 ","Ofsted School Webpage")</f>
        <v>Ofsted School Webpage</v>
      </c>
      <c r="B31" s="237">
        <v>145470</v>
      </c>
      <c r="C31" s="237">
        <v>9376015</v>
      </c>
      <c r="D31" s="237" t="s">
        <v>578</v>
      </c>
      <c r="E31" s="237" t="s">
        <v>248</v>
      </c>
      <c r="F31" s="237" t="s">
        <v>501</v>
      </c>
      <c r="G31" s="237" t="s">
        <v>502</v>
      </c>
      <c r="H31" s="237" t="s">
        <v>502</v>
      </c>
      <c r="I31" s="237" t="s">
        <v>503</v>
      </c>
      <c r="J31" s="237" t="s">
        <v>579</v>
      </c>
      <c r="K31" s="237" t="s">
        <v>93</v>
      </c>
      <c r="L31" s="237" t="s">
        <v>93</v>
      </c>
      <c r="M31" s="237" t="s">
        <v>93</v>
      </c>
      <c r="N31" s="237" t="s">
        <v>90</v>
      </c>
      <c r="O31" s="237" t="s">
        <v>486</v>
      </c>
      <c r="P31" s="237" t="s">
        <v>487</v>
      </c>
      <c r="Q31" s="238">
        <v>10053929</v>
      </c>
      <c r="R31" s="239">
        <v>43375</v>
      </c>
      <c r="S31" s="239">
        <v>43377</v>
      </c>
      <c r="T31" s="239">
        <v>43422</v>
      </c>
      <c r="U31" s="237" t="s">
        <v>499</v>
      </c>
      <c r="V31" s="237" t="s">
        <v>489</v>
      </c>
      <c r="W31" s="237">
        <v>1</v>
      </c>
      <c r="X31" s="237">
        <v>1</v>
      </c>
      <c r="Y31" s="237">
        <v>1</v>
      </c>
      <c r="Z31" s="237">
        <v>1</v>
      </c>
      <c r="AA31" s="237">
        <v>1</v>
      </c>
      <c r="AB31" s="237" t="s">
        <v>486</v>
      </c>
      <c r="AC31" s="237" t="s">
        <v>486</v>
      </c>
      <c r="AD31" s="237" t="s">
        <v>219</v>
      </c>
      <c r="AE31" s="237" t="s">
        <v>490</v>
      </c>
      <c r="AF31" s="237" t="s">
        <v>486</v>
      </c>
      <c r="AG31" s="237" t="s">
        <v>486</v>
      </c>
      <c r="AH31" s="237" t="s">
        <v>486</v>
      </c>
      <c r="AI31" s="237" t="s">
        <v>486</v>
      </c>
      <c r="AJ31" s="237" t="s">
        <v>486</v>
      </c>
      <c r="AK31" s="237" t="s">
        <v>486</v>
      </c>
      <c r="AL31" s="237" t="s">
        <v>486</v>
      </c>
      <c r="AM31" s="237" t="s">
        <v>491</v>
      </c>
      <c r="AN31" s="237" t="s">
        <v>231</v>
      </c>
      <c r="AO31" s="237" t="s">
        <v>231</v>
      </c>
      <c r="AP31" s="237" t="s">
        <v>231</v>
      </c>
      <c r="AQ31" s="237" t="s">
        <v>231</v>
      </c>
      <c r="AR31" s="237" t="s">
        <v>231</v>
      </c>
      <c r="AS31" s="237" t="s">
        <v>231</v>
      </c>
      <c r="AT31" s="237" t="s">
        <v>231</v>
      </c>
      <c r="AU31" s="237" t="s">
        <v>231</v>
      </c>
      <c r="AV31" s="237" t="s">
        <v>231</v>
      </c>
      <c r="AW31" s="237" t="s">
        <v>231</v>
      </c>
      <c r="AX31" s="237" t="s">
        <v>231</v>
      </c>
      <c r="AY31" s="237" t="s">
        <v>231</v>
      </c>
      <c r="AZ31" s="237" t="s">
        <v>231</v>
      </c>
      <c r="BA31" s="237" t="s">
        <v>231</v>
      </c>
      <c r="BB31" s="237" t="s">
        <v>231</v>
      </c>
      <c r="BC31" s="237" t="s">
        <v>231</v>
      </c>
      <c r="BD31" s="237" t="s">
        <v>492</v>
      </c>
      <c r="BE31" s="237" t="s">
        <v>231</v>
      </c>
      <c r="BF31" s="237" t="s">
        <v>231</v>
      </c>
      <c r="BG31" s="237" t="s">
        <v>231</v>
      </c>
      <c r="BH31" s="237" t="s">
        <v>231</v>
      </c>
      <c r="BI31" s="237" t="s">
        <v>231</v>
      </c>
      <c r="BJ31" s="237" t="s">
        <v>231</v>
      </c>
      <c r="BK31" s="237" t="s">
        <v>231</v>
      </c>
      <c r="BL31" s="237" t="s">
        <v>492</v>
      </c>
      <c r="BM31" s="237" t="s">
        <v>492</v>
      </c>
      <c r="BN31" s="237" t="s">
        <v>231</v>
      </c>
      <c r="BO31" s="237" t="s">
        <v>231</v>
      </c>
      <c r="BP31" s="237" t="s">
        <v>231</v>
      </c>
      <c r="BQ31" s="237" t="s">
        <v>231</v>
      </c>
      <c r="BR31" s="237" t="s">
        <v>231</v>
      </c>
      <c r="BS31" s="237" t="s">
        <v>231</v>
      </c>
      <c r="BT31" s="237" t="s">
        <v>231</v>
      </c>
      <c r="BU31" s="237" t="s">
        <v>231</v>
      </c>
      <c r="BV31" s="237" t="s">
        <v>231</v>
      </c>
      <c r="BW31" s="237" t="s">
        <v>231</v>
      </c>
      <c r="BX31" s="237" t="s">
        <v>231</v>
      </c>
      <c r="BY31" s="237" t="s">
        <v>231</v>
      </c>
      <c r="BZ31" s="237" t="s">
        <v>231</v>
      </c>
      <c r="CA31" s="237" t="s">
        <v>231</v>
      </c>
      <c r="CB31" s="237" t="s">
        <v>231</v>
      </c>
      <c r="CC31" s="237" t="s">
        <v>231</v>
      </c>
      <c r="CD31" s="237" t="s">
        <v>231</v>
      </c>
      <c r="CE31" s="237" t="s">
        <v>231</v>
      </c>
      <c r="CF31" s="237" t="s">
        <v>231</v>
      </c>
      <c r="CG31" s="237" t="s">
        <v>231</v>
      </c>
      <c r="CH31" s="237" t="s">
        <v>231</v>
      </c>
      <c r="CI31" s="237" t="s">
        <v>231</v>
      </c>
      <c r="CJ31" s="237" t="s">
        <v>231</v>
      </c>
      <c r="CK31" s="237" t="s">
        <v>231</v>
      </c>
      <c r="CL31" s="237" t="s">
        <v>231</v>
      </c>
      <c r="CM31" s="237" t="s">
        <v>231</v>
      </c>
      <c r="CN31" s="237" t="s">
        <v>231</v>
      </c>
      <c r="CO31" s="237" t="s">
        <v>231</v>
      </c>
      <c r="CP31" s="237" t="s">
        <v>231</v>
      </c>
      <c r="CQ31" s="237" t="s">
        <v>231</v>
      </c>
      <c r="CR31" s="237" t="s">
        <v>231</v>
      </c>
      <c r="CS31" s="237" t="s">
        <v>231</v>
      </c>
      <c r="CT31" s="237" t="s">
        <v>492</v>
      </c>
      <c r="CU31" s="237" t="s">
        <v>492</v>
      </c>
      <c r="CV31" s="237" t="s">
        <v>492</v>
      </c>
      <c r="CW31" s="237" t="s">
        <v>231</v>
      </c>
      <c r="CX31" s="237" t="s">
        <v>231</v>
      </c>
      <c r="CY31" s="237" t="s">
        <v>231</v>
      </c>
      <c r="CZ31" s="237" t="s">
        <v>231</v>
      </c>
      <c r="DA31" s="237" t="s">
        <v>231</v>
      </c>
      <c r="DB31" s="237" t="s">
        <v>231</v>
      </c>
      <c r="DC31" s="237" t="s">
        <v>231</v>
      </c>
      <c r="DD31" s="237" t="s">
        <v>231</v>
      </c>
      <c r="DE31" s="237" t="s">
        <v>231</v>
      </c>
      <c r="DF31" s="237" t="s">
        <v>231</v>
      </c>
      <c r="DG31" s="237" t="s">
        <v>231</v>
      </c>
      <c r="DH31" s="237" t="s">
        <v>231</v>
      </c>
      <c r="DI31" s="237" t="s">
        <v>231</v>
      </c>
      <c r="DJ31" s="237" t="s">
        <v>231</v>
      </c>
      <c r="DK31" s="237" t="s">
        <v>231</v>
      </c>
      <c r="DL31" s="237" t="s">
        <v>231</v>
      </c>
      <c r="DM31" s="237" t="s">
        <v>231</v>
      </c>
      <c r="DN31" s="237" t="s">
        <v>231</v>
      </c>
      <c r="DO31" s="237" t="s">
        <v>231</v>
      </c>
      <c r="DP31" s="237" t="s">
        <v>231</v>
      </c>
      <c r="DQ31" s="237" t="s">
        <v>231</v>
      </c>
      <c r="DR31" s="237" t="s">
        <v>231</v>
      </c>
      <c r="DS31" s="237" t="s">
        <v>231</v>
      </c>
      <c r="DT31" s="237" t="s">
        <v>492</v>
      </c>
      <c r="DU31" s="237" t="s">
        <v>231</v>
      </c>
      <c r="DV31" s="237" t="s">
        <v>492</v>
      </c>
      <c r="DW31" s="237" t="s">
        <v>492</v>
      </c>
      <c r="DX31" s="237" t="s">
        <v>492</v>
      </c>
      <c r="DY31" s="237" t="s">
        <v>492</v>
      </c>
      <c r="DZ31" s="237" t="s">
        <v>492</v>
      </c>
      <c r="EA31" s="237" t="s">
        <v>492</v>
      </c>
      <c r="EB31" s="237" t="s">
        <v>492</v>
      </c>
      <c r="EC31" s="237" t="s">
        <v>492</v>
      </c>
      <c r="ED31" s="237" t="s">
        <v>492</v>
      </c>
      <c r="EE31" s="237" t="s">
        <v>492</v>
      </c>
      <c r="EF31" s="237" t="s">
        <v>492</v>
      </c>
      <c r="EG31" s="237" t="s">
        <v>492</v>
      </c>
      <c r="EH31" s="237" t="s">
        <v>492</v>
      </c>
      <c r="EI31" s="237" t="s">
        <v>492</v>
      </c>
      <c r="EJ31" s="237" t="s">
        <v>231</v>
      </c>
      <c r="EK31" s="237" t="s">
        <v>231</v>
      </c>
      <c r="EL31" s="237" t="s">
        <v>231</v>
      </c>
      <c r="EM31" s="237" t="s">
        <v>231</v>
      </c>
      <c r="EN31" s="237" t="s">
        <v>231</v>
      </c>
      <c r="EO31" s="237" t="s">
        <v>231</v>
      </c>
      <c r="EP31" s="237" t="s">
        <v>231</v>
      </c>
      <c r="EQ31" s="237" t="s">
        <v>231</v>
      </c>
      <c r="ER31" s="237" t="s">
        <v>231</v>
      </c>
      <c r="ES31" s="237" t="s">
        <v>231</v>
      </c>
      <c r="ET31" s="237" t="s">
        <v>231</v>
      </c>
      <c r="EU31" s="237" t="s">
        <v>231</v>
      </c>
      <c r="EV31" s="237" t="s">
        <v>231</v>
      </c>
      <c r="EW31" s="237" t="s">
        <v>231</v>
      </c>
      <c r="EX31" s="237" t="s">
        <v>231</v>
      </c>
      <c r="EY31" s="237" t="s">
        <v>231</v>
      </c>
      <c r="EZ31" s="237" t="s">
        <v>231</v>
      </c>
      <c r="FA31" s="237" t="s">
        <v>231</v>
      </c>
      <c r="FB31" s="237" t="s">
        <v>231</v>
      </c>
      <c r="FC31" s="237" t="s">
        <v>231</v>
      </c>
      <c r="FD31" s="237" t="s">
        <v>231</v>
      </c>
      <c r="FE31" s="237" t="s">
        <v>231</v>
      </c>
      <c r="FF31" s="237" t="s">
        <v>492</v>
      </c>
      <c r="FG31" s="237" t="s">
        <v>492</v>
      </c>
      <c r="FH31" s="237" t="s">
        <v>492</v>
      </c>
      <c r="FI31" s="237" t="s">
        <v>492</v>
      </c>
      <c r="FJ31" s="237" t="s">
        <v>492</v>
      </c>
      <c r="FK31" s="237" t="s">
        <v>492</v>
      </c>
      <c r="FL31" s="237" t="s">
        <v>492</v>
      </c>
      <c r="FM31" s="237" t="s">
        <v>231</v>
      </c>
      <c r="FN31" s="237" t="s">
        <v>492</v>
      </c>
      <c r="FO31" s="237" t="s">
        <v>493</v>
      </c>
      <c r="FP31" s="237" t="s">
        <v>492</v>
      </c>
      <c r="FQ31" s="237" t="s">
        <v>231</v>
      </c>
      <c r="FR31" s="237" t="s">
        <v>231</v>
      </c>
      <c r="FS31" s="237" t="s">
        <v>231</v>
      </c>
      <c r="FT31" s="237" t="s">
        <v>231</v>
      </c>
      <c r="FU31" s="237" t="s">
        <v>231</v>
      </c>
      <c r="FV31" s="237" t="s">
        <v>231</v>
      </c>
      <c r="FW31" s="237" t="s">
        <v>231</v>
      </c>
      <c r="FX31" s="237" t="s">
        <v>492</v>
      </c>
      <c r="FY31" s="237" t="s">
        <v>231</v>
      </c>
      <c r="FZ31" s="237" t="s">
        <v>231</v>
      </c>
      <c r="GA31" s="237" t="s">
        <v>231</v>
      </c>
      <c r="GB31" s="237" t="s">
        <v>231</v>
      </c>
      <c r="GC31" s="237" t="s">
        <v>231</v>
      </c>
      <c r="GD31" s="237" t="s">
        <v>231</v>
      </c>
      <c r="GE31" s="237" t="s">
        <v>231</v>
      </c>
      <c r="GF31" s="237" t="s">
        <v>231</v>
      </c>
      <c r="GG31" s="237" t="s">
        <v>231</v>
      </c>
      <c r="GH31" s="237" t="s">
        <v>231</v>
      </c>
      <c r="GI31" s="237" t="s">
        <v>231</v>
      </c>
      <c r="GJ31" s="237" t="s">
        <v>231</v>
      </c>
      <c r="GK31" s="237" t="s">
        <v>231</v>
      </c>
      <c r="GL31" s="237" t="s">
        <v>231</v>
      </c>
      <c r="GM31" s="237" t="s">
        <v>231</v>
      </c>
      <c r="GN31" s="237" t="s">
        <v>231</v>
      </c>
      <c r="GO31" s="237" t="s">
        <v>231</v>
      </c>
      <c r="GP31" s="237" t="s">
        <v>492</v>
      </c>
      <c r="GQ31" s="237" t="s">
        <v>231</v>
      </c>
      <c r="GR31" s="237" t="s">
        <v>231</v>
      </c>
      <c r="GS31" s="237" t="s">
        <v>231</v>
      </c>
      <c r="GT31" s="237" t="s">
        <v>231</v>
      </c>
      <c r="GU31" s="237" t="s">
        <v>492</v>
      </c>
      <c r="GV31" s="237" t="s">
        <v>492</v>
      </c>
      <c r="GW31" s="237" t="s">
        <v>231</v>
      </c>
      <c r="GX31" s="237" t="s">
        <v>231</v>
      </c>
      <c r="GY31" s="237" t="s">
        <v>231</v>
      </c>
      <c r="GZ31" s="237" t="s">
        <v>231</v>
      </c>
      <c r="HA31" s="237" t="s">
        <v>231</v>
      </c>
      <c r="HB31" s="237" t="s">
        <v>231</v>
      </c>
      <c r="HC31" s="237" t="s">
        <v>231</v>
      </c>
      <c r="HD31" s="237" t="s">
        <v>231</v>
      </c>
      <c r="HE31" s="237" t="s">
        <v>231</v>
      </c>
      <c r="HF31" s="237" t="s">
        <v>492</v>
      </c>
      <c r="HG31" s="237" t="s">
        <v>492</v>
      </c>
      <c r="HH31" s="237" t="s">
        <v>231</v>
      </c>
      <c r="HI31" s="237" t="s">
        <v>231</v>
      </c>
      <c r="HJ31" s="237" t="s">
        <v>231</v>
      </c>
      <c r="HK31" s="237" t="s">
        <v>231</v>
      </c>
      <c r="HL31" s="237" t="s">
        <v>231</v>
      </c>
      <c r="HM31" s="237" t="s">
        <v>231</v>
      </c>
      <c r="HN31" s="237" t="s">
        <v>231</v>
      </c>
      <c r="HO31" s="237" t="s">
        <v>231</v>
      </c>
      <c r="HP31" s="237" t="s">
        <v>492</v>
      </c>
      <c r="HQ31" s="237" t="s">
        <v>492</v>
      </c>
      <c r="HR31" s="237" t="s">
        <v>492</v>
      </c>
      <c r="HS31" s="237" t="s">
        <v>492</v>
      </c>
      <c r="HT31" s="237" t="s">
        <v>492</v>
      </c>
      <c r="HU31" s="237" t="s">
        <v>231</v>
      </c>
      <c r="HV31" s="237" t="s">
        <v>231</v>
      </c>
      <c r="HW31" s="237" t="s">
        <v>231</v>
      </c>
      <c r="HX31" s="237" t="s">
        <v>231</v>
      </c>
      <c r="HY31" s="237" t="s">
        <v>231</v>
      </c>
      <c r="HZ31" s="237" t="s">
        <v>231</v>
      </c>
      <c r="IA31" s="237" t="s">
        <v>231</v>
      </c>
      <c r="IB31" s="237" t="s">
        <v>231</v>
      </c>
      <c r="IC31" s="237" t="s">
        <v>231</v>
      </c>
      <c r="ID31" s="237" t="s">
        <v>231</v>
      </c>
      <c r="IE31" s="237" t="s">
        <v>231</v>
      </c>
      <c r="IF31" s="237" t="s">
        <v>231</v>
      </c>
      <c r="IG31" s="237" t="s">
        <v>231</v>
      </c>
      <c r="IH31" s="237" t="s">
        <v>231</v>
      </c>
      <c r="II31" s="237" t="s">
        <v>231</v>
      </c>
      <c r="IJ31" s="237" t="s">
        <v>231</v>
      </c>
      <c r="IK31" s="237" t="s">
        <v>231</v>
      </c>
      <c r="IL31" s="237" t="s">
        <v>231</v>
      </c>
      <c r="IM31" s="237" t="s">
        <v>231</v>
      </c>
      <c r="IN31" s="237" t="s">
        <v>231</v>
      </c>
      <c r="IO31" s="237" t="s">
        <v>220</v>
      </c>
      <c r="IP31" s="237" t="s">
        <v>493</v>
      </c>
      <c r="IQ31" s="237" t="s">
        <v>219</v>
      </c>
      <c r="IR31" s="237" t="s">
        <v>490</v>
      </c>
      <c r="IS31" s="237" t="s">
        <v>492</v>
      </c>
      <c r="IT31" s="237" t="s">
        <v>492</v>
      </c>
    </row>
    <row r="32" spans="1:254" ht="15" x14ac:dyDescent="0.25">
      <c r="A32" s="259" t="str">
        <f>HYPERLINK("http://www.ofsted.gov.uk/inspection-reports/find-inspection-report/provider/ELS/116540 ","Ofsted School Webpage")</f>
        <v>Ofsted School Webpage</v>
      </c>
      <c r="B32" s="240">
        <v>116540</v>
      </c>
      <c r="C32" s="240">
        <v>8506014</v>
      </c>
      <c r="D32" s="240" t="s">
        <v>580</v>
      </c>
      <c r="E32" s="240" t="s">
        <v>247</v>
      </c>
      <c r="F32" s="240" t="s">
        <v>482</v>
      </c>
      <c r="G32" s="240" t="s">
        <v>581</v>
      </c>
      <c r="H32" s="240" t="s">
        <v>581</v>
      </c>
      <c r="I32" s="240" t="s">
        <v>582</v>
      </c>
      <c r="J32" s="240" t="s">
        <v>583</v>
      </c>
      <c r="K32" s="240" t="s">
        <v>93</v>
      </c>
      <c r="L32" s="240" t="s">
        <v>93</v>
      </c>
      <c r="M32" s="240" t="s">
        <v>93</v>
      </c>
      <c r="N32" s="240" t="s">
        <v>90</v>
      </c>
      <c r="O32" s="240" t="s">
        <v>486</v>
      </c>
      <c r="P32" s="240" t="s">
        <v>487</v>
      </c>
      <c r="Q32" s="241">
        <v>10054075</v>
      </c>
      <c r="R32" s="242">
        <v>43375</v>
      </c>
      <c r="S32" s="242">
        <v>43377</v>
      </c>
      <c r="T32" s="242">
        <v>43420</v>
      </c>
      <c r="U32" s="240" t="s">
        <v>488</v>
      </c>
      <c r="V32" s="240" t="s">
        <v>489</v>
      </c>
      <c r="W32" s="240">
        <v>4</v>
      </c>
      <c r="X32" s="240">
        <v>4</v>
      </c>
      <c r="Y32" s="240">
        <v>2</v>
      </c>
      <c r="Z32" s="240">
        <v>3</v>
      </c>
      <c r="AA32" s="240">
        <v>3</v>
      </c>
      <c r="AB32" s="240">
        <v>2</v>
      </c>
      <c r="AC32" s="240" t="s">
        <v>486</v>
      </c>
      <c r="AD32" s="240" t="s">
        <v>219</v>
      </c>
      <c r="AE32" s="240" t="s">
        <v>512</v>
      </c>
      <c r="AF32" s="240" t="s">
        <v>486</v>
      </c>
      <c r="AG32" s="240" t="s">
        <v>486</v>
      </c>
      <c r="AH32" s="240" t="s">
        <v>490</v>
      </c>
      <c r="AI32" s="240" t="s">
        <v>486</v>
      </c>
      <c r="AJ32" s="240" t="s">
        <v>486</v>
      </c>
      <c r="AK32" s="240" t="s">
        <v>486</v>
      </c>
      <c r="AL32" s="240" t="s">
        <v>486</v>
      </c>
      <c r="AM32" s="240" t="s">
        <v>545</v>
      </c>
      <c r="AN32" s="240" t="s">
        <v>546</v>
      </c>
      <c r="AO32" s="240" t="s">
        <v>231</v>
      </c>
      <c r="AP32" s="240" t="s">
        <v>231</v>
      </c>
      <c r="AQ32" s="240" t="s">
        <v>231</v>
      </c>
      <c r="AR32" s="240" t="s">
        <v>231</v>
      </c>
      <c r="AS32" s="240" t="s">
        <v>231</v>
      </c>
      <c r="AT32" s="240" t="s">
        <v>231</v>
      </c>
      <c r="AU32" s="240" t="s">
        <v>546</v>
      </c>
      <c r="AV32" s="240" t="s">
        <v>232</v>
      </c>
      <c r="AW32" s="240" t="s">
        <v>232</v>
      </c>
      <c r="AX32" s="240" t="s">
        <v>231</v>
      </c>
      <c r="AY32" s="240" t="s">
        <v>231</v>
      </c>
      <c r="AZ32" s="240" t="s">
        <v>231</v>
      </c>
      <c r="BA32" s="240" t="s">
        <v>231</v>
      </c>
      <c r="BB32" s="240" t="s">
        <v>231</v>
      </c>
      <c r="BC32" s="240" t="s">
        <v>231</v>
      </c>
      <c r="BD32" s="240" t="s">
        <v>492</v>
      </c>
      <c r="BE32" s="240" t="s">
        <v>231</v>
      </c>
      <c r="BF32" s="240" t="s">
        <v>231</v>
      </c>
      <c r="BG32" s="240" t="s">
        <v>231</v>
      </c>
      <c r="BH32" s="240" t="s">
        <v>492</v>
      </c>
      <c r="BI32" s="240" t="s">
        <v>492</v>
      </c>
      <c r="BJ32" s="240" t="s">
        <v>492</v>
      </c>
      <c r="BK32" s="240" t="s">
        <v>492</v>
      </c>
      <c r="BL32" s="240" t="s">
        <v>231</v>
      </c>
      <c r="BM32" s="240" t="s">
        <v>492</v>
      </c>
      <c r="BN32" s="240" t="s">
        <v>231</v>
      </c>
      <c r="BO32" s="240" t="s">
        <v>231</v>
      </c>
      <c r="BP32" s="240" t="s">
        <v>232</v>
      </c>
      <c r="BQ32" s="240" t="s">
        <v>232</v>
      </c>
      <c r="BR32" s="240" t="s">
        <v>231</v>
      </c>
      <c r="BS32" s="240" t="s">
        <v>231</v>
      </c>
      <c r="BT32" s="240" t="s">
        <v>231</v>
      </c>
      <c r="BU32" s="240" t="s">
        <v>231</v>
      </c>
      <c r="BV32" s="240" t="s">
        <v>231</v>
      </c>
      <c r="BW32" s="240" t="s">
        <v>231</v>
      </c>
      <c r="BX32" s="240" t="s">
        <v>231</v>
      </c>
      <c r="BY32" s="240" t="s">
        <v>231</v>
      </c>
      <c r="BZ32" s="240" t="s">
        <v>231</v>
      </c>
      <c r="CA32" s="240" t="s">
        <v>231</v>
      </c>
      <c r="CB32" s="240" t="s">
        <v>231</v>
      </c>
      <c r="CC32" s="240" t="s">
        <v>231</v>
      </c>
      <c r="CD32" s="240" t="s">
        <v>231</v>
      </c>
      <c r="CE32" s="240" t="s">
        <v>231</v>
      </c>
      <c r="CF32" s="240" t="s">
        <v>231</v>
      </c>
      <c r="CG32" s="240" t="s">
        <v>231</v>
      </c>
      <c r="CH32" s="240" t="s">
        <v>231</v>
      </c>
      <c r="CI32" s="240" t="s">
        <v>231</v>
      </c>
      <c r="CJ32" s="240" t="s">
        <v>231</v>
      </c>
      <c r="CK32" s="240" t="s">
        <v>231</v>
      </c>
      <c r="CL32" s="240" t="s">
        <v>231</v>
      </c>
      <c r="CM32" s="240" t="s">
        <v>231</v>
      </c>
      <c r="CN32" s="240" t="s">
        <v>231</v>
      </c>
      <c r="CO32" s="240" t="s">
        <v>231</v>
      </c>
      <c r="CP32" s="240" t="s">
        <v>231</v>
      </c>
      <c r="CQ32" s="240" t="s">
        <v>231</v>
      </c>
      <c r="CR32" s="240" t="s">
        <v>231</v>
      </c>
      <c r="CS32" s="240" t="s">
        <v>231</v>
      </c>
      <c r="CT32" s="240" t="s">
        <v>492</v>
      </c>
      <c r="CU32" s="240" t="s">
        <v>492</v>
      </c>
      <c r="CV32" s="240" t="s">
        <v>492</v>
      </c>
      <c r="CW32" s="240" t="s">
        <v>231</v>
      </c>
      <c r="CX32" s="240" t="s">
        <v>231</v>
      </c>
      <c r="CY32" s="240" t="s">
        <v>231</v>
      </c>
      <c r="CZ32" s="240" t="s">
        <v>231</v>
      </c>
      <c r="DA32" s="240" t="s">
        <v>231</v>
      </c>
      <c r="DB32" s="240" t="s">
        <v>231</v>
      </c>
      <c r="DC32" s="240" t="s">
        <v>231</v>
      </c>
      <c r="DD32" s="240" t="s">
        <v>231</v>
      </c>
      <c r="DE32" s="240" t="s">
        <v>231</v>
      </c>
      <c r="DF32" s="240" t="s">
        <v>231</v>
      </c>
      <c r="DG32" s="240" t="s">
        <v>231</v>
      </c>
      <c r="DH32" s="240" t="s">
        <v>231</v>
      </c>
      <c r="DI32" s="240" t="s">
        <v>231</v>
      </c>
      <c r="DJ32" s="240" t="s">
        <v>231</v>
      </c>
      <c r="DK32" s="240" t="s">
        <v>231</v>
      </c>
      <c r="DL32" s="240" t="s">
        <v>231</v>
      </c>
      <c r="DM32" s="240" t="s">
        <v>231</v>
      </c>
      <c r="DN32" s="240" t="s">
        <v>231</v>
      </c>
      <c r="DO32" s="240" t="s">
        <v>231</v>
      </c>
      <c r="DP32" s="240" t="s">
        <v>231</v>
      </c>
      <c r="DQ32" s="240" t="s">
        <v>231</v>
      </c>
      <c r="DR32" s="240" t="s">
        <v>231</v>
      </c>
      <c r="DS32" s="240" t="s">
        <v>492</v>
      </c>
      <c r="DT32" s="240" t="s">
        <v>492</v>
      </c>
      <c r="DU32" s="240" t="s">
        <v>231</v>
      </c>
      <c r="DV32" s="240" t="s">
        <v>492</v>
      </c>
      <c r="DW32" s="240" t="s">
        <v>492</v>
      </c>
      <c r="DX32" s="240" t="s">
        <v>492</v>
      </c>
      <c r="DY32" s="240" t="s">
        <v>492</v>
      </c>
      <c r="DZ32" s="240" t="s">
        <v>492</v>
      </c>
      <c r="EA32" s="240" t="s">
        <v>492</v>
      </c>
      <c r="EB32" s="240" t="s">
        <v>492</v>
      </c>
      <c r="EC32" s="240" t="s">
        <v>492</v>
      </c>
      <c r="ED32" s="240" t="s">
        <v>492</v>
      </c>
      <c r="EE32" s="240" t="s">
        <v>492</v>
      </c>
      <c r="EF32" s="240" t="s">
        <v>492</v>
      </c>
      <c r="EG32" s="240" t="s">
        <v>492</v>
      </c>
      <c r="EH32" s="240" t="s">
        <v>492</v>
      </c>
      <c r="EI32" s="240" t="s">
        <v>492</v>
      </c>
      <c r="EJ32" s="240" t="s">
        <v>231</v>
      </c>
      <c r="EK32" s="240" t="s">
        <v>231</v>
      </c>
      <c r="EL32" s="240" t="s">
        <v>231</v>
      </c>
      <c r="EM32" s="240" t="s">
        <v>231</v>
      </c>
      <c r="EN32" s="240" t="s">
        <v>231</v>
      </c>
      <c r="EO32" s="240" t="s">
        <v>231</v>
      </c>
      <c r="EP32" s="240" t="s">
        <v>231</v>
      </c>
      <c r="EQ32" s="240" t="s">
        <v>231</v>
      </c>
      <c r="ER32" s="240" t="s">
        <v>231</v>
      </c>
      <c r="ES32" s="240" t="s">
        <v>231</v>
      </c>
      <c r="ET32" s="240" t="s">
        <v>231</v>
      </c>
      <c r="EU32" s="240" t="s">
        <v>231</v>
      </c>
      <c r="EV32" s="240" t="s">
        <v>231</v>
      </c>
      <c r="EW32" s="240" t="s">
        <v>231</v>
      </c>
      <c r="EX32" s="240" t="s">
        <v>231</v>
      </c>
      <c r="EY32" s="240" t="s">
        <v>231</v>
      </c>
      <c r="EZ32" s="240" t="s">
        <v>231</v>
      </c>
      <c r="FA32" s="240" t="s">
        <v>231</v>
      </c>
      <c r="FB32" s="240" t="s">
        <v>231</v>
      </c>
      <c r="FC32" s="240" t="s">
        <v>231</v>
      </c>
      <c r="FD32" s="240" t="s">
        <v>231</v>
      </c>
      <c r="FE32" s="240" t="s">
        <v>231</v>
      </c>
      <c r="FF32" s="240" t="s">
        <v>231</v>
      </c>
      <c r="FG32" s="240" t="s">
        <v>492</v>
      </c>
      <c r="FH32" s="240" t="s">
        <v>492</v>
      </c>
      <c r="FI32" s="240" t="s">
        <v>492</v>
      </c>
      <c r="FJ32" s="240" t="s">
        <v>492</v>
      </c>
      <c r="FK32" s="240" t="s">
        <v>492</v>
      </c>
      <c r="FL32" s="240" t="s">
        <v>492</v>
      </c>
      <c r="FM32" s="240" t="s">
        <v>231</v>
      </c>
      <c r="FN32" s="240" t="s">
        <v>231</v>
      </c>
      <c r="FO32" s="240" t="s">
        <v>231</v>
      </c>
      <c r="FP32" s="240" t="s">
        <v>231</v>
      </c>
      <c r="FQ32" s="240" t="s">
        <v>231</v>
      </c>
      <c r="FR32" s="240" t="s">
        <v>231</v>
      </c>
      <c r="FS32" s="240" t="s">
        <v>231</v>
      </c>
      <c r="FT32" s="240" t="s">
        <v>492</v>
      </c>
      <c r="FU32" s="240" t="s">
        <v>231</v>
      </c>
      <c r="FV32" s="240" t="s">
        <v>231</v>
      </c>
      <c r="FW32" s="240" t="s">
        <v>231</v>
      </c>
      <c r="FX32" s="240" t="s">
        <v>492</v>
      </c>
      <c r="FY32" s="240" t="s">
        <v>231</v>
      </c>
      <c r="FZ32" s="240" t="s">
        <v>231</v>
      </c>
      <c r="GA32" s="240" t="s">
        <v>231</v>
      </c>
      <c r="GB32" s="240" t="s">
        <v>231</v>
      </c>
      <c r="GC32" s="240" t="s">
        <v>231</v>
      </c>
      <c r="GD32" s="240" t="s">
        <v>231</v>
      </c>
      <c r="GE32" s="240" t="s">
        <v>231</v>
      </c>
      <c r="GF32" s="240" t="s">
        <v>231</v>
      </c>
      <c r="GG32" s="240" t="s">
        <v>231</v>
      </c>
      <c r="GH32" s="240" t="s">
        <v>231</v>
      </c>
      <c r="GI32" s="240" t="s">
        <v>231</v>
      </c>
      <c r="GJ32" s="240" t="s">
        <v>231</v>
      </c>
      <c r="GK32" s="240" t="s">
        <v>231</v>
      </c>
      <c r="GL32" s="240" t="s">
        <v>231</v>
      </c>
      <c r="GM32" s="240" t="s">
        <v>231</v>
      </c>
      <c r="GN32" s="240" t="s">
        <v>231</v>
      </c>
      <c r="GO32" s="240" t="s">
        <v>231</v>
      </c>
      <c r="GP32" s="240" t="s">
        <v>492</v>
      </c>
      <c r="GQ32" s="240" t="s">
        <v>231</v>
      </c>
      <c r="GR32" s="240" t="s">
        <v>231</v>
      </c>
      <c r="GS32" s="240" t="s">
        <v>231</v>
      </c>
      <c r="GT32" s="240" t="s">
        <v>231</v>
      </c>
      <c r="GU32" s="240" t="s">
        <v>231</v>
      </c>
      <c r="GV32" s="240" t="s">
        <v>492</v>
      </c>
      <c r="GW32" s="240" t="s">
        <v>231</v>
      </c>
      <c r="GX32" s="240" t="s">
        <v>231</v>
      </c>
      <c r="GY32" s="240" t="s">
        <v>492</v>
      </c>
      <c r="GZ32" s="240" t="s">
        <v>492</v>
      </c>
      <c r="HA32" s="240" t="s">
        <v>231</v>
      </c>
      <c r="HB32" s="240" t="s">
        <v>231</v>
      </c>
      <c r="HC32" s="240" t="s">
        <v>231</v>
      </c>
      <c r="HD32" s="240" t="s">
        <v>231</v>
      </c>
      <c r="HE32" s="240" t="s">
        <v>231</v>
      </c>
      <c r="HF32" s="240" t="s">
        <v>231</v>
      </c>
      <c r="HG32" s="240" t="s">
        <v>231</v>
      </c>
      <c r="HH32" s="240" t="s">
        <v>231</v>
      </c>
      <c r="HI32" s="240" t="s">
        <v>231</v>
      </c>
      <c r="HJ32" s="240" t="s">
        <v>231</v>
      </c>
      <c r="HK32" s="240" t="s">
        <v>231</v>
      </c>
      <c r="HL32" s="240" t="s">
        <v>231</v>
      </c>
      <c r="HM32" s="240" t="s">
        <v>231</v>
      </c>
      <c r="HN32" s="240" t="s">
        <v>231</v>
      </c>
      <c r="HO32" s="240" t="s">
        <v>231</v>
      </c>
      <c r="HP32" s="240" t="s">
        <v>231</v>
      </c>
      <c r="HQ32" s="240" t="s">
        <v>492</v>
      </c>
      <c r="HR32" s="240" t="s">
        <v>492</v>
      </c>
      <c r="HS32" s="240" t="s">
        <v>492</v>
      </c>
      <c r="HT32" s="240" t="s">
        <v>492</v>
      </c>
      <c r="HU32" s="240" t="s">
        <v>231</v>
      </c>
      <c r="HV32" s="240" t="s">
        <v>231</v>
      </c>
      <c r="HW32" s="240" t="s">
        <v>231</v>
      </c>
      <c r="HX32" s="240" t="s">
        <v>231</v>
      </c>
      <c r="HY32" s="240" t="s">
        <v>231</v>
      </c>
      <c r="HZ32" s="240" t="s">
        <v>231</v>
      </c>
      <c r="IA32" s="240" t="s">
        <v>231</v>
      </c>
      <c r="IB32" s="240" t="s">
        <v>231</v>
      </c>
      <c r="IC32" s="240" t="s">
        <v>231</v>
      </c>
      <c r="ID32" s="240" t="s">
        <v>231</v>
      </c>
      <c r="IE32" s="240" t="s">
        <v>231</v>
      </c>
      <c r="IF32" s="240" t="s">
        <v>231</v>
      </c>
      <c r="IG32" s="240" t="s">
        <v>231</v>
      </c>
      <c r="IH32" s="240" t="s">
        <v>231</v>
      </c>
      <c r="II32" s="240" t="s">
        <v>231</v>
      </c>
      <c r="IJ32" s="240" t="s">
        <v>231</v>
      </c>
      <c r="IK32" s="240" t="s">
        <v>232</v>
      </c>
      <c r="IL32" s="240" t="s">
        <v>232</v>
      </c>
      <c r="IM32" s="240" t="s">
        <v>232</v>
      </c>
      <c r="IN32" s="240" t="s">
        <v>231</v>
      </c>
      <c r="IO32" s="240" t="s">
        <v>220</v>
      </c>
      <c r="IP32" s="240" t="s">
        <v>493</v>
      </c>
      <c r="IQ32" s="240" t="s">
        <v>219</v>
      </c>
      <c r="IR32" s="240" t="s">
        <v>490</v>
      </c>
      <c r="IS32" s="240" t="s">
        <v>231</v>
      </c>
      <c r="IT32" s="240" t="s">
        <v>231</v>
      </c>
    </row>
    <row r="33" spans="1:254" ht="15" x14ac:dyDescent="0.25">
      <c r="A33" s="258" t="str">
        <f>HYPERLINK("http://www.ofsted.gov.uk/inspection-reports/find-inspection-report/provider/ELS/107168 ","Ofsted School Webpage")</f>
        <v>Ofsted School Webpage</v>
      </c>
      <c r="B33" s="237">
        <v>107168</v>
      </c>
      <c r="C33" s="237">
        <v>3736027</v>
      </c>
      <c r="D33" s="237" t="s">
        <v>584</v>
      </c>
      <c r="E33" s="237" t="s">
        <v>247</v>
      </c>
      <c r="F33" s="237" t="s">
        <v>482</v>
      </c>
      <c r="G33" s="237" t="s">
        <v>523</v>
      </c>
      <c r="H33" s="237" t="s">
        <v>524</v>
      </c>
      <c r="I33" s="237" t="s">
        <v>553</v>
      </c>
      <c r="J33" s="237" t="s">
        <v>585</v>
      </c>
      <c r="K33" s="237" t="s">
        <v>71</v>
      </c>
      <c r="L33" s="237" t="s">
        <v>71</v>
      </c>
      <c r="M33" s="237" t="s">
        <v>71</v>
      </c>
      <c r="N33" s="237" t="s">
        <v>71</v>
      </c>
      <c r="O33" s="237" t="s">
        <v>486</v>
      </c>
      <c r="P33" s="237" t="s">
        <v>487</v>
      </c>
      <c r="Q33" s="238">
        <v>10053825</v>
      </c>
      <c r="R33" s="239">
        <v>43375</v>
      </c>
      <c r="S33" s="239">
        <v>43377</v>
      </c>
      <c r="T33" s="239">
        <v>43415</v>
      </c>
      <c r="U33" s="237" t="s">
        <v>488</v>
      </c>
      <c r="V33" s="237" t="s">
        <v>489</v>
      </c>
      <c r="W33" s="237">
        <v>2</v>
      </c>
      <c r="X33" s="237">
        <v>2</v>
      </c>
      <c r="Y33" s="237">
        <v>2</v>
      </c>
      <c r="Z33" s="237">
        <v>2</v>
      </c>
      <c r="AA33" s="237">
        <v>2</v>
      </c>
      <c r="AB33" s="237">
        <v>2</v>
      </c>
      <c r="AC33" s="237" t="s">
        <v>486</v>
      </c>
      <c r="AD33" s="237" t="s">
        <v>219</v>
      </c>
      <c r="AE33" s="237" t="s">
        <v>490</v>
      </c>
      <c r="AF33" s="237" t="s">
        <v>486</v>
      </c>
      <c r="AG33" s="237" t="s">
        <v>486</v>
      </c>
      <c r="AH33" s="237" t="s">
        <v>486</v>
      </c>
      <c r="AI33" s="237" t="s">
        <v>486</v>
      </c>
      <c r="AJ33" s="237" t="s">
        <v>486</v>
      </c>
      <c r="AK33" s="237" t="s">
        <v>486</v>
      </c>
      <c r="AL33" s="237" t="s">
        <v>486</v>
      </c>
      <c r="AM33" s="237" t="s">
        <v>491</v>
      </c>
      <c r="AN33" s="237" t="s">
        <v>231</v>
      </c>
      <c r="AO33" s="237" t="s">
        <v>231</v>
      </c>
      <c r="AP33" s="237" t="s">
        <v>231</v>
      </c>
      <c r="AQ33" s="237" t="s">
        <v>231</v>
      </c>
      <c r="AR33" s="237" t="s">
        <v>231</v>
      </c>
      <c r="AS33" s="237" t="s">
        <v>231</v>
      </c>
      <c r="AT33" s="237" t="s">
        <v>231</v>
      </c>
      <c r="AU33" s="237" t="s">
        <v>231</v>
      </c>
      <c r="AV33" s="237" t="s">
        <v>231</v>
      </c>
      <c r="AW33" s="237" t="s">
        <v>231</v>
      </c>
      <c r="AX33" s="237" t="s">
        <v>231</v>
      </c>
      <c r="AY33" s="237" t="s">
        <v>231</v>
      </c>
      <c r="AZ33" s="237" t="s">
        <v>231</v>
      </c>
      <c r="BA33" s="237" t="s">
        <v>231</v>
      </c>
      <c r="BB33" s="237" t="s">
        <v>231</v>
      </c>
      <c r="BC33" s="237" t="s">
        <v>231</v>
      </c>
      <c r="BD33" s="237" t="s">
        <v>492</v>
      </c>
      <c r="BE33" s="237" t="s">
        <v>231</v>
      </c>
      <c r="BF33" s="237" t="s">
        <v>231</v>
      </c>
      <c r="BG33" s="237" t="s">
        <v>231</v>
      </c>
      <c r="BH33" s="237" t="s">
        <v>231</v>
      </c>
      <c r="BI33" s="237" t="s">
        <v>231</v>
      </c>
      <c r="BJ33" s="237" t="s">
        <v>231</v>
      </c>
      <c r="BK33" s="237" t="s">
        <v>231</v>
      </c>
      <c r="BL33" s="237" t="s">
        <v>231</v>
      </c>
      <c r="BM33" s="237" t="s">
        <v>231</v>
      </c>
      <c r="BN33" s="237" t="s">
        <v>231</v>
      </c>
      <c r="BO33" s="237" t="s">
        <v>231</v>
      </c>
      <c r="BP33" s="237" t="s">
        <v>231</v>
      </c>
      <c r="BQ33" s="237" t="s">
        <v>231</v>
      </c>
      <c r="BR33" s="237" t="s">
        <v>231</v>
      </c>
      <c r="BS33" s="237" t="s">
        <v>231</v>
      </c>
      <c r="BT33" s="237" t="s">
        <v>231</v>
      </c>
      <c r="BU33" s="237" t="s">
        <v>231</v>
      </c>
      <c r="BV33" s="237" t="s">
        <v>231</v>
      </c>
      <c r="BW33" s="237" t="s">
        <v>231</v>
      </c>
      <c r="BX33" s="237" t="s">
        <v>231</v>
      </c>
      <c r="BY33" s="237" t="s">
        <v>231</v>
      </c>
      <c r="BZ33" s="237" t="s">
        <v>231</v>
      </c>
      <c r="CA33" s="237" t="s">
        <v>231</v>
      </c>
      <c r="CB33" s="237" t="s">
        <v>231</v>
      </c>
      <c r="CC33" s="237" t="s">
        <v>231</v>
      </c>
      <c r="CD33" s="237" t="s">
        <v>231</v>
      </c>
      <c r="CE33" s="237" t="s">
        <v>231</v>
      </c>
      <c r="CF33" s="237" t="s">
        <v>231</v>
      </c>
      <c r="CG33" s="237" t="s">
        <v>231</v>
      </c>
      <c r="CH33" s="237" t="s">
        <v>231</v>
      </c>
      <c r="CI33" s="237" t="s">
        <v>231</v>
      </c>
      <c r="CJ33" s="237" t="s">
        <v>231</v>
      </c>
      <c r="CK33" s="237" t="s">
        <v>231</v>
      </c>
      <c r="CL33" s="237" t="s">
        <v>231</v>
      </c>
      <c r="CM33" s="237" t="s">
        <v>231</v>
      </c>
      <c r="CN33" s="237" t="s">
        <v>231</v>
      </c>
      <c r="CO33" s="237" t="s">
        <v>231</v>
      </c>
      <c r="CP33" s="237" t="s">
        <v>231</v>
      </c>
      <c r="CQ33" s="237" t="s">
        <v>231</v>
      </c>
      <c r="CR33" s="237" t="s">
        <v>231</v>
      </c>
      <c r="CS33" s="237" t="s">
        <v>231</v>
      </c>
      <c r="CT33" s="237" t="s">
        <v>492</v>
      </c>
      <c r="CU33" s="237" t="s">
        <v>492</v>
      </c>
      <c r="CV33" s="237" t="s">
        <v>492</v>
      </c>
      <c r="CW33" s="237" t="s">
        <v>231</v>
      </c>
      <c r="CX33" s="237" t="s">
        <v>231</v>
      </c>
      <c r="CY33" s="237" t="s">
        <v>231</v>
      </c>
      <c r="CZ33" s="237" t="s">
        <v>231</v>
      </c>
      <c r="DA33" s="237" t="s">
        <v>231</v>
      </c>
      <c r="DB33" s="237" t="s">
        <v>231</v>
      </c>
      <c r="DC33" s="237" t="s">
        <v>231</v>
      </c>
      <c r="DD33" s="237" t="s">
        <v>231</v>
      </c>
      <c r="DE33" s="237" t="s">
        <v>231</v>
      </c>
      <c r="DF33" s="237" t="s">
        <v>231</v>
      </c>
      <c r="DG33" s="237" t="s">
        <v>231</v>
      </c>
      <c r="DH33" s="237" t="s">
        <v>231</v>
      </c>
      <c r="DI33" s="237" t="s">
        <v>231</v>
      </c>
      <c r="DJ33" s="237" t="s">
        <v>231</v>
      </c>
      <c r="DK33" s="237" t="s">
        <v>231</v>
      </c>
      <c r="DL33" s="237" t="s">
        <v>231</v>
      </c>
      <c r="DM33" s="237" t="s">
        <v>231</v>
      </c>
      <c r="DN33" s="237" t="s">
        <v>231</v>
      </c>
      <c r="DO33" s="237" t="s">
        <v>231</v>
      </c>
      <c r="DP33" s="237" t="s">
        <v>231</v>
      </c>
      <c r="DQ33" s="237" t="s">
        <v>231</v>
      </c>
      <c r="DR33" s="237" t="s">
        <v>231</v>
      </c>
      <c r="DS33" s="237" t="s">
        <v>231</v>
      </c>
      <c r="DT33" s="237" t="s">
        <v>492</v>
      </c>
      <c r="DU33" s="237" t="s">
        <v>231</v>
      </c>
      <c r="DV33" s="237" t="s">
        <v>492</v>
      </c>
      <c r="DW33" s="237" t="s">
        <v>492</v>
      </c>
      <c r="DX33" s="237" t="s">
        <v>492</v>
      </c>
      <c r="DY33" s="237" t="s">
        <v>492</v>
      </c>
      <c r="DZ33" s="237" t="s">
        <v>492</v>
      </c>
      <c r="EA33" s="237" t="s">
        <v>492</v>
      </c>
      <c r="EB33" s="237" t="s">
        <v>492</v>
      </c>
      <c r="EC33" s="237" t="s">
        <v>492</v>
      </c>
      <c r="ED33" s="237" t="s">
        <v>492</v>
      </c>
      <c r="EE33" s="237" t="s">
        <v>492</v>
      </c>
      <c r="EF33" s="237" t="s">
        <v>492</v>
      </c>
      <c r="EG33" s="237" t="s">
        <v>492</v>
      </c>
      <c r="EH33" s="237" t="s">
        <v>492</v>
      </c>
      <c r="EI33" s="237" t="s">
        <v>492</v>
      </c>
      <c r="EJ33" s="237" t="s">
        <v>231</v>
      </c>
      <c r="EK33" s="237" t="s">
        <v>231</v>
      </c>
      <c r="EL33" s="237" t="s">
        <v>231</v>
      </c>
      <c r="EM33" s="237" t="s">
        <v>231</v>
      </c>
      <c r="EN33" s="237" t="s">
        <v>231</v>
      </c>
      <c r="EO33" s="237" t="s">
        <v>231</v>
      </c>
      <c r="EP33" s="237" t="s">
        <v>231</v>
      </c>
      <c r="EQ33" s="237" t="s">
        <v>231</v>
      </c>
      <c r="ER33" s="237" t="s">
        <v>231</v>
      </c>
      <c r="ES33" s="237" t="s">
        <v>231</v>
      </c>
      <c r="ET33" s="237" t="s">
        <v>231</v>
      </c>
      <c r="EU33" s="237" t="s">
        <v>231</v>
      </c>
      <c r="EV33" s="237" t="s">
        <v>231</v>
      </c>
      <c r="EW33" s="237" t="s">
        <v>231</v>
      </c>
      <c r="EX33" s="237" t="s">
        <v>231</v>
      </c>
      <c r="EY33" s="237" t="s">
        <v>231</v>
      </c>
      <c r="EZ33" s="237" t="s">
        <v>231</v>
      </c>
      <c r="FA33" s="237" t="s">
        <v>231</v>
      </c>
      <c r="FB33" s="237" t="s">
        <v>231</v>
      </c>
      <c r="FC33" s="237" t="s">
        <v>231</v>
      </c>
      <c r="FD33" s="237" t="s">
        <v>231</v>
      </c>
      <c r="FE33" s="237" t="s">
        <v>231</v>
      </c>
      <c r="FF33" s="237" t="s">
        <v>231</v>
      </c>
      <c r="FG33" s="237" t="s">
        <v>492</v>
      </c>
      <c r="FH33" s="237" t="s">
        <v>492</v>
      </c>
      <c r="FI33" s="237" t="s">
        <v>231</v>
      </c>
      <c r="FJ33" s="237" t="s">
        <v>231</v>
      </c>
      <c r="FK33" s="237" t="s">
        <v>231</v>
      </c>
      <c r="FL33" s="237" t="s">
        <v>492</v>
      </c>
      <c r="FM33" s="237" t="s">
        <v>231</v>
      </c>
      <c r="FN33" s="237" t="s">
        <v>231</v>
      </c>
      <c r="FO33" s="237" t="s">
        <v>231</v>
      </c>
      <c r="FP33" s="237" t="s">
        <v>231</v>
      </c>
      <c r="FQ33" s="237" t="s">
        <v>231</v>
      </c>
      <c r="FR33" s="237" t="s">
        <v>231</v>
      </c>
      <c r="FS33" s="237" t="s">
        <v>231</v>
      </c>
      <c r="FT33" s="237" t="s">
        <v>231</v>
      </c>
      <c r="FU33" s="237" t="s">
        <v>231</v>
      </c>
      <c r="FV33" s="237" t="s">
        <v>231</v>
      </c>
      <c r="FW33" s="237" t="s">
        <v>231</v>
      </c>
      <c r="FX33" s="237" t="s">
        <v>231</v>
      </c>
      <c r="FY33" s="237" t="s">
        <v>231</v>
      </c>
      <c r="FZ33" s="237" t="s">
        <v>231</v>
      </c>
      <c r="GA33" s="237" t="s">
        <v>231</v>
      </c>
      <c r="GB33" s="237" t="s">
        <v>231</v>
      </c>
      <c r="GC33" s="237" t="s">
        <v>231</v>
      </c>
      <c r="GD33" s="237" t="s">
        <v>231</v>
      </c>
      <c r="GE33" s="237" t="s">
        <v>231</v>
      </c>
      <c r="GF33" s="237" t="s">
        <v>231</v>
      </c>
      <c r="GG33" s="237" t="s">
        <v>231</v>
      </c>
      <c r="GH33" s="237" t="s">
        <v>231</v>
      </c>
      <c r="GI33" s="237" t="s">
        <v>231</v>
      </c>
      <c r="GJ33" s="237" t="s">
        <v>231</v>
      </c>
      <c r="GK33" s="237" t="s">
        <v>231</v>
      </c>
      <c r="GL33" s="237" t="s">
        <v>231</v>
      </c>
      <c r="GM33" s="237" t="s">
        <v>231</v>
      </c>
      <c r="GN33" s="237" t="s">
        <v>231</v>
      </c>
      <c r="GO33" s="237" t="s">
        <v>231</v>
      </c>
      <c r="GP33" s="237" t="s">
        <v>492</v>
      </c>
      <c r="GQ33" s="237" t="s">
        <v>231</v>
      </c>
      <c r="GR33" s="237" t="s">
        <v>231</v>
      </c>
      <c r="GS33" s="237" t="s">
        <v>231</v>
      </c>
      <c r="GT33" s="237" t="s">
        <v>231</v>
      </c>
      <c r="GU33" s="237" t="s">
        <v>231</v>
      </c>
      <c r="GV33" s="237" t="s">
        <v>231</v>
      </c>
      <c r="GW33" s="237" t="s">
        <v>231</v>
      </c>
      <c r="GX33" s="237" t="s">
        <v>231</v>
      </c>
      <c r="GY33" s="237" t="s">
        <v>231</v>
      </c>
      <c r="GZ33" s="237" t="s">
        <v>231</v>
      </c>
      <c r="HA33" s="237" t="s">
        <v>231</v>
      </c>
      <c r="HB33" s="237" t="s">
        <v>231</v>
      </c>
      <c r="HC33" s="237" t="s">
        <v>231</v>
      </c>
      <c r="HD33" s="237" t="s">
        <v>231</v>
      </c>
      <c r="HE33" s="237" t="s">
        <v>231</v>
      </c>
      <c r="HF33" s="237" t="s">
        <v>231</v>
      </c>
      <c r="HG33" s="237" t="s">
        <v>231</v>
      </c>
      <c r="HH33" s="237" t="s">
        <v>231</v>
      </c>
      <c r="HI33" s="237" t="s">
        <v>231</v>
      </c>
      <c r="HJ33" s="237" t="s">
        <v>231</v>
      </c>
      <c r="HK33" s="237" t="s">
        <v>231</v>
      </c>
      <c r="HL33" s="237" t="s">
        <v>231</v>
      </c>
      <c r="HM33" s="237" t="s">
        <v>231</v>
      </c>
      <c r="HN33" s="237" t="s">
        <v>231</v>
      </c>
      <c r="HO33" s="237" t="s">
        <v>231</v>
      </c>
      <c r="HP33" s="237" t="s">
        <v>231</v>
      </c>
      <c r="HQ33" s="237" t="s">
        <v>231</v>
      </c>
      <c r="HR33" s="237" t="s">
        <v>492</v>
      </c>
      <c r="HS33" s="237" t="s">
        <v>492</v>
      </c>
      <c r="HT33" s="237" t="s">
        <v>492</v>
      </c>
      <c r="HU33" s="237" t="s">
        <v>231</v>
      </c>
      <c r="HV33" s="237" t="s">
        <v>231</v>
      </c>
      <c r="HW33" s="237" t="s">
        <v>231</v>
      </c>
      <c r="HX33" s="237" t="s">
        <v>231</v>
      </c>
      <c r="HY33" s="237" t="s">
        <v>231</v>
      </c>
      <c r="HZ33" s="237" t="s">
        <v>231</v>
      </c>
      <c r="IA33" s="237" t="s">
        <v>231</v>
      </c>
      <c r="IB33" s="237" t="s">
        <v>231</v>
      </c>
      <c r="IC33" s="237" t="s">
        <v>231</v>
      </c>
      <c r="ID33" s="237" t="s">
        <v>231</v>
      </c>
      <c r="IE33" s="237" t="s">
        <v>231</v>
      </c>
      <c r="IF33" s="237" t="s">
        <v>231</v>
      </c>
      <c r="IG33" s="237" t="s">
        <v>231</v>
      </c>
      <c r="IH33" s="237" t="s">
        <v>231</v>
      </c>
      <c r="II33" s="237" t="s">
        <v>231</v>
      </c>
      <c r="IJ33" s="237" t="s">
        <v>231</v>
      </c>
      <c r="IK33" s="237" t="s">
        <v>231</v>
      </c>
      <c r="IL33" s="237" t="s">
        <v>231</v>
      </c>
      <c r="IM33" s="237" t="s">
        <v>231</v>
      </c>
      <c r="IN33" s="237" t="s">
        <v>231</v>
      </c>
      <c r="IO33" s="237" t="s">
        <v>220</v>
      </c>
      <c r="IP33" s="237" t="s">
        <v>493</v>
      </c>
      <c r="IQ33" s="237" t="s">
        <v>219</v>
      </c>
      <c r="IR33" s="237" t="s">
        <v>490</v>
      </c>
      <c r="IS33" s="237" t="s">
        <v>231</v>
      </c>
      <c r="IT33" s="237" t="s">
        <v>231</v>
      </c>
    </row>
    <row r="34" spans="1:254" ht="15" x14ac:dyDescent="0.25">
      <c r="A34" s="259" t="str">
        <f>HYPERLINK("http://www.ofsted.gov.uk/inspection-reports/find-inspection-report/provider/ELS/138779 ","Ofsted School Webpage")</f>
        <v>Ofsted School Webpage</v>
      </c>
      <c r="B34" s="240">
        <v>138779</v>
      </c>
      <c r="C34" s="240">
        <v>9266006</v>
      </c>
      <c r="D34" s="240" t="s">
        <v>586</v>
      </c>
      <c r="E34" s="240" t="s">
        <v>248</v>
      </c>
      <c r="F34" s="240" t="s">
        <v>501</v>
      </c>
      <c r="G34" s="240" t="s">
        <v>516</v>
      </c>
      <c r="H34" s="240" t="s">
        <v>516</v>
      </c>
      <c r="I34" s="240" t="s">
        <v>528</v>
      </c>
      <c r="J34" s="240" t="s">
        <v>587</v>
      </c>
      <c r="K34" s="240" t="s">
        <v>93</v>
      </c>
      <c r="L34" s="240" t="s">
        <v>93</v>
      </c>
      <c r="M34" s="240" t="s">
        <v>93</v>
      </c>
      <c r="N34" s="240" t="s">
        <v>90</v>
      </c>
      <c r="O34" s="240" t="s">
        <v>486</v>
      </c>
      <c r="P34" s="240" t="s">
        <v>487</v>
      </c>
      <c r="Q34" s="241">
        <v>10054011</v>
      </c>
      <c r="R34" s="242">
        <v>43375</v>
      </c>
      <c r="S34" s="242">
        <v>43377</v>
      </c>
      <c r="T34" s="242">
        <v>43410</v>
      </c>
      <c r="U34" s="240" t="s">
        <v>488</v>
      </c>
      <c r="V34" s="240" t="s">
        <v>489</v>
      </c>
      <c r="W34" s="240">
        <v>2</v>
      </c>
      <c r="X34" s="240">
        <v>2</v>
      </c>
      <c r="Y34" s="240">
        <v>2</v>
      </c>
      <c r="Z34" s="240">
        <v>2</v>
      </c>
      <c r="AA34" s="240">
        <v>2</v>
      </c>
      <c r="AB34" s="240" t="s">
        <v>486</v>
      </c>
      <c r="AC34" s="240" t="s">
        <v>486</v>
      </c>
      <c r="AD34" s="240" t="s">
        <v>219</v>
      </c>
      <c r="AE34" s="240" t="s">
        <v>490</v>
      </c>
      <c r="AF34" s="240" t="s">
        <v>486</v>
      </c>
      <c r="AG34" s="240" t="s">
        <v>486</v>
      </c>
      <c r="AH34" s="240" t="s">
        <v>486</v>
      </c>
      <c r="AI34" s="240" t="s">
        <v>486</v>
      </c>
      <c r="AJ34" s="240" t="s">
        <v>486</v>
      </c>
      <c r="AK34" s="240" t="s">
        <v>486</v>
      </c>
      <c r="AL34" s="240" t="s">
        <v>486</v>
      </c>
      <c r="AM34" s="240" t="s">
        <v>491</v>
      </c>
      <c r="AN34" s="240" t="s">
        <v>231</v>
      </c>
      <c r="AO34" s="240" t="s">
        <v>231</v>
      </c>
      <c r="AP34" s="240" t="s">
        <v>231</v>
      </c>
      <c r="AQ34" s="240" t="s">
        <v>231</v>
      </c>
      <c r="AR34" s="240" t="s">
        <v>231</v>
      </c>
      <c r="AS34" s="240" t="s">
        <v>231</v>
      </c>
      <c r="AT34" s="240" t="s">
        <v>231</v>
      </c>
      <c r="AU34" s="240" t="s">
        <v>231</v>
      </c>
      <c r="AV34" s="240" t="s">
        <v>231</v>
      </c>
      <c r="AW34" s="240" t="s">
        <v>231</v>
      </c>
      <c r="AX34" s="240" t="s">
        <v>231</v>
      </c>
      <c r="AY34" s="240" t="s">
        <v>231</v>
      </c>
      <c r="AZ34" s="240" t="s">
        <v>231</v>
      </c>
      <c r="BA34" s="240" t="s">
        <v>231</v>
      </c>
      <c r="BB34" s="240" t="s">
        <v>231</v>
      </c>
      <c r="BC34" s="240" t="s">
        <v>231</v>
      </c>
      <c r="BD34" s="240" t="s">
        <v>492</v>
      </c>
      <c r="BE34" s="240" t="s">
        <v>231</v>
      </c>
      <c r="BF34" s="240" t="s">
        <v>231</v>
      </c>
      <c r="BG34" s="240" t="s">
        <v>231</v>
      </c>
      <c r="BH34" s="240" t="s">
        <v>231</v>
      </c>
      <c r="BI34" s="240" t="s">
        <v>231</v>
      </c>
      <c r="BJ34" s="240" t="s">
        <v>231</v>
      </c>
      <c r="BK34" s="240" t="s">
        <v>231</v>
      </c>
      <c r="BL34" s="240" t="s">
        <v>231</v>
      </c>
      <c r="BM34" s="240" t="s">
        <v>492</v>
      </c>
      <c r="BN34" s="240" t="s">
        <v>231</v>
      </c>
      <c r="BO34" s="240" t="s">
        <v>231</v>
      </c>
      <c r="BP34" s="240" t="s">
        <v>231</v>
      </c>
      <c r="BQ34" s="240" t="s">
        <v>231</v>
      </c>
      <c r="BR34" s="240" t="s">
        <v>231</v>
      </c>
      <c r="BS34" s="240" t="s">
        <v>231</v>
      </c>
      <c r="BT34" s="240" t="s">
        <v>231</v>
      </c>
      <c r="BU34" s="240" t="s">
        <v>231</v>
      </c>
      <c r="BV34" s="240" t="s">
        <v>231</v>
      </c>
      <c r="BW34" s="240" t="s">
        <v>231</v>
      </c>
      <c r="BX34" s="240" t="s">
        <v>231</v>
      </c>
      <c r="BY34" s="240" t="s">
        <v>231</v>
      </c>
      <c r="BZ34" s="240" t="s">
        <v>231</v>
      </c>
      <c r="CA34" s="240" t="s">
        <v>231</v>
      </c>
      <c r="CB34" s="240" t="s">
        <v>231</v>
      </c>
      <c r="CC34" s="240" t="s">
        <v>231</v>
      </c>
      <c r="CD34" s="240" t="s">
        <v>231</v>
      </c>
      <c r="CE34" s="240" t="s">
        <v>231</v>
      </c>
      <c r="CF34" s="240" t="s">
        <v>231</v>
      </c>
      <c r="CG34" s="240" t="s">
        <v>231</v>
      </c>
      <c r="CH34" s="240" t="s">
        <v>231</v>
      </c>
      <c r="CI34" s="240" t="s">
        <v>231</v>
      </c>
      <c r="CJ34" s="240" t="s">
        <v>231</v>
      </c>
      <c r="CK34" s="240" t="s">
        <v>231</v>
      </c>
      <c r="CL34" s="240" t="s">
        <v>231</v>
      </c>
      <c r="CM34" s="240" t="s">
        <v>231</v>
      </c>
      <c r="CN34" s="240" t="s">
        <v>231</v>
      </c>
      <c r="CO34" s="240" t="s">
        <v>231</v>
      </c>
      <c r="CP34" s="240" t="s">
        <v>231</v>
      </c>
      <c r="CQ34" s="240" t="s">
        <v>231</v>
      </c>
      <c r="CR34" s="240" t="s">
        <v>231</v>
      </c>
      <c r="CS34" s="240" t="s">
        <v>231</v>
      </c>
      <c r="CT34" s="240" t="s">
        <v>492</v>
      </c>
      <c r="CU34" s="240" t="s">
        <v>492</v>
      </c>
      <c r="CV34" s="240" t="s">
        <v>492</v>
      </c>
      <c r="CW34" s="240" t="s">
        <v>231</v>
      </c>
      <c r="CX34" s="240" t="s">
        <v>231</v>
      </c>
      <c r="CY34" s="240" t="s">
        <v>231</v>
      </c>
      <c r="CZ34" s="240" t="s">
        <v>231</v>
      </c>
      <c r="DA34" s="240" t="s">
        <v>231</v>
      </c>
      <c r="DB34" s="240" t="s">
        <v>231</v>
      </c>
      <c r="DC34" s="240" t="s">
        <v>231</v>
      </c>
      <c r="DD34" s="240" t="s">
        <v>231</v>
      </c>
      <c r="DE34" s="240" t="s">
        <v>231</v>
      </c>
      <c r="DF34" s="240" t="s">
        <v>231</v>
      </c>
      <c r="DG34" s="240" t="s">
        <v>231</v>
      </c>
      <c r="DH34" s="240" t="s">
        <v>231</v>
      </c>
      <c r="DI34" s="240" t="s">
        <v>231</v>
      </c>
      <c r="DJ34" s="240" t="s">
        <v>231</v>
      </c>
      <c r="DK34" s="240" t="s">
        <v>231</v>
      </c>
      <c r="DL34" s="240" t="s">
        <v>231</v>
      </c>
      <c r="DM34" s="240" t="s">
        <v>231</v>
      </c>
      <c r="DN34" s="240" t="s">
        <v>231</v>
      </c>
      <c r="DO34" s="240" t="s">
        <v>231</v>
      </c>
      <c r="DP34" s="240" t="s">
        <v>231</v>
      </c>
      <c r="DQ34" s="240" t="s">
        <v>231</v>
      </c>
      <c r="DR34" s="240" t="s">
        <v>231</v>
      </c>
      <c r="DS34" s="240" t="s">
        <v>231</v>
      </c>
      <c r="DT34" s="240" t="s">
        <v>231</v>
      </c>
      <c r="DU34" s="240" t="s">
        <v>231</v>
      </c>
      <c r="DV34" s="240" t="s">
        <v>231</v>
      </c>
      <c r="DW34" s="240" t="s">
        <v>231</v>
      </c>
      <c r="DX34" s="240" t="s">
        <v>231</v>
      </c>
      <c r="DY34" s="240" t="s">
        <v>231</v>
      </c>
      <c r="DZ34" s="240" t="s">
        <v>231</v>
      </c>
      <c r="EA34" s="240" t="s">
        <v>231</v>
      </c>
      <c r="EB34" s="240" t="s">
        <v>231</v>
      </c>
      <c r="EC34" s="240" t="s">
        <v>231</v>
      </c>
      <c r="ED34" s="240" t="s">
        <v>231</v>
      </c>
      <c r="EE34" s="240" t="s">
        <v>231</v>
      </c>
      <c r="EF34" s="240" t="s">
        <v>231</v>
      </c>
      <c r="EG34" s="240" t="s">
        <v>231</v>
      </c>
      <c r="EH34" s="240" t="s">
        <v>231</v>
      </c>
      <c r="EI34" s="240" t="s">
        <v>231</v>
      </c>
      <c r="EJ34" s="240" t="s">
        <v>231</v>
      </c>
      <c r="EK34" s="240" t="s">
        <v>231</v>
      </c>
      <c r="EL34" s="240" t="s">
        <v>231</v>
      </c>
      <c r="EM34" s="240" t="s">
        <v>231</v>
      </c>
      <c r="EN34" s="240" t="s">
        <v>231</v>
      </c>
      <c r="EO34" s="240" t="s">
        <v>231</v>
      </c>
      <c r="EP34" s="240" t="s">
        <v>231</v>
      </c>
      <c r="EQ34" s="240" t="s">
        <v>231</v>
      </c>
      <c r="ER34" s="240" t="s">
        <v>231</v>
      </c>
      <c r="ES34" s="240" t="s">
        <v>231</v>
      </c>
      <c r="ET34" s="240" t="s">
        <v>231</v>
      </c>
      <c r="EU34" s="240" t="s">
        <v>231</v>
      </c>
      <c r="EV34" s="240" t="s">
        <v>231</v>
      </c>
      <c r="EW34" s="240" t="s">
        <v>231</v>
      </c>
      <c r="EX34" s="240" t="s">
        <v>231</v>
      </c>
      <c r="EY34" s="240" t="s">
        <v>231</v>
      </c>
      <c r="EZ34" s="240" t="s">
        <v>231</v>
      </c>
      <c r="FA34" s="240" t="s">
        <v>231</v>
      </c>
      <c r="FB34" s="240" t="s">
        <v>231</v>
      </c>
      <c r="FC34" s="240" t="s">
        <v>231</v>
      </c>
      <c r="FD34" s="240" t="s">
        <v>231</v>
      </c>
      <c r="FE34" s="240" t="s">
        <v>231</v>
      </c>
      <c r="FF34" s="240" t="s">
        <v>231</v>
      </c>
      <c r="FG34" s="240" t="s">
        <v>231</v>
      </c>
      <c r="FH34" s="240" t="s">
        <v>231</v>
      </c>
      <c r="FI34" s="240" t="s">
        <v>231</v>
      </c>
      <c r="FJ34" s="240" t="s">
        <v>231</v>
      </c>
      <c r="FK34" s="240" t="s">
        <v>231</v>
      </c>
      <c r="FL34" s="240" t="s">
        <v>231</v>
      </c>
      <c r="FM34" s="240" t="s">
        <v>231</v>
      </c>
      <c r="FN34" s="240" t="s">
        <v>231</v>
      </c>
      <c r="FO34" s="240" t="s">
        <v>231</v>
      </c>
      <c r="FP34" s="240" t="s">
        <v>231</v>
      </c>
      <c r="FQ34" s="240" t="s">
        <v>231</v>
      </c>
      <c r="FR34" s="240" t="s">
        <v>231</v>
      </c>
      <c r="FS34" s="240" t="s">
        <v>231</v>
      </c>
      <c r="FT34" s="240" t="s">
        <v>231</v>
      </c>
      <c r="FU34" s="240" t="s">
        <v>231</v>
      </c>
      <c r="FV34" s="240" t="s">
        <v>231</v>
      </c>
      <c r="FW34" s="240" t="s">
        <v>231</v>
      </c>
      <c r="FX34" s="240" t="s">
        <v>231</v>
      </c>
      <c r="FY34" s="240" t="s">
        <v>231</v>
      </c>
      <c r="FZ34" s="240" t="s">
        <v>231</v>
      </c>
      <c r="GA34" s="240" t="s">
        <v>231</v>
      </c>
      <c r="GB34" s="240" t="s">
        <v>231</v>
      </c>
      <c r="GC34" s="240" t="s">
        <v>231</v>
      </c>
      <c r="GD34" s="240" t="s">
        <v>231</v>
      </c>
      <c r="GE34" s="240" t="s">
        <v>231</v>
      </c>
      <c r="GF34" s="240" t="s">
        <v>231</v>
      </c>
      <c r="GG34" s="240" t="s">
        <v>231</v>
      </c>
      <c r="GH34" s="240" t="s">
        <v>231</v>
      </c>
      <c r="GI34" s="240" t="s">
        <v>231</v>
      </c>
      <c r="GJ34" s="240" t="s">
        <v>231</v>
      </c>
      <c r="GK34" s="240" t="s">
        <v>231</v>
      </c>
      <c r="GL34" s="240" t="s">
        <v>231</v>
      </c>
      <c r="GM34" s="240" t="s">
        <v>231</v>
      </c>
      <c r="GN34" s="240" t="s">
        <v>231</v>
      </c>
      <c r="GO34" s="240" t="s">
        <v>231</v>
      </c>
      <c r="GP34" s="240" t="s">
        <v>231</v>
      </c>
      <c r="GQ34" s="240" t="s">
        <v>231</v>
      </c>
      <c r="GR34" s="240" t="s">
        <v>231</v>
      </c>
      <c r="GS34" s="240" t="s">
        <v>231</v>
      </c>
      <c r="GT34" s="240" t="s">
        <v>231</v>
      </c>
      <c r="GU34" s="240" t="s">
        <v>231</v>
      </c>
      <c r="GV34" s="240" t="s">
        <v>231</v>
      </c>
      <c r="GW34" s="240" t="s">
        <v>231</v>
      </c>
      <c r="GX34" s="240" t="s">
        <v>231</v>
      </c>
      <c r="GY34" s="240" t="s">
        <v>231</v>
      </c>
      <c r="GZ34" s="240" t="s">
        <v>231</v>
      </c>
      <c r="HA34" s="240" t="s">
        <v>231</v>
      </c>
      <c r="HB34" s="240" t="s">
        <v>231</v>
      </c>
      <c r="HC34" s="240" t="s">
        <v>231</v>
      </c>
      <c r="HD34" s="240" t="s">
        <v>231</v>
      </c>
      <c r="HE34" s="240" t="s">
        <v>231</v>
      </c>
      <c r="HF34" s="240" t="s">
        <v>231</v>
      </c>
      <c r="HG34" s="240" t="s">
        <v>231</v>
      </c>
      <c r="HH34" s="240" t="s">
        <v>231</v>
      </c>
      <c r="HI34" s="240" t="s">
        <v>231</v>
      </c>
      <c r="HJ34" s="240" t="s">
        <v>231</v>
      </c>
      <c r="HK34" s="240" t="s">
        <v>231</v>
      </c>
      <c r="HL34" s="240" t="s">
        <v>231</v>
      </c>
      <c r="HM34" s="240" t="s">
        <v>231</v>
      </c>
      <c r="HN34" s="240" t="s">
        <v>231</v>
      </c>
      <c r="HO34" s="240" t="s">
        <v>231</v>
      </c>
      <c r="HP34" s="240" t="s">
        <v>231</v>
      </c>
      <c r="HQ34" s="240" t="s">
        <v>231</v>
      </c>
      <c r="HR34" s="240" t="s">
        <v>231</v>
      </c>
      <c r="HS34" s="240" t="s">
        <v>231</v>
      </c>
      <c r="HT34" s="240" t="s">
        <v>231</v>
      </c>
      <c r="HU34" s="240" t="s">
        <v>231</v>
      </c>
      <c r="HV34" s="240" t="s">
        <v>231</v>
      </c>
      <c r="HW34" s="240" t="s">
        <v>231</v>
      </c>
      <c r="HX34" s="240" t="s">
        <v>231</v>
      </c>
      <c r="HY34" s="240" t="s">
        <v>231</v>
      </c>
      <c r="HZ34" s="240" t="s">
        <v>231</v>
      </c>
      <c r="IA34" s="240" t="s">
        <v>231</v>
      </c>
      <c r="IB34" s="240" t="s">
        <v>231</v>
      </c>
      <c r="IC34" s="240" t="s">
        <v>231</v>
      </c>
      <c r="ID34" s="240" t="s">
        <v>231</v>
      </c>
      <c r="IE34" s="240" t="s">
        <v>231</v>
      </c>
      <c r="IF34" s="240" t="s">
        <v>231</v>
      </c>
      <c r="IG34" s="240" t="s">
        <v>231</v>
      </c>
      <c r="IH34" s="240" t="s">
        <v>231</v>
      </c>
      <c r="II34" s="240" t="s">
        <v>231</v>
      </c>
      <c r="IJ34" s="240" t="s">
        <v>231</v>
      </c>
      <c r="IK34" s="240" t="s">
        <v>231</v>
      </c>
      <c r="IL34" s="240" t="s">
        <v>231</v>
      </c>
      <c r="IM34" s="240" t="s">
        <v>231</v>
      </c>
      <c r="IN34" s="240" t="s">
        <v>231</v>
      </c>
      <c r="IO34" s="240" t="s">
        <v>220</v>
      </c>
      <c r="IP34" s="240" t="s">
        <v>493</v>
      </c>
      <c r="IQ34" s="240" t="s">
        <v>219</v>
      </c>
      <c r="IR34" s="240" t="s">
        <v>490</v>
      </c>
      <c r="IS34" s="240" t="s">
        <v>492</v>
      </c>
      <c r="IT34" s="240" t="s">
        <v>492</v>
      </c>
    </row>
    <row r="35" spans="1:254" ht="15" x14ac:dyDescent="0.25">
      <c r="A35" s="258" t="str">
        <f>HYPERLINK("http://www.ofsted.gov.uk/inspection-reports/find-inspection-report/provider/ELS/135858 ","Ofsted School Webpage")</f>
        <v>Ofsted School Webpage</v>
      </c>
      <c r="B35" s="237">
        <v>135858</v>
      </c>
      <c r="C35" s="237">
        <v>8566022</v>
      </c>
      <c r="D35" s="237" t="s">
        <v>588</v>
      </c>
      <c r="E35" s="237" t="s">
        <v>247</v>
      </c>
      <c r="F35" s="237" t="s">
        <v>482</v>
      </c>
      <c r="G35" s="237" t="s">
        <v>572</v>
      </c>
      <c r="H35" s="237" t="s">
        <v>572</v>
      </c>
      <c r="I35" s="237" t="s">
        <v>589</v>
      </c>
      <c r="J35" s="237" t="s">
        <v>590</v>
      </c>
      <c r="K35" s="237" t="s">
        <v>93</v>
      </c>
      <c r="L35" s="237" t="s">
        <v>84</v>
      </c>
      <c r="M35" s="237" t="s">
        <v>84</v>
      </c>
      <c r="N35" s="237" t="s">
        <v>84</v>
      </c>
      <c r="O35" s="237" t="s">
        <v>486</v>
      </c>
      <c r="P35" s="237" t="s">
        <v>487</v>
      </c>
      <c r="Q35" s="238">
        <v>10053979</v>
      </c>
      <c r="R35" s="239">
        <v>43375</v>
      </c>
      <c r="S35" s="239">
        <v>43377</v>
      </c>
      <c r="T35" s="239">
        <v>43415</v>
      </c>
      <c r="U35" s="237" t="s">
        <v>488</v>
      </c>
      <c r="V35" s="237" t="s">
        <v>489</v>
      </c>
      <c r="W35" s="237">
        <v>2</v>
      </c>
      <c r="X35" s="237">
        <v>2</v>
      </c>
      <c r="Y35" s="237">
        <v>1</v>
      </c>
      <c r="Z35" s="237">
        <v>2</v>
      </c>
      <c r="AA35" s="237">
        <v>2</v>
      </c>
      <c r="AB35" s="237">
        <v>2</v>
      </c>
      <c r="AC35" s="237" t="s">
        <v>486</v>
      </c>
      <c r="AD35" s="237" t="s">
        <v>219</v>
      </c>
      <c r="AE35" s="237" t="s">
        <v>490</v>
      </c>
      <c r="AF35" s="237" t="s">
        <v>486</v>
      </c>
      <c r="AG35" s="237" t="s">
        <v>486</v>
      </c>
      <c r="AH35" s="237" t="s">
        <v>486</v>
      </c>
      <c r="AI35" s="237" t="s">
        <v>486</v>
      </c>
      <c r="AJ35" s="237" t="s">
        <v>486</v>
      </c>
      <c r="AK35" s="237" t="s">
        <v>486</v>
      </c>
      <c r="AL35" s="237" t="s">
        <v>486</v>
      </c>
      <c r="AM35" s="237" t="s">
        <v>491</v>
      </c>
      <c r="AN35" s="237" t="s">
        <v>231</v>
      </c>
      <c r="AO35" s="237" t="s">
        <v>231</v>
      </c>
      <c r="AP35" s="237" t="s">
        <v>231</v>
      </c>
      <c r="AQ35" s="237" t="s">
        <v>231</v>
      </c>
      <c r="AR35" s="237" t="s">
        <v>231</v>
      </c>
      <c r="AS35" s="237" t="s">
        <v>231</v>
      </c>
      <c r="AT35" s="237" t="s">
        <v>231</v>
      </c>
      <c r="AU35" s="237" t="s">
        <v>231</v>
      </c>
      <c r="AV35" s="237" t="s">
        <v>231</v>
      </c>
      <c r="AW35" s="237" t="s">
        <v>231</v>
      </c>
      <c r="AX35" s="237" t="s">
        <v>231</v>
      </c>
      <c r="AY35" s="237" t="s">
        <v>231</v>
      </c>
      <c r="AZ35" s="237" t="s">
        <v>231</v>
      </c>
      <c r="BA35" s="237" t="s">
        <v>231</v>
      </c>
      <c r="BB35" s="237" t="s">
        <v>231</v>
      </c>
      <c r="BC35" s="237" t="s">
        <v>231</v>
      </c>
      <c r="BD35" s="237" t="s">
        <v>492</v>
      </c>
      <c r="BE35" s="237" t="s">
        <v>231</v>
      </c>
      <c r="BF35" s="237" t="s">
        <v>231</v>
      </c>
      <c r="BG35" s="237" t="s">
        <v>231</v>
      </c>
      <c r="BH35" s="237" t="s">
        <v>492</v>
      </c>
      <c r="BI35" s="237" t="s">
        <v>492</v>
      </c>
      <c r="BJ35" s="237" t="s">
        <v>492</v>
      </c>
      <c r="BK35" s="237" t="s">
        <v>492</v>
      </c>
      <c r="BL35" s="237" t="s">
        <v>231</v>
      </c>
      <c r="BM35" s="237" t="s">
        <v>492</v>
      </c>
      <c r="BN35" s="237" t="s">
        <v>231</v>
      </c>
      <c r="BO35" s="237" t="s">
        <v>231</v>
      </c>
      <c r="BP35" s="237" t="s">
        <v>231</v>
      </c>
      <c r="BQ35" s="237" t="s">
        <v>231</v>
      </c>
      <c r="BR35" s="237" t="s">
        <v>231</v>
      </c>
      <c r="BS35" s="237" t="s">
        <v>231</v>
      </c>
      <c r="BT35" s="237" t="s">
        <v>231</v>
      </c>
      <c r="BU35" s="237" t="s">
        <v>231</v>
      </c>
      <c r="BV35" s="237" t="s">
        <v>231</v>
      </c>
      <c r="BW35" s="237" t="s">
        <v>231</v>
      </c>
      <c r="BX35" s="237" t="s">
        <v>231</v>
      </c>
      <c r="BY35" s="237" t="s">
        <v>231</v>
      </c>
      <c r="BZ35" s="237" t="s">
        <v>231</v>
      </c>
      <c r="CA35" s="237" t="s">
        <v>231</v>
      </c>
      <c r="CB35" s="237" t="s">
        <v>231</v>
      </c>
      <c r="CC35" s="237" t="s">
        <v>231</v>
      </c>
      <c r="CD35" s="237" t="s">
        <v>231</v>
      </c>
      <c r="CE35" s="237" t="s">
        <v>231</v>
      </c>
      <c r="CF35" s="237" t="s">
        <v>231</v>
      </c>
      <c r="CG35" s="237" t="s">
        <v>231</v>
      </c>
      <c r="CH35" s="237" t="s">
        <v>231</v>
      </c>
      <c r="CI35" s="237" t="s">
        <v>231</v>
      </c>
      <c r="CJ35" s="237" t="s">
        <v>231</v>
      </c>
      <c r="CK35" s="237" t="s">
        <v>231</v>
      </c>
      <c r="CL35" s="237" t="s">
        <v>231</v>
      </c>
      <c r="CM35" s="237" t="s">
        <v>231</v>
      </c>
      <c r="CN35" s="237" t="s">
        <v>231</v>
      </c>
      <c r="CO35" s="237" t="s">
        <v>231</v>
      </c>
      <c r="CP35" s="237" t="s">
        <v>231</v>
      </c>
      <c r="CQ35" s="237" t="s">
        <v>231</v>
      </c>
      <c r="CR35" s="237" t="s">
        <v>231</v>
      </c>
      <c r="CS35" s="237" t="s">
        <v>231</v>
      </c>
      <c r="CT35" s="237" t="s">
        <v>492</v>
      </c>
      <c r="CU35" s="237" t="s">
        <v>492</v>
      </c>
      <c r="CV35" s="237" t="s">
        <v>492</v>
      </c>
      <c r="CW35" s="237" t="s">
        <v>231</v>
      </c>
      <c r="CX35" s="237" t="s">
        <v>231</v>
      </c>
      <c r="CY35" s="237" t="s">
        <v>231</v>
      </c>
      <c r="CZ35" s="237" t="s">
        <v>231</v>
      </c>
      <c r="DA35" s="237" t="s">
        <v>231</v>
      </c>
      <c r="DB35" s="237" t="s">
        <v>231</v>
      </c>
      <c r="DC35" s="237" t="s">
        <v>231</v>
      </c>
      <c r="DD35" s="237" t="s">
        <v>231</v>
      </c>
      <c r="DE35" s="237" t="s">
        <v>231</v>
      </c>
      <c r="DF35" s="237" t="s">
        <v>231</v>
      </c>
      <c r="DG35" s="237" t="s">
        <v>231</v>
      </c>
      <c r="DH35" s="237" t="s">
        <v>231</v>
      </c>
      <c r="DI35" s="237" t="s">
        <v>231</v>
      </c>
      <c r="DJ35" s="237" t="s">
        <v>231</v>
      </c>
      <c r="DK35" s="237" t="s">
        <v>231</v>
      </c>
      <c r="DL35" s="237" t="s">
        <v>231</v>
      </c>
      <c r="DM35" s="237" t="s">
        <v>231</v>
      </c>
      <c r="DN35" s="237" t="s">
        <v>231</v>
      </c>
      <c r="DO35" s="237" t="s">
        <v>231</v>
      </c>
      <c r="DP35" s="237" t="s">
        <v>231</v>
      </c>
      <c r="DQ35" s="237" t="s">
        <v>231</v>
      </c>
      <c r="DR35" s="237" t="s">
        <v>231</v>
      </c>
      <c r="DS35" s="237" t="s">
        <v>492</v>
      </c>
      <c r="DT35" s="237" t="s">
        <v>492</v>
      </c>
      <c r="DU35" s="237" t="s">
        <v>231</v>
      </c>
      <c r="DV35" s="237" t="s">
        <v>492</v>
      </c>
      <c r="DW35" s="237" t="s">
        <v>492</v>
      </c>
      <c r="DX35" s="237" t="s">
        <v>492</v>
      </c>
      <c r="DY35" s="237" t="s">
        <v>492</v>
      </c>
      <c r="DZ35" s="237" t="s">
        <v>492</v>
      </c>
      <c r="EA35" s="237" t="s">
        <v>492</v>
      </c>
      <c r="EB35" s="237" t="s">
        <v>492</v>
      </c>
      <c r="EC35" s="237" t="s">
        <v>492</v>
      </c>
      <c r="ED35" s="237" t="s">
        <v>492</v>
      </c>
      <c r="EE35" s="237" t="s">
        <v>492</v>
      </c>
      <c r="EF35" s="237" t="s">
        <v>492</v>
      </c>
      <c r="EG35" s="237" t="s">
        <v>492</v>
      </c>
      <c r="EH35" s="237" t="s">
        <v>492</v>
      </c>
      <c r="EI35" s="237" t="s">
        <v>492</v>
      </c>
      <c r="EJ35" s="237" t="s">
        <v>231</v>
      </c>
      <c r="EK35" s="237" t="s">
        <v>231</v>
      </c>
      <c r="EL35" s="237" t="s">
        <v>231</v>
      </c>
      <c r="EM35" s="237" t="s">
        <v>231</v>
      </c>
      <c r="EN35" s="237" t="s">
        <v>231</v>
      </c>
      <c r="EO35" s="237" t="s">
        <v>231</v>
      </c>
      <c r="EP35" s="237" t="s">
        <v>231</v>
      </c>
      <c r="EQ35" s="237" t="s">
        <v>231</v>
      </c>
      <c r="ER35" s="237" t="s">
        <v>231</v>
      </c>
      <c r="ES35" s="237" t="s">
        <v>231</v>
      </c>
      <c r="ET35" s="237" t="s">
        <v>231</v>
      </c>
      <c r="EU35" s="237" t="s">
        <v>231</v>
      </c>
      <c r="EV35" s="237" t="s">
        <v>231</v>
      </c>
      <c r="EW35" s="237" t="s">
        <v>231</v>
      </c>
      <c r="EX35" s="237" t="s">
        <v>231</v>
      </c>
      <c r="EY35" s="237" t="s">
        <v>231</v>
      </c>
      <c r="EZ35" s="237" t="s">
        <v>231</v>
      </c>
      <c r="FA35" s="237" t="s">
        <v>231</v>
      </c>
      <c r="FB35" s="237" t="s">
        <v>231</v>
      </c>
      <c r="FC35" s="237" t="s">
        <v>231</v>
      </c>
      <c r="FD35" s="237" t="s">
        <v>231</v>
      </c>
      <c r="FE35" s="237" t="s">
        <v>231</v>
      </c>
      <c r="FF35" s="237" t="s">
        <v>492</v>
      </c>
      <c r="FG35" s="237" t="s">
        <v>492</v>
      </c>
      <c r="FH35" s="237" t="s">
        <v>492</v>
      </c>
      <c r="FI35" s="237" t="s">
        <v>492</v>
      </c>
      <c r="FJ35" s="237" t="s">
        <v>492</v>
      </c>
      <c r="FK35" s="237" t="s">
        <v>492</v>
      </c>
      <c r="FL35" s="237" t="s">
        <v>492</v>
      </c>
      <c r="FM35" s="237" t="s">
        <v>231</v>
      </c>
      <c r="FN35" s="237" t="s">
        <v>492</v>
      </c>
      <c r="FO35" s="237" t="s">
        <v>493</v>
      </c>
      <c r="FP35" s="237" t="s">
        <v>492</v>
      </c>
      <c r="FQ35" s="237" t="s">
        <v>231</v>
      </c>
      <c r="FR35" s="237" t="s">
        <v>231</v>
      </c>
      <c r="FS35" s="237" t="s">
        <v>231</v>
      </c>
      <c r="FT35" s="237" t="s">
        <v>492</v>
      </c>
      <c r="FU35" s="237" t="s">
        <v>231</v>
      </c>
      <c r="FV35" s="237" t="s">
        <v>231</v>
      </c>
      <c r="FW35" s="237" t="s">
        <v>231</v>
      </c>
      <c r="FX35" s="237" t="s">
        <v>492</v>
      </c>
      <c r="FY35" s="237" t="s">
        <v>231</v>
      </c>
      <c r="FZ35" s="237" t="s">
        <v>231</v>
      </c>
      <c r="GA35" s="237" t="s">
        <v>231</v>
      </c>
      <c r="GB35" s="237" t="s">
        <v>231</v>
      </c>
      <c r="GC35" s="237" t="s">
        <v>231</v>
      </c>
      <c r="GD35" s="237" t="s">
        <v>231</v>
      </c>
      <c r="GE35" s="237" t="s">
        <v>231</v>
      </c>
      <c r="GF35" s="237" t="s">
        <v>231</v>
      </c>
      <c r="GG35" s="237" t="s">
        <v>231</v>
      </c>
      <c r="GH35" s="237" t="s">
        <v>231</v>
      </c>
      <c r="GI35" s="237" t="s">
        <v>231</v>
      </c>
      <c r="GJ35" s="237" t="s">
        <v>231</v>
      </c>
      <c r="GK35" s="237" t="s">
        <v>231</v>
      </c>
      <c r="GL35" s="237" t="s">
        <v>231</v>
      </c>
      <c r="GM35" s="237" t="s">
        <v>231</v>
      </c>
      <c r="GN35" s="237" t="s">
        <v>231</v>
      </c>
      <c r="GO35" s="237" t="s">
        <v>231</v>
      </c>
      <c r="GP35" s="237" t="s">
        <v>492</v>
      </c>
      <c r="GQ35" s="237" t="s">
        <v>231</v>
      </c>
      <c r="GR35" s="237" t="s">
        <v>231</v>
      </c>
      <c r="GS35" s="237" t="s">
        <v>231</v>
      </c>
      <c r="GT35" s="237" t="s">
        <v>231</v>
      </c>
      <c r="GU35" s="237" t="s">
        <v>231</v>
      </c>
      <c r="GV35" s="237" t="s">
        <v>492</v>
      </c>
      <c r="GW35" s="237" t="s">
        <v>231</v>
      </c>
      <c r="GX35" s="237" t="s">
        <v>231</v>
      </c>
      <c r="GY35" s="237" t="s">
        <v>492</v>
      </c>
      <c r="GZ35" s="237" t="s">
        <v>492</v>
      </c>
      <c r="HA35" s="237" t="s">
        <v>231</v>
      </c>
      <c r="HB35" s="237" t="s">
        <v>231</v>
      </c>
      <c r="HC35" s="237" t="s">
        <v>231</v>
      </c>
      <c r="HD35" s="237" t="s">
        <v>231</v>
      </c>
      <c r="HE35" s="237" t="s">
        <v>231</v>
      </c>
      <c r="HF35" s="237" t="s">
        <v>231</v>
      </c>
      <c r="HG35" s="237" t="s">
        <v>231</v>
      </c>
      <c r="HH35" s="237" t="s">
        <v>231</v>
      </c>
      <c r="HI35" s="237" t="s">
        <v>231</v>
      </c>
      <c r="HJ35" s="237" t="s">
        <v>231</v>
      </c>
      <c r="HK35" s="237" t="s">
        <v>231</v>
      </c>
      <c r="HL35" s="237" t="s">
        <v>231</v>
      </c>
      <c r="HM35" s="237" t="s">
        <v>231</v>
      </c>
      <c r="HN35" s="237" t="s">
        <v>231</v>
      </c>
      <c r="HO35" s="237" t="s">
        <v>231</v>
      </c>
      <c r="HP35" s="237" t="s">
        <v>231</v>
      </c>
      <c r="HQ35" s="237" t="s">
        <v>492</v>
      </c>
      <c r="HR35" s="237" t="s">
        <v>492</v>
      </c>
      <c r="HS35" s="237" t="s">
        <v>492</v>
      </c>
      <c r="HT35" s="237" t="s">
        <v>492</v>
      </c>
      <c r="HU35" s="237" t="s">
        <v>231</v>
      </c>
      <c r="HV35" s="237" t="s">
        <v>231</v>
      </c>
      <c r="HW35" s="237" t="s">
        <v>231</v>
      </c>
      <c r="HX35" s="237" t="s">
        <v>231</v>
      </c>
      <c r="HY35" s="237" t="s">
        <v>231</v>
      </c>
      <c r="HZ35" s="237" t="s">
        <v>231</v>
      </c>
      <c r="IA35" s="237" t="s">
        <v>231</v>
      </c>
      <c r="IB35" s="237" t="s">
        <v>231</v>
      </c>
      <c r="IC35" s="237" t="s">
        <v>231</v>
      </c>
      <c r="ID35" s="237" t="s">
        <v>231</v>
      </c>
      <c r="IE35" s="237" t="s">
        <v>231</v>
      </c>
      <c r="IF35" s="237" t="s">
        <v>231</v>
      </c>
      <c r="IG35" s="237" t="s">
        <v>231</v>
      </c>
      <c r="IH35" s="237" t="s">
        <v>231</v>
      </c>
      <c r="II35" s="237" t="s">
        <v>231</v>
      </c>
      <c r="IJ35" s="237" t="s">
        <v>231</v>
      </c>
      <c r="IK35" s="237" t="s">
        <v>231</v>
      </c>
      <c r="IL35" s="237" t="s">
        <v>231</v>
      </c>
      <c r="IM35" s="237" t="s">
        <v>231</v>
      </c>
      <c r="IN35" s="237" t="s">
        <v>231</v>
      </c>
      <c r="IO35" s="237" t="s">
        <v>220</v>
      </c>
      <c r="IP35" s="237" t="s">
        <v>493</v>
      </c>
      <c r="IQ35" s="237" t="s">
        <v>219</v>
      </c>
      <c r="IR35" s="237" t="s">
        <v>490</v>
      </c>
      <c r="IS35" s="237" t="s">
        <v>231</v>
      </c>
      <c r="IT35" s="237" t="s">
        <v>231</v>
      </c>
    </row>
    <row r="36" spans="1:254" ht="15" x14ac:dyDescent="0.25">
      <c r="A36" s="259" t="str">
        <f>HYPERLINK("http://www.ofsted.gov.uk/inspection-reports/find-inspection-report/provider/ELS/144774 ","Ofsted School Webpage")</f>
        <v>Ofsted School Webpage</v>
      </c>
      <c r="B36" s="240">
        <v>144774</v>
      </c>
      <c r="C36" s="240">
        <v>3196000</v>
      </c>
      <c r="D36" s="240" t="s">
        <v>591</v>
      </c>
      <c r="E36" s="240" t="s">
        <v>248</v>
      </c>
      <c r="F36" s="240" t="s">
        <v>501</v>
      </c>
      <c r="G36" s="240" t="s">
        <v>506</v>
      </c>
      <c r="H36" s="240" t="s">
        <v>506</v>
      </c>
      <c r="I36" s="240" t="s">
        <v>592</v>
      </c>
      <c r="J36" s="240" t="s">
        <v>593</v>
      </c>
      <c r="K36" s="240" t="s">
        <v>93</v>
      </c>
      <c r="L36" s="240" t="s">
        <v>93</v>
      </c>
      <c r="M36" s="240" t="s">
        <v>93</v>
      </c>
      <c r="N36" s="240" t="s">
        <v>90</v>
      </c>
      <c r="O36" s="240" t="s">
        <v>486</v>
      </c>
      <c r="P36" s="240" t="s">
        <v>487</v>
      </c>
      <c r="Q36" s="241">
        <v>10054306</v>
      </c>
      <c r="R36" s="242">
        <v>43375</v>
      </c>
      <c r="S36" s="242">
        <v>43377</v>
      </c>
      <c r="T36" s="242">
        <v>43411</v>
      </c>
      <c r="U36" s="240" t="s">
        <v>499</v>
      </c>
      <c r="V36" s="240" t="s">
        <v>489</v>
      </c>
      <c r="W36" s="240">
        <v>2</v>
      </c>
      <c r="X36" s="240">
        <v>1</v>
      </c>
      <c r="Y36" s="240">
        <v>1</v>
      </c>
      <c r="Z36" s="240">
        <v>2</v>
      </c>
      <c r="AA36" s="240">
        <v>2</v>
      </c>
      <c r="AB36" s="240" t="s">
        <v>486</v>
      </c>
      <c r="AC36" s="240" t="s">
        <v>486</v>
      </c>
      <c r="AD36" s="240" t="s">
        <v>219</v>
      </c>
      <c r="AE36" s="240" t="s">
        <v>490</v>
      </c>
      <c r="AF36" s="240" t="s">
        <v>486</v>
      </c>
      <c r="AG36" s="240" t="s">
        <v>486</v>
      </c>
      <c r="AH36" s="240" t="s">
        <v>486</v>
      </c>
      <c r="AI36" s="240" t="s">
        <v>486</v>
      </c>
      <c r="AJ36" s="240" t="s">
        <v>486</v>
      </c>
      <c r="AK36" s="240" t="s">
        <v>486</v>
      </c>
      <c r="AL36" s="240" t="s">
        <v>486</v>
      </c>
      <c r="AM36" s="240" t="s">
        <v>491</v>
      </c>
      <c r="AN36" s="240" t="s">
        <v>231</v>
      </c>
      <c r="AO36" s="240" t="s">
        <v>231</v>
      </c>
      <c r="AP36" s="240" t="s">
        <v>231</v>
      </c>
      <c r="AQ36" s="240" t="s">
        <v>231</v>
      </c>
      <c r="AR36" s="240" t="s">
        <v>231</v>
      </c>
      <c r="AS36" s="240" t="s">
        <v>231</v>
      </c>
      <c r="AT36" s="240" t="s">
        <v>231</v>
      </c>
      <c r="AU36" s="240" t="s">
        <v>231</v>
      </c>
      <c r="AV36" s="240" t="s">
        <v>231</v>
      </c>
      <c r="AW36" s="240" t="s">
        <v>231</v>
      </c>
      <c r="AX36" s="240" t="s">
        <v>231</v>
      </c>
      <c r="AY36" s="240" t="s">
        <v>231</v>
      </c>
      <c r="AZ36" s="240" t="s">
        <v>231</v>
      </c>
      <c r="BA36" s="240" t="s">
        <v>231</v>
      </c>
      <c r="BB36" s="240" t="s">
        <v>231</v>
      </c>
      <c r="BC36" s="240" t="s">
        <v>231</v>
      </c>
      <c r="BD36" s="240" t="s">
        <v>492</v>
      </c>
      <c r="BE36" s="240" t="s">
        <v>231</v>
      </c>
      <c r="BF36" s="240" t="s">
        <v>231</v>
      </c>
      <c r="BG36" s="240" t="s">
        <v>231</v>
      </c>
      <c r="BH36" s="240" t="s">
        <v>231</v>
      </c>
      <c r="BI36" s="240" t="s">
        <v>231</v>
      </c>
      <c r="BJ36" s="240" t="s">
        <v>231</v>
      </c>
      <c r="BK36" s="240" t="s">
        <v>231</v>
      </c>
      <c r="BL36" s="240" t="s">
        <v>492</v>
      </c>
      <c r="BM36" s="240" t="s">
        <v>492</v>
      </c>
      <c r="BN36" s="240" t="s">
        <v>231</v>
      </c>
      <c r="BO36" s="240" t="s">
        <v>231</v>
      </c>
      <c r="BP36" s="240" t="s">
        <v>231</v>
      </c>
      <c r="BQ36" s="240" t="s">
        <v>231</v>
      </c>
      <c r="BR36" s="240" t="s">
        <v>231</v>
      </c>
      <c r="BS36" s="240" t="s">
        <v>231</v>
      </c>
      <c r="BT36" s="240" t="s">
        <v>231</v>
      </c>
      <c r="BU36" s="240" t="s">
        <v>231</v>
      </c>
      <c r="BV36" s="240" t="s">
        <v>231</v>
      </c>
      <c r="BW36" s="240" t="s">
        <v>231</v>
      </c>
      <c r="BX36" s="240" t="s">
        <v>231</v>
      </c>
      <c r="BY36" s="240" t="s">
        <v>231</v>
      </c>
      <c r="BZ36" s="240" t="s">
        <v>231</v>
      </c>
      <c r="CA36" s="240" t="s">
        <v>231</v>
      </c>
      <c r="CB36" s="240" t="s">
        <v>231</v>
      </c>
      <c r="CC36" s="240" t="s">
        <v>231</v>
      </c>
      <c r="CD36" s="240" t="s">
        <v>231</v>
      </c>
      <c r="CE36" s="240" t="s">
        <v>231</v>
      </c>
      <c r="CF36" s="240" t="s">
        <v>231</v>
      </c>
      <c r="CG36" s="240" t="s">
        <v>231</v>
      </c>
      <c r="CH36" s="240" t="s">
        <v>231</v>
      </c>
      <c r="CI36" s="240" t="s">
        <v>231</v>
      </c>
      <c r="CJ36" s="240" t="s">
        <v>231</v>
      </c>
      <c r="CK36" s="240" t="s">
        <v>231</v>
      </c>
      <c r="CL36" s="240" t="s">
        <v>231</v>
      </c>
      <c r="CM36" s="240" t="s">
        <v>231</v>
      </c>
      <c r="CN36" s="240" t="s">
        <v>231</v>
      </c>
      <c r="CO36" s="240" t="s">
        <v>231</v>
      </c>
      <c r="CP36" s="240" t="s">
        <v>231</v>
      </c>
      <c r="CQ36" s="240" t="s">
        <v>231</v>
      </c>
      <c r="CR36" s="240" t="s">
        <v>231</v>
      </c>
      <c r="CS36" s="240" t="s">
        <v>231</v>
      </c>
      <c r="CT36" s="240" t="s">
        <v>492</v>
      </c>
      <c r="CU36" s="240" t="s">
        <v>492</v>
      </c>
      <c r="CV36" s="240" t="s">
        <v>492</v>
      </c>
      <c r="CW36" s="240" t="s">
        <v>231</v>
      </c>
      <c r="CX36" s="240" t="s">
        <v>231</v>
      </c>
      <c r="CY36" s="240" t="s">
        <v>231</v>
      </c>
      <c r="CZ36" s="240" t="s">
        <v>231</v>
      </c>
      <c r="DA36" s="240" t="s">
        <v>231</v>
      </c>
      <c r="DB36" s="240" t="s">
        <v>231</v>
      </c>
      <c r="DC36" s="240" t="s">
        <v>231</v>
      </c>
      <c r="DD36" s="240" t="s">
        <v>231</v>
      </c>
      <c r="DE36" s="240" t="s">
        <v>231</v>
      </c>
      <c r="DF36" s="240" t="s">
        <v>231</v>
      </c>
      <c r="DG36" s="240" t="s">
        <v>231</v>
      </c>
      <c r="DH36" s="240" t="s">
        <v>231</v>
      </c>
      <c r="DI36" s="240" t="s">
        <v>231</v>
      </c>
      <c r="DJ36" s="240" t="s">
        <v>231</v>
      </c>
      <c r="DK36" s="240" t="s">
        <v>231</v>
      </c>
      <c r="DL36" s="240" t="s">
        <v>231</v>
      </c>
      <c r="DM36" s="240" t="s">
        <v>231</v>
      </c>
      <c r="DN36" s="240" t="s">
        <v>231</v>
      </c>
      <c r="DO36" s="240" t="s">
        <v>231</v>
      </c>
      <c r="DP36" s="240" t="s">
        <v>231</v>
      </c>
      <c r="DQ36" s="240" t="s">
        <v>231</v>
      </c>
      <c r="DR36" s="240" t="s">
        <v>231</v>
      </c>
      <c r="DS36" s="240" t="s">
        <v>231</v>
      </c>
      <c r="DT36" s="240" t="s">
        <v>492</v>
      </c>
      <c r="DU36" s="240" t="s">
        <v>231</v>
      </c>
      <c r="DV36" s="240" t="s">
        <v>231</v>
      </c>
      <c r="DW36" s="240" t="s">
        <v>231</v>
      </c>
      <c r="DX36" s="240" t="s">
        <v>231</v>
      </c>
      <c r="DY36" s="240" t="s">
        <v>231</v>
      </c>
      <c r="DZ36" s="240" t="s">
        <v>231</v>
      </c>
      <c r="EA36" s="240" t="s">
        <v>231</v>
      </c>
      <c r="EB36" s="240" t="s">
        <v>231</v>
      </c>
      <c r="EC36" s="240" t="s">
        <v>231</v>
      </c>
      <c r="ED36" s="240" t="s">
        <v>231</v>
      </c>
      <c r="EE36" s="240" t="s">
        <v>231</v>
      </c>
      <c r="EF36" s="240" t="s">
        <v>231</v>
      </c>
      <c r="EG36" s="240" t="s">
        <v>231</v>
      </c>
      <c r="EH36" s="240" t="s">
        <v>492</v>
      </c>
      <c r="EI36" s="240" t="s">
        <v>231</v>
      </c>
      <c r="EJ36" s="240" t="s">
        <v>231</v>
      </c>
      <c r="EK36" s="240" t="s">
        <v>231</v>
      </c>
      <c r="EL36" s="240" t="s">
        <v>231</v>
      </c>
      <c r="EM36" s="240" t="s">
        <v>231</v>
      </c>
      <c r="EN36" s="240" t="s">
        <v>231</v>
      </c>
      <c r="EO36" s="240" t="s">
        <v>231</v>
      </c>
      <c r="EP36" s="240" t="s">
        <v>231</v>
      </c>
      <c r="EQ36" s="240" t="s">
        <v>231</v>
      </c>
      <c r="ER36" s="240" t="s">
        <v>231</v>
      </c>
      <c r="ES36" s="240" t="s">
        <v>231</v>
      </c>
      <c r="ET36" s="240" t="s">
        <v>231</v>
      </c>
      <c r="EU36" s="240" t="s">
        <v>231</v>
      </c>
      <c r="EV36" s="240" t="s">
        <v>231</v>
      </c>
      <c r="EW36" s="240" t="s">
        <v>231</v>
      </c>
      <c r="EX36" s="240" t="s">
        <v>231</v>
      </c>
      <c r="EY36" s="240" t="s">
        <v>231</v>
      </c>
      <c r="EZ36" s="240" t="s">
        <v>231</v>
      </c>
      <c r="FA36" s="240" t="s">
        <v>231</v>
      </c>
      <c r="FB36" s="240" t="s">
        <v>231</v>
      </c>
      <c r="FC36" s="240" t="s">
        <v>231</v>
      </c>
      <c r="FD36" s="240" t="s">
        <v>231</v>
      </c>
      <c r="FE36" s="240" t="s">
        <v>231</v>
      </c>
      <c r="FF36" s="240" t="s">
        <v>492</v>
      </c>
      <c r="FG36" s="240" t="s">
        <v>231</v>
      </c>
      <c r="FH36" s="240" t="s">
        <v>231</v>
      </c>
      <c r="FI36" s="240" t="s">
        <v>231</v>
      </c>
      <c r="FJ36" s="240" t="s">
        <v>231</v>
      </c>
      <c r="FK36" s="240" t="s">
        <v>231</v>
      </c>
      <c r="FL36" s="240" t="s">
        <v>231</v>
      </c>
      <c r="FM36" s="240" t="s">
        <v>231</v>
      </c>
      <c r="FN36" s="240" t="s">
        <v>492</v>
      </c>
      <c r="FO36" s="240" t="s">
        <v>493</v>
      </c>
      <c r="FP36" s="240" t="s">
        <v>492</v>
      </c>
      <c r="FQ36" s="240" t="s">
        <v>231</v>
      </c>
      <c r="FR36" s="240" t="s">
        <v>231</v>
      </c>
      <c r="FS36" s="240" t="s">
        <v>231</v>
      </c>
      <c r="FT36" s="240" t="s">
        <v>231</v>
      </c>
      <c r="FU36" s="240" t="s">
        <v>231</v>
      </c>
      <c r="FV36" s="240" t="s">
        <v>231</v>
      </c>
      <c r="FW36" s="240" t="s">
        <v>231</v>
      </c>
      <c r="FX36" s="240" t="s">
        <v>492</v>
      </c>
      <c r="FY36" s="240" t="s">
        <v>231</v>
      </c>
      <c r="FZ36" s="240" t="s">
        <v>231</v>
      </c>
      <c r="GA36" s="240" t="s">
        <v>231</v>
      </c>
      <c r="GB36" s="240" t="s">
        <v>231</v>
      </c>
      <c r="GC36" s="240" t="s">
        <v>231</v>
      </c>
      <c r="GD36" s="240" t="s">
        <v>231</v>
      </c>
      <c r="GE36" s="240" t="s">
        <v>231</v>
      </c>
      <c r="GF36" s="240" t="s">
        <v>231</v>
      </c>
      <c r="GG36" s="240" t="s">
        <v>231</v>
      </c>
      <c r="GH36" s="240" t="s">
        <v>231</v>
      </c>
      <c r="GI36" s="240" t="s">
        <v>231</v>
      </c>
      <c r="GJ36" s="240" t="s">
        <v>231</v>
      </c>
      <c r="GK36" s="240" t="s">
        <v>231</v>
      </c>
      <c r="GL36" s="240" t="s">
        <v>231</v>
      </c>
      <c r="GM36" s="240" t="s">
        <v>231</v>
      </c>
      <c r="GN36" s="240" t="s">
        <v>231</v>
      </c>
      <c r="GO36" s="240" t="s">
        <v>231</v>
      </c>
      <c r="GP36" s="240" t="s">
        <v>492</v>
      </c>
      <c r="GQ36" s="240" t="s">
        <v>231</v>
      </c>
      <c r="GR36" s="240" t="s">
        <v>231</v>
      </c>
      <c r="GS36" s="240" t="s">
        <v>231</v>
      </c>
      <c r="GT36" s="240" t="s">
        <v>231</v>
      </c>
      <c r="GU36" s="240" t="s">
        <v>492</v>
      </c>
      <c r="GV36" s="240" t="s">
        <v>492</v>
      </c>
      <c r="GW36" s="240" t="s">
        <v>231</v>
      </c>
      <c r="GX36" s="240" t="s">
        <v>231</v>
      </c>
      <c r="GY36" s="240" t="s">
        <v>231</v>
      </c>
      <c r="GZ36" s="240" t="s">
        <v>231</v>
      </c>
      <c r="HA36" s="240" t="s">
        <v>231</v>
      </c>
      <c r="HB36" s="240" t="s">
        <v>231</v>
      </c>
      <c r="HC36" s="240" t="s">
        <v>231</v>
      </c>
      <c r="HD36" s="240" t="s">
        <v>231</v>
      </c>
      <c r="HE36" s="240" t="s">
        <v>492</v>
      </c>
      <c r="HF36" s="240" t="s">
        <v>231</v>
      </c>
      <c r="HG36" s="240" t="s">
        <v>492</v>
      </c>
      <c r="HH36" s="240" t="s">
        <v>231</v>
      </c>
      <c r="HI36" s="240" t="s">
        <v>231</v>
      </c>
      <c r="HJ36" s="240" t="s">
        <v>231</v>
      </c>
      <c r="HK36" s="240" t="s">
        <v>231</v>
      </c>
      <c r="HL36" s="240" t="s">
        <v>231</v>
      </c>
      <c r="HM36" s="240" t="s">
        <v>231</v>
      </c>
      <c r="HN36" s="240" t="s">
        <v>231</v>
      </c>
      <c r="HO36" s="240" t="s">
        <v>231</v>
      </c>
      <c r="HP36" s="240" t="s">
        <v>492</v>
      </c>
      <c r="HQ36" s="240" t="s">
        <v>492</v>
      </c>
      <c r="HR36" s="240" t="s">
        <v>492</v>
      </c>
      <c r="HS36" s="240" t="s">
        <v>492</v>
      </c>
      <c r="HT36" s="240" t="s">
        <v>492</v>
      </c>
      <c r="HU36" s="240" t="s">
        <v>231</v>
      </c>
      <c r="HV36" s="240" t="s">
        <v>231</v>
      </c>
      <c r="HW36" s="240" t="s">
        <v>231</v>
      </c>
      <c r="HX36" s="240" t="s">
        <v>231</v>
      </c>
      <c r="HY36" s="240" t="s">
        <v>231</v>
      </c>
      <c r="HZ36" s="240" t="s">
        <v>231</v>
      </c>
      <c r="IA36" s="240" t="s">
        <v>231</v>
      </c>
      <c r="IB36" s="240" t="s">
        <v>231</v>
      </c>
      <c r="IC36" s="240" t="s">
        <v>231</v>
      </c>
      <c r="ID36" s="240" t="s">
        <v>231</v>
      </c>
      <c r="IE36" s="240" t="s">
        <v>231</v>
      </c>
      <c r="IF36" s="240" t="s">
        <v>231</v>
      </c>
      <c r="IG36" s="240" t="s">
        <v>231</v>
      </c>
      <c r="IH36" s="240" t="s">
        <v>231</v>
      </c>
      <c r="II36" s="240" t="s">
        <v>231</v>
      </c>
      <c r="IJ36" s="240" t="s">
        <v>231</v>
      </c>
      <c r="IK36" s="240" t="s">
        <v>231</v>
      </c>
      <c r="IL36" s="240" t="s">
        <v>231</v>
      </c>
      <c r="IM36" s="240" t="s">
        <v>231</v>
      </c>
      <c r="IN36" s="240" t="s">
        <v>231</v>
      </c>
      <c r="IO36" s="240" t="s">
        <v>220</v>
      </c>
      <c r="IP36" s="240" t="s">
        <v>493</v>
      </c>
      <c r="IQ36" s="240" t="s">
        <v>219</v>
      </c>
      <c r="IR36" s="240" t="s">
        <v>490</v>
      </c>
      <c r="IS36" s="240" t="s">
        <v>492</v>
      </c>
      <c r="IT36" s="240" t="s">
        <v>492</v>
      </c>
    </row>
    <row r="37" spans="1:254" ht="15" x14ac:dyDescent="0.25">
      <c r="A37" s="258" t="str">
        <f>HYPERLINK("http://www.ofsted.gov.uk/inspection-reports/find-inspection-report/provider/ELS/102168 ","Ofsted School Webpage")</f>
        <v>Ofsted School Webpage</v>
      </c>
      <c r="B37" s="237">
        <v>102168</v>
      </c>
      <c r="C37" s="237">
        <v>3096066</v>
      </c>
      <c r="D37" s="237" t="s">
        <v>594</v>
      </c>
      <c r="E37" s="237" t="s">
        <v>247</v>
      </c>
      <c r="F37" s="237" t="s">
        <v>482</v>
      </c>
      <c r="G37" s="237" t="s">
        <v>506</v>
      </c>
      <c r="H37" s="237" t="s">
        <v>506</v>
      </c>
      <c r="I37" s="237" t="s">
        <v>595</v>
      </c>
      <c r="J37" s="237" t="s">
        <v>596</v>
      </c>
      <c r="K37" s="237" t="s">
        <v>93</v>
      </c>
      <c r="L37" s="237" t="s">
        <v>93</v>
      </c>
      <c r="M37" s="237" t="s">
        <v>93</v>
      </c>
      <c r="N37" s="237" t="s">
        <v>90</v>
      </c>
      <c r="O37" s="237" t="s">
        <v>486</v>
      </c>
      <c r="P37" s="237" t="s">
        <v>487</v>
      </c>
      <c r="Q37" s="238">
        <v>10055400</v>
      </c>
      <c r="R37" s="239">
        <v>43375</v>
      </c>
      <c r="S37" s="239">
        <v>43377</v>
      </c>
      <c r="T37" s="239">
        <v>43454</v>
      </c>
      <c r="U37" s="237" t="s">
        <v>488</v>
      </c>
      <c r="V37" s="237" t="s">
        <v>489</v>
      </c>
      <c r="W37" s="237">
        <v>4</v>
      </c>
      <c r="X37" s="237">
        <v>4</v>
      </c>
      <c r="Y37" s="237">
        <v>3</v>
      </c>
      <c r="Z37" s="237">
        <v>4</v>
      </c>
      <c r="AA37" s="237">
        <v>4</v>
      </c>
      <c r="AB37" s="237">
        <v>4</v>
      </c>
      <c r="AC37" s="237" t="s">
        <v>486</v>
      </c>
      <c r="AD37" s="237" t="s">
        <v>219</v>
      </c>
      <c r="AE37" s="237" t="s">
        <v>490</v>
      </c>
      <c r="AF37" s="237" t="s">
        <v>486</v>
      </c>
      <c r="AG37" s="237" t="s">
        <v>486</v>
      </c>
      <c r="AH37" s="237" t="s">
        <v>486</v>
      </c>
      <c r="AI37" s="237" t="s">
        <v>486</v>
      </c>
      <c r="AJ37" s="237" t="s">
        <v>486</v>
      </c>
      <c r="AK37" s="237" t="s">
        <v>486</v>
      </c>
      <c r="AL37" s="237" t="s">
        <v>486</v>
      </c>
      <c r="AM37" s="237" t="s">
        <v>545</v>
      </c>
      <c r="AN37" s="237" t="s">
        <v>546</v>
      </c>
      <c r="AO37" s="237" t="s">
        <v>231</v>
      </c>
      <c r="AP37" s="237" t="s">
        <v>231</v>
      </c>
      <c r="AQ37" s="237" t="s">
        <v>231</v>
      </c>
      <c r="AR37" s="237" t="s">
        <v>231</v>
      </c>
      <c r="AS37" s="237" t="s">
        <v>231</v>
      </c>
      <c r="AT37" s="237" t="s">
        <v>231</v>
      </c>
      <c r="AU37" s="237" t="s">
        <v>546</v>
      </c>
      <c r="AV37" s="237" t="s">
        <v>232</v>
      </c>
      <c r="AW37" s="237" t="s">
        <v>232</v>
      </c>
      <c r="AX37" s="237" t="s">
        <v>232</v>
      </c>
      <c r="AY37" s="237" t="s">
        <v>232</v>
      </c>
      <c r="AZ37" s="237" t="s">
        <v>231</v>
      </c>
      <c r="BA37" s="237" t="s">
        <v>231</v>
      </c>
      <c r="BB37" s="237" t="s">
        <v>231</v>
      </c>
      <c r="BC37" s="237" t="s">
        <v>231</v>
      </c>
      <c r="BD37" s="237" t="s">
        <v>492</v>
      </c>
      <c r="BE37" s="237" t="s">
        <v>231</v>
      </c>
      <c r="BF37" s="237" t="s">
        <v>231</v>
      </c>
      <c r="BG37" s="237" t="s">
        <v>231</v>
      </c>
      <c r="BH37" s="237" t="s">
        <v>492</v>
      </c>
      <c r="BI37" s="237" t="s">
        <v>492</v>
      </c>
      <c r="BJ37" s="237" t="s">
        <v>492</v>
      </c>
      <c r="BK37" s="237" t="s">
        <v>492</v>
      </c>
      <c r="BL37" s="237" t="s">
        <v>231</v>
      </c>
      <c r="BM37" s="237" t="s">
        <v>492</v>
      </c>
      <c r="BN37" s="237" t="s">
        <v>231</v>
      </c>
      <c r="BO37" s="237" t="s">
        <v>231</v>
      </c>
      <c r="BP37" s="237" t="s">
        <v>232</v>
      </c>
      <c r="BQ37" s="237" t="s">
        <v>232</v>
      </c>
      <c r="BR37" s="237" t="s">
        <v>231</v>
      </c>
      <c r="BS37" s="237" t="s">
        <v>232</v>
      </c>
      <c r="BT37" s="237" t="s">
        <v>232</v>
      </c>
      <c r="BU37" s="237" t="s">
        <v>232</v>
      </c>
      <c r="BV37" s="237" t="s">
        <v>232</v>
      </c>
      <c r="BW37" s="237" t="s">
        <v>232</v>
      </c>
      <c r="BX37" s="237" t="s">
        <v>231</v>
      </c>
      <c r="BY37" s="237" t="s">
        <v>231</v>
      </c>
      <c r="BZ37" s="237" t="s">
        <v>231</v>
      </c>
      <c r="CA37" s="237" t="s">
        <v>231</v>
      </c>
      <c r="CB37" s="237" t="s">
        <v>231</v>
      </c>
      <c r="CC37" s="237" t="s">
        <v>231</v>
      </c>
      <c r="CD37" s="237" t="s">
        <v>231</v>
      </c>
      <c r="CE37" s="237" t="s">
        <v>231</v>
      </c>
      <c r="CF37" s="237" t="s">
        <v>231</v>
      </c>
      <c r="CG37" s="237" t="s">
        <v>231</v>
      </c>
      <c r="CH37" s="237" t="s">
        <v>231</v>
      </c>
      <c r="CI37" s="237" t="s">
        <v>231</v>
      </c>
      <c r="CJ37" s="237" t="s">
        <v>231</v>
      </c>
      <c r="CK37" s="237" t="s">
        <v>231</v>
      </c>
      <c r="CL37" s="237" t="s">
        <v>231</v>
      </c>
      <c r="CM37" s="237" t="s">
        <v>231</v>
      </c>
      <c r="CN37" s="237" t="s">
        <v>231</v>
      </c>
      <c r="CO37" s="237" t="s">
        <v>231</v>
      </c>
      <c r="CP37" s="237" t="s">
        <v>231</v>
      </c>
      <c r="CQ37" s="237" t="s">
        <v>231</v>
      </c>
      <c r="CR37" s="237" t="s">
        <v>231</v>
      </c>
      <c r="CS37" s="237" t="s">
        <v>231</v>
      </c>
      <c r="CT37" s="237" t="s">
        <v>492</v>
      </c>
      <c r="CU37" s="237" t="s">
        <v>492</v>
      </c>
      <c r="CV37" s="237" t="s">
        <v>492</v>
      </c>
      <c r="CW37" s="237" t="s">
        <v>231</v>
      </c>
      <c r="CX37" s="237" t="s">
        <v>231</v>
      </c>
      <c r="CY37" s="237" t="s">
        <v>231</v>
      </c>
      <c r="CZ37" s="237" t="s">
        <v>492</v>
      </c>
      <c r="DA37" s="237" t="s">
        <v>231</v>
      </c>
      <c r="DB37" s="237" t="s">
        <v>231</v>
      </c>
      <c r="DC37" s="237" t="s">
        <v>231</v>
      </c>
      <c r="DD37" s="237" t="s">
        <v>231</v>
      </c>
      <c r="DE37" s="237" t="s">
        <v>231</v>
      </c>
      <c r="DF37" s="237" t="s">
        <v>231</v>
      </c>
      <c r="DG37" s="237" t="s">
        <v>231</v>
      </c>
      <c r="DH37" s="237" t="s">
        <v>231</v>
      </c>
      <c r="DI37" s="237" t="s">
        <v>231</v>
      </c>
      <c r="DJ37" s="237" t="s">
        <v>231</v>
      </c>
      <c r="DK37" s="237" t="s">
        <v>231</v>
      </c>
      <c r="DL37" s="237" t="s">
        <v>231</v>
      </c>
      <c r="DM37" s="237" t="s">
        <v>231</v>
      </c>
      <c r="DN37" s="237" t="s">
        <v>231</v>
      </c>
      <c r="DO37" s="237" t="s">
        <v>231</v>
      </c>
      <c r="DP37" s="237" t="s">
        <v>231</v>
      </c>
      <c r="DQ37" s="237" t="s">
        <v>231</v>
      </c>
      <c r="DR37" s="237" t="s">
        <v>231</v>
      </c>
      <c r="DS37" s="237" t="s">
        <v>231</v>
      </c>
      <c r="DT37" s="237" t="s">
        <v>492</v>
      </c>
      <c r="DU37" s="237" t="s">
        <v>231</v>
      </c>
      <c r="DV37" s="237" t="s">
        <v>492</v>
      </c>
      <c r="DW37" s="237" t="s">
        <v>492</v>
      </c>
      <c r="DX37" s="237" t="s">
        <v>492</v>
      </c>
      <c r="DY37" s="237" t="s">
        <v>492</v>
      </c>
      <c r="DZ37" s="237" t="s">
        <v>492</v>
      </c>
      <c r="EA37" s="237" t="s">
        <v>492</v>
      </c>
      <c r="EB37" s="237" t="s">
        <v>492</v>
      </c>
      <c r="EC37" s="237" t="s">
        <v>492</v>
      </c>
      <c r="ED37" s="237" t="s">
        <v>492</v>
      </c>
      <c r="EE37" s="237" t="s">
        <v>492</v>
      </c>
      <c r="EF37" s="237" t="s">
        <v>492</v>
      </c>
      <c r="EG37" s="237" t="s">
        <v>492</v>
      </c>
      <c r="EH37" s="237" t="s">
        <v>492</v>
      </c>
      <c r="EI37" s="237" t="s">
        <v>492</v>
      </c>
      <c r="EJ37" s="237" t="s">
        <v>231</v>
      </c>
      <c r="EK37" s="237" t="s">
        <v>231</v>
      </c>
      <c r="EL37" s="237" t="s">
        <v>231</v>
      </c>
      <c r="EM37" s="237" t="s">
        <v>231</v>
      </c>
      <c r="EN37" s="237" t="s">
        <v>231</v>
      </c>
      <c r="EO37" s="237" t="s">
        <v>231</v>
      </c>
      <c r="EP37" s="237" t="s">
        <v>231</v>
      </c>
      <c r="EQ37" s="237" t="s">
        <v>231</v>
      </c>
      <c r="ER37" s="237" t="s">
        <v>231</v>
      </c>
      <c r="ES37" s="237" t="s">
        <v>231</v>
      </c>
      <c r="ET37" s="237" t="s">
        <v>231</v>
      </c>
      <c r="EU37" s="237" t="s">
        <v>231</v>
      </c>
      <c r="EV37" s="237" t="s">
        <v>231</v>
      </c>
      <c r="EW37" s="237" t="s">
        <v>231</v>
      </c>
      <c r="EX37" s="237" t="s">
        <v>231</v>
      </c>
      <c r="EY37" s="237" t="s">
        <v>231</v>
      </c>
      <c r="EZ37" s="237" t="s">
        <v>231</v>
      </c>
      <c r="FA37" s="237" t="s">
        <v>231</v>
      </c>
      <c r="FB37" s="237" t="s">
        <v>231</v>
      </c>
      <c r="FC37" s="237" t="s">
        <v>231</v>
      </c>
      <c r="FD37" s="237" t="s">
        <v>231</v>
      </c>
      <c r="FE37" s="237" t="s">
        <v>231</v>
      </c>
      <c r="FF37" s="237" t="s">
        <v>231</v>
      </c>
      <c r="FG37" s="237" t="s">
        <v>492</v>
      </c>
      <c r="FH37" s="237" t="s">
        <v>492</v>
      </c>
      <c r="FI37" s="237" t="s">
        <v>492</v>
      </c>
      <c r="FJ37" s="237" t="s">
        <v>492</v>
      </c>
      <c r="FK37" s="237" t="s">
        <v>492</v>
      </c>
      <c r="FL37" s="237" t="s">
        <v>492</v>
      </c>
      <c r="FM37" s="237" t="s">
        <v>231</v>
      </c>
      <c r="FN37" s="237" t="s">
        <v>231</v>
      </c>
      <c r="FO37" s="237" t="s">
        <v>231</v>
      </c>
      <c r="FP37" s="237" t="s">
        <v>231</v>
      </c>
      <c r="FQ37" s="237" t="s">
        <v>231</v>
      </c>
      <c r="FR37" s="237" t="s">
        <v>231</v>
      </c>
      <c r="FS37" s="237" t="s">
        <v>231</v>
      </c>
      <c r="FT37" s="237" t="s">
        <v>492</v>
      </c>
      <c r="FU37" s="237" t="s">
        <v>231</v>
      </c>
      <c r="FV37" s="237" t="s">
        <v>231</v>
      </c>
      <c r="FW37" s="237" t="s">
        <v>231</v>
      </c>
      <c r="FX37" s="237" t="s">
        <v>492</v>
      </c>
      <c r="FY37" s="237" t="s">
        <v>492</v>
      </c>
      <c r="FZ37" s="237" t="s">
        <v>231</v>
      </c>
      <c r="GA37" s="237" t="s">
        <v>231</v>
      </c>
      <c r="GB37" s="237" t="s">
        <v>231</v>
      </c>
      <c r="GC37" s="237" t="s">
        <v>231</v>
      </c>
      <c r="GD37" s="237" t="s">
        <v>231</v>
      </c>
      <c r="GE37" s="237" t="s">
        <v>231</v>
      </c>
      <c r="GF37" s="237" t="s">
        <v>231</v>
      </c>
      <c r="GG37" s="237" t="s">
        <v>231</v>
      </c>
      <c r="GH37" s="237" t="s">
        <v>231</v>
      </c>
      <c r="GI37" s="237" t="s">
        <v>231</v>
      </c>
      <c r="GJ37" s="237" t="s">
        <v>231</v>
      </c>
      <c r="GK37" s="237" t="s">
        <v>231</v>
      </c>
      <c r="GL37" s="237" t="s">
        <v>231</v>
      </c>
      <c r="GM37" s="237" t="s">
        <v>231</v>
      </c>
      <c r="GN37" s="237" t="s">
        <v>231</v>
      </c>
      <c r="GO37" s="237" t="s">
        <v>231</v>
      </c>
      <c r="GP37" s="237" t="s">
        <v>492</v>
      </c>
      <c r="GQ37" s="237" t="s">
        <v>231</v>
      </c>
      <c r="GR37" s="237" t="s">
        <v>231</v>
      </c>
      <c r="GS37" s="237" t="s">
        <v>231</v>
      </c>
      <c r="GT37" s="237" t="s">
        <v>231</v>
      </c>
      <c r="GU37" s="237" t="s">
        <v>231</v>
      </c>
      <c r="GV37" s="237" t="s">
        <v>231</v>
      </c>
      <c r="GW37" s="237" t="s">
        <v>231</v>
      </c>
      <c r="GX37" s="237" t="s">
        <v>231</v>
      </c>
      <c r="GY37" s="237" t="s">
        <v>492</v>
      </c>
      <c r="GZ37" s="237" t="s">
        <v>492</v>
      </c>
      <c r="HA37" s="237" t="s">
        <v>231</v>
      </c>
      <c r="HB37" s="237" t="s">
        <v>231</v>
      </c>
      <c r="HC37" s="237" t="s">
        <v>231</v>
      </c>
      <c r="HD37" s="237" t="s">
        <v>231</v>
      </c>
      <c r="HE37" s="237" t="s">
        <v>492</v>
      </c>
      <c r="HF37" s="237" t="s">
        <v>231</v>
      </c>
      <c r="HG37" s="237" t="s">
        <v>231</v>
      </c>
      <c r="HH37" s="237" t="s">
        <v>231</v>
      </c>
      <c r="HI37" s="237" t="s">
        <v>231</v>
      </c>
      <c r="HJ37" s="237" t="s">
        <v>231</v>
      </c>
      <c r="HK37" s="237" t="s">
        <v>492</v>
      </c>
      <c r="HL37" s="237" t="s">
        <v>231</v>
      </c>
      <c r="HM37" s="237" t="s">
        <v>231</v>
      </c>
      <c r="HN37" s="237" t="s">
        <v>231</v>
      </c>
      <c r="HO37" s="237" t="s">
        <v>231</v>
      </c>
      <c r="HP37" s="237" t="s">
        <v>231</v>
      </c>
      <c r="HQ37" s="237" t="s">
        <v>231</v>
      </c>
      <c r="HR37" s="237" t="s">
        <v>492</v>
      </c>
      <c r="HS37" s="237" t="s">
        <v>492</v>
      </c>
      <c r="HT37" s="237" t="s">
        <v>492</v>
      </c>
      <c r="HU37" s="237" t="s">
        <v>231</v>
      </c>
      <c r="HV37" s="237" t="s">
        <v>231</v>
      </c>
      <c r="HW37" s="237" t="s">
        <v>231</v>
      </c>
      <c r="HX37" s="237" t="s">
        <v>231</v>
      </c>
      <c r="HY37" s="237" t="s">
        <v>231</v>
      </c>
      <c r="HZ37" s="237" t="s">
        <v>231</v>
      </c>
      <c r="IA37" s="237" t="s">
        <v>231</v>
      </c>
      <c r="IB37" s="237" t="s">
        <v>231</v>
      </c>
      <c r="IC37" s="237" t="s">
        <v>231</v>
      </c>
      <c r="ID37" s="237" t="s">
        <v>231</v>
      </c>
      <c r="IE37" s="237" t="s">
        <v>231</v>
      </c>
      <c r="IF37" s="237" t="s">
        <v>231</v>
      </c>
      <c r="IG37" s="237" t="s">
        <v>231</v>
      </c>
      <c r="IH37" s="237" t="s">
        <v>231</v>
      </c>
      <c r="II37" s="237" t="s">
        <v>231</v>
      </c>
      <c r="IJ37" s="237" t="s">
        <v>231</v>
      </c>
      <c r="IK37" s="237" t="s">
        <v>232</v>
      </c>
      <c r="IL37" s="237" t="s">
        <v>232</v>
      </c>
      <c r="IM37" s="237" t="s">
        <v>232</v>
      </c>
      <c r="IN37" s="237" t="s">
        <v>231</v>
      </c>
      <c r="IO37" s="237" t="s">
        <v>220</v>
      </c>
      <c r="IP37" s="237" t="s">
        <v>493</v>
      </c>
      <c r="IQ37" s="237" t="s">
        <v>597</v>
      </c>
      <c r="IR37" s="237" t="s">
        <v>490</v>
      </c>
      <c r="IS37" s="237" t="s">
        <v>231</v>
      </c>
      <c r="IT37" s="237" t="s">
        <v>232</v>
      </c>
    </row>
    <row r="38" spans="1:254" ht="15" x14ac:dyDescent="0.25">
      <c r="A38" s="259" t="str">
        <f>HYPERLINK("http://www.ofsted.gov.uk/inspection-reports/find-inspection-report/provider/ELS/145479 ","Ofsted School Webpage")</f>
        <v>Ofsted School Webpage</v>
      </c>
      <c r="B38" s="240">
        <v>145479</v>
      </c>
      <c r="C38" s="240">
        <v>8506094</v>
      </c>
      <c r="D38" s="240" t="s">
        <v>598</v>
      </c>
      <c r="E38" s="240" t="s">
        <v>248</v>
      </c>
      <c r="F38" s="240" t="s">
        <v>501</v>
      </c>
      <c r="G38" s="240" t="s">
        <v>581</v>
      </c>
      <c r="H38" s="240" t="s">
        <v>581</v>
      </c>
      <c r="I38" s="240" t="s">
        <v>582</v>
      </c>
      <c r="J38" s="240" t="s">
        <v>599</v>
      </c>
      <c r="K38" s="240" t="s">
        <v>93</v>
      </c>
      <c r="L38" s="240" t="s">
        <v>93</v>
      </c>
      <c r="M38" s="240" t="s">
        <v>93</v>
      </c>
      <c r="N38" s="240" t="s">
        <v>90</v>
      </c>
      <c r="O38" s="240" t="s">
        <v>486</v>
      </c>
      <c r="P38" s="240" t="s">
        <v>487</v>
      </c>
      <c r="Q38" s="241">
        <v>10054088</v>
      </c>
      <c r="R38" s="242">
        <v>43376</v>
      </c>
      <c r="S38" s="242">
        <v>43378</v>
      </c>
      <c r="T38" s="242">
        <v>43415</v>
      </c>
      <c r="U38" s="240" t="s">
        <v>499</v>
      </c>
      <c r="V38" s="240" t="s">
        <v>489</v>
      </c>
      <c r="W38" s="240">
        <v>1</v>
      </c>
      <c r="X38" s="240">
        <v>1</v>
      </c>
      <c r="Y38" s="240">
        <v>1</v>
      </c>
      <c r="Z38" s="240">
        <v>1</v>
      </c>
      <c r="AA38" s="240">
        <v>1</v>
      </c>
      <c r="AB38" s="240" t="s">
        <v>486</v>
      </c>
      <c r="AC38" s="240" t="s">
        <v>486</v>
      </c>
      <c r="AD38" s="240" t="s">
        <v>219</v>
      </c>
      <c r="AE38" s="240" t="s">
        <v>490</v>
      </c>
      <c r="AF38" s="240" t="s">
        <v>486</v>
      </c>
      <c r="AG38" s="240" t="s">
        <v>486</v>
      </c>
      <c r="AH38" s="240" t="s">
        <v>486</v>
      </c>
      <c r="AI38" s="240" t="s">
        <v>486</v>
      </c>
      <c r="AJ38" s="240" t="s">
        <v>486</v>
      </c>
      <c r="AK38" s="240" t="s">
        <v>486</v>
      </c>
      <c r="AL38" s="240" t="s">
        <v>486</v>
      </c>
      <c r="AM38" s="240" t="s">
        <v>491</v>
      </c>
      <c r="AN38" s="240" t="s">
        <v>231</v>
      </c>
      <c r="AO38" s="240" t="s">
        <v>231</v>
      </c>
      <c r="AP38" s="240" t="s">
        <v>231</v>
      </c>
      <c r="AQ38" s="240" t="s">
        <v>231</v>
      </c>
      <c r="AR38" s="240" t="s">
        <v>231</v>
      </c>
      <c r="AS38" s="240" t="s">
        <v>231</v>
      </c>
      <c r="AT38" s="240" t="s">
        <v>231</v>
      </c>
      <c r="AU38" s="240" t="s">
        <v>231</v>
      </c>
      <c r="AV38" s="240" t="s">
        <v>231</v>
      </c>
      <c r="AW38" s="240" t="s">
        <v>231</v>
      </c>
      <c r="AX38" s="240" t="s">
        <v>231</v>
      </c>
      <c r="AY38" s="240" t="s">
        <v>231</v>
      </c>
      <c r="AZ38" s="240" t="s">
        <v>231</v>
      </c>
      <c r="BA38" s="240" t="s">
        <v>231</v>
      </c>
      <c r="BB38" s="240" t="s">
        <v>231</v>
      </c>
      <c r="BC38" s="240" t="s">
        <v>231</v>
      </c>
      <c r="BD38" s="240" t="s">
        <v>492</v>
      </c>
      <c r="BE38" s="240" t="s">
        <v>231</v>
      </c>
      <c r="BF38" s="240" t="s">
        <v>231</v>
      </c>
      <c r="BG38" s="240" t="s">
        <v>231</v>
      </c>
      <c r="BH38" s="240" t="s">
        <v>231</v>
      </c>
      <c r="BI38" s="240" t="s">
        <v>231</v>
      </c>
      <c r="BJ38" s="240" t="s">
        <v>231</v>
      </c>
      <c r="BK38" s="240" t="s">
        <v>231</v>
      </c>
      <c r="BL38" s="240" t="s">
        <v>492</v>
      </c>
      <c r="BM38" s="240" t="s">
        <v>492</v>
      </c>
      <c r="BN38" s="240" t="s">
        <v>231</v>
      </c>
      <c r="BO38" s="240" t="s">
        <v>231</v>
      </c>
      <c r="BP38" s="240" t="s">
        <v>231</v>
      </c>
      <c r="BQ38" s="240" t="s">
        <v>231</v>
      </c>
      <c r="BR38" s="240" t="s">
        <v>231</v>
      </c>
      <c r="BS38" s="240" t="s">
        <v>231</v>
      </c>
      <c r="BT38" s="240" t="s">
        <v>231</v>
      </c>
      <c r="BU38" s="240" t="s">
        <v>231</v>
      </c>
      <c r="BV38" s="240" t="s">
        <v>231</v>
      </c>
      <c r="BW38" s="240" t="s">
        <v>231</v>
      </c>
      <c r="BX38" s="240" t="s">
        <v>231</v>
      </c>
      <c r="BY38" s="240" t="s">
        <v>231</v>
      </c>
      <c r="BZ38" s="240" t="s">
        <v>231</v>
      </c>
      <c r="CA38" s="240" t="s">
        <v>231</v>
      </c>
      <c r="CB38" s="240" t="s">
        <v>231</v>
      </c>
      <c r="CC38" s="240" t="s">
        <v>231</v>
      </c>
      <c r="CD38" s="240" t="s">
        <v>231</v>
      </c>
      <c r="CE38" s="240" t="s">
        <v>231</v>
      </c>
      <c r="CF38" s="240" t="s">
        <v>231</v>
      </c>
      <c r="CG38" s="240" t="s">
        <v>231</v>
      </c>
      <c r="CH38" s="240" t="s">
        <v>231</v>
      </c>
      <c r="CI38" s="240" t="s">
        <v>231</v>
      </c>
      <c r="CJ38" s="240" t="s">
        <v>231</v>
      </c>
      <c r="CK38" s="240" t="s">
        <v>231</v>
      </c>
      <c r="CL38" s="240" t="s">
        <v>231</v>
      </c>
      <c r="CM38" s="240" t="s">
        <v>231</v>
      </c>
      <c r="CN38" s="240" t="s">
        <v>231</v>
      </c>
      <c r="CO38" s="240" t="s">
        <v>231</v>
      </c>
      <c r="CP38" s="240" t="s">
        <v>231</v>
      </c>
      <c r="CQ38" s="240" t="s">
        <v>231</v>
      </c>
      <c r="CR38" s="240" t="s">
        <v>231</v>
      </c>
      <c r="CS38" s="240" t="s">
        <v>231</v>
      </c>
      <c r="CT38" s="240" t="s">
        <v>492</v>
      </c>
      <c r="CU38" s="240" t="s">
        <v>492</v>
      </c>
      <c r="CV38" s="240" t="s">
        <v>492</v>
      </c>
      <c r="CW38" s="240" t="s">
        <v>231</v>
      </c>
      <c r="CX38" s="240" t="s">
        <v>231</v>
      </c>
      <c r="CY38" s="240" t="s">
        <v>231</v>
      </c>
      <c r="CZ38" s="240" t="s">
        <v>231</v>
      </c>
      <c r="DA38" s="240" t="s">
        <v>231</v>
      </c>
      <c r="DB38" s="240" t="s">
        <v>231</v>
      </c>
      <c r="DC38" s="240" t="s">
        <v>231</v>
      </c>
      <c r="DD38" s="240" t="s">
        <v>231</v>
      </c>
      <c r="DE38" s="240" t="s">
        <v>231</v>
      </c>
      <c r="DF38" s="240" t="s">
        <v>231</v>
      </c>
      <c r="DG38" s="240" t="s">
        <v>231</v>
      </c>
      <c r="DH38" s="240" t="s">
        <v>231</v>
      </c>
      <c r="DI38" s="240" t="s">
        <v>231</v>
      </c>
      <c r="DJ38" s="240" t="s">
        <v>231</v>
      </c>
      <c r="DK38" s="240" t="s">
        <v>231</v>
      </c>
      <c r="DL38" s="240" t="s">
        <v>231</v>
      </c>
      <c r="DM38" s="240" t="s">
        <v>231</v>
      </c>
      <c r="DN38" s="240" t="s">
        <v>231</v>
      </c>
      <c r="DO38" s="240" t="s">
        <v>231</v>
      </c>
      <c r="DP38" s="240" t="s">
        <v>231</v>
      </c>
      <c r="DQ38" s="240" t="s">
        <v>231</v>
      </c>
      <c r="DR38" s="240" t="s">
        <v>231</v>
      </c>
      <c r="DS38" s="240" t="s">
        <v>231</v>
      </c>
      <c r="DT38" s="240" t="s">
        <v>492</v>
      </c>
      <c r="DU38" s="240" t="s">
        <v>231</v>
      </c>
      <c r="DV38" s="240" t="s">
        <v>231</v>
      </c>
      <c r="DW38" s="240" t="s">
        <v>231</v>
      </c>
      <c r="DX38" s="240" t="s">
        <v>231</v>
      </c>
      <c r="DY38" s="240" t="s">
        <v>231</v>
      </c>
      <c r="DZ38" s="240" t="s">
        <v>231</v>
      </c>
      <c r="EA38" s="240" t="s">
        <v>231</v>
      </c>
      <c r="EB38" s="240" t="s">
        <v>231</v>
      </c>
      <c r="EC38" s="240" t="s">
        <v>231</v>
      </c>
      <c r="ED38" s="240" t="s">
        <v>231</v>
      </c>
      <c r="EE38" s="240" t="s">
        <v>231</v>
      </c>
      <c r="EF38" s="240" t="s">
        <v>231</v>
      </c>
      <c r="EG38" s="240" t="s">
        <v>231</v>
      </c>
      <c r="EH38" s="240" t="s">
        <v>492</v>
      </c>
      <c r="EI38" s="240" t="s">
        <v>231</v>
      </c>
      <c r="EJ38" s="240" t="s">
        <v>231</v>
      </c>
      <c r="EK38" s="240" t="s">
        <v>231</v>
      </c>
      <c r="EL38" s="240" t="s">
        <v>231</v>
      </c>
      <c r="EM38" s="240" t="s">
        <v>231</v>
      </c>
      <c r="EN38" s="240" t="s">
        <v>231</v>
      </c>
      <c r="EO38" s="240" t="s">
        <v>231</v>
      </c>
      <c r="EP38" s="240" t="s">
        <v>231</v>
      </c>
      <c r="EQ38" s="240" t="s">
        <v>492</v>
      </c>
      <c r="ER38" s="240" t="s">
        <v>492</v>
      </c>
      <c r="ES38" s="240" t="s">
        <v>231</v>
      </c>
      <c r="ET38" s="240" t="s">
        <v>231</v>
      </c>
      <c r="EU38" s="240" t="s">
        <v>231</v>
      </c>
      <c r="EV38" s="240" t="s">
        <v>231</v>
      </c>
      <c r="EW38" s="240" t="s">
        <v>231</v>
      </c>
      <c r="EX38" s="240" t="s">
        <v>231</v>
      </c>
      <c r="EY38" s="240" t="s">
        <v>231</v>
      </c>
      <c r="EZ38" s="240" t="s">
        <v>231</v>
      </c>
      <c r="FA38" s="240" t="s">
        <v>231</v>
      </c>
      <c r="FB38" s="240" t="s">
        <v>231</v>
      </c>
      <c r="FC38" s="240" t="s">
        <v>231</v>
      </c>
      <c r="FD38" s="240" t="s">
        <v>231</v>
      </c>
      <c r="FE38" s="240" t="s">
        <v>231</v>
      </c>
      <c r="FF38" s="240" t="s">
        <v>231</v>
      </c>
      <c r="FG38" s="240" t="s">
        <v>492</v>
      </c>
      <c r="FH38" s="240" t="s">
        <v>492</v>
      </c>
      <c r="FI38" s="240" t="s">
        <v>492</v>
      </c>
      <c r="FJ38" s="240" t="s">
        <v>492</v>
      </c>
      <c r="FK38" s="240" t="s">
        <v>492</v>
      </c>
      <c r="FL38" s="240" t="s">
        <v>492</v>
      </c>
      <c r="FM38" s="240" t="s">
        <v>231</v>
      </c>
      <c r="FN38" s="240" t="s">
        <v>231</v>
      </c>
      <c r="FO38" s="240" t="s">
        <v>231</v>
      </c>
      <c r="FP38" s="240" t="s">
        <v>231</v>
      </c>
      <c r="FQ38" s="240" t="s">
        <v>231</v>
      </c>
      <c r="FR38" s="240" t="s">
        <v>231</v>
      </c>
      <c r="FS38" s="240" t="s">
        <v>231</v>
      </c>
      <c r="FT38" s="240" t="s">
        <v>231</v>
      </c>
      <c r="FU38" s="240" t="s">
        <v>231</v>
      </c>
      <c r="FV38" s="240" t="s">
        <v>231</v>
      </c>
      <c r="FW38" s="240" t="s">
        <v>231</v>
      </c>
      <c r="FX38" s="240" t="s">
        <v>492</v>
      </c>
      <c r="FY38" s="240" t="s">
        <v>231</v>
      </c>
      <c r="FZ38" s="240" t="s">
        <v>231</v>
      </c>
      <c r="GA38" s="240" t="s">
        <v>231</v>
      </c>
      <c r="GB38" s="240" t="s">
        <v>231</v>
      </c>
      <c r="GC38" s="240" t="s">
        <v>231</v>
      </c>
      <c r="GD38" s="240" t="s">
        <v>231</v>
      </c>
      <c r="GE38" s="240" t="s">
        <v>231</v>
      </c>
      <c r="GF38" s="240" t="s">
        <v>231</v>
      </c>
      <c r="GG38" s="240" t="s">
        <v>231</v>
      </c>
      <c r="GH38" s="240" t="s">
        <v>231</v>
      </c>
      <c r="GI38" s="240" t="s">
        <v>231</v>
      </c>
      <c r="GJ38" s="240" t="s">
        <v>231</v>
      </c>
      <c r="GK38" s="240" t="s">
        <v>231</v>
      </c>
      <c r="GL38" s="240" t="s">
        <v>231</v>
      </c>
      <c r="GM38" s="240" t="s">
        <v>231</v>
      </c>
      <c r="GN38" s="240" t="s">
        <v>231</v>
      </c>
      <c r="GO38" s="240" t="s">
        <v>231</v>
      </c>
      <c r="GP38" s="240" t="s">
        <v>492</v>
      </c>
      <c r="GQ38" s="240" t="s">
        <v>231</v>
      </c>
      <c r="GR38" s="240" t="s">
        <v>231</v>
      </c>
      <c r="GS38" s="240" t="s">
        <v>231</v>
      </c>
      <c r="GT38" s="240" t="s">
        <v>231</v>
      </c>
      <c r="GU38" s="240" t="s">
        <v>492</v>
      </c>
      <c r="GV38" s="240" t="s">
        <v>492</v>
      </c>
      <c r="GW38" s="240" t="s">
        <v>231</v>
      </c>
      <c r="GX38" s="240" t="s">
        <v>231</v>
      </c>
      <c r="GY38" s="240" t="s">
        <v>231</v>
      </c>
      <c r="GZ38" s="240" t="s">
        <v>231</v>
      </c>
      <c r="HA38" s="240" t="s">
        <v>231</v>
      </c>
      <c r="HB38" s="240" t="s">
        <v>231</v>
      </c>
      <c r="HC38" s="240" t="s">
        <v>231</v>
      </c>
      <c r="HD38" s="240" t="s">
        <v>231</v>
      </c>
      <c r="HE38" s="240" t="s">
        <v>492</v>
      </c>
      <c r="HF38" s="240" t="s">
        <v>231</v>
      </c>
      <c r="HG38" s="240" t="s">
        <v>231</v>
      </c>
      <c r="HH38" s="240" t="s">
        <v>231</v>
      </c>
      <c r="HI38" s="240" t="s">
        <v>231</v>
      </c>
      <c r="HJ38" s="240" t="s">
        <v>231</v>
      </c>
      <c r="HK38" s="240" t="s">
        <v>231</v>
      </c>
      <c r="HL38" s="240" t="s">
        <v>231</v>
      </c>
      <c r="HM38" s="240" t="s">
        <v>231</v>
      </c>
      <c r="HN38" s="240" t="s">
        <v>492</v>
      </c>
      <c r="HO38" s="240" t="s">
        <v>492</v>
      </c>
      <c r="HP38" s="240" t="s">
        <v>492</v>
      </c>
      <c r="HQ38" s="240" t="s">
        <v>492</v>
      </c>
      <c r="HR38" s="240" t="s">
        <v>492</v>
      </c>
      <c r="HS38" s="240" t="s">
        <v>492</v>
      </c>
      <c r="HT38" s="240" t="s">
        <v>492</v>
      </c>
      <c r="HU38" s="240" t="s">
        <v>231</v>
      </c>
      <c r="HV38" s="240" t="s">
        <v>231</v>
      </c>
      <c r="HW38" s="240" t="s">
        <v>231</v>
      </c>
      <c r="HX38" s="240" t="s">
        <v>231</v>
      </c>
      <c r="HY38" s="240" t="s">
        <v>231</v>
      </c>
      <c r="HZ38" s="240" t="s">
        <v>231</v>
      </c>
      <c r="IA38" s="240" t="s">
        <v>231</v>
      </c>
      <c r="IB38" s="240" t="s">
        <v>231</v>
      </c>
      <c r="IC38" s="240" t="s">
        <v>231</v>
      </c>
      <c r="ID38" s="240" t="s">
        <v>231</v>
      </c>
      <c r="IE38" s="240" t="s">
        <v>231</v>
      </c>
      <c r="IF38" s="240" t="s">
        <v>231</v>
      </c>
      <c r="IG38" s="240" t="s">
        <v>231</v>
      </c>
      <c r="IH38" s="240" t="s">
        <v>231</v>
      </c>
      <c r="II38" s="240" t="s">
        <v>231</v>
      </c>
      <c r="IJ38" s="240" t="s">
        <v>231</v>
      </c>
      <c r="IK38" s="240" t="s">
        <v>231</v>
      </c>
      <c r="IL38" s="240" t="s">
        <v>231</v>
      </c>
      <c r="IM38" s="240" t="s">
        <v>231</v>
      </c>
      <c r="IN38" s="240" t="s">
        <v>231</v>
      </c>
      <c r="IO38" s="240" t="s">
        <v>220</v>
      </c>
      <c r="IP38" s="240" t="s">
        <v>493</v>
      </c>
      <c r="IQ38" s="240" t="s">
        <v>219</v>
      </c>
      <c r="IR38" s="240" t="s">
        <v>490</v>
      </c>
      <c r="IS38" s="240" t="s">
        <v>492</v>
      </c>
      <c r="IT38" s="240" t="s">
        <v>492</v>
      </c>
    </row>
    <row r="39" spans="1:254" ht="15" x14ac:dyDescent="0.25">
      <c r="A39" s="258" t="str">
        <f>HYPERLINK("http://www.ofsted.gov.uk/inspection-reports/find-inspection-report/provider/ELS/140491 ","Ofsted School Webpage")</f>
        <v>Ofsted School Webpage</v>
      </c>
      <c r="B39" s="237">
        <v>140491</v>
      </c>
      <c r="C39" s="237">
        <v>3556001</v>
      </c>
      <c r="D39" s="237" t="s">
        <v>600</v>
      </c>
      <c r="E39" s="237" t="s">
        <v>247</v>
      </c>
      <c r="F39" s="237" t="s">
        <v>482</v>
      </c>
      <c r="G39" s="237" t="s">
        <v>495</v>
      </c>
      <c r="H39" s="237" t="s">
        <v>495</v>
      </c>
      <c r="I39" s="237" t="s">
        <v>601</v>
      </c>
      <c r="J39" s="237" t="s">
        <v>602</v>
      </c>
      <c r="K39" s="237" t="s">
        <v>93</v>
      </c>
      <c r="L39" s="237" t="s">
        <v>81</v>
      </c>
      <c r="M39" s="237" t="s">
        <v>81</v>
      </c>
      <c r="N39" s="237" t="s">
        <v>81</v>
      </c>
      <c r="O39" s="237" t="s">
        <v>486</v>
      </c>
      <c r="P39" s="237" t="s">
        <v>487</v>
      </c>
      <c r="Q39" s="238">
        <v>10056405</v>
      </c>
      <c r="R39" s="239">
        <v>43381</v>
      </c>
      <c r="S39" s="239">
        <v>43383</v>
      </c>
      <c r="T39" s="239">
        <v>43423</v>
      </c>
      <c r="U39" s="237" t="s">
        <v>488</v>
      </c>
      <c r="V39" s="237" t="s">
        <v>489</v>
      </c>
      <c r="W39" s="237">
        <v>2</v>
      </c>
      <c r="X39" s="237">
        <v>2</v>
      </c>
      <c r="Y39" s="237">
        <v>2</v>
      </c>
      <c r="Z39" s="237">
        <v>2</v>
      </c>
      <c r="AA39" s="237">
        <v>2</v>
      </c>
      <c r="AB39" s="237">
        <v>2</v>
      </c>
      <c r="AC39" s="237" t="s">
        <v>486</v>
      </c>
      <c r="AD39" s="237" t="s">
        <v>219</v>
      </c>
      <c r="AE39" s="237" t="s">
        <v>512</v>
      </c>
      <c r="AF39" s="237" t="s">
        <v>486</v>
      </c>
      <c r="AG39" s="237" t="s">
        <v>490</v>
      </c>
      <c r="AH39" s="237" t="s">
        <v>490</v>
      </c>
      <c r="AI39" s="237" t="s">
        <v>490</v>
      </c>
      <c r="AJ39" s="237" t="s">
        <v>486</v>
      </c>
      <c r="AK39" s="237" t="s">
        <v>486</v>
      </c>
      <c r="AL39" s="237" t="s">
        <v>486</v>
      </c>
      <c r="AM39" s="237" t="s">
        <v>491</v>
      </c>
      <c r="AN39" s="237" t="s">
        <v>231</v>
      </c>
      <c r="AO39" s="237" t="s">
        <v>231</v>
      </c>
      <c r="AP39" s="237" t="s">
        <v>231</v>
      </c>
      <c r="AQ39" s="237" t="s">
        <v>231</v>
      </c>
      <c r="AR39" s="237" t="s">
        <v>231</v>
      </c>
      <c r="AS39" s="237" t="s">
        <v>231</v>
      </c>
      <c r="AT39" s="237" t="s">
        <v>231</v>
      </c>
      <c r="AU39" s="237" t="s">
        <v>231</v>
      </c>
      <c r="AV39" s="237" t="s">
        <v>231</v>
      </c>
      <c r="AW39" s="237" t="s">
        <v>231</v>
      </c>
      <c r="AX39" s="237" t="s">
        <v>231</v>
      </c>
      <c r="AY39" s="237" t="s">
        <v>231</v>
      </c>
      <c r="AZ39" s="237" t="s">
        <v>231</v>
      </c>
      <c r="BA39" s="237" t="s">
        <v>231</v>
      </c>
      <c r="BB39" s="237" t="s">
        <v>231</v>
      </c>
      <c r="BC39" s="237" t="s">
        <v>231</v>
      </c>
      <c r="BD39" s="237" t="s">
        <v>231</v>
      </c>
      <c r="BE39" s="237" t="s">
        <v>231</v>
      </c>
      <c r="BF39" s="237" t="s">
        <v>231</v>
      </c>
      <c r="BG39" s="237" t="s">
        <v>231</v>
      </c>
      <c r="BH39" s="237" t="s">
        <v>492</v>
      </c>
      <c r="BI39" s="237" t="s">
        <v>492</v>
      </c>
      <c r="BJ39" s="237" t="s">
        <v>492</v>
      </c>
      <c r="BK39" s="237" t="s">
        <v>492</v>
      </c>
      <c r="BL39" s="237" t="s">
        <v>231</v>
      </c>
      <c r="BM39" s="237" t="s">
        <v>492</v>
      </c>
      <c r="BN39" s="237" t="s">
        <v>231</v>
      </c>
      <c r="BO39" s="237" t="s">
        <v>231</v>
      </c>
      <c r="BP39" s="237" t="s">
        <v>231</v>
      </c>
      <c r="BQ39" s="237" t="s">
        <v>231</v>
      </c>
      <c r="BR39" s="237" t="s">
        <v>231</v>
      </c>
      <c r="BS39" s="237" t="s">
        <v>231</v>
      </c>
      <c r="BT39" s="237" t="s">
        <v>231</v>
      </c>
      <c r="BU39" s="237" t="s">
        <v>231</v>
      </c>
      <c r="BV39" s="237" t="s">
        <v>231</v>
      </c>
      <c r="BW39" s="237" t="s">
        <v>231</v>
      </c>
      <c r="BX39" s="237" t="s">
        <v>231</v>
      </c>
      <c r="BY39" s="237" t="s">
        <v>231</v>
      </c>
      <c r="BZ39" s="237" t="s">
        <v>231</v>
      </c>
      <c r="CA39" s="237" t="s">
        <v>231</v>
      </c>
      <c r="CB39" s="237" t="s">
        <v>231</v>
      </c>
      <c r="CC39" s="237" t="s">
        <v>231</v>
      </c>
      <c r="CD39" s="237" t="s">
        <v>231</v>
      </c>
      <c r="CE39" s="237" t="s">
        <v>231</v>
      </c>
      <c r="CF39" s="237" t="s">
        <v>231</v>
      </c>
      <c r="CG39" s="237" t="s">
        <v>231</v>
      </c>
      <c r="CH39" s="237" t="s">
        <v>231</v>
      </c>
      <c r="CI39" s="237" t="s">
        <v>231</v>
      </c>
      <c r="CJ39" s="237" t="s">
        <v>231</v>
      </c>
      <c r="CK39" s="237" t="s">
        <v>231</v>
      </c>
      <c r="CL39" s="237" t="s">
        <v>231</v>
      </c>
      <c r="CM39" s="237" t="s">
        <v>231</v>
      </c>
      <c r="CN39" s="237" t="s">
        <v>231</v>
      </c>
      <c r="CO39" s="237" t="s">
        <v>231</v>
      </c>
      <c r="CP39" s="237" t="s">
        <v>231</v>
      </c>
      <c r="CQ39" s="237" t="s">
        <v>231</v>
      </c>
      <c r="CR39" s="237" t="s">
        <v>231</v>
      </c>
      <c r="CS39" s="237" t="s">
        <v>231</v>
      </c>
      <c r="CT39" s="237" t="s">
        <v>492</v>
      </c>
      <c r="CU39" s="237" t="s">
        <v>492</v>
      </c>
      <c r="CV39" s="237" t="s">
        <v>492</v>
      </c>
      <c r="CW39" s="237" t="s">
        <v>231</v>
      </c>
      <c r="CX39" s="237" t="s">
        <v>231</v>
      </c>
      <c r="CY39" s="237" t="s">
        <v>231</v>
      </c>
      <c r="CZ39" s="237" t="s">
        <v>231</v>
      </c>
      <c r="DA39" s="237" t="s">
        <v>231</v>
      </c>
      <c r="DB39" s="237" t="s">
        <v>231</v>
      </c>
      <c r="DC39" s="237" t="s">
        <v>231</v>
      </c>
      <c r="DD39" s="237" t="s">
        <v>231</v>
      </c>
      <c r="DE39" s="237" t="s">
        <v>231</v>
      </c>
      <c r="DF39" s="237" t="s">
        <v>231</v>
      </c>
      <c r="DG39" s="237" t="s">
        <v>231</v>
      </c>
      <c r="DH39" s="237" t="s">
        <v>231</v>
      </c>
      <c r="DI39" s="237" t="s">
        <v>231</v>
      </c>
      <c r="DJ39" s="237" t="s">
        <v>231</v>
      </c>
      <c r="DK39" s="237" t="s">
        <v>231</v>
      </c>
      <c r="DL39" s="237" t="s">
        <v>231</v>
      </c>
      <c r="DM39" s="237" t="s">
        <v>231</v>
      </c>
      <c r="DN39" s="237" t="s">
        <v>231</v>
      </c>
      <c r="DO39" s="237" t="s">
        <v>231</v>
      </c>
      <c r="DP39" s="237" t="s">
        <v>231</v>
      </c>
      <c r="DQ39" s="237" t="s">
        <v>231</v>
      </c>
      <c r="DR39" s="237" t="s">
        <v>231</v>
      </c>
      <c r="DS39" s="237" t="s">
        <v>231</v>
      </c>
      <c r="DT39" s="237" t="s">
        <v>492</v>
      </c>
      <c r="DU39" s="237" t="s">
        <v>231</v>
      </c>
      <c r="DV39" s="237" t="s">
        <v>492</v>
      </c>
      <c r="DW39" s="237" t="s">
        <v>492</v>
      </c>
      <c r="DX39" s="237" t="s">
        <v>492</v>
      </c>
      <c r="DY39" s="237" t="s">
        <v>492</v>
      </c>
      <c r="DZ39" s="237" t="s">
        <v>492</v>
      </c>
      <c r="EA39" s="237" t="s">
        <v>492</v>
      </c>
      <c r="EB39" s="237" t="s">
        <v>492</v>
      </c>
      <c r="EC39" s="237" t="s">
        <v>492</v>
      </c>
      <c r="ED39" s="237" t="s">
        <v>492</v>
      </c>
      <c r="EE39" s="237" t="s">
        <v>492</v>
      </c>
      <c r="EF39" s="237" t="s">
        <v>492</v>
      </c>
      <c r="EG39" s="237" t="s">
        <v>492</v>
      </c>
      <c r="EH39" s="237" t="s">
        <v>492</v>
      </c>
      <c r="EI39" s="237" t="s">
        <v>492</v>
      </c>
      <c r="EJ39" s="237" t="s">
        <v>492</v>
      </c>
      <c r="EK39" s="237" t="s">
        <v>492</v>
      </c>
      <c r="EL39" s="237" t="s">
        <v>492</v>
      </c>
      <c r="EM39" s="237" t="s">
        <v>492</v>
      </c>
      <c r="EN39" s="237" t="s">
        <v>492</v>
      </c>
      <c r="EO39" s="237" t="s">
        <v>492</v>
      </c>
      <c r="EP39" s="237" t="s">
        <v>492</v>
      </c>
      <c r="EQ39" s="237" t="s">
        <v>492</v>
      </c>
      <c r="ER39" s="237" t="s">
        <v>492</v>
      </c>
      <c r="ES39" s="237" t="s">
        <v>231</v>
      </c>
      <c r="ET39" s="237" t="s">
        <v>231</v>
      </c>
      <c r="EU39" s="237" t="s">
        <v>231</v>
      </c>
      <c r="EV39" s="237" t="s">
        <v>231</v>
      </c>
      <c r="EW39" s="237" t="s">
        <v>231</v>
      </c>
      <c r="EX39" s="237" t="s">
        <v>231</v>
      </c>
      <c r="EY39" s="237" t="s">
        <v>231</v>
      </c>
      <c r="EZ39" s="237" t="s">
        <v>231</v>
      </c>
      <c r="FA39" s="237" t="s">
        <v>231</v>
      </c>
      <c r="FB39" s="237" t="s">
        <v>231</v>
      </c>
      <c r="FC39" s="237" t="s">
        <v>231</v>
      </c>
      <c r="FD39" s="237" t="s">
        <v>231</v>
      </c>
      <c r="FE39" s="237" t="s">
        <v>231</v>
      </c>
      <c r="FF39" s="237" t="s">
        <v>492</v>
      </c>
      <c r="FG39" s="237" t="s">
        <v>492</v>
      </c>
      <c r="FH39" s="237" t="s">
        <v>492</v>
      </c>
      <c r="FI39" s="237" t="s">
        <v>492</v>
      </c>
      <c r="FJ39" s="237" t="s">
        <v>492</v>
      </c>
      <c r="FK39" s="237" t="s">
        <v>492</v>
      </c>
      <c r="FL39" s="237" t="s">
        <v>492</v>
      </c>
      <c r="FM39" s="237" t="s">
        <v>492</v>
      </c>
      <c r="FN39" s="237" t="s">
        <v>492</v>
      </c>
      <c r="FO39" s="237" t="s">
        <v>493</v>
      </c>
      <c r="FP39" s="237" t="s">
        <v>492</v>
      </c>
      <c r="FQ39" s="237" t="s">
        <v>231</v>
      </c>
      <c r="FR39" s="237" t="s">
        <v>231</v>
      </c>
      <c r="FS39" s="237" t="s">
        <v>231</v>
      </c>
      <c r="FT39" s="237" t="s">
        <v>492</v>
      </c>
      <c r="FU39" s="237" t="s">
        <v>231</v>
      </c>
      <c r="FV39" s="237" t="s">
        <v>231</v>
      </c>
      <c r="FW39" s="237" t="s">
        <v>231</v>
      </c>
      <c r="FX39" s="237" t="s">
        <v>492</v>
      </c>
      <c r="FY39" s="237" t="s">
        <v>231</v>
      </c>
      <c r="FZ39" s="237" t="s">
        <v>231</v>
      </c>
      <c r="GA39" s="237" t="s">
        <v>231</v>
      </c>
      <c r="GB39" s="237" t="s">
        <v>231</v>
      </c>
      <c r="GC39" s="237" t="s">
        <v>231</v>
      </c>
      <c r="GD39" s="237" t="s">
        <v>231</v>
      </c>
      <c r="GE39" s="237" t="s">
        <v>231</v>
      </c>
      <c r="GF39" s="237" t="s">
        <v>231</v>
      </c>
      <c r="GG39" s="237" t="s">
        <v>231</v>
      </c>
      <c r="GH39" s="237" t="s">
        <v>231</v>
      </c>
      <c r="GI39" s="237" t="s">
        <v>231</v>
      </c>
      <c r="GJ39" s="237" t="s">
        <v>231</v>
      </c>
      <c r="GK39" s="237" t="s">
        <v>231</v>
      </c>
      <c r="GL39" s="237" t="s">
        <v>231</v>
      </c>
      <c r="GM39" s="237" t="s">
        <v>231</v>
      </c>
      <c r="GN39" s="237" t="s">
        <v>231</v>
      </c>
      <c r="GO39" s="237" t="s">
        <v>231</v>
      </c>
      <c r="GP39" s="237" t="s">
        <v>492</v>
      </c>
      <c r="GQ39" s="237" t="s">
        <v>231</v>
      </c>
      <c r="GR39" s="237" t="s">
        <v>231</v>
      </c>
      <c r="GS39" s="237" t="s">
        <v>231</v>
      </c>
      <c r="GT39" s="237" t="s">
        <v>231</v>
      </c>
      <c r="GU39" s="237" t="s">
        <v>231</v>
      </c>
      <c r="GV39" s="237" t="s">
        <v>492</v>
      </c>
      <c r="GW39" s="237" t="s">
        <v>231</v>
      </c>
      <c r="GX39" s="237" t="s">
        <v>231</v>
      </c>
      <c r="GY39" s="237" t="s">
        <v>492</v>
      </c>
      <c r="GZ39" s="237" t="s">
        <v>492</v>
      </c>
      <c r="HA39" s="237" t="s">
        <v>492</v>
      </c>
      <c r="HB39" s="237" t="s">
        <v>492</v>
      </c>
      <c r="HC39" s="237" t="s">
        <v>231</v>
      </c>
      <c r="HD39" s="237" t="s">
        <v>231</v>
      </c>
      <c r="HE39" s="237" t="s">
        <v>231</v>
      </c>
      <c r="HF39" s="237" t="s">
        <v>492</v>
      </c>
      <c r="HG39" s="237" t="s">
        <v>231</v>
      </c>
      <c r="HH39" s="237" t="s">
        <v>231</v>
      </c>
      <c r="HI39" s="237" t="s">
        <v>231</v>
      </c>
      <c r="HJ39" s="237" t="s">
        <v>231</v>
      </c>
      <c r="HK39" s="237" t="s">
        <v>231</v>
      </c>
      <c r="HL39" s="237" t="s">
        <v>231</v>
      </c>
      <c r="HM39" s="237" t="s">
        <v>231</v>
      </c>
      <c r="HN39" s="237" t="s">
        <v>231</v>
      </c>
      <c r="HO39" s="237" t="s">
        <v>231</v>
      </c>
      <c r="HP39" s="237" t="s">
        <v>231</v>
      </c>
      <c r="HQ39" s="237" t="s">
        <v>492</v>
      </c>
      <c r="HR39" s="237" t="s">
        <v>492</v>
      </c>
      <c r="HS39" s="237" t="s">
        <v>492</v>
      </c>
      <c r="HT39" s="237" t="s">
        <v>492</v>
      </c>
      <c r="HU39" s="237" t="s">
        <v>231</v>
      </c>
      <c r="HV39" s="237" t="s">
        <v>231</v>
      </c>
      <c r="HW39" s="237" t="s">
        <v>231</v>
      </c>
      <c r="HX39" s="237" t="s">
        <v>231</v>
      </c>
      <c r="HY39" s="237" t="s">
        <v>231</v>
      </c>
      <c r="HZ39" s="237" t="s">
        <v>231</v>
      </c>
      <c r="IA39" s="237" t="s">
        <v>231</v>
      </c>
      <c r="IB39" s="237" t="s">
        <v>231</v>
      </c>
      <c r="IC39" s="237" t="s">
        <v>231</v>
      </c>
      <c r="ID39" s="237" t="s">
        <v>231</v>
      </c>
      <c r="IE39" s="237" t="s">
        <v>231</v>
      </c>
      <c r="IF39" s="237" t="s">
        <v>231</v>
      </c>
      <c r="IG39" s="237" t="s">
        <v>231</v>
      </c>
      <c r="IH39" s="237" t="s">
        <v>231</v>
      </c>
      <c r="II39" s="237" t="s">
        <v>231</v>
      </c>
      <c r="IJ39" s="237" t="s">
        <v>231</v>
      </c>
      <c r="IK39" s="237" t="s">
        <v>231</v>
      </c>
      <c r="IL39" s="237" t="s">
        <v>231</v>
      </c>
      <c r="IM39" s="237" t="s">
        <v>231</v>
      </c>
      <c r="IN39" s="237" t="s">
        <v>231</v>
      </c>
      <c r="IO39" s="237" t="s">
        <v>219</v>
      </c>
      <c r="IP39" s="237" t="s">
        <v>493</v>
      </c>
      <c r="IQ39" s="237" t="s">
        <v>219</v>
      </c>
      <c r="IR39" s="237" t="s">
        <v>490</v>
      </c>
      <c r="IS39" s="237" t="s">
        <v>231</v>
      </c>
      <c r="IT39" s="237" t="s">
        <v>231</v>
      </c>
    </row>
    <row r="40" spans="1:254" ht="15" x14ac:dyDescent="0.25">
      <c r="A40" s="259" t="str">
        <f>HYPERLINK("http://www.ofsted.gov.uk/inspection-reports/find-inspection-report/provider/ELS/145170 ","Ofsted School Webpage")</f>
        <v>Ofsted School Webpage</v>
      </c>
      <c r="B40" s="240">
        <v>145170</v>
      </c>
      <c r="C40" s="240">
        <v>3546038</v>
      </c>
      <c r="D40" s="240" t="s">
        <v>603</v>
      </c>
      <c r="E40" s="240" t="s">
        <v>247</v>
      </c>
      <c r="F40" s="240" t="s">
        <v>482</v>
      </c>
      <c r="G40" s="240" t="s">
        <v>495</v>
      </c>
      <c r="H40" s="240" t="s">
        <v>495</v>
      </c>
      <c r="I40" s="240" t="s">
        <v>604</v>
      </c>
      <c r="J40" s="240" t="s">
        <v>605</v>
      </c>
      <c r="K40" s="240" t="s">
        <v>93</v>
      </c>
      <c r="L40" s="240" t="s">
        <v>93</v>
      </c>
      <c r="M40" s="240" t="s">
        <v>93</v>
      </c>
      <c r="N40" s="240" t="s">
        <v>90</v>
      </c>
      <c r="O40" s="240" t="s">
        <v>486</v>
      </c>
      <c r="P40" s="240" t="s">
        <v>487</v>
      </c>
      <c r="Q40" s="241">
        <v>10053739</v>
      </c>
      <c r="R40" s="242">
        <v>43382</v>
      </c>
      <c r="S40" s="242">
        <v>43383</v>
      </c>
      <c r="T40" s="242">
        <v>43410</v>
      </c>
      <c r="U40" s="240" t="s">
        <v>499</v>
      </c>
      <c r="V40" s="240" t="s">
        <v>489</v>
      </c>
      <c r="W40" s="240">
        <v>2</v>
      </c>
      <c r="X40" s="240">
        <v>2</v>
      </c>
      <c r="Y40" s="240">
        <v>2</v>
      </c>
      <c r="Z40" s="240">
        <v>2</v>
      </c>
      <c r="AA40" s="240">
        <v>2</v>
      </c>
      <c r="AB40" s="240" t="s">
        <v>486</v>
      </c>
      <c r="AC40" s="240" t="s">
        <v>486</v>
      </c>
      <c r="AD40" s="240" t="s">
        <v>219</v>
      </c>
      <c r="AE40" s="240" t="s">
        <v>490</v>
      </c>
      <c r="AF40" s="240" t="s">
        <v>486</v>
      </c>
      <c r="AG40" s="240" t="s">
        <v>486</v>
      </c>
      <c r="AH40" s="240" t="s">
        <v>486</v>
      </c>
      <c r="AI40" s="240" t="s">
        <v>486</v>
      </c>
      <c r="AJ40" s="240" t="s">
        <v>486</v>
      </c>
      <c r="AK40" s="240" t="s">
        <v>486</v>
      </c>
      <c r="AL40" s="240" t="s">
        <v>486</v>
      </c>
      <c r="AM40" s="240" t="s">
        <v>491</v>
      </c>
      <c r="AN40" s="240" t="s">
        <v>231</v>
      </c>
      <c r="AO40" s="240" t="s">
        <v>231</v>
      </c>
      <c r="AP40" s="240" t="s">
        <v>231</v>
      </c>
      <c r="AQ40" s="240" t="s">
        <v>231</v>
      </c>
      <c r="AR40" s="240" t="s">
        <v>231</v>
      </c>
      <c r="AS40" s="240" t="s">
        <v>231</v>
      </c>
      <c r="AT40" s="240" t="s">
        <v>231</v>
      </c>
      <c r="AU40" s="240" t="s">
        <v>231</v>
      </c>
      <c r="AV40" s="240" t="s">
        <v>231</v>
      </c>
      <c r="AW40" s="240" t="s">
        <v>231</v>
      </c>
      <c r="AX40" s="240" t="s">
        <v>231</v>
      </c>
      <c r="AY40" s="240" t="s">
        <v>231</v>
      </c>
      <c r="AZ40" s="240" t="s">
        <v>231</v>
      </c>
      <c r="BA40" s="240" t="s">
        <v>231</v>
      </c>
      <c r="BB40" s="240" t="s">
        <v>231</v>
      </c>
      <c r="BC40" s="240" t="s">
        <v>231</v>
      </c>
      <c r="BD40" s="240" t="s">
        <v>231</v>
      </c>
      <c r="BE40" s="240" t="s">
        <v>231</v>
      </c>
      <c r="BF40" s="240" t="s">
        <v>231</v>
      </c>
      <c r="BG40" s="240" t="s">
        <v>231</v>
      </c>
      <c r="BH40" s="240" t="s">
        <v>231</v>
      </c>
      <c r="BI40" s="240" t="s">
        <v>231</v>
      </c>
      <c r="BJ40" s="240" t="s">
        <v>231</v>
      </c>
      <c r="BK40" s="240" t="s">
        <v>231</v>
      </c>
      <c r="BL40" s="240" t="s">
        <v>231</v>
      </c>
      <c r="BM40" s="240" t="s">
        <v>231</v>
      </c>
      <c r="BN40" s="240" t="s">
        <v>231</v>
      </c>
      <c r="BO40" s="240" t="s">
        <v>231</v>
      </c>
      <c r="BP40" s="240" t="s">
        <v>231</v>
      </c>
      <c r="BQ40" s="240" t="s">
        <v>231</v>
      </c>
      <c r="BR40" s="240" t="s">
        <v>231</v>
      </c>
      <c r="BS40" s="240" t="s">
        <v>231</v>
      </c>
      <c r="BT40" s="240" t="s">
        <v>231</v>
      </c>
      <c r="BU40" s="240" t="s">
        <v>231</v>
      </c>
      <c r="BV40" s="240" t="s">
        <v>231</v>
      </c>
      <c r="BW40" s="240" t="s">
        <v>231</v>
      </c>
      <c r="BX40" s="240" t="s">
        <v>231</v>
      </c>
      <c r="BY40" s="240" t="s">
        <v>231</v>
      </c>
      <c r="BZ40" s="240" t="s">
        <v>231</v>
      </c>
      <c r="CA40" s="240" t="s">
        <v>231</v>
      </c>
      <c r="CB40" s="240" t="s">
        <v>231</v>
      </c>
      <c r="CC40" s="240" t="s">
        <v>231</v>
      </c>
      <c r="CD40" s="240" t="s">
        <v>231</v>
      </c>
      <c r="CE40" s="240" t="s">
        <v>231</v>
      </c>
      <c r="CF40" s="240" t="s">
        <v>231</v>
      </c>
      <c r="CG40" s="240" t="s">
        <v>231</v>
      </c>
      <c r="CH40" s="240" t="s">
        <v>231</v>
      </c>
      <c r="CI40" s="240" t="s">
        <v>231</v>
      </c>
      <c r="CJ40" s="240" t="s">
        <v>231</v>
      </c>
      <c r="CK40" s="240" t="s">
        <v>231</v>
      </c>
      <c r="CL40" s="240" t="s">
        <v>231</v>
      </c>
      <c r="CM40" s="240" t="s">
        <v>231</v>
      </c>
      <c r="CN40" s="240" t="s">
        <v>231</v>
      </c>
      <c r="CO40" s="240" t="s">
        <v>231</v>
      </c>
      <c r="CP40" s="240" t="s">
        <v>231</v>
      </c>
      <c r="CQ40" s="240" t="s">
        <v>231</v>
      </c>
      <c r="CR40" s="240" t="s">
        <v>231</v>
      </c>
      <c r="CS40" s="240" t="s">
        <v>231</v>
      </c>
      <c r="CT40" s="240" t="s">
        <v>231</v>
      </c>
      <c r="CU40" s="240" t="s">
        <v>231</v>
      </c>
      <c r="CV40" s="240" t="s">
        <v>231</v>
      </c>
      <c r="CW40" s="240" t="s">
        <v>231</v>
      </c>
      <c r="CX40" s="240" t="s">
        <v>231</v>
      </c>
      <c r="CY40" s="240" t="s">
        <v>231</v>
      </c>
      <c r="CZ40" s="240" t="s">
        <v>231</v>
      </c>
      <c r="DA40" s="240" t="s">
        <v>231</v>
      </c>
      <c r="DB40" s="240" t="s">
        <v>231</v>
      </c>
      <c r="DC40" s="240" t="s">
        <v>231</v>
      </c>
      <c r="DD40" s="240" t="s">
        <v>231</v>
      </c>
      <c r="DE40" s="240" t="s">
        <v>231</v>
      </c>
      <c r="DF40" s="240" t="s">
        <v>231</v>
      </c>
      <c r="DG40" s="240" t="s">
        <v>231</v>
      </c>
      <c r="DH40" s="240" t="s">
        <v>231</v>
      </c>
      <c r="DI40" s="240" t="s">
        <v>231</v>
      </c>
      <c r="DJ40" s="240" t="s">
        <v>231</v>
      </c>
      <c r="DK40" s="240" t="s">
        <v>231</v>
      </c>
      <c r="DL40" s="240" t="s">
        <v>231</v>
      </c>
      <c r="DM40" s="240" t="s">
        <v>231</v>
      </c>
      <c r="DN40" s="240" t="s">
        <v>231</v>
      </c>
      <c r="DO40" s="240" t="s">
        <v>231</v>
      </c>
      <c r="DP40" s="240" t="s">
        <v>231</v>
      </c>
      <c r="DQ40" s="240" t="s">
        <v>231</v>
      </c>
      <c r="DR40" s="240" t="s">
        <v>231</v>
      </c>
      <c r="DS40" s="240" t="s">
        <v>231</v>
      </c>
      <c r="DT40" s="240" t="s">
        <v>492</v>
      </c>
      <c r="DU40" s="240" t="s">
        <v>231</v>
      </c>
      <c r="DV40" s="240" t="s">
        <v>492</v>
      </c>
      <c r="DW40" s="240" t="s">
        <v>492</v>
      </c>
      <c r="DX40" s="240" t="s">
        <v>492</v>
      </c>
      <c r="DY40" s="240" t="s">
        <v>492</v>
      </c>
      <c r="DZ40" s="240" t="s">
        <v>492</v>
      </c>
      <c r="EA40" s="240" t="s">
        <v>492</v>
      </c>
      <c r="EB40" s="240" t="s">
        <v>492</v>
      </c>
      <c r="EC40" s="240" t="s">
        <v>492</v>
      </c>
      <c r="ED40" s="240" t="s">
        <v>492</v>
      </c>
      <c r="EE40" s="240" t="s">
        <v>492</v>
      </c>
      <c r="EF40" s="240" t="s">
        <v>492</v>
      </c>
      <c r="EG40" s="240" t="s">
        <v>492</v>
      </c>
      <c r="EH40" s="240" t="s">
        <v>492</v>
      </c>
      <c r="EI40" s="240" t="s">
        <v>492</v>
      </c>
      <c r="EJ40" s="240" t="s">
        <v>231</v>
      </c>
      <c r="EK40" s="240" t="s">
        <v>231</v>
      </c>
      <c r="EL40" s="240" t="s">
        <v>231</v>
      </c>
      <c r="EM40" s="240" t="s">
        <v>231</v>
      </c>
      <c r="EN40" s="240" t="s">
        <v>231</v>
      </c>
      <c r="EO40" s="240" t="s">
        <v>231</v>
      </c>
      <c r="EP40" s="240" t="s">
        <v>231</v>
      </c>
      <c r="EQ40" s="240" t="s">
        <v>231</v>
      </c>
      <c r="ER40" s="240" t="s">
        <v>231</v>
      </c>
      <c r="ES40" s="240" t="s">
        <v>231</v>
      </c>
      <c r="ET40" s="240" t="s">
        <v>231</v>
      </c>
      <c r="EU40" s="240" t="s">
        <v>231</v>
      </c>
      <c r="EV40" s="240" t="s">
        <v>231</v>
      </c>
      <c r="EW40" s="240" t="s">
        <v>231</v>
      </c>
      <c r="EX40" s="240" t="s">
        <v>231</v>
      </c>
      <c r="EY40" s="240" t="s">
        <v>231</v>
      </c>
      <c r="EZ40" s="240" t="s">
        <v>231</v>
      </c>
      <c r="FA40" s="240" t="s">
        <v>231</v>
      </c>
      <c r="FB40" s="240" t="s">
        <v>231</v>
      </c>
      <c r="FC40" s="240" t="s">
        <v>231</v>
      </c>
      <c r="FD40" s="240" t="s">
        <v>231</v>
      </c>
      <c r="FE40" s="240" t="s">
        <v>231</v>
      </c>
      <c r="FF40" s="240" t="s">
        <v>231</v>
      </c>
      <c r="FG40" s="240" t="s">
        <v>492</v>
      </c>
      <c r="FH40" s="240" t="s">
        <v>492</v>
      </c>
      <c r="FI40" s="240" t="s">
        <v>492</v>
      </c>
      <c r="FJ40" s="240" t="s">
        <v>492</v>
      </c>
      <c r="FK40" s="240" t="s">
        <v>492</v>
      </c>
      <c r="FL40" s="240" t="s">
        <v>492</v>
      </c>
      <c r="FM40" s="240" t="s">
        <v>492</v>
      </c>
      <c r="FN40" s="240" t="s">
        <v>492</v>
      </c>
      <c r="FO40" s="240" t="s">
        <v>493</v>
      </c>
      <c r="FP40" s="240" t="s">
        <v>492</v>
      </c>
      <c r="FQ40" s="240" t="s">
        <v>231</v>
      </c>
      <c r="FR40" s="240" t="s">
        <v>231</v>
      </c>
      <c r="FS40" s="240" t="s">
        <v>231</v>
      </c>
      <c r="FT40" s="240" t="s">
        <v>231</v>
      </c>
      <c r="FU40" s="240" t="s">
        <v>231</v>
      </c>
      <c r="FV40" s="240" t="s">
        <v>231</v>
      </c>
      <c r="FW40" s="240" t="s">
        <v>231</v>
      </c>
      <c r="FX40" s="240" t="s">
        <v>231</v>
      </c>
      <c r="FY40" s="240" t="s">
        <v>231</v>
      </c>
      <c r="FZ40" s="240" t="s">
        <v>231</v>
      </c>
      <c r="GA40" s="240" t="s">
        <v>231</v>
      </c>
      <c r="GB40" s="240" t="s">
        <v>231</v>
      </c>
      <c r="GC40" s="240" t="s">
        <v>231</v>
      </c>
      <c r="GD40" s="240" t="s">
        <v>231</v>
      </c>
      <c r="GE40" s="240" t="s">
        <v>231</v>
      </c>
      <c r="GF40" s="240" t="s">
        <v>231</v>
      </c>
      <c r="GG40" s="240" t="s">
        <v>231</v>
      </c>
      <c r="GH40" s="240" t="s">
        <v>231</v>
      </c>
      <c r="GI40" s="240" t="s">
        <v>231</v>
      </c>
      <c r="GJ40" s="240" t="s">
        <v>231</v>
      </c>
      <c r="GK40" s="240" t="s">
        <v>231</v>
      </c>
      <c r="GL40" s="240" t="s">
        <v>231</v>
      </c>
      <c r="GM40" s="240" t="s">
        <v>231</v>
      </c>
      <c r="GN40" s="240" t="s">
        <v>231</v>
      </c>
      <c r="GO40" s="240" t="s">
        <v>231</v>
      </c>
      <c r="GP40" s="240" t="s">
        <v>492</v>
      </c>
      <c r="GQ40" s="240" t="s">
        <v>231</v>
      </c>
      <c r="GR40" s="240" t="s">
        <v>231</v>
      </c>
      <c r="GS40" s="240" t="s">
        <v>231</v>
      </c>
      <c r="GT40" s="240" t="s">
        <v>231</v>
      </c>
      <c r="GU40" s="240" t="s">
        <v>231</v>
      </c>
      <c r="GV40" s="240" t="s">
        <v>492</v>
      </c>
      <c r="GW40" s="240" t="s">
        <v>231</v>
      </c>
      <c r="GX40" s="240" t="s">
        <v>231</v>
      </c>
      <c r="GY40" s="240" t="s">
        <v>231</v>
      </c>
      <c r="GZ40" s="240" t="s">
        <v>231</v>
      </c>
      <c r="HA40" s="240" t="s">
        <v>231</v>
      </c>
      <c r="HB40" s="240" t="s">
        <v>231</v>
      </c>
      <c r="HC40" s="240" t="s">
        <v>231</v>
      </c>
      <c r="HD40" s="240" t="s">
        <v>231</v>
      </c>
      <c r="HE40" s="240" t="s">
        <v>231</v>
      </c>
      <c r="HF40" s="240" t="s">
        <v>492</v>
      </c>
      <c r="HG40" s="240" t="s">
        <v>492</v>
      </c>
      <c r="HH40" s="240" t="s">
        <v>231</v>
      </c>
      <c r="HI40" s="240" t="s">
        <v>231</v>
      </c>
      <c r="HJ40" s="240" t="s">
        <v>231</v>
      </c>
      <c r="HK40" s="240" t="s">
        <v>231</v>
      </c>
      <c r="HL40" s="240" t="s">
        <v>231</v>
      </c>
      <c r="HM40" s="240" t="s">
        <v>231</v>
      </c>
      <c r="HN40" s="240" t="s">
        <v>231</v>
      </c>
      <c r="HO40" s="240" t="s">
        <v>231</v>
      </c>
      <c r="HP40" s="240" t="s">
        <v>231</v>
      </c>
      <c r="HQ40" s="240" t="s">
        <v>231</v>
      </c>
      <c r="HR40" s="240" t="s">
        <v>492</v>
      </c>
      <c r="HS40" s="240" t="s">
        <v>492</v>
      </c>
      <c r="HT40" s="240" t="s">
        <v>492</v>
      </c>
      <c r="HU40" s="240" t="s">
        <v>231</v>
      </c>
      <c r="HV40" s="240" t="s">
        <v>231</v>
      </c>
      <c r="HW40" s="240" t="s">
        <v>231</v>
      </c>
      <c r="HX40" s="240" t="s">
        <v>231</v>
      </c>
      <c r="HY40" s="240" t="s">
        <v>231</v>
      </c>
      <c r="HZ40" s="240" t="s">
        <v>231</v>
      </c>
      <c r="IA40" s="240" t="s">
        <v>231</v>
      </c>
      <c r="IB40" s="240" t="s">
        <v>231</v>
      </c>
      <c r="IC40" s="240" t="s">
        <v>231</v>
      </c>
      <c r="ID40" s="240" t="s">
        <v>231</v>
      </c>
      <c r="IE40" s="240" t="s">
        <v>231</v>
      </c>
      <c r="IF40" s="240" t="s">
        <v>231</v>
      </c>
      <c r="IG40" s="240" t="s">
        <v>231</v>
      </c>
      <c r="IH40" s="240" t="s">
        <v>231</v>
      </c>
      <c r="II40" s="240" t="s">
        <v>231</v>
      </c>
      <c r="IJ40" s="240" t="s">
        <v>231</v>
      </c>
      <c r="IK40" s="240" t="s">
        <v>231</v>
      </c>
      <c r="IL40" s="240" t="s">
        <v>231</v>
      </c>
      <c r="IM40" s="240" t="s">
        <v>231</v>
      </c>
      <c r="IN40" s="240" t="s">
        <v>231</v>
      </c>
      <c r="IO40" s="240" t="s">
        <v>220</v>
      </c>
      <c r="IP40" s="240" t="s">
        <v>493</v>
      </c>
      <c r="IQ40" s="240" t="s">
        <v>219</v>
      </c>
      <c r="IR40" s="240" t="s">
        <v>490</v>
      </c>
      <c r="IS40" s="240" t="s">
        <v>492</v>
      </c>
      <c r="IT40" s="240" t="s">
        <v>492</v>
      </c>
    </row>
    <row r="41" spans="1:254" ht="15" x14ac:dyDescent="0.25">
      <c r="A41" s="258" t="str">
        <f>HYPERLINK("http://www.ofsted.gov.uk/inspection-reports/find-inspection-report/provider/ELS/145293 ","Ofsted School Webpage")</f>
        <v>Ofsted School Webpage</v>
      </c>
      <c r="B41" s="237">
        <v>145293</v>
      </c>
      <c r="C41" s="237">
        <v>9336008</v>
      </c>
      <c r="D41" s="237" t="s">
        <v>606</v>
      </c>
      <c r="E41" s="237" t="s">
        <v>248</v>
      </c>
      <c r="F41" s="237" t="s">
        <v>501</v>
      </c>
      <c r="G41" s="237" t="s">
        <v>483</v>
      </c>
      <c r="H41" s="237" t="s">
        <v>483</v>
      </c>
      <c r="I41" s="237" t="s">
        <v>531</v>
      </c>
      <c r="J41" s="237" t="s">
        <v>607</v>
      </c>
      <c r="K41" s="237" t="s">
        <v>93</v>
      </c>
      <c r="L41" s="237" t="s">
        <v>93</v>
      </c>
      <c r="M41" s="237" t="s">
        <v>93</v>
      </c>
      <c r="N41" s="237" t="s">
        <v>90</v>
      </c>
      <c r="O41" s="237" t="s">
        <v>486</v>
      </c>
      <c r="P41" s="237" t="s">
        <v>487</v>
      </c>
      <c r="Q41" s="238">
        <v>10053795</v>
      </c>
      <c r="R41" s="239">
        <v>43382</v>
      </c>
      <c r="S41" s="239">
        <v>43384</v>
      </c>
      <c r="T41" s="239">
        <v>43411</v>
      </c>
      <c r="U41" s="237" t="s">
        <v>499</v>
      </c>
      <c r="V41" s="237" t="s">
        <v>489</v>
      </c>
      <c r="W41" s="237">
        <v>2</v>
      </c>
      <c r="X41" s="237">
        <v>2</v>
      </c>
      <c r="Y41" s="237">
        <v>2</v>
      </c>
      <c r="Z41" s="237">
        <v>2</v>
      </c>
      <c r="AA41" s="237">
        <v>2</v>
      </c>
      <c r="AB41" s="237" t="s">
        <v>486</v>
      </c>
      <c r="AC41" s="237" t="s">
        <v>486</v>
      </c>
      <c r="AD41" s="237" t="s">
        <v>219</v>
      </c>
      <c r="AE41" s="237" t="s">
        <v>490</v>
      </c>
      <c r="AF41" s="237" t="s">
        <v>486</v>
      </c>
      <c r="AG41" s="237" t="s">
        <v>486</v>
      </c>
      <c r="AH41" s="237" t="s">
        <v>486</v>
      </c>
      <c r="AI41" s="237" t="s">
        <v>486</v>
      </c>
      <c r="AJ41" s="237" t="s">
        <v>486</v>
      </c>
      <c r="AK41" s="237" t="s">
        <v>486</v>
      </c>
      <c r="AL41" s="237" t="s">
        <v>486</v>
      </c>
      <c r="AM41" s="237" t="s">
        <v>491</v>
      </c>
      <c r="AN41" s="237" t="s">
        <v>231</v>
      </c>
      <c r="AO41" s="237" t="s">
        <v>231</v>
      </c>
      <c r="AP41" s="237" t="s">
        <v>231</v>
      </c>
      <c r="AQ41" s="237" t="s">
        <v>231</v>
      </c>
      <c r="AR41" s="237" t="s">
        <v>231</v>
      </c>
      <c r="AS41" s="237" t="s">
        <v>231</v>
      </c>
      <c r="AT41" s="237" t="s">
        <v>231</v>
      </c>
      <c r="AU41" s="237" t="s">
        <v>231</v>
      </c>
      <c r="AV41" s="237" t="s">
        <v>231</v>
      </c>
      <c r="AW41" s="237" t="s">
        <v>231</v>
      </c>
      <c r="AX41" s="237" t="s">
        <v>231</v>
      </c>
      <c r="AY41" s="237" t="s">
        <v>231</v>
      </c>
      <c r="AZ41" s="237" t="s">
        <v>231</v>
      </c>
      <c r="BA41" s="237" t="s">
        <v>231</v>
      </c>
      <c r="BB41" s="237" t="s">
        <v>231</v>
      </c>
      <c r="BC41" s="237" t="s">
        <v>231</v>
      </c>
      <c r="BD41" s="237" t="s">
        <v>492</v>
      </c>
      <c r="BE41" s="237" t="s">
        <v>231</v>
      </c>
      <c r="BF41" s="237" t="s">
        <v>231</v>
      </c>
      <c r="BG41" s="237" t="s">
        <v>231</v>
      </c>
      <c r="BH41" s="237" t="s">
        <v>231</v>
      </c>
      <c r="BI41" s="237" t="s">
        <v>231</v>
      </c>
      <c r="BJ41" s="237" t="s">
        <v>231</v>
      </c>
      <c r="BK41" s="237" t="s">
        <v>231</v>
      </c>
      <c r="BL41" s="237" t="s">
        <v>492</v>
      </c>
      <c r="BM41" s="237" t="s">
        <v>492</v>
      </c>
      <c r="BN41" s="237" t="s">
        <v>231</v>
      </c>
      <c r="BO41" s="237" t="s">
        <v>231</v>
      </c>
      <c r="BP41" s="237" t="s">
        <v>231</v>
      </c>
      <c r="BQ41" s="237" t="s">
        <v>231</v>
      </c>
      <c r="BR41" s="237" t="s">
        <v>231</v>
      </c>
      <c r="BS41" s="237" t="s">
        <v>231</v>
      </c>
      <c r="BT41" s="237" t="s">
        <v>231</v>
      </c>
      <c r="BU41" s="237" t="s">
        <v>231</v>
      </c>
      <c r="BV41" s="237" t="s">
        <v>231</v>
      </c>
      <c r="BW41" s="237" t="s">
        <v>231</v>
      </c>
      <c r="BX41" s="237" t="s">
        <v>231</v>
      </c>
      <c r="BY41" s="237" t="s">
        <v>231</v>
      </c>
      <c r="BZ41" s="237" t="s">
        <v>231</v>
      </c>
      <c r="CA41" s="237" t="s">
        <v>231</v>
      </c>
      <c r="CB41" s="237" t="s">
        <v>231</v>
      </c>
      <c r="CC41" s="237" t="s">
        <v>231</v>
      </c>
      <c r="CD41" s="237" t="s">
        <v>231</v>
      </c>
      <c r="CE41" s="237" t="s">
        <v>231</v>
      </c>
      <c r="CF41" s="237" t="s">
        <v>231</v>
      </c>
      <c r="CG41" s="237" t="s">
        <v>231</v>
      </c>
      <c r="CH41" s="237" t="s">
        <v>231</v>
      </c>
      <c r="CI41" s="237" t="s">
        <v>231</v>
      </c>
      <c r="CJ41" s="237" t="s">
        <v>231</v>
      </c>
      <c r="CK41" s="237" t="s">
        <v>231</v>
      </c>
      <c r="CL41" s="237" t="s">
        <v>231</v>
      </c>
      <c r="CM41" s="237" t="s">
        <v>231</v>
      </c>
      <c r="CN41" s="237" t="s">
        <v>231</v>
      </c>
      <c r="CO41" s="237" t="s">
        <v>231</v>
      </c>
      <c r="CP41" s="237" t="s">
        <v>231</v>
      </c>
      <c r="CQ41" s="237" t="s">
        <v>231</v>
      </c>
      <c r="CR41" s="237" t="s">
        <v>231</v>
      </c>
      <c r="CS41" s="237" t="s">
        <v>231</v>
      </c>
      <c r="CT41" s="237" t="s">
        <v>492</v>
      </c>
      <c r="CU41" s="237" t="s">
        <v>492</v>
      </c>
      <c r="CV41" s="237" t="s">
        <v>492</v>
      </c>
      <c r="CW41" s="237" t="s">
        <v>231</v>
      </c>
      <c r="CX41" s="237" t="s">
        <v>231</v>
      </c>
      <c r="CY41" s="237" t="s">
        <v>231</v>
      </c>
      <c r="CZ41" s="237" t="s">
        <v>231</v>
      </c>
      <c r="DA41" s="237" t="s">
        <v>231</v>
      </c>
      <c r="DB41" s="237" t="s">
        <v>231</v>
      </c>
      <c r="DC41" s="237" t="s">
        <v>231</v>
      </c>
      <c r="DD41" s="237" t="s">
        <v>231</v>
      </c>
      <c r="DE41" s="237" t="s">
        <v>231</v>
      </c>
      <c r="DF41" s="237" t="s">
        <v>231</v>
      </c>
      <c r="DG41" s="237" t="s">
        <v>231</v>
      </c>
      <c r="DH41" s="237" t="s">
        <v>231</v>
      </c>
      <c r="DI41" s="237" t="s">
        <v>231</v>
      </c>
      <c r="DJ41" s="237" t="s">
        <v>231</v>
      </c>
      <c r="DK41" s="237" t="s">
        <v>231</v>
      </c>
      <c r="DL41" s="237" t="s">
        <v>231</v>
      </c>
      <c r="DM41" s="237" t="s">
        <v>231</v>
      </c>
      <c r="DN41" s="237" t="s">
        <v>231</v>
      </c>
      <c r="DO41" s="237" t="s">
        <v>231</v>
      </c>
      <c r="DP41" s="237" t="s">
        <v>231</v>
      </c>
      <c r="DQ41" s="237" t="s">
        <v>231</v>
      </c>
      <c r="DR41" s="237" t="s">
        <v>231</v>
      </c>
      <c r="DS41" s="237" t="s">
        <v>231</v>
      </c>
      <c r="DT41" s="237" t="s">
        <v>231</v>
      </c>
      <c r="DU41" s="237" t="s">
        <v>231</v>
      </c>
      <c r="DV41" s="237" t="s">
        <v>231</v>
      </c>
      <c r="DW41" s="237" t="s">
        <v>231</v>
      </c>
      <c r="DX41" s="237" t="s">
        <v>231</v>
      </c>
      <c r="DY41" s="237" t="s">
        <v>231</v>
      </c>
      <c r="DZ41" s="237" t="s">
        <v>231</v>
      </c>
      <c r="EA41" s="237" t="s">
        <v>231</v>
      </c>
      <c r="EB41" s="237" t="s">
        <v>231</v>
      </c>
      <c r="EC41" s="237" t="s">
        <v>231</v>
      </c>
      <c r="ED41" s="237" t="s">
        <v>231</v>
      </c>
      <c r="EE41" s="237" t="s">
        <v>231</v>
      </c>
      <c r="EF41" s="237" t="s">
        <v>231</v>
      </c>
      <c r="EG41" s="237" t="s">
        <v>231</v>
      </c>
      <c r="EH41" s="237" t="s">
        <v>492</v>
      </c>
      <c r="EI41" s="237" t="s">
        <v>231</v>
      </c>
      <c r="EJ41" s="237" t="s">
        <v>492</v>
      </c>
      <c r="EK41" s="237" t="s">
        <v>492</v>
      </c>
      <c r="EL41" s="237" t="s">
        <v>492</v>
      </c>
      <c r="EM41" s="237" t="s">
        <v>492</v>
      </c>
      <c r="EN41" s="237" t="s">
        <v>492</v>
      </c>
      <c r="EO41" s="237" t="s">
        <v>492</v>
      </c>
      <c r="EP41" s="237" t="s">
        <v>492</v>
      </c>
      <c r="EQ41" s="237" t="s">
        <v>492</v>
      </c>
      <c r="ER41" s="237" t="s">
        <v>492</v>
      </c>
      <c r="ES41" s="237" t="s">
        <v>231</v>
      </c>
      <c r="ET41" s="237" t="s">
        <v>231</v>
      </c>
      <c r="EU41" s="237" t="s">
        <v>231</v>
      </c>
      <c r="EV41" s="237" t="s">
        <v>231</v>
      </c>
      <c r="EW41" s="237" t="s">
        <v>231</v>
      </c>
      <c r="EX41" s="237" t="s">
        <v>231</v>
      </c>
      <c r="EY41" s="237" t="s">
        <v>231</v>
      </c>
      <c r="EZ41" s="237" t="s">
        <v>231</v>
      </c>
      <c r="FA41" s="237" t="s">
        <v>231</v>
      </c>
      <c r="FB41" s="237" t="s">
        <v>231</v>
      </c>
      <c r="FC41" s="237" t="s">
        <v>231</v>
      </c>
      <c r="FD41" s="237" t="s">
        <v>231</v>
      </c>
      <c r="FE41" s="237" t="s">
        <v>231</v>
      </c>
      <c r="FF41" s="237" t="s">
        <v>231</v>
      </c>
      <c r="FG41" s="237" t="s">
        <v>231</v>
      </c>
      <c r="FH41" s="237" t="s">
        <v>231</v>
      </c>
      <c r="FI41" s="237" t="s">
        <v>231</v>
      </c>
      <c r="FJ41" s="237" t="s">
        <v>231</v>
      </c>
      <c r="FK41" s="237" t="s">
        <v>231</v>
      </c>
      <c r="FL41" s="237" t="s">
        <v>231</v>
      </c>
      <c r="FM41" s="237" t="s">
        <v>492</v>
      </c>
      <c r="FN41" s="237" t="s">
        <v>492</v>
      </c>
      <c r="FO41" s="237" t="s">
        <v>493</v>
      </c>
      <c r="FP41" s="237" t="s">
        <v>492</v>
      </c>
      <c r="FQ41" s="237" t="s">
        <v>231</v>
      </c>
      <c r="FR41" s="237" t="s">
        <v>231</v>
      </c>
      <c r="FS41" s="237" t="s">
        <v>231</v>
      </c>
      <c r="FT41" s="237" t="s">
        <v>231</v>
      </c>
      <c r="FU41" s="237" t="s">
        <v>231</v>
      </c>
      <c r="FV41" s="237" t="s">
        <v>231</v>
      </c>
      <c r="FW41" s="237" t="s">
        <v>231</v>
      </c>
      <c r="FX41" s="237" t="s">
        <v>492</v>
      </c>
      <c r="FY41" s="237" t="s">
        <v>231</v>
      </c>
      <c r="FZ41" s="237" t="s">
        <v>231</v>
      </c>
      <c r="GA41" s="237" t="s">
        <v>231</v>
      </c>
      <c r="GB41" s="237" t="s">
        <v>231</v>
      </c>
      <c r="GC41" s="237" t="s">
        <v>231</v>
      </c>
      <c r="GD41" s="237" t="s">
        <v>231</v>
      </c>
      <c r="GE41" s="237" t="s">
        <v>231</v>
      </c>
      <c r="GF41" s="237" t="s">
        <v>231</v>
      </c>
      <c r="GG41" s="237" t="s">
        <v>231</v>
      </c>
      <c r="GH41" s="237" t="s">
        <v>231</v>
      </c>
      <c r="GI41" s="237" t="s">
        <v>231</v>
      </c>
      <c r="GJ41" s="237" t="s">
        <v>231</v>
      </c>
      <c r="GK41" s="237" t="s">
        <v>231</v>
      </c>
      <c r="GL41" s="237" t="s">
        <v>231</v>
      </c>
      <c r="GM41" s="237" t="s">
        <v>231</v>
      </c>
      <c r="GN41" s="237" t="s">
        <v>231</v>
      </c>
      <c r="GO41" s="237" t="s">
        <v>231</v>
      </c>
      <c r="GP41" s="237" t="s">
        <v>492</v>
      </c>
      <c r="GQ41" s="237" t="s">
        <v>231</v>
      </c>
      <c r="GR41" s="237" t="s">
        <v>231</v>
      </c>
      <c r="GS41" s="237" t="s">
        <v>231</v>
      </c>
      <c r="GT41" s="237" t="s">
        <v>231</v>
      </c>
      <c r="GU41" s="237" t="s">
        <v>492</v>
      </c>
      <c r="GV41" s="237" t="s">
        <v>492</v>
      </c>
      <c r="GW41" s="237" t="s">
        <v>231</v>
      </c>
      <c r="GX41" s="237" t="s">
        <v>231</v>
      </c>
      <c r="GY41" s="237" t="s">
        <v>231</v>
      </c>
      <c r="GZ41" s="237" t="s">
        <v>492</v>
      </c>
      <c r="HA41" s="237" t="s">
        <v>231</v>
      </c>
      <c r="HB41" s="237" t="s">
        <v>231</v>
      </c>
      <c r="HC41" s="237" t="s">
        <v>231</v>
      </c>
      <c r="HD41" s="237" t="s">
        <v>231</v>
      </c>
      <c r="HE41" s="237" t="s">
        <v>231</v>
      </c>
      <c r="HF41" s="237" t="s">
        <v>492</v>
      </c>
      <c r="HG41" s="237" t="s">
        <v>492</v>
      </c>
      <c r="HH41" s="237" t="s">
        <v>231</v>
      </c>
      <c r="HI41" s="237" t="s">
        <v>231</v>
      </c>
      <c r="HJ41" s="237" t="s">
        <v>231</v>
      </c>
      <c r="HK41" s="237" t="s">
        <v>231</v>
      </c>
      <c r="HL41" s="237" t="s">
        <v>231</v>
      </c>
      <c r="HM41" s="237" t="s">
        <v>231</v>
      </c>
      <c r="HN41" s="237" t="s">
        <v>231</v>
      </c>
      <c r="HO41" s="237" t="s">
        <v>231</v>
      </c>
      <c r="HP41" s="237" t="s">
        <v>492</v>
      </c>
      <c r="HQ41" s="237" t="s">
        <v>492</v>
      </c>
      <c r="HR41" s="237" t="s">
        <v>492</v>
      </c>
      <c r="HS41" s="237" t="s">
        <v>492</v>
      </c>
      <c r="HT41" s="237" t="s">
        <v>492</v>
      </c>
      <c r="HU41" s="237" t="s">
        <v>231</v>
      </c>
      <c r="HV41" s="237" t="s">
        <v>231</v>
      </c>
      <c r="HW41" s="237" t="s">
        <v>231</v>
      </c>
      <c r="HX41" s="237" t="s">
        <v>231</v>
      </c>
      <c r="HY41" s="237" t="s">
        <v>231</v>
      </c>
      <c r="HZ41" s="237" t="s">
        <v>231</v>
      </c>
      <c r="IA41" s="237" t="s">
        <v>231</v>
      </c>
      <c r="IB41" s="237" t="s">
        <v>231</v>
      </c>
      <c r="IC41" s="237" t="s">
        <v>231</v>
      </c>
      <c r="ID41" s="237" t="s">
        <v>231</v>
      </c>
      <c r="IE41" s="237" t="s">
        <v>231</v>
      </c>
      <c r="IF41" s="237" t="s">
        <v>231</v>
      </c>
      <c r="IG41" s="237" t="s">
        <v>231</v>
      </c>
      <c r="IH41" s="237" t="s">
        <v>231</v>
      </c>
      <c r="II41" s="237" t="s">
        <v>231</v>
      </c>
      <c r="IJ41" s="237" t="s">
        <v>231</v>
      </c>
      <c r="IK41" s="237" t="s">
        <v>231</v>
      </c>
      <c r="IL41" s="237" t="s">
        <v>231</v>
      </c>
      <c r="IM41" s="237" t="s">
        <v>231</v>
      </c>
      <c r="IN41" s="237" t="s">
        <v>231</v>
      </c>
      <c r="IO41" s="237" t="s">
        <v>220</v>
      </c>
      <c r="IP41" s="237" t="s">
        <v>493</v>
      </c>
      <c r="IQ41" s="237" t="s">
        <v>219</v>
      </c>
      <c r="IR41" s="237" t="s">
        <v>490</v>
      </c>
      <c r="IS41" s="237" t="s">
        <v>492</v>
      </c>
      <c r="IT41" s="237" t="s">
        <v>492</v>
      </c>
    </row>
    <row r="42" spans="1:254" ht="15" x14ac:dyDescent="0.25">
      <c r="A42" s="259" t="str">
        <f>HYPERLINK("http://www.ofsted.gov.uk/inspection-reports/find-inspection-report/provider/ELS/119856 ","Ofsted School Webpage")</f>
        <v>Ofsted School Webpage</v>
      </c>
      <c r="B42" s="240">
        <v>119856</v>
      </c>
      <c r="C42" s="240">
        <v>8896004</v>
      </c>
      <c r="D42" s="240" t="s">
        <v>608</v>
      </c>
      <c r="E42" s="240" t="s">
        <v>247</v>
      </c>
      <c r="F42" s="240" t="s">
        <v>482</v>
      </c>
      <c r="G42" s="240" t="s">
        <v>495</v>
      </c>
      <c r="H42" s="240" t="s">
        <v>495</v>
      </c>
      <c r="I42" s="240" t="s">
        <v>609</v>
      </c>
      <c r="J42" s="240" t="s">
        <v>610</v>
      </c>
      <c r="K42" s="240" t="s">
        <v>83</v>
      </c>
      <c r="L42" s="240" t="s">
        <v>84</v>
      </c>
      <c r="M42" s="240" t="s">
        <v>83</v>
      </c>
      <c r="N42" s="240" t="s">
        <v>84</v>
      </c>
      <c r="O42" s="240" t="s">
        <v>486</v>
      </c>
      <c r="P42" s="240" t="s">
        <v>487</v>
      </c>
      <c r="Q42" s="241">
        <v>10053724</v>
      </c>
      <c r="R42" s="242">
        <v>43382</v>
      </c>
      <c r="S42" s="242">
        <v>43384</v>
      </c>
      <c r="T42" s="242">
        <v>43408</v>
      </c>
      <c r="U42" s="240" t="s">
        <v>488</v>
      </c>
      <c r="V42" s="240" t="s">
        <v>489</v>
      </c>
      <c r="W42" s="240">
        <v>3</v>
      </c>
      <c r="X42" s="240">
        <v>2</v>
      </c>
      <c r="Y42" s="240">
        <v>2</v>
      </c>
      <c r="Z42" s="240">
        <v>3</v>
      </c>
      <c r="AA42" s="240">
        <v>3</v>
      </c>
      <c r="AB42" s="240" t="s">
        <v>486</v>
      </c>
      <c r="AC42" s="240" t="s">
        <v>486</v>
      </c>
      <c r="AD42" s="240" t="s">
        <v>219</v>
      </c>
      <c r="AE42" s="240" t="s">
        <v>490</v>
      </c>
      <c r="AF42" s="240" t="s">
        <v>486</v>
      </c>
      <c r="AG42" s="240" t="s">
        <v>486</v>
      </c>
      <c r="AH42" s="240" t="s">
        <v>486</v>
      </c>
      <c r="AI42" s="240" t="s">
        <v>486</v>
      </c>
      <c r="AJ42" s="240" t="s">
        <v>486</v>
      </c>
      <c r="AK42" s="240" t="s">
        <v>486</v>
      </c>
      <c r="AL42" s="240" t="s">
        <v>486</v>
      </c>
      <c r="AM42" s="240" t="s">
        <v>491</v>
      </c>
      <c r="AN42" s="240" t="s">
        <v>231</v>
      </c>
      <c r="AO42" s="240" t="s">
        <v>231</v>
      </c>
      <c r="AP42" s="240" t="s">
        <v>231</v>
      </c>
      <c r="AQ42" s="240" t="s">
        <v>231</v>
      </c>
      <c r="AR42" s="240" t="s">
        <v>231</v>
      </c>
      <c r="AS42" s="240" t="s">
        <v>231</v>
      </c>
      <c r="AT42" s="240" t="s">
        <v>231</v>
      </c>
      <c r="AU42" s="240" t="s">
        <v>231</v>
      </c>
      <c r="AV42" s="240" t="s">
        <v>231</v>
      </c>
      <c r="AW42" s="240" t="s">
        <v>231</v>
      </c>
      <c r="AX42" s="240" t="s">
        <v>231</v>
      </c>
      <c r="AY42" s="240" t="s">
        <v>231</v>
      </c>
      <c r="AZ42" s="240" t="s">
        <v>231</v>
      </c>
      <c r="BA42" s="240" t="s">
        <v>231</v>
      </c>
      <c r="BB42" s="240" t="s">
        <v>231</v>
      </c>
      <c r="BC42" s="240" t="s">
        <v>231</v>
      </c>
      <c r="BD42" s="240" t="s">
        <v>492</v>
      </c>
      <c r="BE42" s="240" t="s">
        <v>231</v>
      </c>
      <c r="BF42" s="240" t="s">
        <v>231</v>
      </c>
      <c r="BG42" s="240" t="s">
        <v>231</v>
      </c>
      <c r="BH42" s="240" t="s">
        <v>231</v>
      </c>
      <c r="BI42" s="240" t="s">
        <v>231</v>
      </c>
      <c r="BJ42" s="240" t="s">
        <v>231</v>
      </c>
      <c r="BK42" s="240" t="s">
        <v>231</v>
      </c>
      <c r="BL42" s="240" t="s">
        <v>492</v>
      </c>
      <c r="BM42" s="240" t="s">
        <v>492</v>
      </c>
      <c r="BN42" s="240" t="s">
        <v>231</v>
      </c>
      <c r="BO42" s="240" t="s">
        <v>231</v>
      </c>
      <c r="BP42" s="240" t="s">
        <v>231</v>
      </c>
      <c r="BQ42" s="240" t="s">
        <v>231</v>
      </c>
      <c r="BR42" s="240" t="s">
        <v>231</v>
      </c>
      <c r="BS42" s="240" t="s">
        <v>231</v>
      </c>
      <c r="BT42" s="240" t="s">
        <v>231</v>
      </c>
      <c r="BU42" s="240" t="s">
        <v>231</v>
      </c>
      <c r="BV42" s="240" t="s">
        <v>231</v>
      </c>
      <c r="BW42" s="240" t="s">
        <v>231</v>
      </c>
      <c r="BX42" s="240" t="s">
        <v>231</v>
      </c>
      <c r="BY42" s="240" t="s">
        <v>231</v>
      </c>
      <c r="BZ42" s="240" t="s">
        <v>231</v>
      </c>
      <c r="CA42" s="240" t="s">
        <v>231</v>
      </c>
      <c r="CB42" s="240" t="s">
        <v>231</v>
      </c>
      <c r="CC42" s="240" t="s">
        <v>231</v>
      </c>
      <c r="CD42" s="240" t="s">
        <v>231</v>
      </c>
      <c r="CE42" s="240" t="s">
        <v>231</v>
      </c>
      <c r="CF42" s="240" t="s">
        <v>231</v>
      </c>
      <c r="CG42" s="240" t="s">
        <v>231</v>
      </c>
      <c r="CH42" s="240" t="s">
        <v>231</v>
      </c>
      <c r="CI42" s="240" t="s">
        <v>231</v>
      </c>
      <c r="CJ42" s="240" t="s">
        <v>231</v>
      </c>
      <c r="CK42" s="240" t="s">
        <v>231</v>
      </c>
      <c r="CL42" s="240" t="s">
        <v>231</v>
      </c>
      <c r="CM42" s="240" t="s">
        <v>231</v>
      </c>
      <c r="CN42" s="240" t="s">
        <v>231</v>
      </c>
      <c r="CO42" s="240" t="s">
        <v>231</v>
      </c>
      <c r="CP42" s="240" t="s">
        <v>231</v>
      </c>
      <c r="CQ42" s="240" t="s">
        <v>231</v>
      </c>
      <c r="CR42" s="240" t="s">
        <v>231</v>
      </c>
      <c r="CS42" s="240" t="s">
        <v>231</v>
      </c>
      <c r="CT42" s="240" t="s">
        <v>492</v>
      </c>
      <c r="CU42" s="240" t="s">
        <v>492</v>
      </c>
      <c r="CV42" s="240" t="s">
        <v>492</v>
      </c>
      <c r="CW42" s="240" t="s">
        <v>231</v>
      </c>
      <c r="CX42" s="240" t="s">
        <v>231</v>
      </c>
      <c r="CY42" s="240" t="s">
        <v>231</v>
      </c>
      <c r="CZ42" s="240" t="s">
        <v>231</v>
      </c>
      <c r="DA42" s="240" t="s">
        <v>231</v>
      </c>
      <c r="DB42" s="240" t="s">
        <v>231</v>
      </c>
      <c r="DC42" s="240" t="s">
        <v>231</v>
      </c>
      <c r="DD42" s="240" t="s">
        <v>231</v>
      </c>
      <c r="DE42" s="240" t="s">
        <v>231</v>
      </c>
      <c r="DF42" s="240" t="s">
        <v>231</v>
      </c>
      <c r="DG42" s="240" t="s">
        <v>231</v>
      </c>
      <c r="DH42" s="240" t="s">
        <v>231</v>
      </c>
      <c r="DI42" s="240" t="s">
        <v>231</v>
      </c>
      <c r="DJ42" s="240" t="s">
        <v>231</v>
      </c>
      <c r="DK42" s="240" t="s">
        <v>231</v>
      </c>
      <c r="DL42" s="240" t="s">
        <v>231</v>
      </c>
      <c r="DM42" s="240" t="s">
        <v>231</v>
      </c>
      <c r="DN42" s="240" t="s">
        <v>231</v>
      </c>
      <c r="DO42" s="240" t="s">
        <v>231</v>
      </c>
      <c r="DP42" s="240" t="s">
        <v>231</v>
      </c>
      <c r="DQ42" s="240" t="s">
        <v>231</v>
      </c>
      <c r="DR42" s="240" t="s">
        <v>231</v>
      </c>
      <c r="DS42" s="240" t="s">
        <v>492</v>
      </c>
      <c r="DT42" s="240" t="s">
        <v>492</v>
      </c>
      <c r="DU42" s="240" t="s">
        <v>231</v>
      </c>
      <c r="DV42" s="240" t="s">
        <v>492</v>
      </c>
      <c r="DW42" s="240" t="s">
        <v>492</v>
      </c>
      <c r="DX42" s="240" t="s">
        <v>492</v>
      </c>
      <c r="DY42" s="240" t="s">
        <v>492</v>
      </c>
      <c r="DZ42" s="240" t="s">
        <v>492</v>
      </c>
      <c r="EA42" s="240" t="s">
        <v>492</v>
      </c>
      <c r="EB42" s="240" t="s">
        <v>492</v>
      </c>
      <c r="EC42" s="240" t="s">
        <v>492</v>
      </c>
      <c r="ED42" s="240" t="s">
        <v>492</v>
      </c>
      <c r="EE42" s="240" t="s">
        <v>492</v>
      </c>
      <c r="EF42" s="240" t="s">
        <v>492</v>
      </c>
      <c r="EG42" s="240" t="s">
        <v>492</v>
      </c>
      <c r="EH42" s="240" t="s">
        <v>492</v>
      </c>
      <c r="EI42" s="240" t="s">
        <v>231</v>
      </c>
      <c r="EJ42" s="240" t="s">
        <v>231</v>
      </c>
      <c r="EK42" s="240" t="s">
        <v>231</v>
      </c>
      <c r="EL42" s="240" t="s">
        <v>231</v>
      </c>
      <c r="EM42" s="240" t="s">
        <v>231</v>
      </c>
      <c r="EN42" s="240" t="s">
        <v>231</v>
      </c>
      <c r="EO42" s="240" t="s">
        <v>231</v>
      </c>
      <c r="EP42" s="240" t="s">
        <v>231</v>
      </c>
      <c r="EQ42" s="240" t="s">
        <v>231</v>
      </c>
      <c r="ER42" s="240" t="s">
        <v>231</v>
      </c>
      <c r="ES42" s="240" t="s">
        <v>231</v>
      </c>
      <c r="ET42" s="240" t="s">
        <v>231</v>
      </c>
      <c r="EU42" s="240" t="s">
        <v>231</v>
      </c>
      <c r="EV42" s="240" t="s">
        <v>231</v>
      </c>
      <c r="EW42" s="240" t="s">
        <v>231</v>
      </c>
      <c r="EX42" s="240" t="s">
        <v>231</v>
      </c>
      <c r="EY42" s="240" t="s">
        <v>231</v>
      </c>
      <c r="EZ42" s="240" t="s">
        <v>231</v>
      </c>
      <c r="FA42" s="240" t="s">
        <v>231</v>
      </c>
      <c r="FB42" s="240" t="s">
        <v>231</v>
      </c>
      <c r="FC42" s="240" t="s">
        <v>231</v>
      </c>
      <c r="FD42" s="240" t="s">
        <v>231</v>
      </c>
      <c r="FE42" s="240" t="s">
        <v>231</v>
      </c>
      <c r="FF42" s="240" t="s">
        <v>492</v>
      </c>
      <c r="FG42" s="240" t="s">
        <v>492</v>
      </c>
      <c r="FH42" s="240" t="s">
        <v>492</v>
      </c>
      <c r="FI42" s="240" t="s">
        <v>492</v>
      </c>
      <c r="FJ42" s="240" t="s">
        <v>492</v>
      </c>
      <c r="FK42" s="240" t="s">
        <v>492</v>
      </c>
      <c r="FL42" s="240" t="s">
        <v>492</v>
      </c>
      <c r="FM42" s="240" t="s">
        <v>231</v>
      </c>
      <c r="FN42" s="240" t="s">
        <v>231</v>
      </c>
      <c r="FO42" s="240" t="s">
        <v>231</v>
      </c>
      <c r="FP42" s="240" t="s">
        <v>231</v>
      </c>
      <c r="FQ42" s="240" t="s">
        <v>231</v>
      </c>
      <c r="FR42" s="240" t="s">
        <v>231</v>
      </c>
      <c r="FS42" s="240" t="s">
        <v>231</v>
      </c>
      <c r="FT42" s="240" t="s">
        <v>231</v>
      </c>
      <c r="FU42" s="240" t="s">
        <v>231</v>
      </c>
      <c r="FV42" s="240" t="s">
        <v>231</v>
      </c>
      <c r="FW42" s="240" t="s">
        <v>231</v>
      </c>
      <c r="FX42" s="240" t="s">
        <v>492</v>
      </c>
      <c r="FY42" s="240" t="s">
        <v>231</v>
      </c>
      <c r="FZ42" s="240" t="s">
        <v>231</v>
      </c>
      <c r="GA42" s="240" t="s">
        <v>231</v>
      </c>
      <c r="GB42" s="240" t="s">
        <v>231</v>
      </c>
      <c r="GC42" s="240" t="s">
        <v>231</v>
      </c>
      <c r="GD42" s="240" t="s">
        <v>231</v>
      </c>
      <c r="GE42" s="240" t="s">
        <v>231</v>
      </c>
      <c r="GF42" s="240" t="s">
        <v>231</v>
      </c>
      <c r="GG42" s="240" t="s">
        <v>231</v>
      </c>
      <c r="GH42" s="240" t="s">
        <v>231</v>
      </c>
      <c r="GI42" s="240" t="s">
        <v>231</v>
      </c>
      <c r="GJ42" s="240" t="s">
        <v>231</v>
      </c>
      <c r="GK42" s="240" t="s">
        <v>231</v>
      </c>
      <c r="GL42" s="240" t="s">
        <v>231</v>
      </c>
      <c r="GM42" s="240" t="s">
        <v>231</v>
      </c>
      <c r="GN42" s="240" t="s">
        <v>231</v>
      </c>
      <c r="GO42" s="240" t="s">
        <v>231</v>
      </c>
      <c r="GP42" s="240" t="s">
        <v>492</v>
      </c>
      <c r="GQ42" s="240" t="s">
        <v>231</v>
      </c>
      <c r="GR42" s="240" t="s">
        <v>231</v>
      </c>
      <c r="GS42" s="240" t="s">
        <v>231</v>
      </c>
      <c r="GT42" s="240" t="s">
        <v>231</v>
      </c>
      <c r="GU42" s="240" t="s">
        <v>231</v>
      </c>
      <c r="GV42" s="240" t="s">
        <v>231</v>
      </c>
      <c r="GW42" s="240" t="s">
        <v>231</v>
      </c>
      <c r="GX42" s="240" t="s">
        <v>231</v>
      </c>
      <c r="GY42" s="240" t="s">
        <v>231</v>
      </c>
      <c r="GZ42" s="240" t="s">
        <v>231</v>
      </c>
      <c r="HA42" s="240" t="s">
        <v>231</v>
      </c>
      <c r="HB42" s="240" t="s">
        <v>231</v>
      </c>
      <c r="HC42" s="240" t="s">
        <v>231</v>
      </c>
      <c r="HD42" s="240" t="s">
        <v>231</v>
      </c>
      <c r="HE42" s="240" t="s">
        <v>231</v>
      </c>
      <c r="HF42" s="240" t="s">
        <v>231</v>
      </c>
      <c r="HG42" s="240" t="s">
        <v>231</v>
      </c>
      <c r="HH42" s="240" t="s">
        <v>231</v>
      </c>
      <c r="HI42" s="240" t="s">
        <v>231</v>
      </c>
      <c r="HJ42" s="240" t="s">
        <v>231</v>
      </c>
      <c r="HK42" s="240" t="s">
        <v>492</v>
      </c>
      <c r="HL42" s="240" t="s">
        <v>231</v>
      </c>
      <c r="HM42" s="240" t="s">
        <v>231</v>
      </c>
      <c r="HN42" s="240" t="s">
        <v>231</v>
      </c>
      <c r="HO42" s="240" t="s">
        <v>231</v>
      </c>
      <c r="HP42" s="240" t="s">
        <v>231</v>
      </c>
      <c r="HQ42" s="240" t="s">
        <v>231</v>
      </c>
      <c r="HR42" s="240" t="s">
        <v>492</v>
      </c>
      <c r="HS42" s="240" t="s">
        <v>492</v>
      </c>
      <c r="HT42" s="240" t="s">
        <v>492</v>
      </c>
      <c r="HU42" s="240" t="s">
        <v>231</v>
      </c>
      <c r="HV42" s="240" t="s">
        <v>231</v>
      </c>
      <c r="HW42" s="240" t="s">
        <v>231</v>
      </c>
      <c r="HX42" s="240" t="s">
        <v>231</v>
      </c>
      <c r="HY42" s="240" t="s">
        <v>231</v>
      </c>
      <c r="HZ42" s="240" t="s">
        <v>231</v>
      </c>
      <c r="IA42" s="240" t="s">
        <v>231</v>
      </c>
      <c r="IB42" s="240" t="s">
        <v>231</v>
      </c>
      <c r="IC42" s="240" t="s">
        <v>231</v>
      </c>
      <c r="ID42" s="240" t="s">
        <v>231</v>
      </c>
      <c r="IE42" s="240" t="s">
        <v>231</v>
      </c>
      <c r="IF42" s="240" t="s">
        <v>231</v>
      </c>
      <c r="IG42" s="240" t="s">
        <v>231</v>
      </c>
      <c r="IH42" s="240" t="s">
        <v>231</v>
      </c>
      <c r="II42" s="240" t="s">
        <v>231</v>
      </c>
      <c r="IJ42" s="240" t="s">
        <v>231</v>
      </c>
      <c r="IK42" s="240" t="s">
        <v>231</v>
      </c>
      <c r="IL42" s="240" t="s">
        <v>231</v>
      </c>
      <c r="IM42" s="240" t="s">
        <v>231</v>
      </c>
      <c r="IN42" s="240" t="s">
        <v>231</v>
      </c>
      <c r="IO42" s="240" t="s">
        <v>220</v>
      </c>
      <c r="IP42" s="240" t="s">
        <v>493</v>
      </c>
      <c r="IQ42" s="240" t="s">
        <v>219</v>
      </c>
      <c r="IR42" s="240" t="s">
        <v>490</v>
      </c>
      <c r="IS42" s="240" t="s">
        <v>492</v>
      </c>
      <c r="IT42" s="240" t="s">
        <v>492</v>
      </c>
    </row>
    <row r="43" spans="1:254" ht="15" x14ac:dyDescent="0.25">
      <c r="A43" s="258" t="str">
        <f>HYPERLINK("http://www.ofsted.gov.uk/inspection-reports/find-inspection-report/provider/ELS/144817 ","Ofsted School Webpage")</f>
        <v>Ofsted School Webpage</v>
      </c>
      <c r="B43" s="237">
        <v>144817</v>
      </c>
      <c r="C43" s="237">
        <v>9266014</v>
      </c>
      <c r="D43" s="237" t="s">
        <v>611</v>
      </c>
      <c r="E43" s="237" t="s">
        <v>247</v>
      </c>
      <c r="F43" s="237" t="s">
        <v>482</v>
      </c>
      <c r="G43" s="237" t="s">
        <v>516</v>
      </c>
      <c r="H43" s="237" t="s">
        <v>516</v>
      </c>
      <c r="I43" s="237" t="s">
        <v>528</v>
      </c>
      <c r="J43" s="237" t="s">
        <v>612</v>
      </c>
      <c r="K43" s="237" t="s">
        <v>93</v>
      </c>
      <c r="L43" s="237" t="s">
        <v>93</v>
      </c>
      <c r="M43" s="237" t="s">
        <v>93</v>
      </c>
      <c r="N43" s="237" t="s">
        <v>90</v>
      </c>
      <c r="O43" s="237" t="s">
        <v>486</v>
      </c>
      <c r="P43" s="237" t="s">
        <v>487</v>
      </c>
      <c r="Q43" s="238">
        <v>10056167</v>
      </c>
      <c r="R43" s="239">
        <v>43382</v>
      </c>
      <c r="S43" s="239">
        <v>43384</v>
      </c>
      <c r="T43" s="239">
        <v>43432</v>
      </c>
      <c r="U43" s="237" t="s">
        <v>499</v>
      </c>
      <c r="V43" s="237" t="s">
        <v>489</v>
      </c>
      <c r="W43" s="237">
        <v>4</v>
      </c>
      <c r="X43" s="237">
        <v>4</v>
      </c>
      <c r="Y43" s="237">
        <v>4</v>
      </c>
      <c r="Z43" s="237">
        <v>4</v>
      </c>
      <c r="AA43" s="237">
        <v>4</v>
      </c>
      <c r="AB43" s="237" t="s">
        <v>486</v>
      </c>
      <c r="AC43" s="237" t="s">
        <v>486</v>
      </c>
      <c r="AD43" s="237" t="s">
        <v>220</v>
      </c>
      <c r="AE43" s="237" t="s">
        <v>490</v>
      </c>
      <c r="AF43" s="237" t="s">
        <v>486</v>
      </c>
      <c r="AG43" s="237" t="s">
        <v>486</v>
      </c>
      <c r="AH43" s="237" t="s">
        <v>486</v>
      </c>
      <c r="AI43" s="237" t="s">
        <v>486</v>
      </c>
      <c r="AJ43" s="237" t="s">
        <v>486</v>
      </c>
      <c r="AK43" s="237" t="s">
        <v>486</v>
      </c>
      <c r="AL43" s="237" t="s">
        <v>486</v>
      </c>
      <c r="AM43" s="237" t="s">
        <v>545</v>
      </c>
      <c r="AN43" s="237" t="s">
        <v>546</v>
      </c>
      <c r="AO43" s="237" t="s">
        <v>231</v>
      </c>
      <c r="AP43" s="237" t="s">
        <v>546</v>
      </c>
      <c r="AQ43" s="237" t="s">
        <v>546</v>
      </c>
      <c r="AR43" s="237" t="s">
        <v>546</v>
      </c>
      <c r="AS43" s="237" t="s">
        <v>546</v>
      </c>
      <c r="AT43" s="237" t="s">
        <v>231</v>
      </c>
      <c r="AU43" s="237" t="s">
        <v>546</v>
      </c>
      <c r="AV43" s="237" t="s">
        <v>232</v>
      </c>
      <c r="AW43" s="237" t="s">
        <v>232</v>
      </c>
      <c r="AX43" s="237" t="s">
        <v>232</v>
      </c>
      <c r="AY43" s="237" t="s">
        <v>232</v>
      </c>
      <c r="AZ43" s="237" t="s">
        <v>231</v>
      </c>
      <c r="BA43" s="237" t="s">
        <v>232</v>
      </c>
      <c r="BB43" s="237" t="s">
        <v>232</v>
      </c>
      <c r="BC43" s="237" t="s">
        <v>231</v>
      </c>
      <c r="BD43" s="237" t="s">
        <v>492</v>
      </c>
      <c r="BE43" s="237" t="s">
        <v>231</v>
      </c>
      <c r="BF43" s="237" t="s">
        <v>231</v>
      </c>
      <c r="BG43" s="237" t="s">
        <v>231</v>
      </c>
      <c r="BH43" s="237" t="s">
        <v>231</v>
      </c>
      <c r="BI43" s="237" t="s">
        <v>231</v>
      </c>
      <c r="BJ43" s="237" t="s">
        <v>231</v>
      </c>
      <c r="BK43" s="237" t="s">
        <v>231</v>
      </c>
      <c r="BL43" s="237" t="s">
        <v>492</v>
      </c>
      <c r="BM43" s="237" t="s">
        <v>492</v>
      </c>
      <c r="BN43" s="237" t="s">
        <v>231</v>
      </c>
      <c r="BO43" s="237" t="s">
        <v>231</v>
      </c>
      <c r="BP43" s="237" t="s">
        <v>232</v>
      </c>
      <c r="BQ43" s="237" t="s">
        <v>232</v>
      </c>
      <c r="BR43" s="237" t="s">
        <v>231</v>
      </c>
      <c r="BS43" s="237" t="s">
        <v>232</v>
      </c>
      <c r="BT43" s="237" t="s">
        <v>232</v>
      </c>
      <c r="BU43" s="237" t="s">
        <v>232</v>
      </c>
      <c r="BV43" s="237" t="s">
        <v>231</v>
      </c>
      <c r="BW43" s="237" t="s">
        <v>232</v>
      </c>
      <c r="BX43" s="237" t="s">
        <v>231</v>
      </c>
      <c r="BY43" s="237" t="s">
        <v>231</v>
      </c>
      <c r="BZ43" s="237" t="s">
        <v>231</v>
      </c>
      <c r="CA43" s="237" t="s">
        <v>231</v>
      </c>
      <c r="CB43" s="237" t="s">
        <v>231</v>
      </c>
      <c r="CC43" s="237" t="s">
        <v>231</v>
      </c>
      <c r="CD43" s="237" t="s">
        <v>231</v>
      </c>
      <c r="CE43" s="237" t="s">
        <v>231</v>
      </c>
      <c r="CF43" s="237" t="s">
        <v>231</v>
      </c>
      <c r="CG43" s="237" t="s">
        <v>231</v>
      </c>
      <c r="CH43" s="237" t="s">
        <v>231</v>
      </c>
      <c r="CI43" s="237" t="s">
        <v>231</v>
      </c>
      <c r="CJ43" s="237" t="s">
        <v>231</v>
      </c>
      <c r="CK43" s="237" t="s">
        <v>231</v>
      </c>
      <c r="CL43" s="237" t="s">
        <v>231</v>
      </c>
      <c r="CM43" s="237" t="s">
        <v>231</v>
      </c>
      <c r="CN43" s="237" t="s">
        <v>231</v>
      </c>
      <c r="CO43" s="237" t="s">
        <v>231</v>
      </c>
      <c r="CP43" s="237" t="s">
        <v>231</v>
      </c>
      <c r="CQ43" s="237" t="s">
        <v>232</v>
      </c>
      <c r="CR43" s="237" t="s">
        <v>232</v>
      </c>
      <c r="CS43" s="237" t="s">
        <v>232</v>
      </c>
      <c r="CT43" s="237" t="s">
        <v>492</v>
      </c>
      <c r="CU43" s="237" t="s">
        <v>492</v>
      </c>
      <c r="CV43" s="237" t="s">
        <v>492</v>
      </c>
      <c r="CW43" s="237" t="s">
        <v>232</v>
      </c>
      <c r="CX43" s="237" t="s">
        <v>231</v>
      </c>
      <c r="CY43" s="237" t="s">
        <v>231</v>
      </c>
      <c r="CZ43" s="237" t="s">
        <v>232</v>
      </c>
      <c r="DA43" s="237" t="s">
        <v>231</v>
      </c>
      <c r="DB43" s="237" t="s">
        <v>232</v>
      </c>
      <c r="DC43" s="237" t="s">
        <v>232</v>
      </c>
      <c r="DD43" s="237" t="s">
        <v>231</v>
      </c>
      <c r="DE43" s="237" t="s">
        <v>232</v>
      </c>
      <c r="DF43" s="237" t="s">
        <v>232</v>
      </c>
      <c r="DG43" s="237" t="s">
        <v>232</v>
      </c>
      <c r="DH43" s="237" t="s">
        <v>232</v>
      </c>
      <c r="DI43" s="237" t="s">
        <v>232</v>
      </c>
      <c r="DJ43" s="237" t="s">
        <v>232</v>
      </c>
      <c r="DK43" s="237" t="s">
        <v>231</v>
      </c>
      <c r="DL43" s="237" t="s">
        <v>232</v>
      </c>
      <c r="DM43" s="237" t="s">
        <v>232</v>
      </c>
      <c r="DN43" s="237" t="s">
        <v>231</v>
      </c>
      <c r="DO43" s="237" t="s">
        <v>232</v>
      </c>
      <c r="DP43" s="237" t="s">
        <v>231</v>
      </c>
      <c r="DQ43" s="237" t="s">
        <v>231</v>
      </c>
      <c r="DR43" s="237" t="s">
        <v>231</v>
      </c>
      <c r="DS43" s="237" t="s">
        <v>231</v>
      </c>
      <c r="DT43" s="237" t="s">
        <v>492</v>
      </c>
      <c r="DU43" s="237" t="s">
        <v>231</v>
      </c>
      <c r="DV43" s="237" t="s">
        <v>231</v>
      </c>
      <c r="DW43" s="237" t="s">
        <v>231</v>
      </c>
      <c r="DX43" s="237" t="s">
        <v>231</v>
      </c>
      <c r="DY43" s="237" t="s">
        <v>231</v>
      </c>
      <c r="DZ43" s="237" t="s">
        <v>231</v>
      </c>
      <c r="EA43" s="237" t="s">
        <v>231</v>
      </c>
      <c r="EB43" s="237" t="s">
        <v>231</v>
      </c>
      <c r="EC43" s="237" t="s">
        <v>231</v>
      </c>
      <c r="ED43" s="237" t="s">
        <v>231</v>
      </c>
      <c r="EE43" s="237" t="s">
        <v>231</v>
      </c>
      <c r="EF43" s="237" t="s">
        <v>231</v>
      </c>
      <c r="EG43" s="237" t="s">
        <v>231</v>
      </c>
      <c r="EH43" s="237" t="s">
        <v>492</v>
      </c>
      <c r="EI43" s="237" t="s">
        <v>231</v>
      </c>
      <c r="EJ43" s="237" t="s">
        <v>232</v>
      </c>
      <c r="EK43" s="237" t="s">
        <v>231</v>
      </c>
      <c r="EL43" s="237" t="s">
        <v>231</v>
      </c>
      <c r="EM43" s="237" t="s">
        <v>231</v>
      </c>
      <c r="EN43" s="237" t="s">
        <v>232</v>
      </c>
      <c r="EO43" s="237" t="s">
        <v>231</v>
      </c>
      <c r="EP43" s="237" t="s">
        <v>232</v>
      </c>
      <c r="EQ43" s="237" t="s">
        <v>232</v>
      </c>
      <c r="ER43" s="237" t="s">
        <v>231</v>
      </c>
      <c r="ES43" s="237" t="s">
        <v>232</v>
      </c>
      <c r="ET43" s="237" t="s">
        <v>231</v>
      </c>
      <c r="EU43" s="237" t="s">
        <v>232</v>
      </c>
      <c r="EV43" s="237" t="s">
        <v>232</v>
      </c>
      <c r="EW43" s="237" t="s">
        <v>231</v>
      </c>
      <c r="EX43" s="237" t="s">
        <v>231</v>
      </c>
      <c r="EY43" s="237" t="s">
        <v>232</v>
      </c>
      <c r="EZ43" s="237" t="s">
        <v>231</v>
      </c>
      <c r="FA43" s="237" t="s">
        <v>231</v>
      </c>
      <c r="FB43" s="237" t="s">
        <v>231</v>
      </c>
      <c r="FC43" s="237" t="s">
        <v>231</v>
      </c>
      <c r="FD43" s="237" t="s">
        <v>231</v>
      </c>
      <c r="FE43" s="237" t="s">
        <v>232</v>
      </c>
      <c r="FF43" s="237" t="s">
        <v>492</v>
      </c>
      <c r="FG43" s="237" t="s">
        <v>231</v>
      </c>
      <c r="FH43" s="237" t="s">
        <v>231</v>
      </c>
      <c r="FI43" s="237" t="s">
        <v>231</v>
      </c>
      <c r="FJ43" s="237" t="s">
        <v>231</v>
      </c>
      <c r="FK43" s="237" t="s">
        <v>231</v>
      </c>
      <c r="FL43" s="237" t="s">
        <v>231</v>
      </c>
      <c r="FM43" s="237" t="s">
        <v>232</v>
      </c>
      <c r="FN43" s="237" t="s">
        <v>492</v>
      </c>
      <c r="FO43" s="237" t="s">
        <v>493</v>
      </c>
      <c r="FP43" s="237" t="s">
        <v>492</v>
      </c>
      <c r="FQ43" s="237" t="s">
        <v>232</v>
      </c>
      <c r="FR43" s="237" t="s">
        <v>231</v>
      </c>
      <c r="FS43" s="237" t="s">
        <v>231</v>
      </c>
      <c r="FT43" s="237" t="s">
        <v>232</v>
      </c>
      <c r="FU43" s="237" t="s">
        <v>231</v>
      </c>
      <c r="FV43" s="237" t="s">
        <v>231</v>
      </c>
      <c r="FW43" s="237" t="s">
        <v>231</v>
      </c>
      <c r="FX43" s="237" t="s">
        <v>492</v>
      </c>
      <c r="FY43" s="237" t="s">
        <v>231</v>
      </c>
      <c r="FZ43" s="237" t="s">
        <v>232</v>
      </c>
      <c r="GA43" s="237" t="s">
        <v>231</v>
      </c>
      <c r="GB43" s="237" t="s">
        <v>231</v>
      </c>
      <c r="GC43" s="237" t="s">
        <v>231</v>
      </c>
      <c r="GD43" s="237" t="s">
        <v>231</v>
      </c>
      <c r="GE43" s="237" t="s">
        <v>231</v>
      </c>
      <c r="GF43" s="237" t="s">
        <v>231</v>
      </c>
      <c r="GG43" s="237" t="s">
        <v>231</v>
      </c>
      <c r="GH43" s="237" t="s">
        <v>231</v>
      </c>
      <c r="GI43" s="237" t="s">
        <v>231</v>
      </c>
      <c r="GJ43" s="237" t="s">
        <v>231</v>
      </c>
      <c r="GK43" s="237" t="s">
        <v>231</v>
      </c>
      <c r="GL43" s="237" t="s">
        <v>231</v>
      </c>
      <c r="GM43" s="237" t="s">
        <v>231</v>
      </c>
      <c r="GN43" s="237" t="s">
        <v>231</v>
      </c>
      <c r="GO43" s="237" t="s">
        <v>231</v>
      </c>
      <c r="GP43" s="237" t="s">
        <v>492</v>
      </c>
      <c r="GQ43" s="237" t="s">
        <v>232</v>
      </c>
      <c r="GR43" s="237" t="s">
        <v>231</v>
      </c>
      <c r="GS43" s="237" t="s">
        <v>231</v>
      </c>
      <c r="GT43" s="237" t="s">
        <v>231</v>
      </c>
      <c r="GU43" s="237" t="s">
        <v>231</v>
      </c>
      <c r="GV43" s="237" t="s">
        <v>492</v>
      </c>
      <c r="GW43" s="237" t="s">
        <v>231</v>
      </c>
      <c r="GX43" s="237" t="s">
        <v>231</v>
      </c>
      <c r="GY43" s="237" t="s">
        <v>232</v>
      </c>
      <c r="GZ43" s="237" t="s">
        <v>231</v>
      </c>
      <c r="HA43" s="237" t="s">
        <v>231</v>
      </c>
      <c r="HB43" s="237" t="s">
        <v>231</v>
      </c>
      <c r="HC43" s="237" t="s">
        <v>231</v>
      </c>
      <c r="HD43" s="237" t="s">
        <v>231</v>
      </c>
      <c r="HE43" s="237" t="s">
        <v>492</v>
      </c>
      <c r="HF43" s="237" t="s">
        <v>231</v>
      </c>
      <c r="HG43" s="237" t="s">
        <v>231</v>
      </c>
      <c r="HH43" s="237" t="s">
        <v>231</v>
      </c>
      <c r="HI43" s="237" t="s">
        <v>231</v>
      </c>
      <c r="HJ43" s="237" t="s">
        <v>231</v>
      </c>
      <c r="HK43" s="237" t="s">
        <v>231</v>
      </c>
      <c r="HL43" s="237" t="s">
        <v>231</v>
      </c>
      <c r="HM43" s="237" t="s">
        <v>231</v>
      </c>
      <c r="HN43" s="237" t="s">
        <v>231</v>
      </c>
      <c r="HO43" s="237" t="s">
        <v>231</v>
      </c>
      <c r="HP43" s="237" t="s">
        <v>231</v>
      </c>
      <c r="HQ43" s="237" t="s">
        <v>231</v>
      </c>
      <c r="HR43" s="237" t="s">
        <v>231</v>
      </c>
      <c r="HS43" s="237" t="s">
        <v>231</v>
      </c>
      <c r="HT43" s="237" t="s">
        <v>231</v>
      </c>
      <c r="HU43" s="237" t="s">
        <v>231</v>
      </c>
      <c r="HV43" s="237" t="s">
        <v>231</v>
      </c>
      <c r="HW43" s="237" t="s">
        <v>231</v>
      </c>
      <c r="HX43" s="237" t="s">
        <v>231</v>
      </c>
      <c r="HY43" s="237" t="s">
        <v>231</v>
      </c>
      <c r="HZ43" s="237" t="s">
        <v>231</v>
      </c>
      <c r="IA43" s="237" t="s">
        <v>231</v>
      </c>
      <c r="IB43" s="237" t="s">
        <v>231</v>
      </c>
      <c r="IC43" s="237" t="s">
        <v>231</v>
      </c>
      <c r="ID43" s="237" t="s">
        <v>231</v>
      </c>
      <c r="IE43" s="237" t="s">
        <v>231</v>
      </c>
      <c r="IF43" s="237" t="s">
        <v>231</v>
      </c>
      <c r="IG43" s="237" t="s">
        <v>231</v>
      </c>
      <c r="IH43" s="237" t="s">
        <v>231</v>
      </c>
      <c r="II43" s="237" t="s">
        <v>231</v>
      </c>
      <c r="IJ43" s="237" t="s">
        <v>231</v>
      </c>
      <c r="IK43" s="237" t="s">
        <v>232</v>
      </c>
      <c r="IL43" s="237" t="s">
        <v>232</v>
      </c>
      <c r="IM43" s="237" t="s">
        <v>232</v>
      </c>
      <c r="IN43" s="237" t="s">
        <v>232</v>
      </c>
      <c r="IO43" s="237" t="s">
        <v>219</v>
      </c>
      <c r="IP43" s="237" t="s">
        <v>220</v>
      </c>
      <c r="IQ43" s="237" t="s">
        <v>219</v>
      </c>
      <c r="IR43" s="237" t="s">
        <v>512</v>
      </c>
      <c r="IS43" s="237" t="s">
        <v>492</v>
      </c>
      <c r="IT43" s="237" t="s">
        <v>492</v>
      </c>
    </row>
    <row r="44" spans="1:254" ht="15" x14ac:dyDescent="0.25">
      <c r="A44" s="259" t="str">
        <f>HYPERLINK("http://www.ofsted.gov.uk/inspection-reports/find-inspection-report/provider/ELS/133553 ","Ofsted School Webpage")</f>
        <v>Ofsted School Webpage</v>
      </c>
      <c r="B44" s="240">
        <v>133553</v>
      </c>
      <c r="C44" s="240">
        <v>3026115</v>
      </c>
      <c r="D44" s="240" t="s">
        <v>613</v>
      </c>
      <c r="E44" s="240" t="s">
        <v>247</v>
      </c>
      <c r="F44" s="240" t="s">
        <v>482</v>
      </c>
      <c r="G44" s="240" t="s">
        <v>506</v>
      </c>
      <c r="H44" s="240" t="s">
        <v>506</v>
      </c>
      <c r="I44" s="240" t="s">
        <v>614</v>
      </c>
      <c r="J44" s="240" t="s">
        <v>615</v>
      </c>
      <c r="K44" s="240" t="s">
        <v>93</v>
      </c>
      <c r="L44" s="240" t="s">
        <v>81</v>
      </c>
      <c r="M44" s="240" t="s">
        <v>81</v>
      </c>
      <c r="N44" s="240" t="s">
        <v>81</v>
      </c>
      <c r="O44" s="240" t="s">
        <v>486</v>
      </c>
      <c r="P44" s="240" t="s">
        <v>487</v>
      </c>
      <c r="Q44" s="241">
        <v>10054291</v>
      </c>
      <c r="R44" s="242">
        <v>43382</v>
      </c>
      <c r="S44" s="242">
        <v>43384</v>
      </c>
      <c r="T44" s="242">
        <v>43412</v>
      </c>
      <c r="U44" s="240" t="s">
        <v>488</v>
      </c>
      <c r="V44" s="240" t="s">
        <v>489</v>
      </c>
      <c r="W44" s="240">
        <v>2</v>
      </c>
      <c r="X44" s="240">
        <v>2</v>
      </c>
      <c r="Y44" s="240">
        <v>2</v>
      </c>
      <c r="Z44" s="240">
        <v>2</v>
      </c>
      <c r="AA44" s="240">
        <v>2</v>
      </c>
      <c r="AB44" s="240">
        <v>1</v>
      </c>
      <c r="AC44" s="240" t="s">
        <v>486</v>
      </c>
      <c r="AD44" s="240" t="s">
        <v>219</v>
      </c>
      <c r="AE44" s="240" t="s">
        <v>490</v>
      </c>
      <c r="AF44" s="240" t="s">
        <v>486</v>
      </c>
      <c r="AG44" s="240" t="s">
        <v>486</v>
      </c>
      <c r="AH44" s="240" t="s">
        <v>486</v>
      </c>
      <c r="AI44" s="240" t="s">
        <v>486</v>
      </c>
      <c r="AJ44" s="240" t="s">
        <v>486</v>
      </c>
      <c r="AK44" s="240" t="s">
        <v>486</v>
      </c>
      <c r="AL44" s="240" t="s">
        <v>486</v>
      </c>
      <c r="AM44" s="240" t="s">
        <v>491</v>
      </c>
      <c r="AN44" s="240" t="s">
        <v>231</v>
      </c>
      <c r="AO44" s="240" t="s">
        <v>231</v>
      </c>
      <c r="AP44" s="240" t="s">
        <v>231</v>
      </c>
      <c r="AQ44" s="240" t="s">
        <v>231</v>
      </c>
      <c r="AR44" s="240" t="s">
        <v>231</v>
      </c>
      <c r="AS44" s="240" t="s">
        <v>231</v>
      </c>
      <c r="AT44" s="240" t="s">
        <v>231</v>
      </c>
      <c r="AU44" s="240" t="s">
        <v>231</v>
      </c>
      <c r="AV44" s="240" t="s">
        <v>231</v>
      </c>
      <c r="AW44" s="240" t="s">
        <v>231</v>
      </c>
      <c r="AX44" s="240" t="s">
        <v>231</v>
      </c>
      <c r="AY44" s="240" t="s">
        <v>231</v>
      </c>
      <c r="AZ44" s="240" t="s">
        <v>231</v>
      </c>
      <c r="BA44" s="240" t="s">
        <v>231</v>
      </c>
      <c r="BB44" s="240" t="s">
        <v>231</v>
      </c>
      <c r="BC44" s="240" t="s">
        <v>231</v>
      </c>
      <c r="BD44" s="240" t="s">
        <v>231</v>
      </c>
      <c r="BE44" s="240" t="s">
        <v>231</v>
      </c>
      <c r="BF44" s="240" t="s">
        <v>231</v>
      </c>
      <c r="BG44" s="240" t="s">
        <v>231</v>
      </c>
      <c r="BH44" s="240" t="s">
        <v>231</v>
      </c>
      <c r="BI44" s="240" t="s">
        <v>231</v>
      </c>
      <c r="BJ44" s="240" t="s">
        <v>231</v>
      </c>
      <c r="BK44" s="240" t="s">
        <v>231</v>
      </c>
      <c r="BL44" s="240" t="s">
        <v>231</v>
      </c>
      <c r="BM44" s="240" t="s">
        <v>231</v>
      </c>
      <c r="BN44" s="240" t="s">
        <v>231</v>
      </c>
      <c r="BO44" s="240" t="s">
        <v>231</v>
      </c>
      <c r="BP44" s="240" t="s">
        <v>231</v>
      </c>
      <c r="BQ44" s="240" t="s">
        <v>231</v>
      </c>
      <c r="BR44" s="240" t="s">
        <v>231</v>
      </c>
      <c r="BS44" s="240" t="s">
        <v>231</v>
      </c>
      <c r="BT44" s="240" t="s">
        <v>231</v>
      </c>
      <c r="BU44" s="240" t="s">
        <v>231</v>
      </c>
      <c r="BV44" s="240" t="s">
        <v>231</v>
      </c>
      <c r="BW44" s="240" t="s">
        <v>231</v>
      </c>
      <c r="BX44" s="240" t="s">
        <v>231</v>
      </c>
      <c r="BY44" s="240" t="s">
        <v>231</v>
      </c>
      <c r="BZ44" s="240" t="s">
        <v>231</v>
      </c>
      <c r="CA44" s="240" t="s">
        <v>231</v>
      </c>
      <c r="CB44" s="240" t="s">
        <v>231</v>
      </c>
      <c r="CC44" s="240" t="s">
        <v>231</v>
      </c>
      <c r="CD44" s="240" t="s">
        <v>231</v>
      </c>
      <c r="CE44" s="240" t="s">
        <v>231</v>
      </c>
      <c r="CF44" s="240" t="s">
        <v>231</v>
      </c>
      <c r="CG44" s="240" t="s">
        <v>231</v>
      </c>
      <c r="CH44" s="240" t="s">
        <v>231</v>
      </c>
      <c r="CI44" s="240" t="s">
        <v>231</v>
      </c>
      <c r="CJ44" s="240" t="s">
        <v>231</v>
      </c>
      <c r="CK44" s="240" t="s">
        <v>231</v>
      </c>
      <c r="CL44" s="240" t="s">
        <v>231</v>
      </c>
      <c r="CM44" s="240" t="s">
        <v>231</v>
      </c>
      <c r="CN44" s="240" t="s">
        <v>231</v>
      </c>
      <c r="CO44" s="240" t="s">
        <v>231</v>
      </c>
      <c r="CP44" s="240" t="s">
        <v>231</v>
      </c>
      <c r="CQ44" s="240" t="s">
        <v>231</v>
      </c>
      <c r="CR44" s="240" t="s">
        <v>231</v>
      </c>
      <c r="CS44" s="240" t="s">
        <v>231</v>
      </c>
      <c r="CT44" s="240" t="s">
        <v>492</v>
      </c>
      <c r="CU44" s="240" t="s">
        <v>492</v>
      </c>
      <c r="CV44" s="240" t="s">
        <v>492</v>
      </c>
      <c r="CW44" s="240" t="s">
        <v>231</v>
      </c>
      <c r="CX44" s="240" t="s">
        <v>231</v>
      </c>
      <c r="CY44" s="240" t="s">
        <v>231</v>
      </c>
      <c r="CZ44" s="240" t="s">
        <v>231</v>
      </c>
      <c r="DA44" s="240" t="s">
        <v>231</v>
      </c>
      <c r="DB44" s="240" t="s">
        <v>231</v>
      </c>
      <c r="DC44" s="240" t="s">
        <v>231</v>
      </c>
      <c r="DD44" s="240" t="s">
        <v>231</v>
      </c>
      <c r="DE44" s="240" t="s">
        <v>231</v>
      </c>
      <c r="DF44" s="240" t="s">
        <v>231</v>
      </c>
      <c r="DG44" s="240" t="s">
        <v>231</v>
      </c>
      <c r="DH44" s="240" t="s">
        <v>231</v>
      </c>
      <c r="DI44" s="240" t="s">
        <v>231</v>
      </c>
      <c r="DJ44" s="240" t="s">
        <v>231</v>
      </c>
      <c r="DK44" s="240" t="s">
        <v>231</v>
      </c>
      <c r="DL44" s="240" t="s">
        <v>231</v>
      </c>
      <c r="DM44" s="240" t="s">
        <v>231</v>
      </c>
      <c r="DN44" s="240" t="s">
        <v>231</v>
      </c>
      <c r="DO44" s="240" t="s">
        <v>231</v>
      </c>
      <c r="DP44" s="240" t="s">
        <v>231</v>
      </c>
      <c r="DQ44" s="240" t="s">
        <v>231</v>
      </c>
      <c r="DR44" s="240" t="s">
        <v>231</v>
      </c>
      <c r="DS44" s="240" t="s">
        <v>492</v>
      </c>
      <c r="DT44" s="240" t="s">
        <v>492</v>
      </c>
      <c r="DU44" s="240" t="s">
        <v>231</v>
      </c>
      <c r="DV44" s="240" t="s">
        <v>231</v>
      </c>
      <c r="DW44" s="240" t="s">
        <v>231</v>
      </c>
      <c r="DX44" s="240" t="s">
        <v>231</v>
      </c>
      <c r="DY44" s="240" t="s">
        <v>231</v>
      </c>
      <c r="DZ44" s="240" t="s">
        <v>231</v>
      </c>
      <c r="EA44" s="240" t="s">
        <v>231</v>
      </c>
      <c r="EB44" s="240" t="s">
        <v>231</v>
      </c>
      <c r="EC44" s="240" t="s">
        <v>231</v>
      </c>
      <c r="ED44" s="240" t="s">
        <v>231</v>
      </c>
      <c r="EE44" s="240" t="s">
        <v>231</v>
      </c>
      <c r="EF44" s="240" t="s">
        <v>231</v>
      </c>
      <c r="EG44" s="240" t="s">
        <v>231</v>
      </c>
      <c r="EH44" s="240" t="s">
        <v>492</v>
      </c>
      <c r="EI44" s="240" t="s">
        <v>231</v>
      </c>
      <c r="EJ44" s="240" t="s">
        <v>231</v>
      </c>
      <c r="EK44" s="240" t="s">
        <v>231</v>
      </c>
      <c r="EL44" s="240" t="s">
        <v>231</v>
      </c>
      <c r="EM44" s="240" t="s">
        <v>231</v>
      </c>
      <c r="EN44" s="240" t="s">
        <v>231</v>
      </c>
      <c r="EO44" s="240" t="s">
        <v>231</v>
      </c>
      <c r="EP44" s="240" t="s">
        <v>231</v>
      </c>
      <c r="EQ44" s="240" t="s">
        <v>231</v>
      </c>
      <c r="ER44" s="240" t="s">
        <v>231</v>
      </c>
      <c r="ES44" s="240" t="s">
        <v>231</v>
      </c>
      <c r="ET44" s="240" t="s">
        <v>231</v>
      </c>
      <c r="EU44" s="240" t="s">
        <v>231</v>
      </c>
      <c r="EV44" s="240" t="s">
        <v>231</v>
      </c>
      <c r="EW44" s="240" t="s">
        <v>231</v>
      </c>
      <c r="EX44" s="240" t="s">
        <v>231</v>
      </c>
      <c r="EY44" s="240" t="s">
        <v>231</v>
      </c>
      <c r="EZ44" s="240" t="s">
        <v>231</v>
      </c>
      <c r="FA44" s="240" t="s">
        <v>231</v>
      </c>
      <c r="FB44" s="240" t="s">
        <v>231</v>
      </c>
      <c r="FC44" s="240" t="s">
        <v>231</v>
      </c>
      <c r="FD44" s="240" t="s">
        <v>231</v>
      </c>
      <c r="FE44" s="240" t="s">
        <v>231</v>
      </c>
      <c r="FF44" s="240" t="s">
        <v>231</v>
      </c>
      <c r="FG44" s="240" t="s">
        <v>231</v>
      </c>
      <c r="FH44" s="240" t="s">
        <v>231</v>
      </c>
      <c r="FI44" s="240" t="s">
        <v>231</v>
      </c>
      <c r="FJ44" s="240" t="s">
        <v>231</v>
      </c>
      <c r="FK44" s="240" t="s">
        <v>231</v>
      </c>
      <c r="FL44" s="240" t="s">
        <v>231</v>
      </c>
      <c r="FM44" s="240" t="s">
        <v>231</v>
      </c>
      <c r="FN44" s="240" t="s">
        <v>231</v>
      </c>
      <c r="FO44" s="240" t="s">
        <v>231</v>
      </c>
      <c r="FP44" s="240" t="s">
        <v>231</v>
      </c>
      <c r="FQ44" s="240" t="s">
        <v>231</v>
      </c>
      <c r="FR44" s="240" t="s">
        <v>231</v>
      </c>
      <c r="FS44" s="240" t="s">
        <v>492</v>
      </c>
      <c r="FT44" s="240" t="s">
        <v>492</v>
      </c>
      <c r="FU44" s="240" t="s">
        <v>231</v>
      </c>
      <c r="FV44" s="240" t="s">
        <v>231</v>
      </c>
      <c r="FW44" s="240" t="s">
        <v>231</v>
      </c>
      <c r="FX44" s="240" t="s">
        <v>231</v>
      </c>
      <c r="FY44" s="240" t="s">
        <v>231</v>
      </c>
      <c r="FZ44" s="240" t="s">
        <v>231</v>
      </c>
      <c r="GA44" s="240" t="s">
        <v>231</v>
      </c>
      <c r="GB44" s="240" t="s">
        <v>231</v>
      </c>
      <c r="GC44" s="240" t="s">
        <v>231</v>
      </c>
      <c r="GD44" s="240" t="s">
        <v>231</v>
      </c>
      <c r="GE44" s="240" t="s">
        <v>231</v>
      </c>
      <c r="GF44" s="240" t="s">
        <v>231</v>
      </c>
      <c r="GG44" s="240" t="s">
        <v>231</v>
      </c>
      <c r="GH44" s="240" t="s">
        <v>231</v>
      </c>
      <c r="GI44" s="240" t="s">
        <v>231</v>
      </c>
      <c r="GJ44" s="240" t="s">
        <v>231</v>
      </c>
      <c r="GK44" s="240" t="s">
        <v>231</v>
      </c>
      <c r="GL44" s="240" t="s">
        <v>231</v>
      </c>
      <c r="GM44" s="240" t="s">
        <v>231</v>
      </c>
      <c r="GN44" s="240" t="s">
        <v>231</v>
      </c>
      <c r="GO44" s="240" t="s">
        <v>231</v>
      </c>
      <c r="GP44" s="240" t="s">
        <v>492</v>
      </c>
      <c r="GQ44" s="240" t="s">
        <v>231</v>
      </c>
      <c r="GR44" s="240" t="s">
        <v>231</v>
      </c>
      <c r="GS44" s="240" t="s">
        <v>231</v>
      </c>
      <c r="GT44" s="240" t="s">
        <v>231</v>
      </c>
      <c r="GU44" s="240" t="s">
        <v>231</v>
      </c>
      <c r="GV44" s="240" t="s">
        <v>492</v>
      </c>
      <c r="GW44" s="240" t="s">
        <v>231</v>
      </c>
      <c r="GX44" s="240" t="s">
        <v>231</v>
      </c>
      <c r="GY44" s="240" t="s">
        <v>231</v>
      </c>
      <c r="GZ44" s="240" t="s">
        <v>492</v>
      </c>
      <c r="HA44" s="240" t="s">
        <v>231</v>
      </c>
      <c r="HB44" s="240" t="s">
        <v>231</v>
      </c>
      <c r="HC44" s="240" t="s">
        <v>486</v>
      </c>
      <c r="HD44" s="240" t="s">
        <v>231</v>
      </c>
      <c r="HE44" s="240" t="s">
        <v>492</v>
      </c>
      <c r="HF44" s="240" t="s">
        <v>231</v>
      </c>
      <c r="HG44" s="240" t="s">
        <v>231</v>
      </c>
      <c r="HH44" s="240" t="s">
        <v>231</v>
      </c>
      <c r="HI44" s="240" t="s">
        <v>231</v>
      </c>
      <c r="HJ44" s="240" t="s">
        <v>231</v>
      </c>
      <c r="HK44" s="240" t="s">
        <v>231</v>
      </c>
      <c r="HL44" s="240" t="s">
        <v>231</v>
      </c>
      <c r="HM44" s="240" t="s">
        <v>231</v>
      </c>
      <c r="HN44" s="240" t="s">
        <v>231</v>
      </c>
      <c r="HO44" s="240" t="s">
        <v>231</v>
      </c>
      <c r="HP44" s="240" t="s">
        <v>231</v>
      </c>
      <c r="HQ44" s="240" t="s">
        <v>231</v>
      </c>
      <c r="HR44" s="240" t="s">
        <v>492</v>
      </c>
      <c r="HS44" s="240" t="s">
        <v>492</v>
      </c>
      <c r="HT44" s="240" t="s">
        <v>492</v>
      </c>
      <c r="HU44" s="240" t="s">
        <v>231</v>
      </c>
      <c r="HV44" s="240" t="s">
        <v>231</v>
      </c>
      <c r="HW44" s="240" t="s">
        <v>231</v>
      </c>
      <c r="HX44" s="240" t="s">
        <v>231</v>
      </c>
      <c r="HY44" s="240" t="s">
        <v>231</v>
      </c>
      <c r="HZ44" s="240" t="s">
        <v>231</v>
      </c>
      <c r="IA44" s="240" t="s">
        <v>231</v>
      </c>
      <c r="IB44" s="240" t="s">
        <v>231</v>
      </c>
      <c r="IC44" s="240" t="s">
        <v>231</v>
      </c>
      <c r="ID44" s="240" t="s">
        <v>231</v>
      </c>
      <c r="IE44" s="240" t="s">
        <v>231</v>
      </c>
      <c r="IF44" s="240" t="s">
        <v>231</v>
      </c>
      <c r="IG44" s="240" t="s">
        <v>231</v>
      </c>
      <c r="IH44" s="240" t="s">
        <v>231</v>
      </c>
      <c r="II44" s="240" t="s">
        <v>231</v>
      </c>
      <c r="IJ44" s="240" t="s">
        <v>231</v>
      </c>
      <c r="IK44" s="240" t="s">
        <v>231</v>
      </c>
      <c r="IL44" s="240" t="s">
        <v>231</v>
      </c>
      <c r="IM44" s="240" t="s">
        <v>231</v>
      </c>
      <c r="IN44" s="240" t="s">
        <v>231</v>
      </c>
      <c r="IO44" s="240" t="s">
        <v>220</v>
      </c>
      <c r="IP44" s="240" t="s">
        <v>493</v>
      </c>
      <c r="IQ44" s="240" t="s">
        <v>219</v>
      </c>
      <c r="IR44" s="240" t="s">
        <v>490</v>
      </c>
      <c r="IS44" s="240" t="s">
        <v>231</v>
      </c>
      <c r="IT44" s="240" t="s">
        <v>231</v>
      </c>
    </row>
    <row r="45" spans="1:254" ht="15" x14ac:dyDescent="0.25">
      <c r="A45" s="258" t="str">
        <f>HYPERLINK("http://www.ofsted.gov.uk/inspection-reports/find-inspection-report/provider/ELS/137808 ","Ofsted School Webpage")</f>
        <v>Ofsted School Webpage</v>
      </c>
      <c r="B45" s="237">
        <v>137808</v>
      </c>
      <c r="C45" s="237">
        <v>2046003</v>
      </c>
      <c r="D45" s="237" t="s">
        <v>616</v>
      </c>
      <c r="E45" s="237" t="s">
        <v>248</v>
      </c>
      <c r="F45" s="237" t="s">
        <v>501</v>
      </c>
      <c r="G45" s="237" t="s">
        <v>506</v>
      </c>
      <c r="H45" s="237" t="s">
        <v>506</v>
      </c>
      <c r="I45" s="237" t="s">
        <v>617</v>
      </c>
      <c r="J45" s="237" t="s">
        <v>618</v>
      </c>
      <c r="K45" s="237" t="s">
        <v>93</v>
      </c>
      <c r="L45" s="237" t="s">
        <v>93</v>
      </c>
      <c r="M45" s="237" t="s">
        <v>93</v>
      </c>
      <c r="N45" s="237" t="s">
        <v>90</v>
      </c>
      <c r="O45" s="237" t="s">
        <v>486</v>
      </c>
      <c r="P45" s="237" t="s">
        <v>487</v>
      </c>
      <c r="Q45" s="238">
        <v>10054302</v>
      </c>
      <c r="R45" s="239">
        <v>43382</v>
      </c>
      <c r="S45" s="239">
        <v>43384</v>
      </c>
      <c r="T45" s="239">
        <v>43411</v>
      </c>
      <c r="U45" s="237" t="s">
        <v>488</v>
      </c>
      <c r="V45" s="237" t="s">
        <v>489</v>
      </c>
      <c r="W45" s="237">
        <v>2</v>
      </c>
      <c r="X45" s="237">
        <v>2</v>
      </c>
      <c r="Y45" s="237">
        <v>2</v>
      </c>
      <c r="Z45" s="237">
        <v>2</v>
      </c>
      <c r="AA45" s="237">
        <v>2</v>
      </c>
      <c r="AB45" s="237" t="s">
        <v>486</v>
      </c>
      <c r="AC45" s="237" t="s">
        <v>486</v>
      </c>
      <c r="AD45" s="237" t="s">
        <v>219</v>
      </c>
      <c r="AE45" s="237" t="s">
        <v>490</v>
      </c>
      <c r="AF45" s="237" t="s">
        <v>486</v>
      </c>
      <c r="AG45" s="237" t="s">
        <v>486</v>
      </c>
      <c r="AH45" s="237" t="s">
        <v>486</v>
      </c>
      <c r="AI45" s="237" t="s">
        <v>486</v>
      </c>
      <c r="AJ45" s="237" t="s">
        <v>486</v>
      </c>
      <c r="AK45" s="237" t="s">
        <v>486</v>
      </c>
      <c r="AL45" s="237" t="s">
        <v>486</v>
      </c>
      <c r="AM45" s="237" t="s">
        <v>491</v>
      </c>
      <c r="AN45" s="237" t="s">
        <v>231</v>
      </c>
      <c r="AO45" s="237" t="s">
        <v>231</v>
      </c>
      <c r="AP45" s="237" t="s">
        <v>231</v>
      </c>
      <c r="AQ45" s="237" t="s">
        <v>231</v>
      </c>
      <c r="AR45" s="237" t="s">
        <v>231</v>
      </c>
      <c r="AS45" s="237" t="s">
        <v>231</v>
      </c>
      <c r="AT45" s="237" t="s">
        <v>231</v>
      </c>
      <c r="AU45" s="237" t="s">
        <v>231</v>
      </c>
      <c r="AV45" s="237" t="s">
        <v>231</v>
      </c>
      <c r="AW45" s="237" t="s">
        <v>231</v>
      </c>
      <c r="AX45" s="237" t="s">
        <v>231</v>
      </c>
      <c r="AY45" s="237" t="s">
        <v>231</v>
      </c>
      <c r="AZ45" s="237" t="s">
        <v>231</v>
      </c>
      <c r="BA45" s="237" t="s">
        <v>231</v>
      </c>
      <c r="BB45" s="237" t="s">
        <v>231</v>
      </c>
      <c r="BC45" s="237" t="s">
        <v>231</v>
      </c>
      <c r="BD45" s="237" t="s">
        <v>492</v>
      </c>
      <c r="BE45" s="237" t="s">
        <v>231</v>
      </c>
      <c r="BF45" s="237" t="s">
        <v>231</v>
      </c>
      <c r="BG45" s="237" t="s">
        <v>231</v>
      </c>
      <c r="BH45" s="237" t="s">
        <v>231</v>
      </c>
      <c r="BI45" s="237" t="s">
        <v>231</v>
      </c>
      <c r="BJ45" s="237" t="s">
        <v>231</v>
      </c>
      <c r="BK45" s="237" t="s">
        <v>231</v>
      </c>
      <c r="BL45" s="237" t="s">
        <v>492</v>
      </c>
      <c r="BM45" s="237" t="s">
        <v>492</v>
      </c>
      <c r="BN45" s="237" t="s">
        <v>231</v>
      </c>
      <c r="BO45" s="237" t="s">
        <v>231</v>
      </c>
      <c r="BP45" s="237" t="s">
        <v>231</v>
      </c>
      <c r="BQ45" s="237" t="s">
        <v>231</v>
      </c>
      <c r="BR45" s="237" t="s">
        <v>231</v>
      </c>
      <c r="BS45" s="237" t="s">
        <v>231</v>
      </c>
      <c r="BT45" s="237" t="s">
        <v>231</v>
      </c>
      <c r="BU45" s="237" t="s">
        <v>231</v>
      </c>
      <c r="BV45" s="237" t="s">
        <v>231</v>
      </c>
      <c r="BW45" s="237" t="s">
        <v>231</v>
      </c>
      <c r="BX45" s="237" t="s">
        <v>231</v>
      </c>
      <c r="BY45" s="237" t="s">
        <v>231</v>
      </c>
      <c r="BZ45" s="237" t="s">
        <v>231</v>
      </c>
      <c r="CA45" s="237" t="s">
        <v>231</v>
      </c>
      <c r="CB45" s="237" t="s">
        <v>231</v>
      </c>
      <c r="CC45" s="237" t="s">
        <v>231</v>
      </c>
      <c r="CD45" s="237" t="s">
        <v>231</v>
      </c>
      <c r="CE45" s="237" t="s">
        <v>231</v>
      </c>
      <c r="CF45" s="237" t="s">
        <v>231</v>
      </c>
      <c r="CG45" s="237" t="s">
        <v>231</v>
      </c>
      <c r="CH45" s="237" t="s">
        <v>231</v>
      </c>
      <c r="CI45" s="237" t="s">
        <v>231</v>
      </c>
      <c r="CJ45" s="237" t="s">
        <v>231</v>
      </c>
      <c r="CK45" s="237" t="s">
        <v>231</v>
      </c>
      <c r="CL45" s="237" t="s">
        <v>231</v>
      </c>
      <c r="CM45" s="237" t="s">
        <v>231</v>
      </c>
      <c r="CN45" s="237" t="s">
        <v>231</v>
      </c>
      <c r="CO45" s="237" t="s">
        <v>231</v>
      </c>
      <c r="CP45" s="237" t="s">
        <v>231</v>
      </c>
      <c r="CQ45" s="237" t="s">
        <v>231</v>
      </c>
      <c r="CR45" s="237" t="s">
        <v>231</v>
      </c>
      <c r="CS45" s="237" t="s">
        <v>231</v>
      </c>
      <c r="CT45" s="237" t="s">
        <v>492</v>
      </c>
      <c r="CU45" s="237" t="s">
        <v>492</v>
      </c>
      <c r="CV45" s="237" t="s">
        <v>492</v>
      </c>
      <c r="CW45" s="237" t="s">
        <v>231</v>
      </c>
      <c r="CX45" s="237" t="s">
        <v>231</v>
      </c>
      <c r="CY45" s="237" t="s">
        <v>231</v>
      </c>
      <c r="CZ45" s="237" t="s">
        <v>231</v>
      </c>
      <c r="DA45" s="237" t="s">
        <v>231</v>
      </c>
      <c r="DB45" s="237" t="s">
        <v>231</v>
      </c>
      <c r="DC45" s="237" t="s">
        <v>231</v>
      </c>
      <c r="DD45" s="237" t="s">
        <v>231</v>
      </c>
      <c r="DE45" s="237" t="s">
        <v>231</v>
      </c>
      <c r="DF45" s="237" t="s">
        <v>231</v>
      </c>
      <c r="DG45" s="237" t="s">
        <v>231</v>
      </c>
      <c r="DH45" s="237" t="s">
        <v>231</v>
      </c>
      <c r="DI45" s="237" t="s">
        <v>231</v>
      </c>
      <c r="DJ45" s="237" t="s">
        <v>231</v>
      </c>
      <c r="DK45" s="237" t="s">
        <v>231</v>
      </c>
      <c r="DL45" s="237" t="s">
        <v>231</v>
      </c>
      <c r="DM45" s="237" t="s">
        <v>231</v>
      </c>
      <c r="DN45" s="237" t="s">
        <v>231</v>
      </c>
      <c r="DO45" s="237" t="s">
        <v>231</v>
      </c>
      <c r="DP45" s="237" t="s">
        <v>231</v>
      </c>
      <c r="DQ45" s="237" t="s">
        <v>231</v>
      </c>
      <c r="DR45" s="237" t="s">
        <v>231</v>
      </c>
      <c r="DS45" s="237" t="s">
        <v>231</v>
      </c>
      <c r="DT45" s="237" t="s">
        <v>492</v>
      </c>
      <c r="DU45" s="237" t="s">
        <v>231</v>
      </c>
      <c r="DV45" s="237" t="s">
        <v>231</v>
      </c>
      <c r="DW45" s="237" t="s">
        <v>231</v>
      </c>
      <c r="DX45" s="237" t="s">
        <v>231</v>
      </c>
      <c r="DY45" s="237" t="s">
        <v>231</v>
      </c>
      <c r="DZ45" s="237" t="s">
        <v>231</v>
      </c>
      <c r="EA45" s="237" t="s">
        <v>231</v>
      </c>
      <c r="EB45" s="237" t="s">
        <v>231</v>
      </c>
      <c r="EC45" s="237" t="s">
        <v>231</v>
      </c>
      <c r="ED45" s="237" t="s">
        <v>231</v>
      </c>
      <c r="EE45" s="237" t="s">
        <v>231</v>
      </c>
      <c r="EF45" s="237" t="s">
        <v>231</v>
      </c>
      <c r="EG45" s="237" t="s">
        <v>231</v>
      </c>
      <c r="EH45" s="237" t="s">
        <v>492</v>
      </c>
      <c r="EI45" s="237" t="s">
        <v>231</v>
      </c>
      <c r="EJ45" s="237" t="s">
        <v>231</v>
      </c>
      <c r="EK45" s="237" t="s">
        <v>231</v>
      </c>
      <c r="EL45" s="237" t="s">
        <v>231</v>
      </c>
      <c r="EM45" s="237" t="s">
        <v>231</v>
      </c>
      <c r="EN45" s="237" t="s">
        <v>231</v>
      </c>
      <c r="EO45" s="237" t="s">
        <v>231</v>
      </c>
      <c r="EP45" s="237" t="s">
        <v>231</v>
      </c>
      <c r="EQ45" s="237" t="s">
        <v>231</v>
      </c>
      <c r="ER45" s="237" t="s">
        <v>231</v>
      </c>
      <c r="ES45" s="237" t="s">
        <v>231</v>
      </c>
      <c r="ET45" s="237" t="s">
        <v>231</v>
      </c>
      <c r="EU45" s="237" t="s">
        <v>231</v>
      </c>
      <c r="EV45" s="237" t="s">
        <v>231</v>
      </c>
      <c r="EW45" s="237" t="s">
        <v>231</v>
      </c>
      <c r="EX45" s="237" t="s">
        <v>231</v>
      </c>
      <c r="EY45" s="237" t="s">
        <v>231</v>
      </c>
      <c r="EZ45" s="237" t="s">
        <v>231</v>
      </c>
      <c r="FA45" s="237" t="s">
        <v>231</v>
      </c>
      <c r="FB45" s="237" t="s">
        <v>231</v>
      </c>
      <c r="FC45" s="237" t="s">
        <v>231</v>
      </c>
      <c r="FD45" s="237" t="s">
        <v>231</v>
      </c>
      <c r="FE45" s="237" t="s">
        <v>231</v>
      </c>
      <c r="FF45" s="237" t="s">
        <v>492</v>
      </c>
      <c r="FG45" s="237" t="s">
        <v>231</v>
      </c>
      <c r="FH45" s="237" t="s">
        <v>231</v>
      </c>
      <c r="FI45" s="237" t="s">
        <v>231</v>
      </c>
      <c r="FJ45" s="237" t="s">
        <v>231</v>
      </c>
      <c r="FK45" s="237" t="s">
        <v>231</v>
      </c>
      <c r="FL45" s="237" t="s">
        <v>231</v>
      </c>
      <c r="FM45" s="237" t="s">
        <v>231</v>
      </c>
      <c r="FN45" s="237" t="s">
        <v>231</v>
      </c>
      <c r="FO45" s="237" t="s">
        <v>231</v>
      </c>
      <c r="FP45" s="237" t="s">
        <v>231</v>
      </c>
      <c r="FQ45" s="237" t="s">
        <v>231</v>
      </c>
      <c r="FR45" s="237" t="s">
        <v>231</v>
      </c>
      <c r="FS45" s="237" t="s">
        <v>231</v>
      </c>
      <c r="FT45" s="237" t="s">
        <v>231</v>
      </c>
      <c r="FU45" s="237" t="s">
        <v>231</v>
      </c>
      <c r="FV45" s="237" t="s">
        <v>231</v>
      </c>
      <c r="FW45" s="237" t="s">
        <v>231</v>
      </c>
      <c r="FX45" s="237" t="s">
        <v>492</v>
      </c>
      <c r="FY45" s="237" t="s">
        <v>231</v>
      </c>
      <c r="FZ45" s="237" t="s">
        <v>231</v>
      </c>
      <c r="GA45" s="237" t="s">
        <v>231</v>
      </c>
      <c r="GB45" s="237" t="s">
        <v>231</v>
      </c>
      <c r="GC45" s="237" t="s">
        <v>231</v>
      </c>
      <c r="GD45" s="237" t="s">
        <v>231</v>
      </c>
      <c r="GE45" s="237" t="s">
        <v>231</v>
      </c>
      <c r="GF45" s="237" t="s">
        <v>231</v>
      </c>
      <c r="GG45" s="237" t="s">
        <v>231</v>
      </c>
      <c r="GH45" s="237" t="s">
        <v>231</v>
      </c>
      <c r="GI45" s="237" t="s">
        <v>231</v>
      </c>
      <c r="GJ45" s="237" t="s">
        <v>231</v>
      </c>
      <c r="GK45" s="237" t="s">
        <v>231</v>
      </c>
      <c r="GL45" s="237" t="s">
        <v>231</v>
      </c>
      <c r="GM45" s="237" t="s">
        <v>231</v>
      </c>
      <c r="GN45" s="237" t="s">
        <v>231</v>
      </c>
      <c r="GO45" s="237" t="s">
        <v>231</v>
      </c>
      <c r="GP45" s="237" t="s">
        <v>492</v>
      </c>
      <c r="GQ45" s="237" t="s">
        <v>231</v>
      </c>
      <c r="GR45" s="237" t="s">
        <v>231</v>
      </c>
      <c r="GS45" s="237" t="s">
        <v>231</v>
      </c>
      <c r="GT45" s="237" t="s">
        <v>231</v>
      </c>
      <c r="GU45" s="237" t="s">
        <v>231</v>
      </c>
      <c r="GV45" s="237" t="s">
        <v>492</v>
      </c>
      <c r="GW45" s="237" t="s">
        <v>231</v>
      </c>
      <c r="GX45" s="237" t="s">
        <v>231</v>
      </c>
      <c r="GY45" s="237" t="s">
        <v>231</v>
      </c>
      <c r="GZ45" s="237" t="s">
        <v>231</v>
      </c>
      <c r="HA45" s="237" t="s">
        <v>231</v>
      </c>
      <c r="HB45" s="237" t="s">
        <v>231</v>
      </c>
      <c r="HC45" s="237" t="s">
        <v>231</v>
      </c>
      <c r="HD45" s="237" t="s">
        <v>231</v>
      </c>
      <c r="HE45" s="237" t="s">
        <v>492</v>
      </c>
      <c r="HF45" s="237" t="s">
        <v>231</v>
      </c>
      <c r="HG45" s="237" t="s">
        <v>492</v>
      </c>
      <c r="HH45" s="237" t="s">
        <v>231</v>
      </c>
      <c r="HI45" s="237" t="s">
        <v>231</v>
      </c>
      <c r="HJ45" s="237" t="s">
        <v>231</v>
      </c>
      <c r="HK45" s="237" t="s">
        <v>231</v>
      </c>
      <c r="HL45" s="237" t="s">
        <v>231</v>
      </c>
      <c r="HM45" s="237" t="s">
        <v>231</v>
      </c>
      <c r="HN45" s="237" t="s">
        <v>231</v>
      </c>
      <c r="HO45" s="237" t="s">
        <v>231</v>
      </c>
      <c r="HP45" s="237" t="s">
        <v>231</v>
      </c>
      <c r="HQ45" s="237" t="s">
        <v>492</v>
      </c>
      <c r="HR45" s="237" t="s">
        <v>492</v>
      </c>
      <c r="HS45" s="237" t="s">
        <v>492</v>
      </c>
      <c r="HT45" s="237" t="s">
        <v>492</v>
      </c>
      <c r="HU45" s="237" t="s">
        <v>231</v>
      </c>
      <c r="HV45" s="237" t="s">
        <v>231</v>
      </c>
      <c r="HW45" s="237" t="s">
        <v>231</v>
      </c>
      <c r="HX45" s="237" t="s">
        <v>231</v>
      </c>
      <c r="HY45" s="237" t="s">
        <v>231</v>
      </c>
      <c r="HZ45" s="237" t="s">
        <v>231</v>
      </c>
      <c r="IA45" s="237" t="s">
        <v>231</v>
      </c>
      <c r="IB45" s="237" t="s">
        <v>231</v>
      </c>
      <c r="IC45" s="237" t="s">
        <v>231</v>
      </c>
      <c r="ID45" s="237" t="s">
        <v>231</v>
      </c>
      <c r="IE45" s="237" t="s">
        <v>231</v>
      </c>
      <c r="IF45" s="237" t="s">
        <v>231</v>
      </c>
      <c r="IG45" s="237" t="s">
        <v>231</v>
      </c>
      <c r="IH45" s="237" t="s">
        <v>231</v>
      </c>
      <c r="II45" s="237" t="s">
        <v>231</v>
      </c>
      <c r="IJ45" s="237" t="s">
        <v>231</v>
      </c>
      <c r="IK45" s="237" t="s">
        <v>231</v>
      </c>
      <c r="IL45" s="237" t="s">
        <v>231</v>
      </c>
      <c r="IM45" s="237" t="s">
        <v>231</v>
      </c>
      <c r="IN45" s="237" t="s">
        <v>231</v>
      </c>
      <c r="IO45" s="237" t="s">
        <v>220</v>
      </c>
      <c r="IP45" s="237" t="s">
        <v>493</v>
      </c>
      <c r="IQ45" s="237" t="s">
        <v>219</v>
      </c>
      <c r="IR45" s="237" t="s">
        <v>490</v>
      </c>
      <c r="IS45" s="237" t="s">
        <v>492</v>
      </c>
      <c r="IT45" s="237" t="s">
        <v>492</v>
      </c>
    </row>
    <row r="46" spans="1:254" ht="15" x14ac:dyDescent="0.25">
      <c r="A46" s="259" t="str">
        <f>HYPERLINK("http://www.ofsted.gov.uk/inspection-reports/find-inspection-report/provider/ELS/141225 ","Ofsted School Webpage")</f>
        <v>Ofsted School Webpage</v>
      </c>
      <c r="B46" s="240">
        <v>141225</v>
      </c>
      <c r="C46" s="240">
        <v>8686022</v>
      </c>
      <c r="D46" s="240" t="s">
        <v>619</v>
      </c>
      <c r="E46" s="240" t="s">
        <v>247</v>
      </c>
      <c r="F46" s="240" t="s">
        <v>482</v>
      </c>
      <c r="G46" s="240" t="s">
        <v>581</v>
      </c>
      <c r="H46" s="240" t="s">
        <v>581</v>
      </c>
      <c r="I46" s="240" t="s">
        <v>620</v>
      </c>
      <c r="J46" s="240" t="s">
        <v>621</v>
      </c>
      <c r="K46" s="240" t="s">
        <v>93</v>
      </c>
      <c r="L46" s="240" t="s">
        <v>93</v>
      </c>
      <c r="M46" s="240" t="s">
        <v>93</v>
      </c>
      <c r="N46" s="240" t="s">
        <v>90</v>
      </c>
      <c r="O46" s="240" t="s">
        <v>486</v>
      </c>
      <c r="P46" s="240" t="s">
        <v>487</v>
      </c>
      <c r="Q46" s="241">
        <v>10054081</v>
      </c>
      <c r="R46" s="242">
        <v>43382</v>
      </c>
      <c r="S46" s="242">
        <v>43384</v>
      </c>
      <c r="T46" s="242">
        <v>43420</v>
      </c>
      <c r="U46" s="240" t="s">
        <v>488</v>
      </c>
      <c r="V46" s="240" t="s">
        <v>489</v>
      </c>
      <c r="W46" s="240">
        <v>1</v>
      </c>
      <c r="X46" s="240">
        <v>1</v>
      </c>
      <c r="Y46" s="240">
        <v>1</v>
      </c>
      <c r="Z46" s="240">
        <v>1</v>
      </c>
      <c r="AA46" s="240">
        <v>1</v>
      </c>
      <c r="AB46" s="240" t="s">
        <v>486</v>
      </c>
      <c r="AC46" s="240">
        <v>1</v>
      </c>
      <c r="AD46" s="240" t="s">
        <v>219</v>
      </c>
      <c r="AE46" s="240" t="s">
        <v>512</v>
      </c>
      <c r="AF46" s="240" t="s">
        <v>486</v>
      </c>
      <c r="AG46" s="240" t="s">
        <v>486</v>
      </c>
      <c r="AH46" s="240" t="s">
        <v>490</v>
      </c>
      <c r="AI46" s="240" t="s">
        <v>486</v>
      </c>
      <c r="AJ46" s="240" t="s">
        <v>486</v>
      </c>
      <c r="AK46" s="240" t="s">
        <v>486</v>
      </c>
      <c r="AL46" s="240" t="s">
        <v>486</v>
      </c>
      <c r="AM46" s="240" t="s">
        <v>491</v>
      </c>
      <c r="AN46" s="240" t="s">
        <v>231</v>
      </c>
      <c r="AO46" s="240" t="s">
        <v>231</v>
      </c>
      <c r="AP46" s="240" t="s">
        <v>231</v>
      </c>
      <c r="AQ46" s="240" t="s">
        <v>231</v>
      </c>
      <c r="AR46" s="240" t="s">
        <v>231</v>
      </c>
      <c r="AS46" s="240" t="s">
        <v>231</v>
      </c>
      <c r="AT46" s="240" t="s">
        <v>231</v>
      </c>
      <c r="AU46" s="240" t="s">
        <v>231</v>
      </c>
      <c r="AV46" s="240" t="s">
        <v>231</v>
      </c>
      <c r="AW46" s="240" t="s">
        <v>231</v>
      </c>
      <c r="AX46" s="240" t="s">
        <v>231</v>
      </c>
      <c r="AY46" s="240" t="s">
        <v>231</v>
      </c>
      <c r="AZ46" s="240" t="s">
        <v>231</v>
      </c>
      <c r="BA46" s="240" t="s">
        <v>231</v>
      </c>
      <c r="BB46" s="240" t="s">
        <v>231</v>
      </c>
      <c r="BC46" s="240" t="s">
        <v>231</v>
      </c>
      <c r="BD46" s="240" t="s">
        <v>492</v>
      </c>
      <c r="BE46" s="240" t="s">
        <v>231</v>
      </c>
      <c r="BF46" s="240" t="s">
        <v>231</v>
      </c>
      <c r="BG46" s="240" t="s">
        <v>231</v>
      </c>
      <c r="BH46" s="240" t="s">
        <v>231</v>
      </c>
      <c r="BI46" s="240" t="s">
        <v>231</v>
      </c>
      <c r="BJ46" s="240" t="s">
        <v>231</v>
      </c>
      <c r="BK46" s="240" t="s">
        <v>231</v>
      </c>
      <c r="BL46" s="240" t="s">
        <v>492</v>
      </c>
      <c r="BM46" s="240" t="s">
        <v>231</v>
      </c>
      <c r="BN46" s="240" t="s">
        <v>231</v>
      </c>
      <c r="BO46" s="240" t="s">
        <v>231</v>
      </c>
      <c r="BP46" s="240" t="s">
        <v>231</v>
      </c>
      <c r="BQ46" s="240" t="s">
        <v>231</v>
      </c>
      <c r="BR46" s="240" t="s">
        <v>231</v>
      </c>
      <c r="BS46" s="240" t="s">
        <v>231</v>
      </c>
      <c r="BT46" s="240" t="s">
        <v>231</v>
      </c>
      <c r="BU46" s="240" t="s">
        <v>231</v>
      </c>
      <c r="BV46" s="240" t="s">
        <v>231</v>
      </c>
      <c r="BW46" s="240" t="s">
        <v>231</v>
      </c>
      <c r="BX46" s="240" t="s">
        <v>231</v>
      </c>
      <c r="BY46" s="240" t="s">
        <v>231</v>
      </c>
      <c r="BZ46" s="240" t="s">
        <v>231</v>
      </c>
      <c r="CA46" s="240" t="s">
        <v>231</v>
      </c>
      <c r="CB46" s="240" t="s">
        <v>231</v>
      </c>
      <c r="CC46" s="240" t="s">
        <v>231</v>
      </c>
      <c r="CD46" s="240" t="s">
        <v>231</v>
      </c>
      <c r="CE46" s="240" t="s">
        <v>231</v>
      </c>
      <c r="CF46" s="240" t="s">
        <v>231</v>
      </c>
      <c r="CG46" s="240" t="s">
        <v>231</v>
      </c>
      <c r="CH46" s="240" t="s">
        <v>231</v>
      </c>
      <c r="CI46" s="240" t="s">
        <v>231</v>
      </c>
      <c r="CJ46" s="240" t="s">
        <v>231</v>
      </c>
      <c r="CK46" s="240" t="s">
        <v>231</v>
      </c>
      <c r="CL46" s="240" t="s">
        <v>231</v>
      </c>
      <c r="CM46" s="240" t="s">
        <v>231</v>
      </c>
      <c r="CN46" s="240" t="s">
        <v>231</v>
      </c>
      <c r="CO46" s="240" t="s">
        <v>231</v>
      </c>
      <c r="CP46" s="240" t="s">
        <v>231</v>
      </c>
      <c r="CQ46" s="240" t="s">
        <v>231</v>
      </c>
      <c r="CR46" s="240" t="s">
        <v>231</v>
      </c>
      <c r="CS46" s="240" t="s">
        <v>231</v>
      </c>
      <c r="CT46" s="240" t="s">
        <v>492</v>
      </c>
      <c r="CU46" s="240" t="s">
        <v>492</v>
      </c>
      <c r="CV46" s="240" t="s">
        <v>492</v>
      </c>
      <c r="CW46" s="240" t="s">
        <v>231</v>
      </c>
      <c r="CX46" s="240" t="s">
        <v>231</v>
      </c>
      <c r="CY46" s="240" t="s">
        <v>231</v>
      </c>
      <c r="CZ46" s="240" t="s">
        <v>231</v>
      </c>
      <c r="DA46" s="240" t="s">
        <v>231</v>
      </c>
      <c r="DB46" s="240" t="s">
        <v>231</v>
      </c>
      <c r="DC46" s="240" t="s">
        <v>231</v>
      </c>
      <c r="DD46" s="240" t="s">
        <v>231</v>
      </c>
      <c r="DE46" s="240" t="s">
        <v>231</v>
      </c>
      <c r="DF46" s="240" t="s">
        <v>231</v>
      </c>
      <c r="DG46" s="240" t="s">
        <v>231</v>
      </c>
      <c r="DH46" s="240" t="s">
        <v>231</v>
      </c>
      <c r="DI46" s="240" t="s">
        <v>231</v>
      </c>
      <c r="DJ46" s="240" t="s">
        <v>231</v>
      </c>
      <c r="DK46" s="240" t="s">
        <v>231</v>
      </c>
      <c r="DL46" s="240" t="s">
        <v>231</v>
      </c>
      <c r="DM46" s="240" t="s">
        <v>231</v>
      </c>
      <c r="DN46" s="240" t="s">
        <v>231</v>
      </c>
      <c r="DO46" s="240" t="s">
        <v>231</v>
      </c>
      <c r="DP46" s="240" t="s">
        <v>231</v>
      </c>
      <c r="DQ46" s="240" t="s">
        <v>231</v>
      </c>
      <c r="DR46" s="240" t="s">
        <v>231</v>
      </c>
      <c r="DS46" s="240" t="s">
        <v>231</v>
      </c>
      <c r="DT46" s="240" t="s">
        <v>492</v>
      </c>
      <c r="DU46" s="240" t="s">
        <v>231</v>
      </c>
      <c r="DV46" s="240" t="s">
        <v>492</v>
      </c>
      <c r="DW46" s="240" t="s">
        <v>492</v>
      </c>
      <c r="DX46" s="240" t="s">
        <v>492</v>
      </c>
      <c r="DY46" s="240" t="s">
        <v>492</v>
      </c>
      <c r="DZ46" s="240" t="s">
        <v>492</v>
      </c>
      <c r="EA46" s="240" t="s">
        <v>492</v>
      </c>
      <c r="EB46" s="240" t="s">
        <v>492</v>
      </c>
      <c r="EC46" s="240" t="s">
        <v>492</v>
      </c>
      <c r="ED46" s="240" t="s">
        <v>492</v>
      </c>
      <c r="EE46" s="240" t="s">
        <v>492</v>
      </c>
      <c r="EF46" s="240" t="s">
        <v>492</v>
      </c>
      <c r="EG46" s="240" t="s">
        <v>492</v>
      </c>
      <c r="EH46" s="240" t="s">
        <v>492</v>
      </c>
      <c r="EI46" s="240" t="s">
        <v>231</v>
      </c>
      <c r="EJ46" s="240" t="s">
        <v>231</v>
      </c>
      <c r="EK46" s="240" t="s">
        <v>231</v>
      </c>
      <c r="EL46" s="240" t="s">
        <v>231</v>
      </c>
      <c r="EM46" s="240" t="s">
        <v>231</v>
      </c>
      <c r="EN46" s="240" t="s">
        <v>231</v>
      </c>
      <c r="EO46" s="240" t="s">
        <v>231</v>
      </c>
      <c r="EP46" s="240" t="s">
        <v>231</v>
      </c>
      <c r="EQ46" s="240" t="s">
        <v>231</v>
      </c>
      <c r="ER46" s="240" t="s">
        <v>231</v>
      </c>
      <c r="ES46" s="240" t="s">
        <v>231</v>
      </c>
      <c r="ET46" s="240" t="s">
        <v>231</v>
      </c>
      <c r="EU46" s="240" t="s">
        <v>231</v>
      </c>
      <c r="EV46" s="240" t="s">
        <v>231</v>
      </c>
      <c r="EW46" s="240" t="s">
        <v>231</v>
      </c>
      <c r="EX46" s="240" t="s">
        <v>231</v>
      </c>
      <c r="EY46" s="240" t="s">
        <v>231</v>
      </c>
      <c r="EZ46" s="240" t="s">
        <v>231</v>
      </c>
      <c r="FA46" s="240" t="s">
        <v>231</v>
      </c>
      <c r="FB46" s="240" t="s">
        <v>231</v>
      </c>
      <c r="FC46" s="240" t="s">
        <v>231</v>
      </c>
      <c r="FD46" s="240" t="s">
        <v>231</v>
      </c>
      <c r="FE46" s="240" t="s">
        <v>231</v>
      </c>
      <c r="FF46" s="240" t="s">
        <v>492</v>
      </c>
      <c r="FG46" s="240" t="s">
        <v>492</v>
      </c>
      <c r="FH46" s="240" t="s">
        <v>492</v>
      </c>
      <c r="FI46" s="240" t="s">
        <v>492</v>
      </c>
      <c r="FJ46" s="240" t="s">
        <v>492</v>
      </c>
      <c r="FK46" s="240" t="s">
        <v>492</v>
      </c>
      <c r="FL46" s="240" t="s">
        <v>492</v>
      </c>
      <c r="FM46" s="240" t="s">
        <v>231</v>
      </c>
      <c r="FN46" s="240" t="s">
        <v>231</v>
      </c>
      <c r="FO46" s="240" t="s">
        <v>231</v>
      </c>
      <c r="FP46" s="240" t="s">
        <v>231</v>
      </c>
      <c r="FQ46" s="240" t="s">
        <v>231</v>
      </c>
      <c r="FR46" s="240" t="s">
        <v>231</v>
      </c>
      <c r="FS46" s="240" t="s">
        <v>231</v>
      </c>
      <c r="FT46" s="240" t="s">
        <v>231</v>
      </c>
      <c r="FU46" s="240" t="s">
        <v>231</v>
      </c>
      <c r="FV46" s="240" t="s">
        <v>231</v>
      </c>
      <c r="FW46" s="240" t="s">
        <v>231</v>
      </c>
      <c r="FX46" s="240" t="s">
        <v>492</v>
      </c>
      <c r="FY46" s="240" t="s">
        <v>231</v>
      </c>
      <c r="FZ46" s="240" t="s">
        <v>231</v>
      </c>
      <c r="GA46" s="240" t="s">
        <v>231</v>
      </c>
      <c r="GB46" s="240" t="s">
        <v>231</v>
      </c>
      <c r="GC46" s="240" t="s">
        <v>231</v>
      </c>
      <c r="GD46" s="240" t="s">
        <v>231</v>
      </c>
      <c r="GE46" s="240" t="s">
        <v>231</v>
      </c>
      <c r="GF46" s="240" t="s">
        <v>231</v>
      </c>
      <c r="GG46" s="240" t="s">
        <v>231</v>
      </c>
      <c r="GH46" s="240" t="s">
        <v>231</v>
      </c>
      <c r="GI46" s="240" t="s">
        <v>231</v>
      </c>
      <c r="GJ46" s="240" t="s">
        <v>231</v>
      </c>
      <c r="GK46" s="240" t="s">
        <v>231</v>
      </c>
      <c r="GL46" s="240" t="s">
        <v>231</v>
      </c>
      <c r="GM46" s="240" t="s">
        <v>231</v>
      </c>
      <c r="GN46" s="240" t="s">
        <v>231</v>
      </c>
      <c r="GO46" s="240" t="s">
        <v>231</v>
      </c>
      <c r="GP46" s="240" t="s">
        <v>492</v>
      </c>
      <c r="GQ46" s="240" t="s">
        <v>231</v>
      </c>
      <c r="GR46" s="240" t="s">
        <v>231</v>
      </c>
      <c r="GS46" s="240" t="s">
        <v>231</v>
      </c>
      <c r="GT46" s="240" t="s">
        <v>231</v>
      </c>
      <c r="GU46" s="240" t="s">
        <v>231</v>
      </c>
      <c r="GV46" s="240" t="s">
        <v>492</v>
      </c>
      <c r="GW46" s="240" t="s">
        <v>231</v>
      </c>
      <c r="GX46" s="240" t="s">
        <v>231</v>
      </c>
      <c r="GY46" s="240" t="s">
        <v>231</v>
      </c>
      <c r="GZ46" s="240" t="s">
        <v>231</v>
      </c>
      <c r="HA46" s="240" t="s">
        <v>231</v>
      </c>
      <c r="HB46" s="240" t="s">
        <v>231</v>
      </c>
      <c r="HC46" s="240" t="s">
        <v>231</v>
      </c>
      <c r="HD46" s="240" t="s">
        <v>231</v>
      </c>
      <c r="HE46" s="240" t="s">
        <v>492</v>
      </c>
      <c r="HF46" s="240" t="s">
        <v>231</v>
      </c>
      <c r="HG46" s="240" t="s">
        <v>231</v>
      </c>
      <c r="HH46" s="240" t="s">
        <v>231</v>
      </c>
      <c r="HI46" s="240" t="s">
        <v>231</v>
      </c>
      <c r="HJ46" s="240" t="s">
        <v>231</v>
      </c>
      <c r="HK46" s="240" t="s">
        <v>231</v>
      </c>
      <c r="HL46" s="240" t="s">
        <v>231</v>
      </c>
      <c r="HM46" s="240" t="s">
        <v>231</v>
      </c>
      <c r="HN46" s="240" t="s">
        <v>231</v>
      </c>
      <c r="HO46" s="240" t="s">
        <v>231</v>
      </c>
      <c r="HP46" s="240" t="s">
        <v>231</v>
      </c>
      <c r="HQ46" s="240" t="s">
        <v>231</v>
      </c>
      <c r="HR46" s="240" t="s">
        <v>231</v>
      </c>
      <c r="HS46" s="240" t="s">
        <v>231</v>
      </c>
      <c r="HT46" s="240" t="s">
        <v>231</v>
      </c>
      <c r="HU46" s="240" t="s">
        <v>231</v>
      </c>
      <c r="HV46" s="240" t="s">
        <v>231</v>
      </c>
      <c r="HW46" s="240" t="s">
        <v>231</v>
      </c>
      <c r="HX46" s="240" t="s">
        <v>231</v>
      </c>
      <c r="HY46" s="240" t="s">
        <v>231</v>
      </c>
      <c r="HZ46" s="240" t="s">
        <v>231</v>
      </c>
      <c r="IA46" s="240" t="s">
        <v>231</v>
      </c>
      <c r="IB46" s="240" t="s">
        <v>231</v>
      </c>
      <c r="IC46" s="240" t="s">
        <v>231</v>
      </c>
      <c r="ID46" s="240" t="s">
        <v>231</v>
      </c>
      <c r="IE46" s="240" t="s">
        <v>231</v>
      </c>
      <c r="IF46" s="240" t="s">
        <v>231</v>
      </c>
      <c r="IG46" s="240" t="s">
        <v>231</v>
      </c>
      <c r="IH46" s="240" t="s">
        <v>231</v>
      </c>
      <c r="II46" s="240" t="s">
        <v>231</v>
      </c>
      <c r="IJ46" s="240" t="s">
        <v>231</v>
      </c>
      <c r="IK46" s="240" t="s">
        <v>231</v>
      </c>
      <c r="IL46" s="240" t="s">
        <v>231</v>
      </c>
      <c r="IM46" s="240" t="s">
        <v>231</v>
      </c>
      <c r="IN46" s="240" t="s">
        <v>231</v>
      </c>
      <c r="IO46" s="240" t="s">
        <v>220</v>
      </c>
      <c r="IP46" s="240" t="s">
        <v>493</v>
      </c>
      <c r="IQ46" s="240" t="s">
        <v>219</v>
      </c>
      <c r="IR46" s="240" t="s">
        <v>490</v>
      </c>
      <c r="IS46" s="240" t="s">
        <v>492</v>
      </c>
      <c r="IT46" s="240" t="s">
        <v>492</v>
      </c>
    </row>
    <row r="47" spans="1:254" ht="15" x14ac:dyDescent="0.25">
      <c r="A47" s="258" t="str">
        <f>HYPERLINK("http://www.ofsted.gov.uk/inspection-reports/find-inspection-report/provider/ELS/138333 ","Ofsted School Webpage")</f>
        <v>Ofsted School Webpage</v>
      </c>
      <c r="B47" s="237">
        <v>138333</v>
      </c>
      <c r="C47" s="237">
        <v>8376009</v>
      </c>
      <c r="D47" s="237" t="s">
        <v>622</v>
      </c>
      <c r="E47" s="237" t="s">
        <v>247</v>
      </c>
      <c r="F47" s="237" t="s">
        <v>482</v>
      </c>
      <c r="G47" s="237" t="s">
        <v>483</v>
      </c>
      <c r="H47" s="237" t="s">
        <v>483</v>
      </c>
      <c r="I47" s="237" t="s">
        <v>484</v>
      </c>
      <c r="J47" s="237" t="s">
        <v>623</v>
      </c>
      <c r="K47" s="237" t="s">
        <v>93</v>
      </c>
      <c r="L47" s="237" t="s">
        <v>93</v>
      </c>
      <c r="M47" s="237" t="s">
        <v>93</v>
      </c>
      <c r="N47" s="237" t="s">
        <v>90</v>
      </c>
      <c r="O47" s="237" t="s">
        <v>486</v>
      </c>
      <c r="P47" s="237" t="s">
        <v>487</v>
      </c>
      <c r="Q47" s="238">
        <v>10053791</v>
      </c>
      <c r="R47" s="239">
        <v>43382</v>
      </c>
      <c r="S47" s="239">
        <v>43384</v>
      </c>
      <c r="T47" s="239">
        <v>43422</v>
      </c>
      <c r="U47" s="237" t="s">
        <v>624</v>
      </c>
      <c r="V47" s="237" t="s">
        <v>489</v>
      </c>
      <c r="W47" s="237">
        <v>2</v>
      </c>
      <c r="X47" s="237">
        <v>2</v>
      </c>
      <c r="Y47" s="237">
        <v>2</v>
      </c>
      <c r="Z47" s="237">
        <v>2</v>
      </c>
      <c r="AA47" s="237">
        <v>2</v>
      </c>
      <c r="AB47" s="237" t="s">
        <v>486</v>
      </c>
      <c r="AC47" s="237" t="s">
        <v>486</v>
      </c>
      <c r="AD47" s="237" t="s">
        <v>219</v>
      </c>
      <c r="AE47" s="237" t="s">
        <v>490</v>
      </c>
      <c r="AF47" s="237" t="s">
        <v>486</v>
      </c>
      <c r="AG47" s="237" t="s">
        <v>486</v>
      </c>
      <c r="AH47" s="237" t="s">
        <v>486</v>
      </c>
      <c r="AI47" s="237" t="s">
        <v>486</v>
      </c>
      <c r="AJ47" s="237" t="s">
        <v>486</v>
      </c>
      <c r="AK47" s="237" t="s">
        <v>486</v>
      </c>
      <c r="AL47" s="237" t="s">
        <v>486</v>
      </c>
      <c r="AM47" s="237" t="s">
        <v>491</v>
      </c>
      <c r="AN47" s="237" t="s">
        <v>231</v>
      </c>
      <c r="AO47" s="237" t="s">
        <v>231</v>
      </c>
      <c r="AP47" s="237" t="s">
        <v>231</v>
      </c>
      <c r="AQ47" s="237" t="s">
        <v>231</v>
      </c>
      <c r="AR47" s="237" t="s">
        <v>231</v>
      </c>
      <c r="AS47" s="237" t="s">
        <v>231</v>
      </c>
      <c r="AT47" s="237" t="s">
        <v>231</v>
      </c>
      <c r="AU47" s="237" t="s">
        <v>231</v>
      </c>
      <c r="AV47" s="237" t="s">
        <v>231</v>
      </c>
      <c r="AW47" s="237" t="s">
        <v>231</v>
      </c>
      <c r="AX47" s="237" t="s">
        <v>231</v>
      </c>
      <c r="AY47" s="237" t="s">
        <v>231</v>
      </c>
      <c r="AZ47" s="237" t="s">
        <v>231</v>
      </c>
      <c r="BA47" s="237" t="s">
        <v>231</v>
      </c>
      <c r="BB47" s="237" t="s">
        <v>231</v>
      </c>
      <c r="BC47" s="237" t="s">
        <v>231</v>
      </c>
      <c r="BD47" s="237" t="s">
        <v>231</v>
      </c>
      <c r="BE47" s="237" t="s">
        <v>231</v>
      </c>
      <c r="BF47" s="237" t="s">
        <v>231</v>
      </c>
      <c r="BG47" s="237" t="s">
        <v>231</v>
      </c>
      <c r="BH47" s="237" t="s">
        <v>231</v>
      </c>
      <c r="BI47" s="237" t="s">
        <v>231</v>
      </c>
      <c r="BJ47" s="237" t="s">
        <v>231</v>
      </c>
      <c r="BK47" s="237" t="s">
        <v>231</v>
      </c>
      <c r="BL47" s="237" t="s">
        <v>492</v>
      </c>
      <c r="BM47" s="237" t="s">
        <v>231</v>
      </c>
      <c r="BN47" s="237" t="s">
        <v>231</v>
      </c>
      <c r="BO47" s="237" t="s">
        <v>231</v>
      </c>
      <c r="BP47" s="237" t="s">
        <v>231</v>
      </c>
      <c r="BQ47" s="237" t="s">
        <v>231</v>
      </c>
      <c r="BR47" s="237" t="s">
        <v>231</v>
      </c>
      <c r="BS47" s="237" t="s">
        <v>231</v>
      </c>
      <c r="BT47" s="237" t="s">
        <v>231</v>
      </c>
      <c r="BU47" s="237" t="s">
        <v>231</v>
      </c>
      <c r="BV47" s="237" t="s">
        <v>231</v>
      </c>
      <c r="BW47" s="237" t="s">
        <v>231</v>
      </c>
      <c r="BX47" s="237" t="s">
        <v>231</v>
      </c>
      <c r="BY47" s="237" t="s">
        <v>231</v>
      </c>
      <c r="BZ47" s="237" t="s">
        <v>231</v>
      </c>
      <c r="CA47" s="237" t="s">
        <v>231</v>
      </c>
      <c r="CB47" s="237" t="s">
        <v>231</v>
      </c>
      <c r="CC47" s="237" t="s">
        <v>231</v>
      </c>
      <c r="CD47" s="237" t="s">
        <v>231</v>
      </c>
      <c r="CE47" s="237" t="s">
        <v>231</v>
      </c>
      <c r="CF47" s="237" t="s">
        <v>231</v>
      </c>
      <c r="CG47" s="237" t="s">
        <v>231</v>
      </c>
      <c r="CH47" s="237" t="s">
        <v>231</v>
      </c>
      <c r="CI47" s="237" t="s">
        <v>231</v>
      </c>
      <c r="CJ47" s="237" t="s">
        <v>231</v>
      </c>
      <c r="CK47" s="237" t="s">
        <v>231</v>
      </c>
      <c r="CL47" s="237" t="s">
        <v>231</v>
      </c>
      <c r="CM47" s="237" t="s">
        <v>231</v>
      </c>
      <c r="CN47" s="237" t="s">
        <v>231</v>
      </c>
      <c r="CO47" s="237" t="s">
        <v>231</v>
      </c>
      <c r="CP47" s="237" t="s">
        <v>231</v>
      </c>
      <c r="CQ47" s="237" t="s">
        <v>231</v>
      </c>
      <c r="CR47" s="237" t="s">
        <v>231</v>
      </c>
      <c r="CS47" s="237" t="s">
        <v>231</v>
      </c>
      <c r="CT47" s="237" t="s">
        <v>231</v>
      </c>
      <c r="CU47" s="237" t="s">
        <v>231</v>
      </c>
      <c r="CV47" s="237" t="s">
        <v>231</v>
      </c>
      <c r="CW47" s="237" t="s">
        <v>231</v>
      </c>
      <c r="CX47" s="237" t="s">
        <v>231</v>
      </c>
      <c r="CY47" s="237" t="s">
        <v>231</v>
      </c>
      <c r="CZ47" s="237" t="s">
        <v>231</v>
      </c>
      <c r="DA47" s="237" t="s">
        <v>231</v>
      </c>
      <c r="DB47" s="237" t="s">
        <v>231</v>
      </c>
      <c r="DC47" s="237" t="s">
        <v>231</v>
      </c>
      <c r="DD47" s="237" t="s">
        <v>231</v>
      </c>
      <c r="DE47" s="237" t="s">
        <v>231</v>
      </c>
      <c r="DF47" s="237" t="s">
        <v>231</v>
      </c>
      <c r="DG47" s="237" t="s">
        <v>231</v>
      </c>
      <c r="DH47" s="237" t="s">
        <v>231</v>
      </c>
      <c r="DI47" s="237" t="s">
        <v>231</v>
      </c>
      <c r="DJ47" s="237" t="s">
        <v>231</v>
      </c>
      <c r="DK47" s="237" t="s">
        <v>231</v>
      </c>
      <c r="DL47" s="237" t="s">
        <v>231</v>
      </c>
      <c r="DM47" s="237" t="s">
        <v>231</v>
      </c>
      <c r="DN47" s="237" t="s">
        <v>231</v>
      </c>
      <c r="DO47" s="237" t="s">
        <v>231</v>
      </c>
      <c r="DP47" s="237" t="s">
        <v>231</v>
      </c>
      <c r="DQ47" s="237" t="s">
        <v>231</v>
      </c>
      <c r="DR47" s="237" t="s">
        <v>231</v>
      </c>
      <c r="DS47" s="237" t="s">
        <v>231</v>
      </c>
      <c r="DT47" s="237" t="s">
        <v>231</v>
      </c>
      <c r="DU47" s="237" t="s">
        <v>231</v>
      </c>
      <c r="DV47" s="237" t="s">
        <v>231</v>
      </c>
      <c r="DW47" s="237" t="s">
        <v>231</v>
      </c>
      <c r="DX47" s="237" t="s">
        <v>231</v>
      </c>
      <c r="DY47" s="237" t="s">
        <v>231</v>
      </c>
      <c r="DZ47" s="237" t="s">
        <v>231</v>
      </c>
      <c r="EA47" s="237" t="s">
        <v>231</v>
      </c>
      <c r="EB47" s="237" t="s">
        <v>231</v>
      </c>
      <c r="EC47" s="237" t="s">
        <v>231</v>
      </c>
      <c r="ED47" s="237" t="s">
        <v>231</v>
      </c>
      <c r="EE47" s="237" t="s">
        <v>231</v>
      </c>
      <c r="EF47" s="237" t="s">
        <v>231</v>
      </c>
      <c r="EG47" s="237" t="s">
        <v>231</v>
      </c>
      <c r="EH47" s="237" t="s">
        <v>231</v>
      </c>
      <c r="EI47" s="237" t="s">
        <v>231</v>
      </c>
      <c r="EJ47" s="237" t="s">
        <v>231</v>
      </c>
      <c r="EK47" s="237" t="s">
        <v>231</v>
      </c>
      <c r="EL47" s="237" t="s">
        <v>231</v>
      </c>
      <c r="EM47" s="237" t="s">
        <v>231</v>
      </c>
      <c r="EN47" s="237" t="s">
        <v>231</v>
      </c>
      <c r="EO47" s="237" t="s">
        <v>231</v>
      </c>
      <c r="EP47" s="237" t="s">
        <v>231</v>
      </c>
      <c r="EQ47" s="237" t="s">
        <v>231</v>
      </c>
      <c r="ER47" s="237" t="s">
        <v>492</v>
      </c>
      <c r="ES47" s="237" t="s">
        <v>231</v>
      </c>
      <c r="ET47" s="237" t="s">
        <v>231</v>
      </c>
      <c r="EU47" s="237" t="s">
        <v>231</v>
      </c>
      <c r="EV47" s="237" t="s">
        <v>231</v>
      </c>
      <c r="EW47" s="237" t="s">
        <v>231</v>
      </c>
      <c r="EX47" s="237" t="s">
        <v>231</v>
      </c>
      <c r="EY47" s="237" t="s">
        <v>231</v>
      </c>
      <c r="EZ47" s="237" t="s">
        <v>231</v>
      </c>
      <c r="FA47" s="237" t="s">
        <v>231</v>
      </c>
      <c r="FB47" s="237" t="s">
        <v>231</v>
      </c>
      <c r="FC47" s="237" t="s">
        <v>231</v>
      </c>
      <c r="FD47" s="237" t="s">
        <v>231</v>
      </c>
      <c r="FE47" s="237" t="s">
        <v>231</v>
      </c>
      <c r="FF47" s="237" t="s">
        <v>231</v>
      </c>
      <c r="FG47" s="237" t="s">
        <v>231</v>
      </c>
      <c r="FH47" s="237" t="s">
        <v>231</v>
      </c>
      <c r="FI47" s="237" t="s">
        <v>231</v>
      </c>
      <c r="FJ47" s="237" t="s">
        <v>231</v>
      </c>
      <c r="FK47" s="237" t="s">
        <v>231</v>
      </c>
      <c r="FL47" s="237" t="s">
        <v>231</v>
      </c>
      <c r="FM47" s="237" t="s">
        <v>231</v>
      </c>
      <c r="FN47" s="237" t="s">
        <v>231</v>
      </c>
      <c r="FO47" s="237" t="s">
        <v>231</v>
      </c>
      <c r="FP47" s="237" t="s">
        <v>231</v>
      </c>
      <c r="FQ47" s="237" t="s">
        <v>231</v>
      </c>
      <c r="FR47" s="237" t="s">
        <v>231</v>
      </c>
      <c r="FS47" s="237" t="s">
        <v>231</v>
      </c>
      <c r="FT47" s="237" t="s">
        <v>492</v>
      </c>
      <c r="FU47" s="237" t="s">
        <v>231</v>
      </c>
      <c r="FV47" s="237" t="s">
        <v>231</v>
      </c>
      <c r="FW47" s="237" t="s">
        <v>231</v>
      </c>
      <c r="FX47" s="237" t="s">
        <v>492</v>
      </c>
      <c r="FY47" s="237" t="s">
        <v>231</v>
      </c>
      <c r="FZ47" s="237" t="s">
        <v>231</v>
      </c>
      <c r="GA47" s="237" t="s">
        <v>231</v>
      </c>
      <c r="GB47" s="237" t="s">
        <v>231</v>
      </c>
      <c r="GC47" s="237" t="s">
        <v>231</v>
      </c>
      <c r="GD47" s="237" t="s">
        <v>231</v>
      </c>
      <c r="GE47" s="237" t="s">
        <v>231</v>
      </c>
      <c r="GF47" s="237" t="s">
        <v>231</v>
      </c>
      <c r="GG47" s="237" t="s">
        <v>231</v>
      </c>
      <c r="GH47" s="237" t="s">
        <v>231</v>
      </c>
      <c r="GI47" s="237" t="s">
        <v>231</v>
      </c>
      <c r="GJ47" s="237" t="s">
        <v>231</v>
      </c>
      <c r="GK47" s="237" t="s">
        <v>231</v>
      </c>
      <c r="GL47" s="237" t="s">
        <v>231</v>
      </c>
      <c r="GM47" s="237" t="s">
        <v>231</v>
      </c>
      <c r="GN47" s="237" t="s">
        <v>231</v>
      </c>
      <c r="GO47" s="237" t="s">
        <v>231</v>
      </c>
      <c r="GP47" s="237" t="s">
        <v>231</v>
      </c>
      <c r="GQ47" s="237" t="s">
        <v>231</v>
      </c>
      <c r="GR47" s="237" t="s">
        <v>231</v>
      </c>
      <c r="GS47" s="237" t="s">
        <v>231</v>
      </c>
      <c r="GT47" s="237" t="s">
        <v>231</v>
      </c>
      <c r="GU47" s="237" t="s">
        <v>231</v>
      </c>
      <c r="GV47" s="237" t="s">
        <v>231</v>
      </c>
      <c r="GW47" s="237" t="s">
        <v>231</v>
      </c>
      <c r="GX47" s="237" t="s">
        <v>231</v>
      </c>
      <c r="GY47" s="237" t="s">
        <v>492</v>
      </c>
      <c r="GZ47" s="237" t="s">
        <v>492</v>
      </c>
      <c r="HA47" s="237" t="s">
        <v>492</v>
      </c>
      <c r="HB47" s="237" t="s">
        <v>231</v>
      </c>
      <c r="HC47" s="237" t="s">
        <v>231</v>
      </c>
      <c r="HD47" s="237" t="s">
        <v>231</v>
      </c>
      <c r="HE47" s="237" t="s">
        <v>492</v>
      </c>
      <c r="HF47" s="237" t="s">
        <v>231</v>
      </c>
      <c r="HG47" s="237" t="s">
        <v>492</v>
      </c>
      <c r="HH47" s="237" t="s">
        <v>231</v>
      </c>
      <c r="HI47" s="237" t="s">
        <v>231</v>
      </c>
      <c r="HJ47" s="237" t="s">
        <v>231</v>
      </c>
      <c r="HK47" s="237" t="s">
        <v>231</v>
      </c>
      <c r="HL47" s="237" t="s">
        <v>231</v>
      </c>
      <c r="HM47" s="237" t="s">
        <v>231</v>
      </c>
      <c r="HN47" s="237" t="s">
        <v>231</v>
      </c>
      <c r="HO47" s="237" t="s">
        <v>231</v>
      </c>
      <c r="HP47" s="237" t="s">
        <v>231</v>
      </c>
      <c r="HQ47" s="237" t="s">
        <v>492</v>
      </c>
      <c r="HR47" s="237" t="s">
        <v>492</v>
      </c>
      <c r="HS47" s="237" t="s">
        <v>492</v>
      </c>
      <c r="HT47" s="237" t="s">
        <v>492</v>
      </c>
      <c r="HU47" s="237" t="s">
        <v>231</v>
      </c>
      <c r="HV47" s="237" t="s">
        <v>231</v>
      </c>
      <c r="HW47" s="237" t="s">
        <v>231</v>
      </c>
      <c r="HX47" s="237" t="s">
        <v>231</v>
      </c>
      <c r="HY47" s="237" t="s">
        <v>231</v>
      </c>
      <c r="HZ47" s="237" t="s">
        <v>231</v>
      </c>
      <c r="IA47" s="237" t="s">
        <v>231</v>
      </c>
      <c r="IB47" s="237" t="s">
        <v>231</v>
      </c>
      <c r="IC47" s="237" t="s">
        <v>231</v>
      </c>
      <c r="ID47" s="237" t="s">
        <v>231</v>
      </c>
      <c r="IE47" s="237" t="s">
        <v>231</v>
      </c>
      <c r="IF47" s="237" t="s">
        <v>231</v>
      </c>
      <c r="IG47" s="237" t="s">
        <v>231</v>
      </c>
      <c r="IH47" s="237" t="s">
        <v>231</v>
      </c>
      <c r="II47" s="237" t="s">
        <v>231</v>
      </c>
      <c r="IJ47" s="237" t="s">
        <v>231</v>
      </c>
      <c r="IK47" s="237" t="s">
        <v>231</v>
      </c>
      <c r="IL47" s="237" t="s">
        <v>231</v>
      </c>
      <c r="IM47" s="237" t="s">
        <v>231</v>
      </c>
      <c r="IN47" s="237" t="s">
        <v>231</v>
      </c>
      <c r="IO47" s="237" t="s">
        <v>220</v>
      </c>
      <c r="IP47" s="237" t="s">
        <v>493</v>
      </c>
      <c r="IQ47" s="237" t="s">
        <v>219</v>
      </c>
      <c r="IR47" s="237" t="s">
        <v>490</v>
      </c>
      <c r="IS47" s="237" t="s">
        <v>492</v>
      </c>
      <c r="IT47" s="237" t="s">
        <v>492</v>
      </c>
    </row>
    <row r="48" spans="1:254" ht="15" x14ac:dyDescent="0.25">
      <c r="A48" s="259" t="str">
        <f>HYPERLINK("http://www.ofsted.gov.uk/inspection-reports/find-inspection-report/provider/ELS/101388 ","Ofsted School Webpage")</f>
        <v>Ofsted School Webpage</v>
      </c>
      <c r="B48" s="240">
        <v>101388</v>
      </c>
      <c r="C48" s="240">
        <v>3026092</v>
      </c>
      <c r="D48" s="240" t="s">
        <v>625</v>
      </c>
      <c r="E48" s="240" t="s">
        <v>247</v>
      </c>
      <c r="F48" s="240" t="s">
        <v>482</v>
      </c>
      <c r="G48" s="240" t="s">
        <v>506</v>
      </c>
      <c r="H48" s="240" t="s">
        <v>506</v>
      </c>
      <c r="I48" s="240" t="s">
        <v>614</v>
      </c>
      <c r="J48" s="240" t="s">
        <v>626</v>
      </c>
      <c r="K48" s="240" t="s">
        <v>93</v>
      </c>
      <c r="L48" s="240" t="s">
        <v>81</v>
      </c>
      <c r="M48" s="240" t="s">
        <v>81</v>
      </c>
      <c r="N48" s="240" t="s">
        <v>81</v>
      </c>
      <c r="O48" s="240" t="s">
        <v>486</v>
      </c>
      <c r="P48" s="240" t="s">
        <v>487</v>
      </c>
      <c r="Q48" s="241">
        <v>10054284</v>
      </c>
      <c r="R48" s="242">
        <v>43382</v>
      </c>
      <c r="S48" s="242">
        <v>43384</v>
      </c>
      <c r="T48" s="242">
        <v>43410</v>
      </c>
      <c r="U48" s="240" t="s">
        <v>488</v>
      </c>
      <c r="V48" s="240" t="s">
        <v>489</v>
      </c>
      <c r="W48" s="240">
        <v>2</v>
      </c>
      <c r="X48" s="240">
        <v>2</v>
      </c>
      <c r="Y48" s="240">
        <v>2</v>
      </c>
      <c r="Z48" s="240">
        <v>2</v>
      </c>
      <c r="AA48" s="240">
        <v>2</v>
      </c>
      <c r="AB48" s="240" t="s">
        <v>486</v>
      </c>
      <c r="AC48" s="240" t="s">
        <v>486</v>
      </c>
      <c r="AD48" s="240" t="s">
        <v>219</v>
      </c>
      <c r="AE48" s="240" t="s">
        <v>490</v>
      </c>
      <c r="AF48" s="240" t="s">
        <v>486</v>
      </c>
      <c r="AG48" s="240" t="s">
        <v>486</v>
      </c>
      <c r="AH48" s="240" t="s">
        <v>486</v>
      </c>
      <c r="AI48" s="240" t="s">
        <v>486</v>
      </c>
      <c r="AJ48" s="240" t="s">
        <v>486</v>
      </c>
      <c r="AK48" s="240" t="s">
        <v>486</v>
      </c>
      <c r="AL48" s="240" t="s">
        <v>486</v>
      </c>
      <c r="AM48" s="240" t="s">
        <v>491</v>
      </c>
      <c r="AN48" s="240" t="s">
        <v>231</v>
      </c>
      <c r="AO48" s="240" t="s">
        <v>231</v>
      </c>
      <c r="AP48" s="240" t="s">
        <v>231</v>
      </c>
      <c r="AQ48" s="240" t="s">
        <v>231</v>
      </c>
      <c r="AR48" s="240" t="s">
        <v>231</v>
      </c>
      <c r="AS48" s="240" t="s">
        <v>231</v>
      </c>
      <c r="AT48" s="240" t="s">
        <v>231</v>
      </c>
      <c r="AU48" s="240" t="s">
        <v>231</v>
      </c>
      <c r="AV48" s="240" t="s">
        <v>231</v>
      </c>
      <c r="AW48" s="240" t="s">
        <v>231</v>
      </c>
      <c r="AX48" s="240" t="s">
        <v>231</v>
      </c>
      <c r="AY48" s="240" t="s">
        <v>231</v>
      </c>
      <c r="AZ48" s="240" t="s">
        <v>231</v>
      </c>
      <c r="BA48" s="240" t="s">
        <v>231</v>
      </c>
      <c r="BB48" s="240" t="s">
        <v>231</v>
      </c>
      <c r="BC48" s="240" t="s">
        <v>231</v>
      </c>
      <c r="BD48" s="240" t="s">
        <v>492</v>
      </c>
      <c r="BE48" s="240" t="s">
        <v>231</v>
      </c>
      <c r="BF48" s="240" t="s">
        <v>231</v>
      </c>
      <c r="BG48" s="240" t="s">
        <v>231</v>
      </c>
      <c r="BH48" s="240" t="s">
        <v>231</v>
      </c>
      <c r="BI48" s="240" t="s">
        <v>231</v>
      </c>
      <c r="BJ48" s="240" t="s">
        <v>231</v>
      </c>
      <c r="BK48" s="240" t="s">
        <v>231</v>
      </c>
      <c r="BL48" s="240" t="s">
        <v>492</v>
      </c>
      <c r="BM48" s="240" t="s">
        <v>492</v>
      </c>
      <c r="BN48" s="240" t="s">
        <v>231</v>
      </c>
      <c r="BO48" s="240" t="s">
        <v>231</v>
      </c>
      <c r="BP48" s="240" t="s">
        <v>231</v>
      </c>
      <c r="BQ48" s="240" t="s">
        <v>231</v>
      </c>
      <c r="BR48" s="240" t="s">
        <v>231</v>
      </c>
      <c r="BS48" s="240" t="s">
        <v>231</v>
      </c>
      <c r="BT48" s="240" t="s">
        <v>231</v>
      </c>
      <c r="BU48" s="240" t="s">
        <v>231</v>
      </c>
      <c r="BV48" s="240" t="s">
        <v>231</v>
      </c>
      <c r="BW48" s="240" t="s">
        <v>231</v>
      </c>
      <c r="BX48" s="240" t="s">
        <v>231</v>
      </c>
      <c r="BY48" s="240" t="s">
        <v>231</v>
      </c>
      <c r="BZ48" s="240" t="s">
        <v>231</v>
      </c>
      <c r="CA48" s="240" t="s">
        <v>231</v>
      </c>
      <c r="CB48" s="240" t="s">
        <v>231</v>
      </c>
      <c r="CC48" s="240" t="s">
        <v>231</v>
      </c>
      <c r="CD48" s="240" t="s">
        <v>231</v>
      </c>
      <c r="CE48" s="240" t="s">
        <v>231</v>
      </c>
      <c r="CF48" s="240" t="s">
        <v>231</v>
      </c>
      <c r="CG48" s="240" t="s">
        <v>231</v>
      </c>
      <c r="CH48" s="240" t="s">
        <v>231</v>
      </c>
      <c r="CI48" s="240" t="s">
        <v>231</v>
      </c>
      <c r="CJ48" s="240" t="s">
        <v>231</v>
      </c>
      <c r="CK48" s="240" t="s">
        <v>231</v>
      </c>
      <c r="CL48" s="240" t="s">
        <v>231</v>
      </c>
      <c r="CM48" s="240" t="s">
        <v>231</v>
      </c>
      <c r="CN48" s="240" t="s">
        <v>231</v>
      </c>
      <c r="CO48" s="240" t="s">
        <v>231</v>
      </c>
      <c r="CP48" s="240" t="s">
        <v>231</v>
      </c>
      <c r="CQ48" s="240" t="s">
        <v>231</v>
      </c>
      <c r="CR48" s="240" t="s">
        <v>231</v>
      </c>
      <c r="CS48" s="240" t="s">
        <v>231</v>
      </c>
      <c r="CT48" s="240" t="s">
        <v>231</v>
      </c>
      <c r="CU48" s="240" t="s">
        <v>492</v>
      </c>
      <c r="CV48" s="240" t="s">
        <v>492</v>
      </c>
      <c r="CW48" s="240" t="s">
        <v>231</v>
      </c>
      <c r="CX48" s="240" t="s">
        <v>231</v>
      </c>
      <c r="CY48" s="240" t="s">
        <v>231</v>
      </c>
      <c r="CZ48" s="240" t="s">
        <v>231</v>
      </c>
      <c r="DA48" s="240" t="s">
        <v>231</v>
      </c>
      <c r="DB48" s="240" t="s">
        <v>231</v>
      </c>
      <c r="DC48" s="240" t="s">
        <v>231</v>
      </c>
      <c r="DD48" s="240" t="s">
        <v>231</v>
      </c>
      <c r="DE48" s="240" t="s">
        <v>231</v>
      </c>
      <c r="DF48" s="240" t="s">
        <v>231</v>
      </c>
      <c r="DG48" s="240" t="s">
        <v>231</v>
      </c>
      <c r="DH48" s="240" t="s">
        <v>231</v>
      </c>
      <c r="DI48" s="240" t="s">
        <v>231</v>
      </c>
      <c r="DJ48" s="240" t="s">
        <v>231</v>
      </c>
      <c r="DK48" s="240" t="s">
        <v>231</v>
      </c>
      <c r="DL48" s="240" t="s">
        <v>231</v>
      </c>
      <c r="DM48" s="240" t="s">
        <v>231</v>
      </c>
      <c r="DN48" s="240" t="s">
        <v>231</v>
      </c>
      <c r="DO48" s="240" t="s">
        <v>231</v>
      </c>
      <c r="DP48" s="240" t="s">
        <v>231</v>
      </c>
      <c r="DQ48" s="240" t="s">
        <v>231</v>
      </c>
      <c r="DR48" s="240" t="s">
        <v>231</v>
      </c>
      <c r="DS48" s="240" t="s">
        <v>231</v>
      </c>
      <c r="DT48" s="240" t="s">
        <v>492</v>
      </c>
      <c r="DU48" s="240" t="s">
        <v>231</v>
      </c>
      <c r="DV48" s="240" t="s">
        <v>492</v>
      </c>
      <c r="DW48" s="240" t="s">
        <v>492</v>
      </c>
      <c r="DX48" s="240" t="s">
        <v>492</v>
      </c>
      <c r="DY48" s="240" t="s">
        <v>492</v>
      </c>
      <c r="DZ48" s="240" t="s">
        <v>492</v>
      </c>
      <c r="EA48" s="240" t="s">
        <v>492</v>
      </c>
      <c r="EB48" s="240" t="s">
        <v>492</v>
      </c>
      <c r="EC48" s="240" t="s">
        <v>492</v>
      </c>
      <c r="ED48" s="240" t="s">
        <v>492</v>
      </c>
      <c r="EE48" s="240" t="s">
        <v>492</v>
      </c>
      <c r="EF48" s="240" t="s">
        <v>492</v>
      </c>
      <c r="EG48" s="240" t="s">
        <v>492</v>
      </c>
      <c r="EH48" s="240" t="s">
        <v>492</v>
      </c>
      <c r="EI48" s="240" t="s">
        <v>492</v>
      </c>
      <c r="EJ48" s="240" t="s">
        <v>231</v>
      </c>
      <c r="EK48" s="240" t="s">
        <v>231</v>
      </c>
      <c r="EL48" s="240" t="s">
        <v>231</v>
      </c>
      <c r="EM48" s="240" t="s">
        <v>231</v>
      </c>
      <c r="EN48" s="240" t="s">
        <v>231</v>
      </c>
      <c r="EO48" s="240" t="s">
        <v>231</v>
      </c>
      <c r="EP48" s="240" t="s">
        <v>231</v>
      </c>
      <c r="EQ48" s="240" t="s">
        <v>231</v>
      </c>
      <c r="ER48" s="240" t="s">
        <v>231</v>
      </c>
      <c r="ES48" s="240" t="s">
        <v>231</v>
      </c>
      <c r="ET48" s="240" t="s">
        <v>231</v>
      </c>
      <c r="EU48" s="240" t="s">
        <v>231</v>
      </c>
      <c r="EV48" s="240" t="s">
        <v>486</v>
      </c>
      <c r="EW48" s="240" t="s">
        <v>231</v>
      </c>
      <c r="EX48" s="240" t="s">
        <v>231</v>
      </c>
      <c r="EY48" s="240" t="s">
        <v>231</v>
      </c>
      <c r="EZ48" s="240" t="s">
        <v>231</v>
      </c>
      <c r="FA48" s="240" t="s">
        <v>231</v>
      </c>
      <c r="FB48" s="240" t="s">
        <v>231</v>
      </c>
      <c r="FC48" s="240" t="s">
        <v>231</v>
      </c>
      <c r="FD48" s="240" t="s">
        <v>231</v>
      </c>
      <c r="FE48" s="240" t="s">
        <v>231</v>
      </c>
      <c r="FF48" s="240" t="s">
        <v>231</v>
      </c>
      <c r="FG48" s="240" t="s">
        <v>492</v>
      </c>
      <c r="FH48" s="240" t="s">
        <v>492</v>
      </c>
      <c r="FI48" s="240" t="s">
        <v>492</v>
      </c>
      <c r="FJ48" s="240" t="s">
        <v>492</v>
      </c>
      <c r="FK48" s="240" t="s">
        <v>492</v>
      </c>
      <c r="FL48" s="240" t="s">
        <v>492</v>
      </c>
      <c r="FM48" s="240" t="s">
        <v>231</v>
      </c>
      <c r="FN48" s="240" t="s">
        <v>231</v>
      </c>
      <c r="FO48" s="240" t="s">
        <v>231</v>
      </c>
      <c r="FP48" s="240" t="s">
        <v>231</v>
      </c>
      <c r="FQ48" s="240" t="s">
        <v>231</v>
      </c>
      <c r="FR48" s="240" t="s">
        <v>231</v>
      </c>
      <c r="FS48" s="240" t="s">
        <v>492</v>
      </c>
      <c r="FT48" s="240" t="s">
        <v>231</v>
      </c>
      <c r="FU48" s="240" t="s">
        <v>231</v>
      </c>
      <c r="FV48" s="240" t="s">
        <v>231</v>
      </c>
      <c r="FW48" s="240" t="s">
        <v>231</v>
      </c>
      <c r="FX48" s="240" t="s">
        <v>492</v>
      </c>
      <c r="FY48" s="240" t="s">
        <v>231</v>
      </c>
      <c r="FZ48" s="240" t="s">
        <v>231</v>
      </c>
      <c r="GA48" s="240" t="s">
        <v>231</v>
      </c>
      <c r="GB48" s="240" t="s">
        <v>231</v>
      </c>
      <c r="GC48" s="240" t="s">
        <v>231</v>
      </c>
      <c r="GD48" s="240" t="s">
        <v>231</v>
      </c>
      <c r="GE48" s="240" t="s">
        <v>231</v>
      </c>
      <c r="GF48" s="240" t="s">
        <v>231</v>
      </c>
      <c r="GG48" s="240" t="s">
        <v>231</v>
      </c>
      <c r="GH48" s="240" t="s">
        <v>231</v>
      </c>
      <c r="GI48" s="240" t="s">
        <v>231</v>
      </c>
      <c r="GJ48" s="240" t="s">
        <v>231</v>
      </c>
      <c r="GK48" s="240" t="s">
        <v>231</v>
      </c>
      <c r="GL48" s="240" t="s">
        <v>231</v>
      </c>
      <c r="GM48" s="240" t="s">
        <v>231</v>
      </c>
      <c r="GN48" s="240" t="s">
        <v>231</v>
      </c>
      <c r="GO48" s="240" t="s">
        <v>231</v>
      </c>
      <c r="GP48" s="240" t="s">
        <v>492</v>
      </c>
      <c r="GQ48" s="240" t="s">
        <v>231</v>
      </c>
      <c r="GR48" s="240" t="s">
        <v>231</v>
      </c>
      <c r="GS48" s="240" t="s">
        <v>231</v>
      </c>
      <c r="GT48" s="240" t="s">
        <v>231</v>
      </c>
      <c r="GU48" s="240" t="s">
        <v>231</v>
      </c>
      <c r="GV48" s="240" t="s">
        <v>492</v>
      </c>
      <c r="GW48" s="240" t="s">
        <v>231</v>
      </c>
      <c r="GX48" s="240" t="s">
        <v>231</v>
      </c>
      <c r="GY48" s="240" t="s">
        <v>492</v>
      </c>
      <c r="GZ48" s="240" t="s">
        <v>231</v>
      </c>
      <c r="HA48" s="240" t="s">
        <v>231</v>
      </c>
      <c r="HB48" s="240" t="s">
        <v>231</v>
      </c>
      <c r="HC48" s="240" t="s">
        <v>231</v>
      </c>
      <c r="HD48" s="240" t="s">
        <v>231</v>
      </c>
      <c r="HE48" s="240" t="s">
        <v>231</v>
      </c>
      <c r="HF48" s="240" t="s">
        <v>492</v>
      </c>
      <c r="HG48" s="240" t="s">
        <v>486</v>
      </c>
      <c r="HH48" s="240" t="s">
        <v>231</v>
      </c>
      <c r="HI48" s="240" t="s">
        <v>231</v>
      </c>
      <c r="HJ48" s="240" t="s">
        <v>231</v>
      </c>
      <c r="HK48" s="240" t="s">
        <v>231</v>
      </c>
      <c r="HL48" s="240" t="s">
        <v>231</v>
      </c>
      <c r="HM48" s="240" t="s">
        <v>231</v>
      </c>
      <c r="HN48" s="240" t="s">
        <v>231</v>
      </c>
      <c r="HO48" s="240" t="s">
        <v>231</v>
      </c>
      <c r="HP48" s="240" t="s">
        <v>231</v>
      </c>
      <c r="HQ48" s="240" t="s">
        <v>231</v>
      </c>
      <c r="HR48" s="240" t="s">
        <v>492</v>
      </c>
      <c r="HS48" s="240" t="s">
        <v>492</v>
      </c>
      <c r="HT48" s="240" t="s">
        <v>492</v>
      </c>
      <c r="HU48" s="240" t="s">
        <v>231</v>
      </c>
      <c r="HV48" s="240" t="s">
        <v>231</v>
      </c>
      <c r="HW48" s="240" t="s">
        <v>231</v>
      </c>
      <c r="HX48" s="240" t="s">
        <v>231</v>
      </c>
      <c r="HY48" s="240" t="s">
        <v>231</v>
      </c>
      <c r="HZ48" s="240" t="s">
        <v>231</v>
      </c>
      <c r="IA48" s="240" t="s">
        <v>231</v>
      </c>
      <c r="IB48" s="240" t="s">
        <v>231</v>
      </c>
      <c r="IC48" s="240" t="s">
        <v>231</v>
      </c>
      <c r="ID48" s="240" t="s">
        <v>231</v>
      </c>
      <c r="IE48" s="240" t="s">
        <v>486</v>
      </c>
      <c r="IF48" s="240" t="s">
        <v>231</v>
      </c>
      <c r="IG48" s="240" t="s">
        <v>231</v>
      </c>
      <c r="IH48" s="240" t="s">
        <v>231</v>
      </c>
      <c r="II48" s="240" t="s">
        <v>231</v>
      </c>
      <c r="IJ48" s="240" t="s">
        <v>231</v>
      </c>
      <c r="IK48" s="240" t="s">
        <v>231</v>
      </c>
      <c r="IL48" s="240" t="s">
        <v>231</v>
      </c>
      <c r="IM48" s="240" t="s">
        <v>231</v>
      </c>
      <c r="IN48" s="240" t="s">
        <v>231</v>
      </c>
      <c r="IO48" s="240" t="s">
        <v>220</v>
      </c>
      <c r="IP48" s="240" t="s">
        <v>493</v>
      </c>
      <c r="IQ48" s="240" t="s">
        <v>219</v>
      </c>
      <c r="IR48" s="240" t="s">
        <v>490</v>
      </c>
      <c r="IS48" s="240" t="s">
        <v>492</v>
      </c>
      <c r="IT48" s="240" t="s">
        <v>492</v>
      </c>
    </row>
    <row r="49" spans="1:254" ht="15" x14ac:dyDescent="0.25">
      <c r="A49" s="258" t="str">
        <f>HYPERLINK("http://www.ofsted.gov.uk/inspection-reports/find-inspection-report/provider/ELS/137568 ","Ofsted School Webpage")</f>
        <v>Ofsted School Webpage</v>
      </c>
      <c r="B49" s="237">
        <v>137568</v>
      </c>
      <c r="C49" s="237">
        <v>3736003</v>
      </c>
      <c r="D49" s="237" t="s">
        <v>627</v>
      </c>
      <c r="E49" s="237" t="s">
        <v>247</v>
      </c>
      <c r="F49" s="237" t="s">
        <v>482</v>
      </c>
      <c r="G49" s="237" t="s">
        <v>523</v>
      </c>
      <c r="H49" s="237" t="s">
        <v>524</v>
      </c>
      <c r="I49" s="237" t="s">
        <v>553</v>
      </c>
      <c r="J49" s="237" t="s">
        <v>628</v>
      </c>
      <c r="K49" s="237" t="s">
        <v>93</v>
      </c>
      <c r="L49" s="237" t="s">
        <v>84</v>
      </c>
      <c r="M49" s="237" t="s">
        <v>84</v>
      </c>
      <c r="N49" s="237" t="s">
        <v>84</v>
      </c>
      <c r="O49" s="237" t="s">
        <v>486</v>
      </c>
      <c r="P49" s="237" t="s">
        <v>487</v>
      </c>
      <c r="Q49" s="238">
        <v>10053833</v>
      </c>
      <c r="R49" s="239">
        <v>43382</v>
      </c>
      <c r="S49" s="239">
        <v>43384</v>
      </c>
      <c r="T49" s="239">
        <v>43418</v>
      </c>
      <c r="U49" s="237" t="s">
        <v>488</v>
      </c>
      <c r="V49" s="237" t="s">
        <v>489</v>
      </c>
      <c r="W49" s="237">
        <v>4</v>
      </c>
      <c r="X49" s="237">
        <v>4</v>
      </c>
      <c r="Y49" s="237">
        <v>4</v>
      </c>
      <c r="Z49" s="237">
        <v>3</v>
      </c>
      <c r="AA49" s="237">
        <v>3</v>
      </c>
      <c r="AB49" s="237" t="s">
        <v>486</v>
      </c>
      <c r="AC49" s="237" t="s">
        <v>486</v>
      </c>
      <c r="AD49" s="237" t="s">
        <v>220</v>
      </c>
      <c r="AE49" s="237" t="s">
        <v>490</v>
      </c>
      <c r="AF49" s="237" t="s">
        <v>486</v>
      </c>
      <c r="AG49" s="237" t="s">
        <v>486</v>
      </c>
      <c r="AH49" s="237" t="s">
        <v>486</v>
      </c>
      <c r="AI49" s="237" t="s">
        <v>486</v>
      </c>
      <c r="AJ49" s="237" t="s">
        <v>486</v>
      </c>
      <c r="AK49" s="237" t="s">
        <v>486</v>
      </c>
      <c r="AL49" s="237" t="s">
        <v>486</v>
      </c>
      <c r="AM49" s="237" t="s">
        <v>545</v>
      </c>
      <c r="AN49" s="237" t="s">
        <v>546</v>
      </c>
      <c r="AO49" s="237" t="s">
        <v>231</v>
      </c>
      <c r="AP49" s="237" t="s">
        <v>546</v>
      </c>
      <c r="AQ49" s="237" t="s">
        <v>231</v>
      </c>
      <c r="AR49" s="237" t="s">
        <v>546</v>
      </c>
      <c r="AS49" s="237" t="s">
        <v>546</v>
      </c>
      <c r="AT49" s="237" t="s">
        <v>231</v>
      </c>
      <c r="AU49" s="237" t="s">
        <v>546</v>
      </c>
      <c r="AV49" s="237" t="s">
        <v>232</v>
      </c>
      <c r="AW49" s="237" t="s">
        <v>232</v>
      </c>
      <c r="AX49" s="237" t="s">
        <v>232</v>
      </c>
      <c r="AY49" s="237" t="s">
        <v>232</v>
      </c>
      <c r="AZ49" s="237" t="s">
        <v>231</v>
      </c>
      <c r="BA49" s="237" t="s">
        <v>231</v>
      </c>
      <c r="BB49" s="237" t="s">
        <v>231</v>
      </c>
      <c r="BC49" s="237" t="s">
        <v>231</v>
      </c>
      <c r="BD49" s="237" t="s">
        <v>492</v>
      </c>
      <c r="BE49" s="237" t="s">
        <v>232</v>
      </c>
      <c r="BF49" s="237" t="s">
        <v>232</v>
      </c>
      <c r="BG49" s="237" t="s">
        <v>232</v>
      </c>
      <c r="BH49" s="237" t="s">
        <v>232</v>
      </c>
      <c r="BI49" s="237" t="s">
        <v>232</v>
      </c>
      <c r="BJ49" s="237" t="s">
        <v>232</v>
      </c>
      <c r="BK49" s="237" t="s">
        <v>232</v>
      </c>
      <c r="BL49" s="237" t="s">
        <v>492</v>
      </c>
      <c r="BM49" s="237" t="s">
        <v>492</v>
      </c>
      <c r="BN49" s="237" t="s">
        <v>231</v>
      </c>
      <c r="BO49" s="237" t="s">
        <v>231</v>
      </c>
      <c r="BP49" s="237" t="s">
        <v>232</v>
      </c>
      <c r="BQ49" s="237" t="s">
        <v>232</v>
      </c>
      <c r="BR49" s="237" t="s">
        <v>231</v>
      </c>
      <c r="BS49" s="237" t="s">
        <v>232</v>
      </c>
      <c r="BT49" s="237" t="s">
        <v>232</v>
      </c>
      <c r="BU49" s="237" t="s">
        <v>231</v>
      </c>
      <c r="BV49" s="237" t="s">
        <v>231</v>
      </c>
      <c r="BW49" s="237" t="s">
        <v>232</v>
      </c>
      <c r="BX49" s="237" t="s">
        <v>231</v>
      </c>
      <c r="BY49" s="237" t="s">
        <v>231</v>
      </c>
      <c r="BZ49" s="237" t="s">
        <v>231</v>
      </c>
      <c r="CA49" s="237" t="s">
        <v>232</v>
      </c>
      <c r="CB49" s="237" t="s">
        <v>231</v>
      </c>
      <c r="CC49" s="237" t="s">
        <v>231</v>
      </c>
      <c r="CD49" s="237" t="s">
        <v>231</v>
      </c>
      <c r="CE49" s="237" t="s">
        <v>231</v>
      </c>
      <c r="CF49" s="237" t="s">
        <v>231</v>
      </c>
      <c r="CG49" s="237" t="s">
        <v>231</v>
      </c>
      <c r="CH49" s="237" t="s">
        <v>231</v>
      </c>
      <c r="CI49" s="237" t="s">
        <v>231</v>
      </c>
      <c r="CJ49" s="237" t="s">
        <v>231</v>
      </c>
      <c r="CK49" s="237" t="s">
        <v>231</v>
      </c>
      <c r="CL49" s="237" t="s">
        <v>231</v>
      </c>
      <c r="CM49" s="237" t="s">
        <v>231</v>
      </c>
      <c r="CN49" s="237" t="s">
        <v>231</v>
      </c>
      <c r="CO49" s="237" t="s">
        <v>231</v>
      </c>
      <c r="CP49" s="237" t="s">
        <v>231</v>
      </c>
      <c r="CQ49" s="237" t="s">
        <v>232</v>
      </c>
      <c r="CR49" s="237" t="s">
        <v>232</v>
      </c>
      <c r="CS49" s="237" t="s">
        <v>232</v>
      </c>
      <c r="CT49" s="237" t="s">
        <v>492</v>
      </c>
      <c r="CU49" s="237" t="s">
        <v>492</v>
      </c>
      <c r="CV49" s="237" t="s">
        <v>492</v>
      </c>
      <c r="CW49" s="237" t="s">
        <v>231</v>
      </c>
      <c r="CX49" s="237" t="s">
        <v>231</v>
      </c>
      <c r="CY49" s="237" t="s">
        <v>231</v>
      </c>
      <c r="CZ49" s="237" t="s">
        <v>231</v>
      </c>
      <c r="DA49" s="237" t="s">
        <v>231</v>
      </c>
      <c r="DB49" s="237" t="s">
        <v>232</v>
      </c>
      <c r="DC49" s="237" t="s">
        <v>232</v>
      </c>
      <c r="DD49" s="237" t="s">
        <v>232</v>
      </c>
      <c r="DE49" s="237" t="s">
        <v>231</v>
      </c>
      <c r="DF49" s="237" t="s">
        <v>231</v>
      </c>
      <c r="DG49" s="237" t="s">
        <v>232</v>
      </c>
      <c r="DH49" s="237" t="s">
        <v>232</v>
      </c>
      <c r="DI49" s="237" t="s">
        <v>232</v>
      </c>
      <c r="DJ49" s="237" t="s">
        <v>231</v>
      </c>
      <c r="DK49" s="237" t="s">
        <v>231</v>
      </c>
      <c r="DL49" s="237" t="s">
        <v>231</v>
      </c>
      <c r="DM49" s="237" t="s">
        <v>231</v>
      </c>
      <c r="DN49" s="237" t="s">
        <v>231</v>
      </c>
      <c r="DO49" s="237" t="s">
        <v>231</v>
      </c>
      <c r="DP49" s="237" t="s">
        <v>231</v>
      </c>
      <c r="DQ49" s="237" t="s">
        <v>231</v>
      </c>
      <c r="DR49" s="237" t="s">
        <v>231</v>
      </c>
      <c r="DS49" s="237" t="s">
        <v>492</v>
      </c>
      <c r="DT49" s="237" t="s">
        <v>492</v>
      </c>
      <c r="DU49" s="237" t="s">
        <v>231</v>
      </c>
      <c r="DV49" s="237" t="s">
        <v>492</v>
      </c>
      <c r="DW49" s="237" t="s">
        <v>492</v>
      </c>
      <c r="DX49" s="237" t="s">
        <v>492</v>
      </c>
      <c r="DY49" s="237" t="s">
        <v>492</v>
      </c>
      <c r="DZ49" s="237" t="s">
        <v>492</v>
      </c>
      <c r="EA49" s="237" t="s">
        <v>492</v>
      </c>
      <c r="EB49" s="237" t="s">
        <v>492</v>
      </c>
      <c r="EC49" s="237" t="s">
        <v>492</v>
      </c>
      <c r="ED49" s="237" t="s">
        <v>492</v>
      </c>
      <c r="EE49" s="237" t="s">
        <v>492</v>
      </c>
      <c r="EF49" s="237" t="s">
        <v>492</v>
      </c>
      <c r="EG49" s="237" t="s">
        <v>492</v>
      </c>
      <c r="EH49" s="237" t="s">
        <v>492</v>
      </c>
      <c r="EI49" s="237" t="s">
        <v>492</v>
      </c>
      <c r="EJ49" s="237" t="s">
        <v>492</v>
      </c>
      <c r="EK49" s="237" t="s">
        <v>492</v>
      </c>
      <c r="EL49" s="237" t="s">
        <v>492</v>
      </c>
      <c r="EM49" s="237" t="s">
        <v>492</v>
      </c>
      <c r="EN49" s="237" t="s">
        <v>492</v>
      </c>
      <c r="EO49" s="237" t="s">
        <v>492</v>
      </c>
      <c r="EP49" s="237" t="s">
        <v>492</v>
      </c>
      <c r="EQ49" s="237" t="s">
        <v>492</v>
      </c>
      <c r="ER49" s="237" t="s">
        <v>492</v>
      </c>
      <c r="ES49" s="237" t="s">
        <v>231</v>
      </c>
      <c r="ET49" s="237" t="s">
        <v>231</v>
      </c>
      <c r="EU49" s="237" t="s">
        <v>231</v>
      </c>
      <c r="EV49" s="237" t="s">
        <v>231</v>
      </c>
      <c r="EW49" s="237" t="s">
        <v>231</v>
      </c>
      <c r="EX49" s="237" t="s">
        <v>231</v>
      </c>
      <c r="EY49" s="237" t="s">
        <v>231</v>
      </c>
      <c r="EZ49" s="237" t="s">
        <v>231</v>
      </c>
      <c r="FA49" s="237" t="s">
        <v>231</v>
      </c>
      <c r="FB49" s="237" t="s">
        <v>231</v>
      </c>
      <c r="FC49" s="237" t="s">
        <v>231</v>
      </c>
      <c r="FD49" s="237" t="s">
        <v>231</v>
      </c>
      <c r="FE49" s="237" t="s">
        <v>231</v>
      </c>
      <c r="FF49" s="237" t="s">
        <v>492</v>
      </c>
      <c r="FG49" s="237" t="s">
        <v>492</v>
      </c>
      <c r="FH49" s="237" t="s">
        <v>492</v>
      </c>
      <c r="FI49" s="237" t="s">
        <v>492</v>
      </c>
      <c r="FJ49" s="237" t="s">
        <v>492</v>
      </c>
      <c r="FK49" s="237" t="s">
        <v>492</v>
      </c>
      <c r="FL49" s="237" t="s">
        <v>492</v>
      </c>
      <c r="FM49" s="237" t="s">
        <v>492</v>
      </c>
      <c r="FN49" s="237" t="s">
        <v>492</v>
      </c>
      <c r="FO49" s="237" t="s">
        <v>493</v>
      </c>
      <c r="FP49" s="237" t="s">
        <v>492</v>
      </c>
      <c r="FQ49" s="237" t="s">
        <v>232</v>
      </c>
      <c r="FR49" s="237" t="s">
        <v>232</v>
      </c>
      <c r="FS49" s="237" t="s">
        <v>492</v>
      </c>
      <c r="FT49" s="237" t="s">
        <v>231</v>
      </c>
      <c r="FU49" s="237" t="s">
        <v>231</v>
      </c>
      <c r="FV49" s="237" t="s">
        <v>231</v>
      </c>
      <c r="FW49" s="237" t="s">
        <v>231</v>
      </c>
      <c r="FX49" s="237" t="s">
        <v>492</v>
      </c>
      <c r="FY49" s="237" t="s">
        <v>231</v>
      </c>
      <c r="FZ49" s="237" t="s">
        <v>231</v>
      </c>
      <c r="GA49" s="237" t="s">
        <v>231</v>
      </c>
      <c r="GB49" s="237" t="s">
        <v>231</v>
      </c>
      <c r="GC49" s="237" t="s">
        <v>231</v>
      </c>
      <c r="GD49" s="237" t="s">
        <v>231</v>
      </c>
      <c r="GE49" s="237" t="s">
        <v>231</v>
      </c>
      <c r="GF49" s="237" t="s">
        <v>231</v>
      </c>
      <c r="GG49" s="237" t="s">
        <v>231</v>
      </c>
      <c r="GH49" s="237" t="s">
        <v>231</v>
      </c>
      <c r="GI49" s="237" t="s">
        <v>231</v>
      </c>
      <c r="GJ49" s="237" t="s">
        <v>231</v>
      </c>
      <c r="GK49" s="237" t="s">
        <v>231</v>
      </c>
      <c r="GL49" s="237" t="s">
        <v>231</v>
      </c>
      <c r="GM49" s="237" t="s">
        <v>232</v>
      </c>
      <c r="GN49" s="237" t="s">
        <v>232</v>
      </c>
      <c r="GO49" s="237" t="s">
        <v>231</v>
      </c>
      <c r="GP49" s="237" t="s">
        <v>492</v>
      </c>
      <c r="GQ49" s="237" t="s">
        <v>232</v>
      </c>
      <c r="GR49" s="237" t="s">
        <v>231</v>
      </c>
      <c r="GS49" s="237" t="s">
        <v>232</v>
      </c>
      <c r="GT49" s="237" t="s">
        <v>231</v>
      </c>
      <c r="GU49" s="237" t="s">
        <v>231</v>
      </c>
      <c r="GV49" s="237" t="s">
        <v>492</v>
      </c>
      <c r="GW49" s="237" t="s">
        <v>231</v>
      </c>
      <c r="GX49" s="237" t="s">
        <v>231</v>
      </c>
      <c r="GY49" s="237" t="s">
        <v>492</v>
      </c>
      <c r="GZ49" s="237" t="s">
        <v>492</v>
      </c>
      <c r="HA49" s="237" t="s">
        <v>231</v>
      </c>
      <c r="HB49" s="237" t="s">
        <v>231</v>
      </c>
      <c r="HC49" s="237" t="s">
        <v>231</v>
      </c>
      <c r="HD49" s="237" t="s">
        <v>231</v>
      </c>
      <c r="HE49" s="237" t="s">
        <v>231</v>
      </c>
      <c r="HF49" s="237" t="s">
        <v>492</v>
      </c>
      <c r="HG49" s="237" t="s">
        <v>231</v>
      </c>
      <c r="HH49" s="237" t="s">
        <v>231</v>
      </c>
      <c r="HI49" s="237" t="s">
        <v>232</v>
      </c>
      <c r="HJ49" s="237" t="s">
        <v>231</v>
      </c>
      <c r="HK49" s="237" t="s">
        <v>232</v>
      </c>
      <c r="HL49" s="237" t="s">
        <v>231</v>
      </c>
      <c r="HM49" s="237" t="s">
        <v>231</v>
      </c>
      <c r="HN49" s="237" t="s">
        <v>232</v>
      </c>
      <c r="HO49" s="237" t="s">
        <v>231</v>
      </c>
      <c r="HP49" s="237" t="s">
        <v>231</v>
      </c>
      <c r="HQ49" s="237" t="s">
        <v>492</v>
      </c>
      <c r="HR49" s="237" t="s">
        <v>492</v>
      </c>
      <c r="HS49" s="237" t="s">
        <v>492</v>
      </c>
      <c r="HT49" s="237" t="s">
        <v>492</v>
      </c>
      <c r="HU49" s="237" t="s">
        <v>231</v>
      </c>
      <c r="HV49" s="237" t="s">
        <v>231</v>
      </c>
      <c r="HW49" s="237" t="s">
        <v>231</v>
      </c>
      <c r="HX49" s="237" t="s">
        <v>231</v>
      </c>
      <c r="HY49" s="237" t="s">
        <v>231</v>
      </c>
      <c r="HZ49" s="237" t="s">
        <v>231</v>
      </c>
      <c r="IA49" s="237" t="s">
        <v>231</v>
      </c>
      <c r="IB49" s="237" t="s">
        <v>231</v>
      </c>
      <c r="IC49" s="237" t="s">
        <v>231</v>
      </c>
      <c r="ID49" s="237" t="s">
        <v>231</v>
      </c>
      <c r="IE49" s="237" t="s">
        <v>231</v>
      </c>
      <c r="IF49" s="237" t="s">
        <v>231</v>
      </c>
      <c r="IG49" s="237" t="s">
        <v>231</v>
      </c>
      <c r="IH49" s="237" t="s">
        <v>231</v>
      </c>
      <c r="II49" s="237" t="s">
        <v>231</v>
      </c>
      <c r="IJ49" s="237" t="s">
        <v>231</v>
      </c>
      <c r="IK49" s="237" t="s">
        <v>232</v>
      </c>
      <c r="IL49" s="237" t="s">
        <v>232</v>
      </c>
      <c r="IM49" s="237" t="s">
        <v>232</v>
      </c>
      <c r="IN49" s="237" t="s">
        <v>232</v>
      </c>
      <c r="IO49" s="237" t="s">
        <v>220</v>
      </c>
      <c r="IP49" s="237" t="s">
        <v>493</v>
      </c>
      <c r="IQ49" s="237" t="s">
        <v>219</v>
      </c>
      <c r="IR49" s="237" t="s">
        <v>490</v>
      </c>
      <c r="IS49" s="237" t="s">
        <v>492</v>
      </c>
      <c r="IT49" s="237" t="s">
        <v>492</v>
      </c>
    </row>
    <row r="50" spans="1:254" ht="15" x14ac:dyDescent="0.25">
      <c r="A50" s="259" t="str">
        <f>HYPERLINK("http://www.ofsted.gov.uk/inspection-reports/find-inspection-report/provider/ELS/145296 ","Ofsted School Webpage")</f>
        <v>Ofsted School Webpage</v>
      </c>
      <c r="B50" s="240">
        <v>145296</v>
      </c>
      <c r="C50" s="240">
        <v>8886079</v>
      </c>
      <c r="D50" s="240" t="s">
        <v>629</v>
      </c>
      <c r="E50" s="240" t="s">
        <v>247</v>
      </c>
      <c r="F50" s="240" t="s">
        <v>482</v>
      </c>
      <c r="G50" s="240" t="s">
        <v>495</v>
      </c>
      <c r="H50" s="240" t="s">
        <v>495</v>
      </c>
      <c r="I50" s="240" t="s">
        <v>534</v>
      </c>
      <c r="J50" s="240" t="s">
        <v>630</v>
      </c>
      <c r="K50" s="240" t="s">
        <v>93</v>
      </c>
      <c r="L50" s="240" t="s">
        <v>93</v>
      </c>
      <c r="M50" s="240" t="s">
        <v>93</v>
      </c>
      <c r="N50" s="240" t="s">
        <v>90</v>
      </c>
      <c r="O50" s="240" t="s">
        <v>486</v>
      </c>
      <c r="P50" s="240" t="s">
        <v>487</v>
      </c>
      <c r="Q50" s="241">
        <v>10056435</v>
      </c>
      <c r="R50" s="242">
        <v>43389</v>
      </c>
      <c r="S50" s="242">
        <v>43390</v>
      </c>
      <c r="T50" s="242">
        <v>43416</v>
      </c>
      <c r="U50" s="240" t="s">
        <v>499</v>
      </c>
      <c r="V50" s="240" t="s">
        <v>489</v>
      </c>
      <c r="W50" s="240">
        <v>2</v>
      </c>
      <c r="X50" s="240">
        <v>2</v>
      </c>
      <c r="Y50" s="240">
        <v>1</v>
      </c>
      <c r="Z50" s="240">
        <v>2</v>
      </c>
      <c r="AA50" s="240">
        <v>2</v>
      </c>
      <c r="AB50" s="240" t="s">
        <v>486</v>
      </c>
      <c r="AC50" s="240" t="s">
        <v>486</v>
      </c>
      <c r="AD50" s="240" t="s">
        <v>219</v>
      </c>
      <c r="AE50" s="240" t="s">
        <v>512</v>
      </c>
      <c r="AF50" s="240" t="s">
        <v>490</v>
      </c>
      <c r="AG50" s="240" t="s">
        <v>486</v>
      </c>
      <c r="AH50" s="240" t="s">
        <v>486</v>
      </c>
      <c r="AI50" s="240" t="s">
        <v>486</v>
      </c>
      <c r="AJ50" s="240" t="s">
        <v>486</v>
      </c>
      <c r="AK50" s="240" t="s">
        <v>486</v>
      </c>
      <c r="AL50" s="240" t="s">
        <v>486</v>
      </c>
      <c r="AM50" s="240" t="s">
        <v>491</v>
      </c>
      <c r="AN50" s="240" t="s">
        <v>231</v>
      </c>
      <c r="AO50" s="240" t="s">
        <v>231</v>
      </c>
      <c r="AP50" s="240" t="s">
        <v>231</v>
      </c>
      <c r="AQ50" s="240" t="s">
        <v>231</v>
      </c>
      <c r="AR50" s="240" t="s">
        <v>231</v>
      </c>
      <c r="AS50" s="240" t="s">
        <v>231</v>
      </c>
      <c r="AT50" s="240" t="s">
        <v>231</v>
      </c>
      <c r="AU50" s="240" t="s">
        <v>231</v>
      </c>
      <c r="AV50" s="240" t="s">
        <v>231</v>
      </c>
      <c r="AW50" s="240" t="s">
        <v>231</v>
      </c>
      <c r="AX50" s="240" t="s">
        <v>231</v>
      </c>
      <c r="AY50" s="240" t="s">
        <v>231</v>
      </c>
      <c r="AZ50" s="240" t="s">
        <v>231</v>
      </c>
      <c r="BA50" s="240" t="s">
        <v>231</v>
      </c>
      <c r="BB50" s="240" t="s">
        <v>231</v>
      </c>
      <c r="BC50" s="240" t="s">
        <v>231</v>
      </c>
      <c r="BD50" s="240" t="s">
        <v>492</v>
      </c>
      <c r="BE50" s="240" t="s">
        <v>231</v>
      </c>
      <c r="BF50" s="240" t="s">
        <v>231</v>
      </c>
      <c r="BG50" s="240" t="s">
        <v>231</v>
      </c>
      <c r="BH50" s="240" t="s">
        <v>231</v>
      </c>
      <c r="BI50" s="240" t="s">
        <v>231</v>
      </c>
      <c r="BJ50" s="240" t="s">
        <v>231</v>
      </c>
      <c r="BK50" s="240" t="s">
        <v>231</v>
      </c>
      <c r="BL50" s="240" t="s">
        <v>492</v>
      </c>
      <c r="BM50" s="240" t="s">
        <v>492</v>
      </c>
      <c r="BN50" s="240" t="s">
        <v>231</v>
      </c>
      <c r="BO50" s="240" t="s">
        <v>231</v>
      </c>
      <c r="BP50" s="240" t="s">
        <v>231</v>
      </c>
      <c r="BQ50" s="240" t="s">
        <v>231</v>
      </c>
      <c r="BR50" s="240" t="s">
        <v>231</v>
      </c>
      <c r="BS50" s="240" t="s">
        <v>231</v>
      </c>
      <c r="BT50" s="240" t="s">
        <v>231</v>
      </c>
      <c r="BU50" s="240" t="s">
        <v>231</v>
      </c>
      <c r="BV50" s="240" t="s">
        <v>231</v>
      </c>
      <c r="BW50" s="240" t="s">
        <v>231</v>
      </c>
      <c r="BX50" s="240" t="s">
        <v>231</v>
      </c>
      <c r="BY50" s="240" t="s">
        <v>231</v>
      </c>
      <c r="BZ50" s="240" t="s">
        <v>231</v>
      </c>
      <c r="CA50" s="240" t="s">
        <v>231</v>
      </c>
      <c r="CB50" s="240" t="s">
        <v>231</v>
      </c>
      <c r="CC50" s="240" t="s">
        <v>231</v>
      </c>
      <c r="CD50" s="240" t="s">
        <v>231</v>
      </c>
      <c r="CE50" s="240" t="s">
        <v>231</v>
      </c>
      <c r="CF50" s="240" t="s">
        <v>231</v>
      </c>
      <c r="CG50" s="240" t="s">
        <v>231</v>
      </c>
      <c r="CH50" s="240" t="s">
        <v>231</v>
      </c>
      <c r="CI50" s="240" t="s">
        <v>231</v>
      </c>
      <c r="CJ50" s="240" t="s">
        <v>231</v>
      </c>
      <c r="CK50" s="240" t="s">
        <v>231</v>
      </c>
      <c r="CL50" s="240" t="s">
        <v>231</v>
      </c>
      <c r="CM50" s="240" t="s">
        <v>231</v>
      </c>
      <c r="CN50" s="240" t="s">
        <v>231</v>
      </c>
      <c r="CO50" s="240" t="s">
        <v>231</v>
      </c>
      <c r="CP50" s="240" t="s">
        <v>231</v>
      </c>
      <c r="CQ50" s="240" t="s">
        <v>231</v>
      </c>
      <c r="CR50" s="240" t="s">
        <v>231</v>
      </c>
      <c r="CS50" s="240" t="s">
        <v>231</v>
      </c>
      <c r="CT50" s="240" t="s">
        <v>492</v>
      </c>
      <c r="CU50" s="240" t="s">
        <v>492</v>
      </c>
      <c r="CV50" s="240" t="s">
        <v>492</v>
      </c>
      <c r="CW50" s="240" t="s">
        <v>231</v>
      </c>
      <c r="CX50" s="240" t="s">
        <v>231</v>
      </c>
      <c r="CY50" s="240" t="s">
        <v>231</v>
      </c>
      <c r="CZ50" s="240" t="s">
        <v>231</v>
      </c>
      <c r="DA50" s="240" t="s">
        <v>231</v>
      </c>
      <c r="DB50" s="240" t="s">
        <v>231</v>
      </c>
      <c r="DC50" s="240" t="s">
        <v>231</v>
      </c>
      <c r="DD50" s="240" t="s">
        <v>231</v>
      </c>
      <c r="DE50" s="240" t="s">
        <v>231</v>
      </c>
      <c r="DF50" s="240" t="s">
        <v>231</v>
      </c>
      <c r="DG50" s="240" t="s">
        <v>231</v>
      </c>
      <c r="DH50" s="240" t="s">
        <v>231</v>
      </c>
      <c r="DI50" s="240" t="s">
        <v>231</v>
      </c>
      <c r="DJ50" s="240" t="s">
        <v>231</v>
      </c>
      <c r="DK50" s="240" t="s">
        <v>231</v>
      </c>
      <c r="DL50" s="240" t="s">
        <v>231</v>
      </c>
      <c r="DM50" s="240" t="s">
        <v>231</v>
      </c>
      <c r="DN50" s="240" t="s">
        <v>231</v>
      </c>
      <c r="DO50" s="240" t="s">
        <v>231</v>
      </c>
      <c r="DP50" s="240" t="s">
        <v>231</v>
      </c>
      <c r="DQ50" s="240" t="s">
        <v>231</v>
      </c>
      <c r="DR50" s="240" t="s">
        <v>231</v>
      </c>
      <c r="DS50" s="240" t="s">
        <v>231</v>
      </c>
      <c r="DT50" s="240" t="s">
        <v>492</v>
      </c>
      <c r="DU50" s="240" t="s">
        <v>231</v>
      </c>
      <c r="DV50" s="240" t="s">
        <v>492</v>
      </c>
      <c r="DW50" s="240" t="s">
        <v>492</v>
      </c>
      <c r="DX50" s="240" t="s">
        <v>492</v>
      </c>
      <c r="DY50" s="240" t="s">
        <v>492</v>
      </c>
      <c r="DZ50" s="240" t="s">
        <v>492</v>
      </c>
      <c r="EA50" s="240" t="s">
        <v>492</v>
      </c>
      <c r="EB50" s="240" t="s">
        <v>492</v>
      </c>
      <c r="EC50" s="240" t="s">
        <v>492</v>
      </c>
      <c r="ED50" s="240" t="s">
        <v>492</v>
      </c>
      <c r="EE50" s="240" t="s">
        <v>492</v>
      </c>
      <c r="EF50" s="240" t="s">
        <v>492</v>
      </c>
      <c r="EG50" s="240" t="s">
        <v>492</v>
      </c>
      <c r="EH50" s="240" t="s">
        <v>492</v>
      </c>
      <c r="EI50" s="240" t="s">
        <v>492</v>
      </c>
      <c r="EJ50" s="240" t="s">
        <v>492</v>
      </c>
      <c r="EK50" s="240" t="s">
        <v>492</v>
      </c>
      <c r="EL50" s="240" t="s">
        <v>492</v>
      </c>
      <c r="EM50" s="240" t="s">
        <v>492</v>
      </c>
      <c r="EN50" s="240" t="s">
        <v>492</v>
      </c>
      <c r="EO50" s="240" t="s">
        <v>492</v>
      </c>
      <c r="EP50" s="240" t="s">
        <v>492</v>
      </c>
      <c r="EQ50" s="240" t="s">
        <v>492</v>
      </c>
      <c r="ER50" s="240" t="s">
        <v>492</v>
      </c>
      <c r="ES50" s="240" t="s">
        <v>231</v>
      </c>
      <c r="ET50" s="240" t="s">
        <v>231</v>
      </c>
      <c r="EU50" s="240" t="s">
        <v>231</v>
      </c>
      <c r="EV50" s="240" t="s">
        <v>231</v>
      </c>
      <c r="EW50" s="240" t="s">
        <v>231</v>
      </c>
      <c r="EX50" s="240" t="s">
        <v>231</v>
      </c>
      <c r="EY50" s="240" t="s">
        <v>231</v>
      </c>
      <c r="EZ50" s="240" t="s">
        <v>231</v>
      </c>
      <c r="FA50" s="240" t="s">
        <v>231</v>
      </c>
      <c r="FB50" s="240" t="s">
        <v>231</v>
      </c>
      <c r="FC50" s="240" t="s">
        <v>231</v>
      </c>
      <c r="FD50" s="240" t="s">
        <v>231</v>
      </c>
      <c r="FE50" s="240" t="s">
        <v>231</v>
      </c>
      <c r="FF50" s="240" t="s">
        <v>492</v>
      </c>
      <c r="FG50" s="240" t="s">
        <v>492</v>
      </c>
      <c r="FH50" s="240" t="s">
        <v>492</v>
      </c>
      <c r="FI50" s="240" t="s">
        <v>492</v>
      </c>
      <c r="FJ50" s="240" t="s">
        <v>492</v>
      </c>
      <c r="FK50" s="240" t="s">
        <v>492</v>
      </c>
      <c r="FL50" s="240" t="s">
        <v>492</v>
      </c>
      <c r="FM50" s="240" t="s">
        <v>492</v>
      </c>
      <c r="FN50" s="240" t="s">
        <v>492</v>
      </c>
      <c r="FO50" s="240" t="s">
        <v>493</v>
      </c>
      <c r="FP50" s="240" t="s">
        <v>492</v>
      </c>
      <c r="FQ50" s="240" t="s">
        <v>231</v>
      </c>
      <c r="FR50" s="240" t="s">
        <v>231</v>
      </c>
      <c r="FS50" s="240" t="s">
        <v>492</v>
      </c>
      <c r="FT50" s="240" t="s">
        <v>231</v>
      </c>
      <c r="FU50" s="240" t="s">
        <v>231</v>
      </c>
      <c r="FV50" s="240" t="s">
        <v>231</v>
      </c>
      <c r="FW50" s="240" t="s">
        <v>231</v>
      </c>
      <c r="FX50" s="240" t="s">
        <v>492</v>
      </c>
      <c r="FY50" s="240" t="s">
        <v>231</v>
      </c>
      <c r="FZ50" s="240" t="s">
        <v>231</v>
      </c>
      <c r="GA50" s="240" t="s">
        <v>231</v>
      </c>
      <c r="GB50" s="240" t="s">
        <v>231</v>
      </c>
      <c r="GC50" s="240" t="s">
        <v>231</v>
      </c>
      <c r="GD50" s="240" t="s">
        <v>231</v>
      </c>
      <c r="GE50" s="240" t="s">
        <v>231</v>
      </c>
      <c r="GF50" s="240" t="s">
        <v>231</v>
      </c>
      <c r="GG50" s="240" t="s">
        <v>231</v>
      </c>
      <c r="GH50" s="240" t="s">
        <v>231</v>
      </c>
      <c r="GI50" s="240" t="s">
        <v>231</v>
      </c>
      <c r="GJ50" s="240" t="s">
        <v>231</v>
      </c>
      <c r="GK50" s="240" t="s">
        <v>231</v>
      </c>
      <c r="GL50" s="240" t="s">
        <v>231</v>
      </c>
      <c r="GM50" s="240" t="s">
        <v>231</v>
      </c>
      <c r="GN50" s="240" t="s">
        <v>231</v>
      </c>
      <c r="GO50" s="240" t="s">
        <v>231</v>
      </c>
      <c r="GP50" s="240" t="s">
        <v>492</v>
      </c>
      <c r="GQ50" s="240" t="s">
        <v>231</v>
      </c>
      <c r="GR50" s="240" t="s">
        <v>231</v>
      </c>
      <c r="GS50" s="240" t="s">
        <v>231</v>
      </c>
      <c r="GT50" s="240" t="s">
        <v>231</v>
      </c>
      <c r="GU50" s="240" t="s">
        <v>492</v>
      </c>
      <c r="GV50" s="240" t="s">
        <v>492</v>
      </c>
      <c r="GW50" s="240" t="s">
        <v>231</v>
      </c>
      <c r="GX50" s="240" t="s">
        <v>231</v>
      </c>
      <c r="GY50" s="240" t="s">
        <v>231</v>
      </c>
      <c r="GZ50" s="240" t="s">
        <v>231</v>
      </c>
      <c r="HA50" s="240" t="s">
        <v>492</v>
      </c>
      <c r="HB50" s="240" t="s">
        <v>231</v>
      </c>
      <c r="HC50" s="240" t="s">
        <v>231</v>
      </c>
      <c r="HD50" s="240" t="s">
        <v>231</v>
      </c>
      <c r="HE50" s="240" t="s">
        <v>231</v>
      </c>
      <c r="HF50" s="240" t="s">
        <v>492</v>
      </c>
      <c r="HG50" s="240" t="s">
        <v>492</v>
      </c>
      <c r="HH50" s="240" t="s">
        <v>231</v>
      </c>
      <c r="HI50" s="240" t="s">
        <v>231</v>
      </c>
      <c r="HJ50" s="240" t="s">
        <v>231</v>
      </c>
      <c r="HK50" s="240" t="s">
        <v>231</v>
      </c>
      <c r="HL50" s="240" t="s">
        <v>231</v>
      </c>
      <c r="HM50" s="240" t="s">
        <v>231</v>
      </c>
      <c r="HN50" s="240" t="s">
        <v>231</v>
      </c>
      <c r="HO50" s="240" t="s">
        <v>231</v>
      </c>
      <c r="HP50" s="240" t="s">
        <v>492</v>
      </c>
      <c r="HQ50" s="240" t="s">
        <v>492</v>
      </c>
      <c r="HR50" s="240" t="s">
        <v>492</v>
      </c>
      <c r="HS50" s="240" t="s">
        <v>492</v>
      </c>
      <c r="HT50" s="240" t="s">
        <v>492</v>
      </c>
      <c r="HU50" s="240" t="s">
        <v>231</v>
      </c>
      <c r="HV50" s="240" t="s">
        <v>231</v>
      </c>
      <c r="HW50" s="240" t="s">
        <v>231</v>
      </c>
      <c r="HX50" s="240" t="s">
        <v>231</v>
      </c>
      <c r="HY50" s="240" t="s">
        <v>231</v>
      </c>
      <c r="HZ50" s="240" t="s">
        <v>231</v>
      </c>
      <c r="IA50" s="240" t="s">
        <v>231</v>
      </c>
      <c r="IB50" s="240" t="s">
        <v>231</v>
      </c>
      <c r="IC50" s="240" t="s">
        <v>231</v>
      </c>
      <c r="ID50" s="240" t="s">
        <v>231</v>
      </c>
      <c r="IE50" s="240" t="s">
        <v>231</v>
      </c>
      <c r="IF50" s="240" t="s">
        <v>231</v>
      </c>
      <c r="IG50" s="240" t="s">
        <v>231</v>
      </c>
      <c r="IH50" s="240" t="s">
        <v>231</v>
      </c>
      <c r="II50" s="240" t="s">
        <v>231</v>
      </c>
      <c r="IJ50" s="240" t="s">
        <v>231</v>
      </c>
      <c r="IK50" s="240" t="s">
        <v>231</v>
      </c>
      <c r="IL50" s="240" t="s">
        <v>231</v>
      </c>
      <c r="IM50" s="240" t="s">
        <v>231</v>
      </c>
      <c r="IN50" s="240" t="s">
        <v>231</v>
      </c>
      <c r="IO50" s="240" t="s">
        <v>220</v>
      </c>
      <c r="IP50" s="240" t="s">
        <v>493</v>
      </c>
      <c r="IQ50" s="240" t="s">
        <v>219</v>
      </c>
      <c r="IR50" s="240" t="s">
        <v>490</v>
      </c>
      <c r="IS50" s="240" t="s">
        <v>492</v>
      </c>
      <c r="IT50" s="240" t="s">
        <v>492</v>
      </c>
    </row>
    <row r="51" spans="1:254" ht="15" x14ac:dyDescent="0.25">
      <c r="A51" s="258" t="str">
        <f>HYPERLINK("http://www.ofsted.gov.uk/inspection-reports/find-inspection-report/provider/ELS/145472 ","Ofsted School Webpage")</f>
        <v>Ofsted School Webpage</v>
      </c>
      <c r="B51" s="237">
        <v>145472</v>
      </c>
      <c r="C51" s="237">
        <v>3086012</v>
      </c>
      <c r="D51" s="237" t="s">
        <v>631</v>
      </c>
      <c r="E51" s="237" t="s">
        <v>247</v>
      </c>
      <c r="F51" s="237" t="s">
        <v>482</v>
      </c>
      <c r="G51" s="237" t="s">
        <v>506</v>
      </c>
      <c r="H51" s="237" t="s">
        <v>506</v>
      </c>
      <c r="I51" s="237" t="s">
        <v>632</v>
      </c>
      <c r="J51" s="237" t="s">
        <v>633</v>
      </c>
      <c r="K51" s="237" t="s">
        <v>93</v>
      </c>
      <c r="L51" s="237" t="s">
        <v>93</v>
      </c>
      <c r="M51" s="237" t="s">
        <v>93</v>
      </c>
      <c r="N51" s="237" t="s">
        <v>90</v>
      </c>
      <c r="O51" s="237" t="s">
        <v>486</v>
      </c>
      <c r="P51" s="237" t="s">
        <v>487</v>
      </c>
      <c r="Q51" s="238">
        <v>10080531</v>
      </c>
      <c r="R51" s="239">
        <v>43389</v>
      </c>
      <c r="S51" s="239">
        <v>43391</v>
      </c>
      <c r="T51" s="239">
        <v>43430</v>
      </c>
      <c r="U51" s="237" t="s">
        <v>499</v>
      </c>
      <c r="V51" s="237" t="s">
        <v>489</v>
      </c>
      <c r="W51" s="237">
        <v>2</v>
      </c>
      <c r="X51" s="237">
        <v>2</v>
      </c>
      <c r="Y51" s="237">
        <v>2</v>
      </c>
      <c r="Z51" s="237">
        <v>2</v>
      </c>
      <c r="AA51" s="237">
        <v>2</v>
      </c>
      <c r="AB51" s="237" t="s">
        <v>486</v>
      </c>
      <c r="AC51" s="237" t="s">
        <v>486</v>
      </c>
      <c r="AD51" s="237" t="s">
        <v>219</v>
      </c>
      <c r="AE51" s="237" t="s">
        <v>490</v>
      </c>
      <c r="AF51" s="237" t="s">
        <v>486</v>
      </c>
      <c r="AG51" s="237" t="s">
        <v>486</v>
      </c>
      <c r="AH51" s="237" t="s">
        <v>486</v>
      </c>
      <c r="AI51" s="237" t="s">
        <v>486</v>
      </c>
      <c r="AJ51" s="237" t="s">
        <v>486</v>
      </c>
      <c r="AK51" s="237" t="s">
        <v>486</v>
      </c>
      <c r="AL51" s="237" t="s">
        <v>486</v>
      </c>
      <c r="AM51" s="237" t="s">
        <v>491</v>
      </c>
      <c r="AN51" s="237" t="s">
        <v>231</v>
      </c>
      <c r="AO51" s="237" t="s">
        <v>231</v>
      </c>
      <c r="AP51" s="237" t="s">
        <v>231</v>
      </c>
      <c r="AQ51" s="237" t="s">
        <v>231</v>
      </c>
      <c r="AR51" s="237" t="s">
        <v>231</v>
      </c>
      <c r="AS51" s="237" t="s">
        <v>231</v>
      </c>
      <c r="AT51" s="237" t="s">
        <v>231</v>
      </c>
      <c r="AU51" s="237" t="s">
        <v>231</v>
      </c>
      <c r="AV51" s="237" t="s">
        <v>231</v>
      </c>
      <c r="AW51" s="237" t="s">
        <v>231</v>
      </c>
      <c r="AX51" s="237" t="s">
        <v>231</v>
      </c>
      <c r="AY51" s="237" t="s">
        <v>231</v>
      </c>
      <c r="AZ51" s="237" t="s">
        <v>231</v>
      </c>
      <c r="BA51" s="237" t="s">
        <v>231</v>
      </c>
      <c r="BB51" s="237" t="s">
        <v>231</v>
      </c>
      <c r="BC51" s="237" t="s">
        <v>231</v>
      </c>
      <c r="BD51" s="237" t="s">
        <v>492</v>
      </c>
      <c r="BE51" s="237" t="s">
        <v>231</v>
      </c>
      <c r="BF51" s="237" t="s">
        <v>231</v>
      </c>
      <c r="BG51" s="237" t="s">
        <v>231</v>
      </c>
      <c r="BH51" s="237" t="s">
        <v>231</v>
      </c>
      <c r="BI51" s="237" t="s">
        <v>231</v>
      </c>
      <c r="BJ51" s="237" t="s">
        <v>231</v>
      </c>
      <c r="BK51" s="237" t="s">
        <v>231</v>
      </c>
      <c r="BL51" s="237" t="s">
        <v>492</v>
      </c>
      <c r="BM51" s="237" t="s">
        <v>231</v>
      </c>
      <c r="BN51" s="237" t="s">
        <v>231</v>
      </c>
      <c r="BO51" s="237" t="s">
        <v>231</v>
      </c>
      <c r="BP51" s="237" t="s">
        <v>231</v>
      </c>
      <c r="BQ51" s="237" t="s">
        <v>231</v>
      </c>
      <c r="BR51" s="237" t="s">
        <v>231</v>
      </c>
      <c r="BS51" s="237" t="s">
        <v>231</v>
      </c>
      <c r="BT51" s="237" t="s">
        <v>231</v>
      </c>
      <c r="BU51" s="237" t="s">
        <v>231</v>
      </c>
      <c r="BV51" s="237" t="s">
        <v>231</v>
      </c>
      <c r="BW51" s="237" t="s">
        <v>231</v>
      </c>
      <c r="BX51" s="237" t="s">
        <v>231</v>
      </c>
      <c r="BY51" s="237" t="s">
        <v>231</v>
      </c>
      <c r="BZ51" s="237" t="s">
        <v>231</v>
      </c>
      <c r="CA51" s="237" t="s">
        <v>231</v>
      </c>
      <c r="CB51" s="237" t="s">
        <v>231</v>
      </c>
      <c r="CC51" s="237" t="s">
        <v>231</v>
      </c>
      <c r="CD51" s="237" t="s">
        <v>231</v>
      </c>
      <c r="CE51" s="237" t="s">
        <v>231</v>
      </c>
      <c r="CF51" s="237" t="s">
        <v>231</v>
      </c>
      <c r="CG51" s="237" t="s">
        <v>231</v>
      </c>
      <c r="CH51" s="237" t="s">
        <v>231</v>
      </c>
      <c r="CI51" s="237" t="s">
        <v>231</v>
      </c>
      <c r="CJ51" s="237" t="s">
        <v>231</v>
      </c>
      <c r="CK51" s="237" t="s">
        <v>231</v>
      </c>
      <c r="CL51" s="237" t="s">
        <v>231</v>
      </c>
      <c r="CM51" s="237" t="s">
        <v>231</v>
      </c>
      <c r="CN51" s="237" t="s">
        <v>231</v>
      </c>
      <c r="CO51" s="237" t="s">
        <v>231</v>
      </c>
      <c r="CP51" s="237" t="s">
        <v>231</v>
      </c>
      <c r="CQ51" s="237" t="s">
        <v>231</v>
      </c>
      <c r="CR51" s="237" t="s">
        <v>231</v>
      </c>
      <c r="CS51" s="237" t="s">
        <v>231</v>
      </c>
      <c r="CT51" s="237" t="s">
        <v>492</v>
      </c>
      <c r="CU51" s="237" t="s">
        <v>492</v>
      </c>
      <c r="CV51" s="237" t="s">
        <v>492</v>
      </c>
      <c r="CW51" s="237" t="s">
        <v>231</v>
      </c>
      <c r="CX51" s="237" t="s">
        <v>231</v>
      </c>
      <c r="CY51" s="237" t="s">
        <v>231</v>
      </c>
      <c r="CZ51" s="237" t="s">
        <v>231</v>
      </c>
      <c r="DA51" s="237" t="s">
        <v>231</v>
      </c>
      <c r="DB51" s="237" t="s">
        <v>231</v>
      </c>
      <c r="DC51" s="237" t="s">
        <v>231</v>
      </c>
      <c r="DD51" s="237" t="s">
        <v>231</v>
      </c>
      <c r="DE51" s="237" t="s">
        <v>231</v>
      </c>
      <c r="DF51" s="237" t="s">
        <v>231</v>
      </c>
      <c r="DG51" s="237" t="s">
        <v>231</v>
      </c>
      <c r="DH51" s="237" t="s">
        <v>231</v>
      </c>
      <c r="DI51" s="237" t="s">
        <v>231</v>
      </c>
      <c r="DJ51" s="237" t="s">
        <v>231</v>
      </c>
      <c r="DK51" s="237" t="s">
        <v>231</v>
      </c>
      <c r="DL51" s="237" t="s">
        <v>231</v>
      </c>
      <c r="DM51" s="237" t="s">
        <v>231</v>
      </c>
      <c r="DN51" s="237" t="s">
        <v>231</v>
      </c>
      <c r="DO51" s="237" t="s">
        <v>231</v>
      </c>
      <c r="DP51" s="237" t="s">
        <v>231</v>
      </c>
      <c r="DQ51" s="237" t="s">
        <v>231</v>
      </c>
      <c r="DR51" s="237" t="s">
        <v>231</v>
      </c>
      <c r="DS51" s="237" t="s">
        <v>231</v>
      </c>
      <c r="DT51" s="237" t="s">
        <v>492</v>
      </c>
      <c r="DU51" s="237" t="s">
        <v>231</v>
      </c>
      <c r="DV51" s="237" t="s">
        <v>492</v>
      </c>
      <c r="DW51" s="237" t="s">
        <v>492</v>
      </c>
      <c r="DX51" s="237" t="s">
        <v>492</v>
      </c>
      <c r="DY51" s="237" t="s">
        <v>492</v>
      </c>
      <c r="DZ51" s="237" t="s">
        <v>492</v>
      </c>
      <c r="EA51" s="237" t="s">
        <v>492</v>
      </c>
      <c r="EB51" s="237" t="s">
        <v>492</v>
      </c>
      <c r="EC51" s="237" t="s">
        <v>492</v>
      </c>
      <c r="ED51" s="237" t="s">
        <v>492</v>
      </c>
      <c r="EE51" s="237" t="s">
        <v>492</v>
      </c>
      <c r="EF51" s="237" t="s">
        <v>492</v>
      </c>
      <c r="EG51" s="237" t="s">
        <v>492</v>
      </c>
      <c r="EH51" s="237" t="s">
        <v>492</v>
      </c>
      <c r="EI51" s="237" t="s">
        <v>492</v>
      </c>
      <c r="EJ51" s="237" t="s">
        <v>492</v>
      </c>
      <c r="EK51" s="237" t="s">
        <v>492</v>
      </c>
      <c r="EL51" s="237" t="s">
        <v>492</v>
      </c>
      <c r="EM51" s="237" t="s">
        <v>492</v>
      </c>
      <c r="EN51" s="237" t="s">
        <v>492</v>
      </c>
      <c r="EO51" s="237" t="s">
        <v>492</v>
      </c>
      <c r="EP51" s="237" t="s">
        <v>492</v>
      </c>
      <c r="EQ51" s="237" t="s">
        <v>492</v>
      </c>
      <c r="ER51" s="237" t="s">
        <v>492</v>
      </c>
      <c r="ES51" s="237" t="s">
        <v>231</v>
      </c>
      <c r="ET51" s="237" t="s">
        <v>231</v>
      </c>
      <c r="EU51" s="237" t="s">
        <v>231</v>
      </c>
      <c r="EV51" s="237" t="s">
        <v>231</v>
      </c>
      <c r="EW51" s="237" t="s">
        <v>231</v>
      </c>
      <c r="EX51" s="237" t="s">
        <v>231</v>
      </c>
      <c r="EY51" s="237" t="s">
        <v>231</v>
      </c>
      <c r="EZ51" s="237" t="s">
        <v>231</v>
      </c>
      <c r="FA51" s="237" t="s">
        <v>231</v>
      </c>
      <c r="FB51" s="237" t="s">
        <v>231</v>
      </c>
      <c r="FC51" s="237" t="s">
        <v>231</v>
      </c>
      <c r="FD51" s="237" t="s">
        <v>231</v>
      </c>
      <c r="FE51" s="237" t="s">
        <v>231</v>
      </c>
      <c r="FF51" s="237" t="s">
        <v>492</v>
      </c>
      <c r="FG51" s="237" t="s">
        <v>492</v>
      </c>
      <c r="FH51" s="237" t="s">
        <v>492</v>
      </c>
      <c r="FI51" s="237" t="s">
        <v>492</v>
      </c>
      <c r="FJ51" s="237" t="s">
        <v>492</v>
      </c>
      <c r="FK51" s="237" t="s">
        <v>492</v>
      </c>
      <c r="FL51" s="237" t="s">
        <v>492</v>
      </c>
      <c r="FM51" s="237" t="s">
        <v>231</v>
      </c>
      <c r="FN51" s="237" t="s">
        <v>492</v>
      </c>
      <c r="FO51" s="237" t="s">
        <v>493</v>
      </c>
      <c r="FP51" s="237" t="s">
        <v>492</v>
      </c>
      <c r="FQ51" s="237" t="s">
        <v>231</v>
      </c>
      <c r="FR51" s="237" t="s">
        <v>231</v>
      </c>
      <c r="FS51" s="237" t="s">
        <v>231</v>
      </c>
      <c r="FT51" s="237" t="s">
        <v>231</v>
      </c>
      <c r="FU51" s="237" t="s">
        <v>231</v>
      </c>
      <c r="FV51" s="237" t="s">
        <v>231</v>
      </c>
      <c r="FW51" s="237" t="s">
        <v>231</v>
      </c>
      <c r="FX51" s="237" t="s">
        <v>231</v>
      </c>
      <c r="FY51" s="237" t="s">
        <v>231</v>
      </c>
      <c r="FZ51" s="237" t="s">
        <v>231</v>
      </c>
      <c r="GA51" s="237" t="s">
        <v>231</v>
      </c>
      <c r="GB51" s="237" t="s">
        <v>231</v>
      </c>
      <c r="GC51" s="237" t="s">
        <v>231</v>
      </c>
      <c r="GD51" s="237" t="s">
        <v>231</v>
      </c>
      <c r="GE51" s="237" t="s">
        <v>231</v>
      </c>
      <c r="GF51" s="237" t="s">
        <v>231</v>
      </c>
      <c r="GG51" s="237" t="s">
        <v>231</v>
      </c>
      <c r="GH51" s="237" t="s">
        <v>231</v>
      </c>
      <c r="GI51" s="237" t="s">
        <v>231</v>
      </c>
      <c r="GJ51" s="237" t="s">
        <v>231</v>
      </c>
      <c r="GK51" s="237" t="s">
        <v>231</v>
      </c>
      <c r="GL51" s="237" t="s">
        <v>231</v>
      </c>
      <c r="GM51" s="237" t="s">
        <v>231</v>
      </c>
      <c r="GN51" s="237" t="s">
        <v>231</v>
      </c>
      <c r="GO51" s="237" t="s">
        <v>231</v>
      </c>
      <c r="GP51" s="237" t="s">
        <v>492</v>
      </c>
      <c r="GQ51" s="237" t="s">
        <v>231</v>
      </c>
      <c r="GR51" s="237" t="s">
        <v>231</v>
      </c>
      <c r="GS51" s="237" t="s">
        <v>231</v>
      </c>
      <c r="GT51" s="237" t="s">
        <v>231</v>
      </c>
      <c r="GU51" s="237" t="s">
        <v>492</v>
      </c>
      <c r="GV51" s="237" t="s">
        <v>492</v>
      </c>
      <c r="GW51" s="237" t="s">
        <v>231</v>
      </c>
      <c r="GX51" s="237" t="s">
        <v>231</v>
      </c>
      <c r="GY51" s="237" t="s">
        <v>231</v>
      </c>
      <c r="GZ51" s="237" t="s">
        <v>231</v>
      </c>
      <c r="HA51" s="237" t="s">
        <v>492</v>
      </c>
      <c r="HB51" s="237" t="s">
        <v>231</v>
      </c>
      <c r="HC51" s="237" t="s">
        <v>231</v>
      </c>
      <c r="HD51" s="237" t="s">
        <v>231</v>
      </c>
      <c r="HE51" s="237" t="s">
        <v>492</v>
      </c>
      <c r="HF51" s="237" t="s">
        <v>231</v>
      </c>
      <c r="HG51" s="237" t="s">
        <v>231</v>
      </c>
      <c r="HH51" s="237" t="s">
        <v>231</v>
      </c>
      <c r="HI51" s="237" t="s">
        <v>231</v>
      </c>
      <c r="HJ51" s="237" t="s">
        <v>231</v>
      </c>
      <c r="HK51" s="237" t="s">
        <v>231</v>
      </c>
      <c r="HL51" s="237" t="s">
        <v>231</v>
      </c>
      <c r="HM51" s="237" t="s">
        <v>231</v>
      </c>
      <c r="HN51" s="237" t="s">
        <v>231</v>
      </c>
      <c r="HO51" s="237" t="s">
        <v>231</v>
      </c>
      <c r="HP51" s="237" t="s">
        <v>492</v>
      </c>
      <c r="HQ51" s="237" t="s">
        <v>492</v>
      </c>
      <c r="HR51" s="237" t="s">
        <v>492</v>
      </c>
      <c r="HS51" s="237" t="s">
        <v>492</v>
      </c>
      <c r="HT51" s="237" t="s">
        <v>492</v>
      </c>
      <c r="HU51" s="237" t="s">
        <v>231</v>
      </c>
      <c r="HV51" s="237" t="s">
        <v>231</v>
      </c>
      <c r="HW51" s="237" t="s">
        <v>231</v>
      </c>
      <c r="HX51" s="237" t="s">
        <v>231</v>
      </c>
      <c r="HY51" s="237" t="s">
        <v>231</v>
      </c>
      <c r="HZ51" s="237" t="s">
        <v>231</v>
      </c>
      <c r="IA51" s="237" t="s">
        <v>231</v>
      </c>
      <c r="IB51" s="237" t="s">
        <v>231</v>
      </c>
      <c r="IC51" s="237" t="s">
        <v>231</v>
      </c>
      <c r="ID51" s="237" t="s">
        <v>231</v>
      </c>
      <c r="IE51" s="237" t="s">
        <v>231</v>
      </c>
      <c r="IF51" s="237" t="s">
        <v>231</v>
      </c>
      <c r="IG51" s="237" t="s">
        <v>231</v>
      </c>
      <c r="IH51" s="237" t="s">
        <v>231</v>
      </c>
      <c r="II51" s="237" t="s">
        <v>231</v>
      </c>
      <c r="IJ51" s="237" t="s">
        <v>231</v>
      </c>
      <c r="IK51" s="237" t="s">
        <v>231</v>
      </c>
      <c r="IL51" s="237" t="s">
        <v>231</v>
      </c>
      <c r="IM51" s="237" t="s">
        <v>231</v>
      </c>
      <c r="IN51" s="237" t="s">
        <v>231</v>
      </c>
      <c r="IO51" s="237" t="s">
        <v>220</v>
      </c>
      <c r="IP51" s="237" t="s">
        <v>493</v>
      </c>
      <c r="IQ51" s="237" t="s">
        <v>219</v>
      </c>
      <c r="IR51" s="237" t="s">
        <v>490</v>
      </c>
      <c r="IS51" s="237" t="s">
        <v>492</v>
      </c>
      <c r="IT51" s="237" t="s">
        <v>492</v>
      </c>
    </row>
    <row r="52" spans="1:254" ht="15" x14ac:dyDescent="0.25">
      <c r="A52" s="259" t="str">
        <f>HYPERLINK("http://www.ofsted.gov.uk/inspection-reports/find-inspection-report/provider/ELS/145239 ","Ofsted School Webpage")</f>
        <v>Ofsted School Webpage</v>
      </c>
      <c r="B52" s="240">
        <v>145239</v>
      </c>
      <c r="C52" s="240">
        <v>3926001</v>
      </c>
      <c r="D52" s="240" t="s">
        <v>634</v>
      </c>
      <c r="E52" s="240" t="s">
        <v>248</v>
      </c>
      <c r="F52" s="240" t="s">
        <v>501</v>
      </c>
      <c r="G52" s="240" t="s">
        <v>523</v>
      </c>
      <c r="H52" s="240" t="s">
        <v>539</v>
      </c>
      <c r="I52" s="240" t="s">
        <v>635</v>
      </c>
      <c r="J52" s="240" t="s">
        <v>636</v>
      </c>
      <c r="K52" s="240" t="s">
        <v>93</v>
      </c>
      <c r="L52" s="240" t="s">
        <v>93</v>
      </c>
      <c r="M52" s="240" t="s">
        <v>93</v>
      </c>
      <c r="N52" s="240" t="s">
        <v>90</v>
      </c>
      <c r="O52" s="240" t="s">
        <v>486</v>
      </c>
      <c r="P52" s="240" t="s">
        <v>487</v>
      </c>
      <c r="Q52" s="241">
        <v>10053841</v>
      </c>
      <c r="R52" s="242">
        <v>43389</v>
      </c>
      <c r="S52" s="242">
        <v>43391</v>
      </c>
      <c r="T52" s="242">
        <v>43438</v>
      </c>
      <c r="U52" s="240" t="s">
        <v>499</v>
      </c>
      <c r="V52" s="240" t="s">
        <v>489</v>
      </c>
      <c r="W52" s="240">
        <v>3</v>
      </c>
      <c r="X52" s="240">
        <v>3</v>
      </c>
      <c r="Y52" s="240">
        <v>2</v>
      </c>
      <c r="Z52" s="240">
        <v>2</v>
      </c>
      <c r="AA52" s="240">
        <v>2</v>
      </c>
      <c r="AB52" s="240" t="s">
        <v>486</v>
      </c>
      <c r="AC52" s="240" t="s">
        <v>486</v>
      </c>
      <c r="AD52" s="240" t="s">
        <v>219</v>
      </c>
      <c r="AE52" s="240" t="s">
        <v>490</v>
      </c>
      <c r="AF52" s="240" t="s">
        <v>486</v>
      </c>
      <c r="AG52" s="240" t="s">
        <v>486</v>
      </c>
      <c r="AH52" s="240" t="s">
        <v>486</v>
      </c>
      <c r="AI52" s="240" t="s">
        <v>486</v>
      </c>
      <c r="AJ52" s="240" t="s">
        <v>486</v>
      </c>
      <c r="AK52" s="240" t="s">
        <v>486</v>
      </c>
      <c r="AL52" s="240" t="s">
        <v>486</v>
      </c>
      <c r="AM52" s="240" t="s">
        <v>545</v>
      </c>
      <c r="AN52" s="240" t="s">
        <v>231</v>
      </c>
      <c r="AO52" s="240" t="s">
        <v>231</v>
      </c>
      <c r="AP52" s="240" t="s">
        <v>546</v>
      </c>
      <c r="AQ52" s="240" t="s">
        <v>231</v>
      </c>
      <c r="AR52" s="240" t="s">
        <v>546</v>
      </c>
      <c r="AS52" s="240" t="s">
        <v>231</v>
      </c>
      <c r="AT52" s="240" t="s">
        <v>231</v>
      </c>
      <c r="AU52" s="240" t="s">
        <v>546</v>
      </c>
      <c r="AV52" s="240" t="s">
        <v>231</v>
      </c>
      <c r="AW52" s="240" t="s">
        <v>231</v>
      </c>
      <c r="AX52" s="240" t="s">
        <v>231</v>
      </c>
      <c r="AY52" s="240" t="s">
        <v>231</v>
      </c>
      <c r="AZ52" s="240" t="s">
        <v>231</v>
      </c>
      <c r="BA52" s="240" t="s">
        <v>231</v>
      </c>
      <c r="BB52" s="240" t="s">
        <v>231</v>
      </c>
      <c r="BC52" s="240" t="s">
        <v>231</v>
      </c>
      <c r="BD52" s="240" t="s">
        <v>231</v>
      </c>
      <c r="BE52" s="240" t="s">
        <v>231</v>
      </c>
      <c r="BF52" s="240" t="s">
        <v>231</v>
      </c>
      <c r="BG52" s="240" t="s">
        <v>231</v>
      </c>
      <c r="BH52" s="240" t="s">
        <v>231</v>
      </c>
      <c r="BI52" s="240" t="s">
        <v>231</v>
      </c>
      <c r="BJ52" s="240" t="s">
        <v>231</v>
      </c>
      <c r="BK52" s="240" t="s">
        <v>231</v>
      </c>
      <c r="BL52" s="240" t="s">
        <v>231</v>
      </c>
      <c r="BM52" s="240" t="s">
        <v>231</v>
      </c>
      <c r="BN52" s="240" t="s">
        <v>231</v>
      </c>
      <c r="BO52" s="240" t="s">
        <v>231</v>
      </c>
      <c r="BP52" s="240" t="s">
        <v>231</v>
      </c>
      <c r="BQ52" s="240" t="s">
        <v>231</v>
      </c>
      <c r="BR52" s="240" t="s">
        <v>231</v>
      </c>
      <c r="BS52" s="240" t="s">
        <v>231</v>
      </c>
      <c r="BT52" s="240" t="s">
        <v>231</v>
      </c>
      <c r="BU52" s="240" t="s">
        <v>231</v>
      </c>
      <c r="BV52" s="240" t="s">
        <v>231</v>
      </c>
      <c r="BW52" s="240" t="s">
        <v>231</v>
      </c>
      <c r="BX52" s="240" t="s">
        <v>231</v>
      </c>
      <c r="BY52" s="240" t="s">
        <v>231</v>
      </c>
      <c r="BZ52" s="240" t="s">
        <v>231</v>
      </c>
      <c r="CA52" s="240" t="s">
        <v>231</v>
      </c>
      <c r="CB52" s="240" t="s">
        <v>231</v>
      </c>
      <c r="CC52" s="240" t="s">
        <v>231</v>
      </c>
      <c r="CD52" s="240" t="s">
        <v>231</v>
      </c>
      <c r="CE52" s="240" t="s">
        <v>231</v>
      </c>
      <c r="CF52" s="240" t="s">
        <v>231</v>
      </c>
      <c r="CG52" s="240" t="s">
        <v>231</v>
      </c>
      <c r="CH52" s="240" t="s">
        <v>231</v>
      </c>
      <c r="CI52" s="240" t="s">
        <v>231</v>
      </c>
      <c r="CJ52" s="240" t="s">
        <v>231</v>
      </c>
      <c r="CK52" s="240" t="s">
        <v>231</v>
      </c>
      <c r="CL52" s="240" t="s">
        <v>231</v>
      </c>
      <c r="CM52" s="240" t="s">
        <v>231</v>
      </c>
      <c r="CN52" s="240" t="s">
        <v>231</v>
      </c>
      <c r="CO52" s="240" t="s">
        <v>231</v>
      </c>
      <c r="CP52" s="240" t="s">
        <v>231</v>
      </c>
      <c r="CQ52" s="240" t="s">
        <v>231</v>
      </c>
      <c r="CR52" s="240" t="s">
        <v>231</v>
      </c>
      <c r="CS52" s="240" t="s">
        <v>231</v>
      </c>
      <c r="CT52" s="240" t="s">
        <v>231</v>
      </c>
      <c r="CU52" s="240" t="s">
        <v>231</v>
      </c>
      <c r="CV52" s="240" t="s">
        <v>231</v>
      </c>
      <c r="CW52" s="240" t="s">
        <v>231</v>
      </c>
      <c r="CX52" s="240" t="s">
        <v>231</v>
      </c>
      <c r="CY52" s="240" t="s">
        <v>231</v>
      </c>
      <c r="CZ52" s="240" t="s">
        <v>231</v>
      </c>
      <c r="DA52" s="240" t="s">
        <v>231</v>
      </c>
      <c r="DB52" s="240" t="s">
        <v>231</v>
      </c>
      <c r="DC52" s="240" t="s">
        <v>231</v>
      </c>
      <c r="DD52" s="240" t="s">
        <v>231</v>
      </c>
      <c r="DE52" s="240" t="s">
        <v>231</v>
      </c>
      <c r="DF52" s="240" t="s">
        <v>232</v>
      </c>
      <c r="DG52" s="240" t="s">
        <v>231</v>
      </c>
      <c r="DH52" s="240" t="s">
        <v>231</v>
      </c>
      <c r="DI52" s="240" t="s">
        <v>231</v>
      </c>
      <c r="DJ52" s="240" t="s">
        <v>231</v>
      </c>
      <c r="DK52" s="240" t="s">
        <v>231</v>
      </c>
      <c r="DL52" s="240" t="s">
        <v>231</v>
      </c>
      <c r="DM52" s="240" t="s">
        <v>231</v>
      </c>
      <c r="DN52" s="240" t="s">
        <v>231</v>
      </c>
      <c r="DO52" s="240" t="s">
        <v>231</v>
      </c>
      <c r="DP52" s="240" t="s">
        <v>231</v>
      </c>
      <c r="DQ52" s="240" t="s">
        <v>231</v>
      </c>
      <c r="DR52" s="240" t="s">
        <v>231</v>
      </c>
      <c r="DS52" s="240" t="s">
        <v>231</v>
      </c>
      <c r="DT52" s="240" t="s">
        <v>492</v>
      </c>
      <c r="DU52" s="240" t="s">
        <v>231</v>
      </c>
      <c r="DV52" s="240" t="s">
        <v>231</v>
      </c>
      <c r="DW52" s="240" t="s">
        <v>231</v>
      </c>
      <c r="DX52" s="240" t="s">
        <v>231</v>
      </c>
      <c r="DY52" s="240" t="s">
        <v>231</v>
      </c>
      <c r="DZ52" s="240" t="s">
        <v>231</v>
      </c>
      <c r="EA52" s="240" t="s">
        <v>231</v>
      </c>
      <c r="EB52" s="240" t="s">
        <v>231</v>
      </c>
      <c r="EC52" s="240" t="s">
        <v>231</v>
      </c>
      <c r="ED52" s="240" t="s">
        <v>231</v>
      </c>
      <c r="EE52" s="240" t="s">
        <v>231</v>
      </c>
      <c r="EF52" s="240" t="s">
        <v>231</v>
      </c>
      <c r="EG52" s="240" t="s">
        <v>231</v>
      </c>
      <c r="EH52" s="240" t="s">
        <v>492</v>
      </c>
      <c r="EI52" s="240" t="s">
        <v>231</v>
      </c>
      <c r="EJ52" s="240" t="s">
        <v>492</v>
      </c>
      <c r="EK52" s="240" t="s">
        <v>492</v>
      </c>
      <c r="EL52" s="240" t="s">
        <v>231</v>
      </c>
      <c r="EM52" s="240" t="s">
        <v>492</v>
      </c>
      <c r="EN52" s="240" t="s">
        <v>492</v>
      </c>
      <c r="EO52" s="240" t="s">
        <v>492</v>
      </c>
      <c r="EP52" s="240" t="s">
        <v>492</v>
      </c>
      <c r="EQ52" s="240" t="s">
        <v>492</v>
      </c>
      <c r="ER52" s="240" t="s">
        <v>492</v>
      </c>
      <c r="ES52" s="240" t="s">
        <v>231</v>
      </c>
      <c r="ET52" s="240" t="s">
        <v>231</v>
      </c>
      <c r="EU52" s="240" t="s">
        <v>231</v>
      </c>
      <c r="EV52" s="240" t="s">
        <v>231</v>
      </c>
      <c r="EW52" s="240" t="s">
        <v>231</v>
      </c>
      <c r="EX52" s="240" t="s">
        <v>231</v>
      </c>
      <c r="EY52" s="240" t="s">
        <v>231</v>
      </c>
      <c r="EZ52" s="240" t="s">
        <v>231</v>
      </c>
      <c r="FA52" s="240" t="s">
        <v>231</v>
      </c>
      <c r="FB52" s="240" t="s">
        <v>231</v>
      </c>
      <c r="FC52" s="240" t="s">
        <v>231</v>
      </c>
      <c r="FD52" s="240" t="s">
        <v>231</v>
      </c>
      <c r="FE52" s="240" t="s">
        <v>231</v>
      </c>
      <c r="FF52" s="240" t="s">
        <v>231</v>
      </c>
      <c r="FG52" s="240" t="s">
        <v>231</v>
      </c>
      <c r="FH52" s="240" t="s">
        <v>231</v>
      </c>
      <c r="FI52" s="240" t="s">
        <v>231</v>
      </c>
      <c r="FJ52" s="240" t="s">
        <v>231</v>
      </c>
      <c r="FK52" s="240" t="s">
        <v>231</v>
      </c>
      <c r="FL52" s="240" t="s">
        <v>231</v>
      </c>
      <c r="FM52" s="240" t="s">
        <v>231</v>
      </c>
      <c r="FN52" s="240" t="s">
        <v>231</v>
      </c>
      <c r="FO52" s="240" t="s">
        <v>231</v>
      </c>
      <c r="FP52" s="240" t="s">
        <v>231</v>
      </c>
      <c r="FQ52" s="240" t="s">
        <v>231</v>
      </c>
      <c r="FR52" s="240" t="s">
        <v>231</v>
      </c>
      <c r="FS52" s="240" t="s">
        <v>231</v>
      </c>
      <c r="FT52" s="240" t="s">
        <v>231</v>
      </c>
      <c r="FU52" s="240" t="s">
        <v>231</v>
      </c>
      <c r="FV52" s="240" t="s">
        <v>231</v>
      </c>
      <c r="FW52" s="240" t="s">
        <v>231</v>
      </c>
      <c r="FX52" s="240" t="s">
        <v>492</v>
      </c>
      <c r="FY52" s="240" t="s">
        <v>231</v>
      </c>
      <c r="FZ52" s="240" t="s">
        <v>231</v>
      </c>
      <c r="GA52" s="240" t="s">
        <v>231</v>
      </c>
      <c r="GB52" s="240" t="s">
        <v>231</v>
      </c>
      <c r="GC52" s="240" t="s">
        <v>231</v>
      </c>
      <c r="GD52" s="240" t="s">
        <v>231</v>
      </c>
      <c r="GE52" s="240" t="s">
        <v>231</v>
      </c>
      <c r="GF52" s="240" t="s">
        <v>231</v>
      </c>
      <c r="GG52" s="240" t="s">
        <v>231</v>
      </c>
      <c r="GH52" s="240" t="s">
        <v>231</v>
      </c>
      <c r="GI52" s="240" t="s">
        <v>231</v>
      </c>
      <c r="GJ52" s="240" t="s">
        <v>231</v>
      </c>
      <c r="GK52" s="240" t="s">
        <v>231</v>
      </c>
      <c r="GL52" s="240" t="s">
        <v>231</v>
      </c>
      <c r="GM52" s="240" t="s">
        <v>232</v>
      </c>
      <c r="GN52" s="240" t="s">
        <v>231</v>
      </c>
      <c r="GO52" s="240" t="s">
        <v>232</v>
      </c>
      <c r="GP52" s="240" t="s">
        <v>492</v>
      </c>
      <c r="GQ52" s="240" t="s">
        <v>231</v>
      </c>
      <c r="GR52" s="240" t="s">
        <v>231</v>
      </c>
      <c r="GS52" s="240" t="s">
        <v>231</v>
      </c>
      <c r="GT52" s="240" t="s">
        <v>231</v>
      </c>
      <c r="GU52" s="240" t="s">
        <v>231</v>
      </c>
      <c r="GV52" s="240" t="s">
        <v>231</v>
      </c>
      <c r="GW52" s="240" t="s">
        <v>231</v>
      </c>
      <c r="GX52" s="240" t="s">
        <v>231</v>
      </c>
      <c r="GY52" s="240" t="s">
        <v>231</v>
      </c>
      <c r="GZ52" s="240" t="s">
        <v>231</v>
      </c>
      <c r="HA52" s="240" t="s">
        <v>231</v>
      </c>
      <c r="HB52" s="240" t="s">
        <v>231</v>
      </c>
      <c r="HC52" s="240" t="s">
        <v>231</v>
      </c>
      <c r="HD52" s="240" t="s">
        <v>231</v>
      </c>
      <c r="HE52" s="240" t="s">
        <v>231</v>
      </c>
      <c r="HF52" s="240" t="s">
        <v>492</v>
      </c>
      <c r="HG52" s="240" t="s">
        <v>492</v>
      </c>
      <c r="HH52" s="240" t="s">
        <v>231</v>
      </c>
      <c r="HI52" s="240" t="s">
        <v>231</v>
      </c>
      <c r="HJ52" s="240" t="s">
        <v>231</v>
      </c>
      <c r="HK52" s="240" t="s">
        <v>231</v>
      </c>
      <c r="HL52" s="240" t="s">
        <v>231</v>
      </c>
      <c r="HM52" s="240" t="s">
        <v>231</v>
      </c>
      <c r="HN52" s="240" t="s">
        <v>231</v>
      </c>
      <c r="HO52" s="240" t="s">
        <v>231</v>
      </c>
      <c r="HP52" s="240" t="s">
        <v>492</v>
      </c>
      <c r="HQ52" s="240" t="s">
        <v>492</v>
      </c>
      <c r="HR52" s="240" t="s">
        <v>492</v>
      </c>
      <c r="HS52" s="240" t="s">
        <v>492</v>
      </c>
      <c r="HT52" s="240" t="s">
        <v>492</v>
      </c>
      <c r="HU52" s="240" t="s">
        <v>231</v>
      </c>
      <c r="HV52" s="240" t="s">
        <v>231</v>
      </c>
      <c r="HW52" s="240" t="s">
        <v>231</v>
      </c>
      <c r="HX52" s="240" t="s">
        <v>231</v>
      </c>
      <c r="HY52" s="240" t="s">
        <v>231</v>
      </c>
      <c r="HZ52" s="240" t="s">
        <v>231</v>
      </c>
      <c r="IA52" s="240" t="s">
        <v>231</v>
      </c>
      <c r="IB52" s="240" t="s">
        <v>231</v>
      </c>
      <c r="IC52" s="240" t="s">
        <v>231</v>
      </c>
      <c r="ID52" s="240" t="s">
        <v>231</v>
      </c>
      <c r="IE52" s="240" t="s">
        <v>231</v>
      </c>
      <c r="IF52" s="240" t="s">
        <v>231</v>
      </c>
      <c r="IG52" s="240" t="s">
        <v>231</v>
      </c>
      <c r="IH52" s="240" t="s">
        <v>231</v>
      </c>
      <c r="II52" s="240" t="s">
        <v>231</v>
      </c>
      <c r="IJ52" s="240" t="s">
        <v>231</v>
      </c>
      <c r="IK52" s="240" t="s">
        <v>232</v>
      </c>
      <c r="IL52" s="240" t="s">
        <v>232</v>
      </c>
      <c r="IM52" s="240" t="s">
        <v>232</v>
      </c>
      <c r="IN52" s="240" t="s">
        <v>232</v>
      </c>
      <c r="IO52" s="240" t="s">
        <v>220</v>
      </c>
      <c r="IP52" s="240" t="s">
        <v>493</v>
      </c>
      <c r="IQ52" s="240" t="s">
        <v>219</v>
      </c>
      <c r="IR52" s="240" t="s">
        <v>490</v>
      </c>
      <c r="IS52" s="240" t="s">
        <v>492</v>
      </c>
      <c r="IT52" s="240" t="s">
        <v>492</v>
      </c>
    </row>
    <row r="53" spans="1:254" ht="15" x14ac:dyDescent="0.25">
      <c r="A53" s="258" t="str">
        <f>HYPERLINK("http://www.ofsted.gov.uk/inspection-reports/find-inspection-report/provider/ELS/102174 ","Ofsted School Webpage")</f>
        <v>Ofsted School Webpage</v>
      </c>
      <c r="B53" s="237">
        <v>102174</v>
      </c>
      <c r="C53" s="237">
        <v>3096076</v>
      </c>
      <c r="D53" s="237" t="s">
        <v>637</v>
      </c>
      <c r="E53" s="237" t="s">
        <v>247</v>
      </c>
      <c r="F53" s="237" t="s">
        <v>482</v>
      </c>
      <c r="G53" s="237" t="s">
        <v>506</v>
      </c>
      <c r="H53" s="237" t="s">
        <v>506</v>
      </c>
      <c r="I53" s="237" t="s">
        <v>595</v>
      </c>
      <c r="J53" s="237" t="s">
        <v>638</v>
      </c>
      <c r="K53" s="237" t="s">
        <v>93</v>
      </c>
      <c r="L53" s="237" t="s">
        <v>71</v>
      </c>
      <c r="M53" s="237" t="s">
        <v>71</v>
      </c>
      <c r="N53" s="237" t="s">
        <v>71</v>
      </c>
      <c r="O53" s="237" t="s">
        <v>486</v>
      </c>
      <c r="P53" s="237" t="s">
        <v>487</v>
      </c>
      <c r="Q53" s="238">
        <v>10068028</v>
      </c>
      <c r="R53" s="239">
        <v>43389</v>
      </c>
      <c r="S53" s="239">
        <v>43391</v>
      </c>
      <c r="T53" s="239">
        <v>43422</v>
      </c>
      <c r="U53" s="237" t="s">
        <v>488</v>
      </c>
      <c r="V53" s="237" t="s">
        <v>489</v>
      </c>
      <c r="W53" s="237">
        <v>4</v>
      </c>
      <c r="X53" s="237">
        <v>4</v>
      </c>
      <c r="Y53" s="237">
        <v>3</v>
      </c>
      <c r="Z53" s="237">
        <v>4</v>
      </c>
      <c r="AA53" s="237">
        <v>3</v>
      </c>
      <c r="AB53" s="237">
        <v>0</v>
      </c>
      <c r="AC53" s="237">
        <v>0</v>
      </c>
      <c r="AD53" s="237" t="s">
        <v>220</v>
      </c>
      <c r="AE53" s="237" t="s">
        <v>490</v>
      </c>
      <c r="AF53" s="237" t="s">
        <v>486</v>
      </c>
      <c r="AG53" s="237" t="s">
        <v>486</v>
      </c>
      <c r="AH53" s="237" t="s">
        <v>486</v>
      </c>
      <c r="AI53" s="237" t="s">
        <v>486</v>
      </c>
      <c r="AJ53" s="237" t="s">
        <v>486</v>
      </c>
      <c r="AK53" s="237" t="s">
        <v>486</v>
      </c>
      <c r="AL53" s="237" t="s">
        <v>486</v>
      </c>
      <c r="AM53" s="237" t="s">
        <v>545</v>
      </c>
      <c r="AN53" s="237" t="s">
        <v>546</v>
      </c>
      <c r="AO53" s="237" t="s">
        <v>231</v>
      </c>
      <c r="AP53" s="237" t="s">
        <v>546</v>
      </c>
      <c r="AQ53" s="237" t="s">
        <v>231</v>
      </c>
      <c r="AR53" s="237" t="s">
        <v>546</v>
      </c>
      <c r="AS53" s="237" t="s">
        <v>546</v>
      </c>
      <c r="AT53" s="237" t="s">
        <v>231</v>
      </c>
      <c r="AU53" s="237" t="s">
        <v>546</v>
      </c>
      <c r="AV53" s="237" t="s">
        <v>232</v>
      </c>
      <c r="AW53" s="237" t="s">
        <v>232</v>
      </c>
      <c r="AX53" s="237" t="s">
        <v>232</v>
      </c>
      <c r="AY53" s="237" t="s">
        <v>232</v>
      </c>
      <c r="AZ53" s="237" t="s">
        <v>231</v>
      </c>
      <c r="BA53" s="237" t="s">
        <v>231</v>
      </c>
      <c r="BB53" s="237" t="s">
        <v>231</v>
      </c>
      <c r="BC53" s="237" t="s">
        <v>231</v>
      </c>
      <c r="BD53" s="237" t="s">
        <v>492</v>
      </c>
      <c r="BE53" s="237" t="s">
        <v>231</v>
      </c>
      <c r="BF53" s="237" t="s">
        <v>231</v>
      </c>
      <c r="BG53" s="237" t="s">
        <v>231</v>
      </c>
      <c r="BH53" s="237" t="s">
        <v>492</v>
      </c>
      <c r="BI53" s="237" t="s">
        <v>492</v>
      </c>
      <c r="BJ53" s="237" t="s">
        <v>492</v>
      </c>
      <c r="BK53" s="237" t="s">
        <v>492</v>
      </c>
      <c r="BL53" s="237" t="s">
        <v>492</v>
      </c>
      <c r="BM53" s="237" t="s">
        <v>492</v>
      </c>
      <c r="BN53" s="237" t="s">
        <v>492</v>
      </c>
      <c r="BO53" s="237" t="s">
        <v>492</v>
      </c>
      <c r="BP53" s="237" t="s">
        <v>232</v>
      </c>
      <c r="BQ53" s="237" t="s">
        <v>232</v>
      </c>
      <c r="BR53" s="237" t="s">
        <v>231</v>
      </c>
      <c r="BS53" s="237" t="s">
        <v>231</v>
      </c>
      <c r="BT53" s="237" t="s">
        <v>232</v>
      </c>
      <c r="BU53" s="237" t="s">
        <v>231</v>
      </c>
      <c r="BV53" s="237" t="s">
        <v>232</v>
      </c>
      <c r="BW53" s="237" t="s">
        <v>232</v>
      </c>
      <c r="BX53" s="237" t="s">
        <v>231</v>
      </c>
      <c r="BY53" s="237" t="s">
        <v>231</v>
      </c>
      <c r="BZ53" s="237" t="s">
        <v>231</v>
      </c>
      <c r="CA53" s="237" t="s">
        <v>231</v>
      </c>
      <c r="CB53" s="237" t="s">
        <v>231</v>
      </c>
      <c r="CC53" s="237" t="s">
        <v>231</v>
      </c>
      <c r="CD53" s="237" t="s">
        <v>231</v>
      </c>
      <c r="CE53" s="237" t="s">
        <v>231</v>
      </c>
      <c r="CF53" s="237" t="s">
        <v>231</v>
      </c>
      <c r="CG53" s="237" t="s">
        <v>231</v>
      </c>
      <c r="CH53" s="237" t="s">
        <v>231</v>
      </c>
      <c r="CI53" s="237" t="s">
        <v>231</v>
      </c>
      <c r="CJ53" s="237" t="s">
        <v>231</v>
      </c>
      <c r="CK53" s="237" t="s">
        <v>231</v>
      </c>
      <c r="CL53" s="237" t="s">
        <v>231</v>
      </c>
      <c r="CM53" s="237" t="s">
        <v>231</v>
      </c>
      <c r="CN53" s="237" t="s">
        <v>231</v>
      </c>
      <c r="CO53" s="237" t="s">
        <v>492</v>
      </c>
      <c r="CP53" s="237" t="s">
        <v>492</v>
      </c>
      <c r="CQ53" s="237" t="s">
        <v>232</v>
      </c>
      <c r="CR53" s="237" t="s">
        <v>232</v>
      </c>
      <c r="CS53" s="237" t="s">
        <v>232</v>
      </c>
      <c r="CT53" s="237" t="s">
        <v>492</v>
      </c>
      <c r="CU53" s="237" t="s">
        <v>492</v>
      </c>
      <c r="CV53" s="237" t="s">
        <v>492</v>
      </c>
      <c r="CW53" s="237" t="s">
        <v>231</v>
      </c>
      <c r="CX53" s="237" t="s">
        <v>231</v>
      </c>
      <c r="CY53" s="237" t="s">
        <v>231</v>
      </c>
      <c r="CZ53" s="237" t="s">
        <v>231</v>
      </c>
      <c r="DA53" s="237" t="s">
        <v>231</v>
      </c>
      <c r="DB53" s="237" t="s">
        <v>232</v>
      </c>
      <c r="DC53" s="237" t="s">
        <v>232</v>
      </c>
      <c r="DD53" s="237" t="s">
        <v>232</v>
      </c>
      <c r="DE53" s="237" t="s">
        <v>231</v>
      </c>
      <c r="DF53" s="237" t="s">
        <v>232</v>
      </c>
      <c r="DG53" s="237" t="s">
        <v>232</v>
      </c>
      <c r="DH53" s="237" t="s">
        <v>232</v>
      </c>
      <c r="DI53" s="237" t="s">
        <v>232</v>
      </c>
      <c r="DJ53" s="237" t="s">
        <v>231</v>
      </c>
      <c r="DK53" s="237" t="s">
        <v>231</v>
      </c>
      <c r="DL53" s="237" t="s">
        <v>231</v>
      </c>
      <c r="DM53" s="237" t="s">
        <v>231</v>
      </c>
      <c r="DN53" s="237" t="s">
        <v>231</v>
      </c>
      <c r="DO53" s="237" t="s">
        <v>231</v>
      </c>
      <c r="DP53" s="237" t="s">
        <v>231</v>
      </c>
      <c r="DQ53" s="237" t="s">
        <v>231</v>
      </c>
      <c r="DR53" s="237" t="s">
        <v>231</v>
      </c>
      <c r="DS53" s="237" t="s">
        <v>231</v>
      </c>
      <c r="DT53" s="237" t="s">
        <v>231</v>
      </c>
      <c r="DU53" s="237" t="s">
        <v>231</v>
      </c>
      <c r="DV53" s="237" t="s">
        <v>231</v>
      </c>
      <c r="DW53" s="237" t="s">
        <v>231</v>
      </c>
      <c r="DX53" s="237" t="s">
        <v>231</v>
      </c>
      <c r="DY53" s="237" t="s">
        <v>231</v>
      </c>
      <c r="DZ53" s="237" t="s">
        <v>231</v>
      </c>
      <c r="EA53" s="237" t="s">
        <v>231</v>
      </c>
      <c r="EB53" s="237" t="s">
        <v>231</v>
      </c>
      <c r="EC53" s="237" t="s">
        <v>231</v>
      </c>
      <c r="ED53" s="237" t="s">
        <v>231</v>
      </c>
      <c r="EE53" s="237" t="s">
        <v>231</v>
      </c>
      <c r="EF53" s="237" t="s">
        <v>231</v>
      </c>
      <c r="EG53" s="237" t="s">
        <v>231</v>
      </c>
      <c r="EH53" s="237" t="s">
        <v>492</v>
      </c>
      <c r="EI53" s="237" t="s">
        <v>492</v>
      </c>
      <c r="EJ53" s="237" t="s">
        <v>231</v>
      </c>
      <c r="EK53" s="237" t="s">
        <v>231</v>
      </c>
      <c r="EL53" s="237" t="s">
        <v>231</v>
      </c>
      <c r="EM53" s="237" t="s">
        <v>231</v>
      </c>
      <c r="EN53" s="237" t="s">
        <v>231</v>
      </c>
      <c r="EO53" s="237" t="s">
        <v>231</v>
      </c>
      <c r="EP53" s="237" t="s">
        <v>231</v>
      </c>
      <c r="EQ53" s="237" t="s">
        <v>231</v>
      </c>
      <c r="ER53" s="237" t="s">
        <v>231</v>
      </c>
      <c r="ES53" s="237" t="s">
        <v>231</v>
      </c>
      <c r="ET53" s="237" t="s">
        <v>231</v>
      </c>
      <c r="EU53" s="237" t="s">
        <v>231</v>
      </c>
      <c r="EV53" s="237" t="s">
        <v>231</v>
      </c>
      <c r="EW53" s="237" t="s">
        <v>231</v>
      </c>
      <c r="EX53" s="237" t="s">
        <v>231</v>
      </c>
      <c r="EY53" s="237" t="s">
        <v>231</v>
      </c>
      <c r="EZ53" s="237" t="s">
        <v>231</v>
      </c>
      <c r="FA53" s="237" t="s">
        <v>231</v>
      </c>
      <c r="FB53" s="237" t="s">
        <v>231</v>
      </c>
      <c r="FC53" s="237" t="s">
        <v>231</v>
      </c>
      <c r="FD53" s="237" t="s">
        <v>231</v>
      </c>
      <c r="FE53" s="237" t="s">
        <v>231</v>
      </c>
      <c r="FF53" s="237" t="s">
        <v>231</v>
      </c>
      <c r="FG53" s="237" t="s">
        <v>231</v>
      </c>
      <c r="FH53" s="237" t="s">
        <v>231</v>
      </c>
      <c r="FI53" s="237" t="s">
        <v>231</v>
      </c>
      <c r="FJ53" s="237" t="s">
        <v>231</v>
      </c>
      <c r="FK53" s="237" t="s">
        <v>231</v>
      </c>
      <c r="FL53" s="237" t="s">
        <v>231</v>
      </c>
      <c r="FM53" s="237" t="s">
        <v>231</v>
      </c>
      <c r="FN53" s="237" t="s">
        <v>231</v>
      </c>
      <c r="FO53" s="237" t="s">
        <v>231</v>
      </c>
      <c r="FP53" s="237" t="s">
        <v>231</v>
      </c>
      <c r="FQ53" s="237" t="s">
        <v>231</v>
      </c>
      <c r="FR53" s="237" t="s">
        <v>231</v>
      </c>
      <c r="FS53" s="237" t="s">
        <v>231</v>
      </c>
      <c r="FT53" s="237" t="s">
        <v>492</v>
      </c>
      <c r="FU53" s="237" t="s">
        <v>231</v>
      </c>
      <c r="FV53" s="237" t="s">
        <v>231</v>
      </c>
      <c r="FW53" s="237" t="s">
        <v>231</v>
      </c>
      <c r="FX53" s="237" t="s">
        <v>492</v>
      </c>
      <c r="FY53" s="237" t="s">
        <v>492</v>
      </c>
      <c r="FZ53" s="237" t="s">
        <v>231</v>
      </c>
      <c r="GA53" s="237" t="s">
        <v>231</v>
      </c>
      <c r="GB53" s="237" t="s">
        <v>231</v>
      </c>
      <c r="GC53" s="237" t="s">
        <v>231</v>
      </c>
      <c r="GD53" s="237" t="s">
        <v>231</v>
      </c>
      <c r="GE53" s="237" t="s">
        <v>231</v>
      </c>
      <c r="GF53" s="237" t="s">
        <v>231</v>
      </c>
      <c r="GG53" s="237" t="s">
        <v>231</v>
      </c>
      <c r="GH53" s="237" t="s">
        <v>231</v>
      </c>
      <c r="GI53" s="237" t="s">
        <v>231</v>
      </c>
      <c r="GJ53" s="237" t="s">
        <v>231</v>
      </c>
      <c r="GK53" s="237" t="s">
        <v>231</v>
      </c>
      <c r="GL53" s="237" t="s">
        <v>231</v>
      </c>
      <c r="GM53" s="237" t="s">
        <v>232</v>
      </c>
      <c r="GN53" s="237" t="s">
        <v>232</v>
      </c>
      <c r="GO53" s="237" t="s">
        <v>232</v>
      </c>
      <c r="GP53" s="237" t="s">
        <v>492</v>
      </c>
      <c r="GQ53" s="237" t="s">
        <v>232</v>
      </c>
      <c r="GR53" s="237" t="s">
        <v>231</v>
      </c>
      <c r="GS53" s="237" t="s">
        <v>231</v>
      </c>
      <c r="GT53" s="237" t="s">
        <v>232</v>
      </c>
      <c r="GU53" s="237" t="s">
        <v>231</v>
      </c>
      <c r="GV53" s="237" t="s">
        <v>231</v>
      </c>
      <c r="GW53" s="237" t="s">
        <v>231</v>
      </c>
      <c r="GX53" s="237" t="s">
        <v>231</v>
      </c>
      <c r="GY53" s="237" t="s">
        <v>231</v>
      </c>
      <c r="GZ53" s="237" t="s">
        <v>231</v>
      </c>
      <c r="HA53" s="237" t="s">
        <v>231</v>
      </c>
      <c r="HB53" s="237" t="s">
        <v>231</v>
      </c>
      <c r="HC53" s="237" t="s">
        <v>231</v>
      </c>
      <c r="HD53" s="237" t="s">
        <v>231</v>
      </c>
      <c r="HE53" s="237" t="s">
        <v>231</v>
      </c>
      <c r="HF53" s="237" t="s">
        <v>231</v>
      </c>
      <c r="HG53" s="237" t="s">
        <v>231</v>
      </c>
      <c r="HH53" s="237" t="s">
        <v>231</v>
      </c>
      <c r="HI53" s="237" t="s">
        <v>231</v>
      </c>
      <c r="HJ53" s="237" t="s">
        <v>231</v>
      </c>
      <c r="HK53" s="237" t="s">
        <v>231</v>
      </c>
      <c r="HL53" s="237" t="s">
        <v>231</v>
      </c>
      <c r="HM53" s="237" t="s">
        <v>231</v>
      </c>
      <c r="HN53" s="237" t="s">
        <v>232</v>
      </c>
      <c r="HO53" s="237" t="s">
        <v>231</v>
      </c>
      <c r="HP53" s="237" t="s">
        <v>231</v>
      </c>
      <c r="HQ53" s="237" t="s">
        <v>492</v>
      </c>
      <c r="HR53" s="237" t="s">
        <v>492</v>
      </c>
      <c r="HS53" s="237" t="s">
        <v>492</v>
      </c>
      <c r="HT53" s="237" t="s">
        <v>492</v>
      </c>
      <c r="HU53" s="237" t="s">
        <v>231</v>
      </c>
      <c r="HV53" s="237" t="s">
        <v>231</v>
      </c>
      <c r="HW53" s="237" t="s">
        <v>231</v>
      </c>
      <c r="HX53" s="237" t="s">
        <v>231</v>
      </c>
      <c r="HY53" s="237" t="s">
        <v>231</v>
      </c>
      <c r="HZ53" s="237" t="s">
        <v>231</v>
      </c>
      <c r="IA53" s="237" t="s">
        <v>231</v>
      </c>
      <c r="IB53" s="237" t="s">
        <v>231</v>
      </c>
      <c r="IC53" s="237" t="s">
        <v>231</v>
      </c>
      <c r="ID53" s="237" t="s">
        <v>231</v>
      </c>
      <c r="IE53" s="237" t="s">
        <v>231</v>
      </c>
      <c r="IF53" s="237" t="s">
        <v>231</v>
      </c>
      <c r="IG53" s="237" t="s">
        <v>231</v>
      </c>
      <c r="IH53" s="237" t="s">
        <v>231</v>
      </c>
      <c r="II53" s="237" t="s">
        <v>231</v>
      </c>
      <c r="IJ53" s="237" t="s">
        <v>231</v>
      </c>
      <c r="IK53" s="237" t="s">
        <v>232</v>
      </c>
      <c r="IL53" s="237" t="s">
        <v>232</v>
      </c>
      <c r="IM53" s="237" t="s">
        <v>232</v>
      </c>
      <c r="IN53" s="237" t="s">
        <v>232</v>
      </c>
      <c r="IO53" s="237" t="s">
        <v>220</v>
      </c>
      <c r="IP53" s="237" t="s">
        <v>493</v>
      </c>
      <c r="IQ53" s="237" t="s">
        <v>219</v>
      </c>
      <c r="IR53" s="237" t="s">
        <v>490</v>
      </c>
      <c r="IS53" s="237" t="s">
        <v>232</v>
      </c>
      <c r="IT53" s="237" t="s">
        <v>232</v>
      </c>
    </row>
    <row r="54" spans="1:254" ht="15" x14ac:dyDescent="0.25">
      <c r="A54" s="259" t="str">
        <f>HYPERLINK("http://www.ofsted.gov.uk/inspection-reports/find-inspection-report/provider/ELS/136747 ","Ofsted School Webpage")</f>
        <v>Ofsted School Webpage</v>
      </c>
      <c r="B54" s="240">
        <v>136747</v>
      </c>
      <c r="C54" s="240">
        <v>2076000</v>
      </c>
      <c r="D54" s="240" t="s">
        <v>639</v>
      </c>
      <c r="E54" s="240" t="s">
        <v>247</v>
      </c>
      <c r="F54" s="240" t="s">
        <v>482</v>
      </c>
      <c r="G54" s="240" t="s">
        <v>506</v>
      </c>
      <c r="H54" s="240" t="s">
        <v>506</v>
      </c>
      <c r="I54" s="240" t="s">
        <v>640</v>
      </c>
      <c r="J54" s="240" t="s">
        <v>641</v>
      </c>
      <c r="K54" s="240" t="s">
        <v>93</v>
      </c>
      <c r="L54" s="240" t="s">
        <v>93</v>
      </c>
      <c r="M54" s="240" t="s">
        <v>93</v>
      </c>
      <c r="N54" s="240" t="s">
        <v>90</v>
      </c>
      <c r="O54" s="240" t="s">
        <v>486</v>
      </c>
      <c r="P54" s="240" t="s">
        <v>487</v>
      </c>
      <c r="Q54" s="241">
        <v>10054297</v>
      </c>
      <c r="R54" s="242">
        <v>43389</v>
      </c>
      <c r="S54" s="242">
        <v>43391</v>
      </c>
      <c r="T54" s="242">
        <v>43422</v>
      </c>
      <c r="U54" s="240" t="s">
        <v>488</v>
      </c>
      <c r="V54" s="240" t="s">
        <v>489</v>
      </c>
      <c r="W54" s="240">
        <v>2</v>
      </c>
      <c r="X54" s="240">
        <v>2</v>
      </c>
      <c r="Y54" s="240">
        <v>1</v>
      </c>
      <c r="Z54" s="240">
        <v>1</v>
      </c>
      <c r="AA54" s="240">
        <v>1</v>
      </c>
      <c r="AB54" s="240">
        <v>2</v>
      </c>
      <c r="AC54" s="240" t="s">
        <v>486</v>
      </c>
      <c r="AD54" s="240" t="s">
        <v>219</v>
      </c>
      <c r="AE54" s="240" t="s">
        <v>490</v>
      </c>
      <c r="AF54" s="240" t="s">
        <v>486</v>
      </c>
      <c r="AG54" s="240" t="s">
        <v>486</v>
      </c>
      <c r="AH54" s="240" t="s">
        <v>486</v>
      </c>
      <c r="AI54" s="240" t="s">
        <v>486</v>
      </c>
      <c r="AJ54" s="240" t="s">
        <v>486</v>
      </c>
      <c r="AK54" s="240" t="s">
        <v>486</v>
      </c>
      <c r="AL54" s="240" t="s">
        <v>486</v>
      </c>
      <c r="AM54" s="240" t="s">
        <v>545</v>
      </c>
      <c r="AN54" s="240" t="s">
        <v>231</v>
      </c>
      <c r="AO54" s="240" t="s">
        <v>231</v>
      </c>
      <c r="AP54" s="240" t="s">
        <v>231</v>
      </c>
      <c r="AQ54" s="240" t="s">
        <v>231</v>
      </c>
      <c r="AR54" s="240" t="s">
        <v>231</v>
      </c>
      <c r="AS54" s="240" t="s">
        <v>231</v>
      </c>
      <c r="AT54" s="240" t="s">
        <v>231</v>
      </c>
      <c r="AU54" s="240" t="s">
        <v>546</v>
      </c>
      <c r="AV54" s="240" t="s">
        <v>231</v>
      </c>
      <c r="AW54" s="240" t="s">
        <v>231</v>
      </c>
      <c r="AX54" s="240" t="s">
        <v>231</v>
      </c>
      <c r="AY54" s="240" t="s">
        <v>231</v>
      </c>
      <c r="AZ54" s="240" t="s">
        <v>231</v>
      </c>
      <c r="BA54" s="240" t="s">
        <v>231</v>
      </c>
      <c r="BB54" s="240" t="s">
        <v>231</v>
      </c>
      <c r="BC54" s="240" t="s">
        <v>231</v>
      </c>
      <c r="BD54" s="240" t="s">
        <v>231</v>
      </c>
      <c r="BE54" s="240" t="s">
        <v>231</v>
      </c>
      <c r="BF54" s="240" t="s">
        <v>231</v>
      </c>
      <c r="BG54" s="240" t="s">
        <v>231</v>
      </c>
      <c r="BH54" s="240" t="s">
        <v>231</v>
      </c>
      <c r="BI54" s="240" t="s">
        <v>231</v>
      </c>
      <c r="BJ54" s="240" t="s">
        <v>231</v>
      </c>
      <c r="BK54" s="240" t="s">
        <v>231</v>
      </c>
      <c r="BL54" s="240" t="s">
        <v>492</v>
      </c>
      <c r="BM54" s="240" t="s">
        <v>492</v>
      </c>
      <c r="BN54" s="240" t="s">
        <v>231</v>
      </c>
      <c r="BO54" s="240" t="s">
        <v>231</v>
      </c>
      <c r="BP54" s="240" t="s">
        <v>231</v>
      </c>
      <c r="BQ54" s="240" t="s">
        <v>231</v>
      </c>
      <c r="BR54" s="240" t="s">
        <v>231</v>
      </c>
      <c r="BS54" s="240" t="s">
        <v>231</v>
      </c>
      <c r="BT54" s="240" t="s">
        <v>231</v>
      </c>
      <c r="BU54" s="240" t="s">
        <v>231</v>
      </c>
      <c r="BV54" s="240" t="s">
        <v>231</v>
      </c>
      <c r="BW54" s="240" t="s">
        <v>231</v>
      </c>
      <c r="BX54" s="240" t="s">
        <v>231</v>
      </c>
      <c r="BY54" s="240" t="s">
        <v>231</v>
      </c>
      <c r="BZ54" s="240" t="s">
        <v>231</v>
      </c>
      <c r="CA54" s="240" t="s">
        <v>231</v>
      </c>
      <c r="CB54" s="240" t="s">
        <v>231</v>
      </c>
      <c r="CC54" s="240" t="s">
        <v>231</v>
      </c>
      <c r="CD54" s="240" t="s">
        <v>231</v>
      </c>
      <c r="CE54" s="240" t="s">
        <v>231</v>
      </c>
      <c r="CF54" s="240" t="s">
        <v>231</v>
      </c>
      <c r="CG54" s="240" t="s">
        <v>231</v>
      </c>
      <c r="CH54" s="240" t="s">
        <v>231</v>
      </c>
      <c r="CI54" s="240" t="s">
        <v>231</v>
      </c>
      <c r="CJ54" s="240" t="s">
        <v>231</v>
      </c>
      <c r="CK54" s="240" t="s">
        <v>231</v>
      </c>
      <c r="CL54" s="240" t="s">
        <v>231</v>
      </c>
      <c r="CM54" s="240" t="s">
        <v>231</v>
      </c>
      <c r="CN54" s="240" t="s">
        <v>231</v>
      </c>
      <c r="CO54" s="240" t="s">
        <v>231</v>
      </c>
      <c r="CP54" s="240" t="s">
        <v>231</v>
      </c>
      <c r="CQ54" s="240" t="s">
        <v>231</v>
      </c>
      <c r="CR54" s="240" t="s">
        <v>231</v>
      </c>
      <c r="CS54" s="240" t="s">
        <v>231</v>
      </c>
      <c r="CT54" s="240" t="s">
        <v>492</v>
      </c>
      <c r="CU54" s="240" t="s">
        <v>492</v>
      </c>
      <c r="CV54" s="240" t="s">
        <v>492</v>
      </c>
      <c r="CW54" s="240" t="s">
        <v>231</v>
      </c>
      <c r="CX54" s="240" t="s">
        <v>231</v>
      </c>
      <c r="CY54" s="240" t="s">
        <v>231</v>
      </c>
      <c r="CZ54" s="240" t="s">
        <v>231</v>
      </c>
      <c r="DA54" s="240" t="s">
        <v>231</v>
      </c>
      <c r="DB54" s="240" t="s">
        <v>231</v>
      </c>
      <c r="DC54" s="240" t="s">
        <v>231</v>
      </c>
      <c r="DD54" s="240" t="s">
        <v>231</v>
      </c>
      <c r="DE54" s="240" t="s">
        <v>231</v>
      </c>
      <c r="DF54" s="240" t="s">
        <v>231</v>
      </c>
      <c r="DG54" s="240" t="s">
        <v>231</v>
      </c>
      <c r="DH54" s="240" t="s">
        <v>231</v>
      </c>
      <c r="DI54" s="240" t="s">
        <v>231</v>
      </c>
      <c r="DJ54" s="240" t="s">
        <v>231</v>
      </c>
      <c r="DK54" s="240" t="s">
        <v>231</v>
      </c>
      <c r="DL54" s="240" t="s">
        <v>231</v>
      </c>
      <c r="DM54" s="240" t="s">
        <v>231</v>
      </c>
      <c r="DN54" s="240" t="s">
        <v>231</v>
      </c>
      <c r="DO54" s="240" t="s">
        <v>231</v>
      </c>
      <c r="DP54" s="240" t="s">
        <v>231</v>
      </c>
      <c r="DQ54" s="240" t="s">
        <v>231</v>
      </c>
      <c r="DR54" s="240" t="s">
        <v>231</v>
      </c>
      <c r="DS54" s="240" t="s">
        <v>231</v>
      </c>
      <c r="DT54" s="240" t="s">
        <v>492</v>
      </c>
      <c r="DU54" s="240" t="s">
        <v>231</v>
      </c>
      <c r="DV54" s="240" t="s">
        <v>492</v>
      </c>
      <c r="DW54" s="240" t="s">
        <v>492</v>
      </c>
      <c r="DX54" s="240" t="s">
        <v>492</v>
      </c>
      <c r="DY54" s="240" t="s">
        <v>492</v>
      </c>
      <c r="DZ54" s="240" t="s">
        <v>492</v>
      </c>
      <c r="EA54" s="240" t="s">
        <v>492</v>
      </c>
      <c r="EB54" s="240" t="s">
        <v>492</v>
      </c>
      <c r="EC54" s="240" t="s">
        <v>492</v>
      </c>
      <c r="ED54" s="240" t="s">
        <v>492</v>
      </c>
      <c r="EE54" s="240" t="s">
        <v>492</v>
      </c>
      <c r="EF54" s="240" t="s">
        <v>492</v>
      </c>
      <c r="EG54" s="240" t="s">
        <v>492</v>
      </c>
      <c r="EH54" s="240" t="s">
        <v>492</v>
      </c>
      <c r="EI54" s="240" t="s">
        <v>492</v>
      </c>
      <c r="EJ54" s="240" t="s">
        <v>231</v>
      </c>
      <c r="EK54" s="240" t="s">
        <v>231</v>
      </c>
      <c r="EL54" s="240" t="s">
        <v>231</v>
      </c>
      <c r="EM54" s="240" t="s">
        <v>231</v>
      </c>
      <c r="EN54" s="240" t="s">
        <v>231</v>
      </c>
      <c r="EO54" s="240" t="s">
        <v>231</v>
      </c>
      <c r="EP54" s="240" t="s">
        <v>231</v>
      </c>
      <c r="EQ54" s="240" t="s">
        <v>231</v>
      </c>
      <c r="ER54" s="240" t="s">
        <v>231</v>
      </c>
      <c r="ES54" s="240" t="s">
        <v>231</v>
      </c>
      <c r="ET54" s="240" t="s">
        <v>231</v>
      </c>
      <c r="EU54" s="240" t="s">
        <v>231</v>
      </c>
      <c r="EV54" s="240" t="s">
        <v>231</v>
      </c>
      <c r="EW54" s="240" t="s">
        <v>231</v>
      </c>
      <c r="EX54" s="240" t="s">
        <v>231</v>
      </c>
      <c r="EY54" s="240" t="s">
        <v>231</v>
      </c>
      <c r="EZ54" s="240" t="s">
        <v>231</v>
      </c>
      <c r="FA54" s="240" t="s">
        <v>231</v>
      </c>
      <c r="FB54" s="240" t="s">
        <v>231</v>
      </c>
      <c r="FC54" s="240" t="s">
        <v>231</v>
      </c>
      <c r="FD54" s="240" t="s">
        <v>231</v>
      </c>
      <c r="FE54" s="240" t="s">
        <v>231</v>
      </c>
      <c r="FF54" s="240" t="s">
        <v>231</v>
      </c>
      <c r="FG54" s="240" t="s">
        <v>492</v>
      </c>
      <c r="FH54" s="240" t="s">
        <v>492</v>
      </c>
      <c r="FI54" s="240" t="s">
        <v>492</v>
      </c>
      <c r="FJ54" s="240" t="s">
        <v>492</v>
      </c>
      <c r="FK54" s="240" t="s">
        <v>492</v>
      </c>
      <c r="FL54" s="240" t="s">
        <v>492</v>
      </c>
      <c r="FM54" s="240" t="s">
        <v>231</v>
      </c>
      <c r="FN54" s="240" t="s">
        <v>231</v>
      </c>
      <c r="FO54" s="240" t="s">
        <v>231</v>
      </c>
      <c r="FP54" s="240" t="s">
        <v>231</v>
      </c>
      <c r="FQ54" s="240" t="s">
        <v>231</v>
      </c>
      <c r="FR54" s="240" t="s">
        <v>231</v>
      </c>
      <c r="FS54" s="240" t="s">
        <v>231</v>
      </c>
      <c r="FT54" s="240" t="s">
        <v>231</v>
      </c>
      <c r="FU54" s="240" t="s">
        <v>231</v>
      </c>
      <c r="FV54" s="240" t="s">
        <v>231</v>
      </c>
      <c r="FW54" s="240" t="s">
        <v>231</v>
      </c>
      <c r="FX54" s="240" t="s">
        <v>492</v>
      </c>
      <c r="FY54" s="240" t="s">
        <v>231</v>
      </c>
      <c r="FZ54" s="240" t="s">
        <v>231</v>
      </c>
      <c r="GA54" s="240" t="s">
        <v>231</v>
      </c>
      <c r="GB54" s="240" t="s">
        <v>231</v>
      </c>
      <c r="GC54" s="240" t="s">
        <v>231</v>
      </c>
      <c r="GD54" s="240" t="s">
        <v>231</v>
      </c>
      <c r="GE54" s="240" t="s">
        <v>231</v>
      </c>
      <c r="GF54" s="240" t="s">
        <v>231</v>
      </c>
      <c r="GG54" s="240" t="s">
        <v>231</v>
      </c>
      <c r="GH54" s="240" t="s">
        <v>231</v>
      </c>
      <c r="GI54" s="240" t="s">
        <v>231</v>
      </c>
      <c r="GJ54" s="240" t="s">
        <v>231</v>
      </c>
      <c r="GK54" s="240" t="s">
        <v>231</v>
      </c>
      <c r="GL54" s="240" t="s">
        <v>231</v>
      </c>
      <c r="GM54" s="240" t="s">
        <v>231</v>
      </c>
      <c r="GN54" s="240" t="s">
        <v>231</v>
      </c>
      <c r="GO54" s="240" t="s">
        <v>231</v>
      </c>
      <c r="GP54" s="240" t="s">
        <v>492</v>
      </c>
      <c r="GQ54" s="240" t="s">
        <v>231</v>
      </c>
      <c r="GR54" s="240" t="s">
        <v>231</v>
      </c>
      <c r="GS54" s="240" t="s">
        <v>231</v>
      </c>
      <c r="GT54" s="240" t="s">
        <v>231</v>
      </c>
      <c r="GU54" s="240" t="s">
        <v>231</v>
      </c>
      <c r="GV54" s="240" t="s">
        <v>231</v>
      </c>
      <c r="GW54" s="240" t="s">
        <v>231</v>
      </c>
      <c r="GX54" s="240" t="s">
        <v>231</v>
      </c>
      <c r="GY54" s="240" t="s">
        <v>492</v>
      </c>
      <c r="GZ54" s="240" t="s">
        <v>492</v>
      </c>
      <c r="HA54" s="240" t="s">
        <v>492</v>
      </c>
      <c r="HB54" s="240" t="s">
        <v>231</v>
      </c>
      <c r="HC54" s="240" t="s">
        <v>231</v>
      </c>
      <c r="HD54" s="240" t="s">
        <v>231</v>
      </c>
      <c r="HE54" s="240" t="s">
        <v>492</v>
      </c>
      <c r="HF54" s="240" t="s">
        <v>231</v>
      </c>
      <c r="HG54" s="240" t="s">
        <v>231</v>
      </c>
      <c r="HH54" s="240" t="s">
        <v>231</v>
      </c>
      <c r="HI54" s="240" t="s">
        <v>231</v>
      </c>
      <c r="HJ54" s="240" t="s">
        <v>231</v>
      </c>
      <c r="HK54" s="240" t="s">
        <v>231</v>
      </c>
      <c r="HL54" s="240" t="s">
        <v>231</v>
      </c>
      <c r="HM54" s="240" t="s">
        <v>231</v>
      </c>
      <c r="HN54" s="240" t="s">
        <v>231</v>
      </c>
      <c r="HO54" s="240" t="s">
        <v>231</v>
      </c>
      <c r="HP54" s="240" t="s">
        <v>231</v>
      </c>
      <c r="HQ54" s="240" t="s">
        <v>492</v>
      </c>
      <c r="HR54" s="240" t="s">
        <v>492</v>
      </c>
      <c r="HS54" s="240" t="s">
        <v>492</v>
      </c>
      <c r="HT54" s="240" t="s">
        <v>492</v>
      </c>
      <c r="HU54" s="240" t="s">
        <v>231</v>
      </c>
      <c r="HV54" s="240" t="s">
        <v>231</v>
      </c>
      <c r="HW54" s="240" t="s">
        <v>231</v>
      </c>
      <c r="HX54" s="240" t="s">
        <v>231</v>
      </c>
      <c r="HY54" s="240" t="s">
        <v>231</v>
      </c>
      <c r="HZ54" s="240" t="s">
        <v>231</v>
      </c>
      <c r="IA54" s="240" t="s">
        <v>231</v>
      </c>
      <c r="IB54" s="240" t="s">
        <v>231</v>
      </c>
      <c r="IC54" s="240" t="s">
        <v>231</v>
      </c>
      <c r="ID54" s="240" t="s">
        <v>231</v>
      </c>
      <c r="IE54" s="240" t="s">
        <v>231</v>
      </c>
      <c r="IF54" s="240" t="s">
        <v>231</v>
      </c>
      <c r="IG54" s="240" t="s">
        <v>231</v>
      </c>
      <c r="IH54" s="240" t="s">
        <v>231</v>
      </c>
      <c r="II54" s="240" t="s">
        <v>231</v>
      </c>
      <c r="IJ54" s="240" t="s">
        <v>231</v>
      </c>
      <c r="IK54" s="240" t="s">
        <v>232</v>
      </c>
      <c r="IL54" s="240" t="s">
        <v>232</v>
      </c>
      <c r="IM54" s="240" t="s">
        <v>232</v>
      </c>
      <c r="IN54" s="240" t="s">
        <v>231</v>
      </c>
      <c r="IO54" s="240" t="s">
        <v>220</v>
      </c>
      <c r="IP54" s="240" t="s">
        <v>493</v>
      </c>
      <c r="IQ54" s="240" t="s">
        <v>219</v>
      </c>
      <c r="IR54" s="240" t="s">
        <v>490</v>
      </c>
      <c r="IS54" s="240" t="s">
        <v>231</v>
      </c>
      <c r="IT54" s="240" t="s">
        <v>231</v>
      </c>
    </row>
    <row r="55" spans="1:254" ht="15" x14ac:dyDescent="0.25">
      <c r="A55" s="258" t="str">
        <f>HYPERLINK("http://www.ofsted.gov.uk/inspection-reports/find-inspection-report/provider/ELS/141138 ","Ofsted School Webpage")</f>
        <v>Ofsted School Webpage</v>
      </c>
      <c r="B55" s="237">
        <v>141138</v>
      </c>
      <c r="C55" s="237">
        <v>8356038</v>
      </c>
      <c r="D55" s="237" t="s">
        <v>642</v>
      </c>
      <c r="E55" s="237" t="s">
        <v>247</v>
      </c>
      <c r="F55" s="237" t="s">
        <v>482</v>
      </c>
      <c r="G55" s="237" t="s">
        <v>483</v>
      </c>
      <c r="H55" s="237" t="s">
        <v>483</v>
      </c>
      <c r="I55" s="237" t="s">
        <v>643</v>
      </c>
      <c r="J55" s="237" t="s">
        <v>644</v>
      </c>
      <c r="K55" s="237" t="s">
        <v>93</v>
      </c>
      <c r="L55" s="237" t="s">
        <v>93</v>
      </c>
      <c r="M55" s="237" t="s">
        <v>93</v>
      </c>
      <c r="N55" s="237" t="s">
        <v>90</v>
      </c>
      <c r="O55" s="237" t="s">
        <v>486</v>
      </c>
      <c r="P55" s="237" t="s">
        <v>487</v>
      </c>
      <c r="Q55" s="238">
        <v>10053793</v>
      </c>
      <c r="R55" s="239">
        <v>43389</v>
      </c>
      <c r="S55" s="239">
        <v>43391</v>
      </c>
      <c r="T55" s="239">
        <v>43422</v>
      </c>
      <c r="U55" s="237" t="s">
        <v>624</v>
      </c>
      <c r="V55" s="237" t="s">
        <v>489</v>
      </c>
      <c r="W55" s="237">
        <v>4</v>
      </c>
      <c r="X55" s="237">
        <v>4</v>
      </c>
      <c r="Y55" s="237">
        <v>4</v>
      </c>
      <c r="Z55" s="237">
        <v>3</v>
      </c>
      <c r="AA55" s="237">
        <v>3</v>
      </c>
      <c r="AB55" s="237" t="s">
        <v>486</v>
      </c>
      <c r="AC55" s="237" t="s">
        <v>486</v>
      </c>
      <c r="AD55" s="237" t="s">
        <v>220</v>
      </c>
      <c r="AE55" s="237" t="s">
        <v>490</v>
      </c>
      <c r="AF55" s="237" t="s">
        <v>486</v>
      </c>
      <c r="AG55" s="237" t="s">
        <v>486</v>
      </c>
      <c r="AH55" s="237" t="s">
        <v>486</v>
      </c>
      <c r="AI55" s="237" t="s">
        <v>486</v>
      </c>
      <c r="AJ55" s="237" t="s">
        <v>486</v>
      </c>
      <c r="AK55" s="237" t="s">
        <v>486</v>
      </c>
      <c r="AL55" s="237" t="s">
        <v>486</v>
      </c>
      <c r="AM55" s="237" t="s">
        <v>545</v>
      </c>
      <c r="AN55" s="237" t="s">
        <v>546</v>
      </c>
      <c r="AO55" s="237" t="s">
        <v>231</v>
      </c>
      <c r="AP55" s="237" t="s">
        <v>546</v>
      </c>
      <c r="AQ55" s="237" t="s">
        <v>546</v>
      </c>
      <c r="AR55" s="237" t="s">
        <v>546</v>
      </c>
      <c r="AS55" s="237" t="s">
        <v>231</v>
      </c>
      <c r="AT55" s="237" t="s">
        <v>231</v>
      </c>
      <c r="AU55" s="237" t="s">
        <v>546</v>
      </c>
      <c r="AV55" s="237" t="s">
        <v>232</v>
      </c>
      <c r="AW55" s="237" t="s">
        <v>232</v>
      </c>
      <c r="AX55" s="237" t="s">
        <v>232</v>
      </c>
      <c r="AY55" s="237" t="s">
        <v>232</v>
      </c>
      <c r="AZ55" s="237" t="s">
        <v>231</v>
      </c>
      <c r="BA55" s="237" t="s">
        <v>232</v>
      </c>
      <c r="BB55" s="237" t="s">
        <v>231</v>
      </c>
      <c r="BC55" s="237" t="s">
        <v>231</v>
      </c>
      <c r="BD55" s="237" t="s">
        <v>492</v>
      </c>
      <c r="BE55" s="237" t="s">
        <v>231</v>
      </c>
      <c r="BF55" s="237" t="s">
        <v>231</v>
      </c>
      <c r="BG55" s="237" t="s">
        <v>231</v>
      </c>
      <c r="BH55" s="237" t="s">
        <v>231</v>
      </c>
      <c r="BI55" s="237" t="s">
        <v>231</v>
      </c>
      <c r="BJ55" s="237" t="s">
        <v>231</v>
      </c>
      <c r="BK55" s="237" t="s">
        <v>231</v>
      </c>
      <c r="BL55" s="237" t="s">
        <v>492</v>
      </c>
      <c r="BM55" s="237" t="s">
        <v>232</v>
      </c>
      <c r="BN55" s="237" t="s">
        <v>232</v>
      </c>
      <c r="BO55" s="237" t="s">
        <v>231</v>
      </c>
      <c r="BP55" s="237" t="s">
        <v>232</v>
      </c>
      <c r="BQ55" s="237" t="s">
        <v>232</v>
      </c>
      <c r="BR55" s="237" t="s">
        <v>232</v>
      </c>
      <c r="BS55" s="237" t="s">
        <v>232</v>
      </c>
      <c r="BT55" s="237" t="s">
        <v>232</v>
      </c>
      <c r="BU55" s="237" t="s">
        <v>231</v>
      </c>
      <c r="BV55" s="237" t="s">
        <v>231</v>
      </c>
      <c r="BW55" s="237" t="s">
        <v>232</v>
      </c>
      <c r="BX55" s="237" t="s">
        <v>231</v>
      </c>
      <c r="BY55" s="237" t="s">
        <v>231</v>
      </c>
      <c r="BZ55" s="237" t="s">
        <v>231</v>
      </c>
      <c r="CA55" s="237" t="s">
        <v>232</v>
      </c>
      <c r="CB55" s="237" t="s">
        <v>231</v>
      </c>
      <c r="CC55" s="237" t="s">
        <v>231</v>
      </c>
      <c r="CD55" s="237" t="s">
        <v>231</v>
      </c>
      <c r="CE55" s="237" t="s">
        <v>231</v>
      </c>
      <c r="CF55" s="237" t="s">
        <v>231</v>
      </c>
      <c r="CG55" s="237" t="s">
        <v>231</v>
      </c>
      <c r="CH55" s="237" t="s">
        <v>231</v>
      </c>
      <c r="CI55" s="237" t="s">
        <v>231</v>
      </c>
      <c r="CJ55" s="237" t="s">
        <v>231</v>
      </c>
      <c r="CK55" s="237" t="s">
        <v>231</v>
      </c>
      <c r="CL55" s="237" t="s">
        <v>231</v>
      </c>
      <c r="CM55" s="237" t="s">
        <v>231</v>
      </c>
      <c r="CN55" s="237" t="s">
        <v>231</v>
      </c>
      <c r="CO55" s="237" t="s">
        <v>231</v>
      </c>
      <c r="CP55" s="237" t="s">
        <v>231</v>
      </c>
      <c r="CQ55" s="237" t="s">
        <v>232</v>
      </c>
      <c r="CR55" s="237" t="s">
        <v>232</v>
      </c>
      <c r="CS55" s="237" t="s">
        <v>232</v>
      </c>
      <c r="CT55" s="237" t="s">
        <v>232</v>
      </c>
      <c r="CU55" s="237" t="s">
        <v>232</v>
      </c>
      <c r="CV55" s="237" t="s">
        <v>232</v>
      </c>
      <c r="CW55" s="237" t="s">
        <v>231</v>
      </c>
      <c r="CX55" s="237" t="s">
        <v>231</v>
      </c>
      <c r="CY55" s="237" t="s">
        <v>231</v>
      </c>
      <c r="CZ55" s="237" t="s">
        <v>231</v>
      </c>
      <c r="DA55" s="237" t="s">
        <v>231</v>
      </c>
      <c r="DB55" s="237" t="s">
        <v>232</v>
      </c>
      <c r="DC55" s="237" t="s">
        <v>232</v>
      </c>
      <c r="DD55" s="237" t="s">
        <v>231</v>
      </c>
      <c r="DE55" s="237" t="s">
        <v>232</v>
      </c>
      <c r="DF55" s="237" t="s">
        <v>231</v>
      </c>
      <c r="DG55" s="237" t="s">
        <v>232</v>
      </c>
      <c r="DH55" s="237" t="s">
        <v>232</v>
      </c>
      <c r="DI55" s="237" t="s">
        <v>232</v>
      </c>
      <c r="DJ55" s="237" t="s">
        <v>232</v>
      </c>
      <c r="DK55" s="237" t="s">
        <v>232</v>
      </c>
      <c r="DL55" s="237" t="s">
        <v>231</v>
      </c>
      <c r="DM55" s="237" t="s">
        <v>231</v>
      </c>
      <c r="DN55" s="237" t="s">
        <v>231</v>
      </c>
      <c r="DO55" s="237" t="s">
        <v>231</v>
      </c>
      <c r="DP55" s="237" t="s">
        <v>231</v>
      </c>
      <c r="DQ55" s="237" t="s">
        <v>231</v>
      </c>
      <c r="DR55" s="237" t="s">
        <v>232</v>
      </c>
      <c r="DS55" s="237" t="s">
        <v>232</v>
      </c>
      <c r="DT55" s="237" t="s">
        <v>232</v>
      </c>
      <c r="DU55" s="237" t="s">
        <v>232</v>
      </c>
      <c r="DV55" s="237" t="s">
        <v>492</v>
      </c>
      <c r="DW55" s="237" t="s">
        <v>492</v>
      </c>
      <c r="DX55" s="237" t="s">
        <v>492</v>
      </c>
      <c r="DY55" s="237" t="s">
        <v>492</v>
      </c>
      <c r="DZ55" s="237" t="s">
        <v>492</v>
      </c>
      <c r="EA55" s="237" t="s">
        <v>492</v>
      </c>
      <c r="EB55" s="237" t="s">
        <v>492</v>
      </c>
      <c r="EC55" s="237" t="s">
        <v>492</v>
      </c>
      <c r="ED55" s="237" t="s">
        <v>492</v>
      </c>
      <c r="EE55" s="237" t="s">
        <v>492</v>
      </c>
      <c r="EF55" s="237" t="s">
        <v>492</v>
      </c>
      <c r="EG55" s="237" t="s">
        <v>492</v>
      </c>
      <c r="EH55" s="237" t="s">
        <v>492</v>
      </c>
      <c r="EI55" s="237" t="s">
        <v>492</v>
      </c>
      <c r="EJ55" s="237" t="s">
        <v>231</v>
      </c>
      <c r="EK55" s="237" t="s">
        <v>231</v>
      </c>
      <c r="EL55" s="237" t="s">
        <v>231</v>
      </c>
      <c r="EM55" s="237" t="s">
        <v>231</v>
      </c>
      <c r="EN55" s="237" t="s">
        <v>231</v>
      </c>
      <c r="EO55" s="237" t="s">
        <v>231</v>
      </c>
      <c r="EP55" s="237" t="s">
        <v>231</v>
      </c>
      <c r="EQ55" s="237" t="s">
        <v>231</v>
      </c>
      <c r="ER55" s="237" t="s">
        <v>231</v>
      </c>
      <c r="ES55" s="237" t="s">
        <v>231</v>
      </c>
      <c r="ET55" s="237" t="s">
        <v>231</v>
      </c>
      <c r="EU55" s="237" t="s">
        <v>231</v>
      </c>
      <c r="EV55" s="237" t="s">
        <v>231</v>
      </c>
      <c r="EW55" s="237" t="s">
        <v>231</v>
      </c>
      <c r="EX55" s="237" t="s">
        <v>231</v>
      </c>
      <c r="EY55" s="237" t="s">
        <v>231</v>
      </c>
      <c r="EZ55" s="237" t="s">
        <v>231</v>
      </c>
      <c r="FA55" s="237" t="s">
        <v>231</v>
      </c>
      <c r="FB55" s="237" t="s">
        <v>231</v>
      </c>
      <c r="FC55" s="237" t="s">
        <v>231</v>
      </c>
      <c r="FD55" s="237" t="s">
        <v>231</v>
      </c>
      <c r="FE55" s="237" t="s">
        <v>231</v>
      </c>
      <c r="FF55" s="237" t="s">
        <v>231</v>
      </c>
      <c r="FG55" s="237" t="s">
        <v>492</v>
      </c>
      <c r="FH55" s="237" t="s">
        <v>492</v>
      </c>
      <c r="FI55" s="237" t="s">
        <v>492</v>
      </c>
      <c r="FJ55" s="237" t="s">
        <v>492</v>
      </c>
      <c r="FK55" s="237" t="s">
        <v>492</v>
      </c>
      <c r="FL55" s="237" t="s">
        <v>492</v>
      </c>
      <c r="FM55" s="237" t="s">
        <v>492</v>
      </c>
      <c r="FN55" s="237" t="s">
        <v>231</v>
      </c>
      <c r="FO55" s="237" t="s">
        <v>231</v>
      </c>
      <c r="FP55" s="237" t="s">
        <v>231</v>
      </c>
      <c r="FQ55" s="237" t="s">
        <v>231</v>
      </c>
      <c r="FR55" s="237" t="s">
        <v>231</v>
      </c>
      <c r="FS55" s="237" t="s">
        <v>231</v>
      </c>
      <c r="FT55" s="237" t="s">
        <v>231</v>
      </c>
      <c r="FU55" s="237" t="s">
        <v>231</v>
      </c>
      <c r="FV55" s="237" t="s">
        <v>231</v>
      </c>
      <c r="FW55" s="237" t="s">
        <v>231</v>
      </c>
      <c r="FX55" s="237" t="s">
        <v>492</v>
      </c>
      <c r="FY55" s="237" t="s">
        <v>231</v>
      </c>
      <c r="FZ55" s="237" t="s">
        <v>232</v>
      </c>
      <c r="GA55" s="237" t="s">
        <v>231</v>
      </c>
      <c r="GB55" s="237" t="s">
        <v>231</v>
      </c>
      <c r="GC55" s="237" t="s">
        <v>231</v>
      </c>
      <c r="GD55" s="237" t="s">
        <v>231</v>
      </c>
      <c r="GE55" s="237" t="s">
        <v>232</v>
      </c>
      <c r="GF55" s="237" t="s">
        <v>231</v>
      </c>
      <c r="GG55" s="237" t="s">
        <v>231</v>
      </c>
      <c r="GH55" s="237" t="s">
        <v>231</v>
      </c>
      <c r="GI55" s="237" t="s">
        <v>232</v>
      </c>
      <c r="GJ55" s="237" t="s">
        <v>231</v>
      </c>
      <c r="GK55" s="237" t="s">
        <v>231</v>
      </c>
      <c r="GL55" s="237" t="s">
        <v>231</v>
      </c>
      <c r="GM55" s="237" t="s">
        <v>231</v>
      </c>
      <c r="GN55" s="237" t="s">
        <v>231</v>
      </c>
      <c r="GO55" s="237" t="s">
        <v>231</v>
      </c>
      <c r="GP55" s="237" t="s">
        <v>232</v>
      </c>
      <c r="GQ55" s="237" t="s">
        <v>231</v>
      </c>
      <c r="GR55" s="237" t="s">
        <v>231</v>
      </c>
      <c r="GS55" s="237" t="s">
        <v>231</v>
      </c>
      <c r="GT55" s="237" t="s">
        <v>231</v>
      </c>
      <c r="GU55" s="237" t="s">
        <v>231</v>
      </c>
      <c r="GV55" s="237" t="s">
        <v>231</v>
      </c>
      <c r="GW55" s="237" t="s">
        <v>231</v>
      </c>
      <c r="GX55" s="237" t="s">
        <v>231</v>
      </c>
      <c r="GY55" s="237" t="s">
        <v>492</v>
      </c>
      <c r="GZ55" s="237" t="s">
        <v>492</v>
      </c>
      <c r="HA55" s="237" t="s">
        <v>492</v>
      </c>
      <c r="HB55" s="237" t="s">
        <v>231</v>
      </c>
      <c r="HC55" s="237" t="s">
        <v>231</v>
      </c>
      <c r="HD55" s="237" t="s">
        <v>231</v>
      </c>
      <c r="HE55" s="237" t="s">
        <v>231</v>
      </c>
      <c r="HF55" s="237" t="s">
        <v>492</v>
      </c>
      <c r="HG55" s="237" t="s">
        <v>492</v>
      </c>
      <c r="HH55" s="237" t="s">
        <v>231</v>
      </c>
      <c r="HI55" s="237" t="s">
        <v>231</v>
      </c>
      <c r="HJ55" s="237" t="s">
        <v>231</v>
      </c>
      <c r="HK55" s="237" t="s">
        <v>231</v>
      </c>
      <c r="HL55" s="237" t="s">
        <v>231</v>
      </c>
      <c r="HM55" s="237" t="s">
        <v>231</v>
      </c>
      <c r="HN55" s="237" t="s">
        <v>231</v>
      </c>
      <c r="HO55" s="237" t="s">
        <v>231</v>
      </c>
      <c r="HP55" s="237" t="s">
        <v>231</v>
      </c>
      <c r="HQ55" s="237" t="s">
        <v>492</v>
      </c>
      <c r="HR55" s="237" t="s">
        <v>492</v>
      </c>
      <c r="HS55" s="237" t="s">
        <v>492</v>
      </c>
      <c r="HT55" s="237" t="s">
        <v>492</v>
      </c>
      <c r="HU55" s="237" t="s">
        <v>231</v>
      </c>
      <c r="HV55" s="237" t="s">
        <v>231</v>
      </c>
      <c r="HW55" s="237" t="s">
        <v>231</v>
      </c>
      <c r="HX55" s="237" t="s">
        <v>231</v>
      </c>
      <c r="HY55" s="237" t="s">
        <v>231</v>
      </c>
      <c r="HZ55" s="237" t="s">
        <v>231</v>
      </c>
      <c r="IA55" s="237" t="s">
        <v>231</v>
      </c>
      <c r="IB55" s="237" t="s">
        <v>231</v>
      </c>
      <c r="IC55" s="237" t="s">
        <v>231</v>
      </c>
      <c r="ID55" s="237" t="s">
        <v>231</v>
      </c>
      <c r="IE55" s="237" t="s">
        <v>231</v>
      </c>
      <c r="IF55" s="237" t="s">
        <v>231</v>
      </c>
      <c r="IG55" s="237" t="s">
        <v>231</v>
      </c>
      <c r="IH55" s="237" t="s">
        <v>231</v>
      </c>
      <c r="II55" s="237" t="s">
        <v>231</v>
      </c>
      <c r="IJ55" s="237" t="s">
        <v>231</v>
      </c>
      <c r="IK55" s="237" t="s">
        <v>232</v>
      </c>
      <c r="IL55" s="237" t="s">
        <v>232</v>
      </c>
      <c r="IM55" s="237" t="s">
        <v>232</v>
      </c>
      <c r="IN55" s="237" t="s">
        <v>232</v>
      </c>
      <c r="IO55" s="237" t="s">
        <v>220</v>
      </c>
      <c r="IP55" s="237" t="s">
        <v>493</v>
      </c>
      <c r="IQ55" s="237" t="s">
        <v>220</v>
      </c>
      <c r="IR55" s="237" t="s">
        <v>490</v>
      </c>
      <c r="IS55" s="237" t="s">
        <v>492</v>
      </c>
      <c r="IT55" s="237" t="s">
        <v>492</v>
      </c>
    </row>
    <row r="56" spans="1:254" ht="15" x14ac:dyDescent="0.25">
      <c r="A56" s="259" t="str">
        <f>HYPERLINK("http://www.ofsted.gov.uk/inspection-reports/find-inspection-report/provider/ELS/135512 ","Ofsted School Webpage")</f>
        <v>Ofsted School Webpage</v>
      </c>
      <c r="B56" s="240">
        <v>135512</v>
      </c>
      <c r="C56" s="240">
        <v>8766012</v>
      </c>
      <c r="D56" s="240" t="s">
        <v>645</v>
      </c>
      <c r="E56" s="240" t="s">
        <v>248</v>
      </c>
      <c r="F56" s="240" t="s">
        <v>501</v>
      </c>
      <c r="G56" s="240" t="s">
        <v>495</v>
      </c>
      <c r="H56" s="240" t="s">
        <v>495</v>
      </c>
      <c r="I56" s="240" t="s">
        <v>646</v>
      </c>
      <c r="J56" s="240" t="s">
        <v>647</v>
      </c>
      <c r="K56" s="240" t="s">
        <v>93</v>
      </c>
      <c r="L56" s="240" t="s">
        <v>93</v>
      </c>
      <c r="M56" s="240" t="s">
        <v>93</v>
      </c>
      <c r="N56" s="240" t="s">
        <v>90</v>
      </c>
      <c r="O56" s="240" t="s">
        <v>486</v>
      </c>
      <c r="P56" s="240" t="s">
        <v>487</v>
      </c>
      <c r="Q56" s="241">
        <v>10053728</v>
      </c>
      <c r="R56" s="242">
        <v>43389</v>
      </c>
      <c r="S56" s="242">
        <v>43391</v>
      </c>
      <c r="T56" s="242">
        <v>43424</v>
      </c>
      <c r="U56" s="240" t="s">
        <v>488</v>
      </c>
      <c r="V56" s="240" t="s">
        <v>489</v>
      </c>
      <c r="W56" s="240">
        <v>3</v>
      </c>
      <c r="X56" s="240">
        <v>3</v>
      </c>
      <c r="Y56" s="240">
        <v>2</v>
      </c>
      <c r="Z56" s="240">
        <v>3</v>
      </c>
      <c r="AA56" s="240">
        <v>3</v>
      </c>
      <c r="AB56" s="240" t="s">
        <v>486</v>
      </c>
      <c r="AC56" s="240" t="s">
        <v>486</v>
      </c>
      <c r="AD56" s="240" t="s">
        <v>219</v>
      </c>
      <c r="AE56" s="240" t="s">
        <v>490</v>
      </c>
      <c r="AF56" s="240" t="s">
        <v>486</v>
      </c>
      <c r="AG56" s="240" t="s">
        <v>486</v>
      </c>
      <c r="AH56" s="240" t="s">
        <v>486</v>
      </c>
      <c r="AI56" s="240" t="s">
        <v>486</v>
      </c>
      <c r="AJ56" s="240" t="s">
        <v>486</v>
      </c>
      <c r="AK56" s="240" t="s">
        <v>486</v>
      </c>
      <c r="AL56" s="240" t="s">
        <v>486</v>
      </c>
      <c r="AM56" s="240" t="s">
        <v>491</v>
      </c>
      <c r="AN56" s="240" t="s">
        <v>231</v>
      </c>
      <c r="AO56" s="240" t="s">
        <v>231</v>
      </c>
      <c r="AP56" s="240" t="s">
        <v>231</v>
      </c>
      <c r="AQ56" s="240" t="s">
        <v>231</v>
      </c>
      <c r="AR56" s="240" t="s">
        <v>231</v>
      </c>
      <c r="AS56" s="240" t="s">
        <v>231</v>
      </c>
      <c r="AT56" s="240" t="s">
        <v>231</v>
      </c>
      <c r="AU56" s="240" t="s">
        <v>231</v>
      </c>
      <c r="AV56" s="240" t="s">
        <v>231</v>
      </c>
      <c r="AW56" s="240" t="s">
        <v>231</v>
      </c>
      <c r="AX56" s="240" t="s">
        <v>231</v>
      </c>
      <c r="AY56" s="240" t="s">
        <v>231</v>
      </c>
      <c r="AZ56" s="240" t="s">
        <v>231</v>
      </c>
      <c r="BA56" s="240" t="s">
        <v>231</v>
      </c>
      <c r="BB56" s="240" t="s">
        <v>231</v>
      </c>
      <c r="BC56" s="240" t="s">
        <v>231</v>
      </c>
      <c r="BD56" s="240" t="s">
        <v>492</v>
      </c>
      <c r="BE56" s="240" t="s">
        <v>231</v>
      </c>
      <c r="BF56" s="240" t="s">
        <v>231</v>
      </c>
      <c r="BG56" s="240" t="s">
        <v>231</v>
      </c>
      <c r="BH56" s="240" t="s">
        <v>231</v>
      </c>
      <c r="BI56" s="240" t="s">
        <v>231</v>
      </c>
      <c r="BJ56" s="240" t="s">
        <v>231</v>
      </c>
      <c r="BK56" s="240" t="s">
        <v>231</v>
      </c>
      <c r="BL56" s="240" t="s">
        <v>492</v>
      </c>
      <c r="BM56" s="240" t="s">
        <v>492</v>
      </c>
      <c r="BN56" s="240" t="s">
        <v>231</v>
      </c>
      <c r="BO56" s="240" t="s">
        <v>231</v>
      </c>
      <c r="BP56" s="240" t="s">
        <v>231</v>
      </c>
      <c r="BQ56" s="240" t="s">
        <v>231</v>
      </c>
      <c r="BR56" s="240" t="s">
        <v>231</v>
      </c>
      <c r="BS56" s="240" t="s">
        <v>231</v>
      </c>
      <c r="BT56" s="240" t="s">
        <v>231</v>
      </c>
      <c r="BU56" s="240" t="s">
        <v>231</v>
      </c>
      <c r="BV56" s="240" t="s">
        <v>231</v>
      </c>
      <c r="BW56" s="240" t="s">
        <v>231</v>
      </c>
      <c r="BX56" s="240" t="s">
        <v>231</v>
      </c>
      <c r="BY56" s="240" t="s">
        <v>231</v>
      </c>
      <c r="BZ56" s="240" t="s">
        <v>231</v>
      </c>
      <c r="CA56" s="240" t="s">
        <v>231</v>
      </c>
      <c r="CB56" s="240" t="s">
        <v>231</v>
      </c>
      <c r="CC56" s="240" t="s">
        <v>231</v>
      </c>
      <c r="CD56" s="240" t="s">
        <v>231</v>
      </c>
      <c r="CE56" s="240" t="s">
        <v>231</v>
      </c>
      <c r="CF56" s="240" t="s">
        <v>231</v>
      </c>
      <c r="CG56" s="240" t="s">
        <v>231</v>
      </c>
      <c r="CH56" s="240" t="s">
        <v>231</v>
      </c>
      <c r="CI56" s="240" t="s">
        <v>231</v>
      </c>
      <c r="CJ56" s="240" t="s">
        <v>231</v>
      </c>
      <c r="CK56" s="240" t="s">
        <v>231</v>
      </c>
      <c r="CL56" s="240" t="s">
        <v>231</v>
      </c>
      <c r="CM56" s="240" t="s">
        <v>231</v>
      </c>
      <c r="CN56" s="240" t="s">
        <v>231</v>
      </c>
      <c r="CO56" s="240" t="s">
        <v>231</v>
      </c>
      <c r="CP56" s="240" t="s">
        <v>231</v>
      </c>
      <c r="CQ56" s="240" t="s">
        <v>231</v>
      </c>
      <c r="CR56" s="240" t="s">
        <v>231</v>
      </c>
      <c r="CS56" s="240" t="s">
        <v>231</v>
      </c>
      <c r="CT56" s="240" t="s">
        <v>492</v>
      </c>
      <c r="CU56" s="240" t="s">
        <v>492</v>
      </c>
      <c r="CV56" s="240" t="s">
        <v>492</v>
      </c>
      <c r="CW56" s="240" t="s">
        <v>231</v>
      </c>
      <c r="CX56" s="240" t="s">
        <v>231</v>
      </c>
      <c r="CY56" s="240" t="s">
        <v>231</v>
      </c>
      <c r="CZ56" s="240" t="s">
        <v>231</v>
      </c>
      <c r="DA56" s="240" t="s">
        <v>231</v>
      </c>
      <c r="DB56" s="240" t="s">
        <v>231</v>
      </c>
      <c r="DC56" s="240" t="s">
        <v>231</v>
      </c>
      <c r="DD56" s="240" t="s">
        <v>231</v>
      </c>
      <c r="DE56" s="240" t="s">
        <v>231</v>
      </c>
      <c r="DF56" s="240" t="s">
        <v>231</v>
      </c>
      <c r="DG56" s="240" t="s">
        <v>231</v>
      </c>
      <c r="DH56" s="240" t="s">
        <v>231</v>
      </c>
      <c r="DI56" s="240" t="s">
        <v>231</v>
      </c>
      <c r="DJ56" s="240" t="s">
        <v>231</v>
      </c>
      <c r="DK56" s="240" t="s">
        <v>231</v>
      </c>
      <c r="DL56" s="240" t="s">
        <v>231</v>
      </c>
      <c r="DM56" s="240" t="s">
        <v>231</v>
      </c>
      <c r="DN56" s="240" t="s">
        <v>231</v>
      </c>
      <c r="DO56" s="240" t="s">
        <v>231</v>
      </c>
      <c r="DP56" s="240" t="s">
        <v>231</v>
      </c>
      <c r="DQ56" s="240" t="s">
        <v>231</v>
      </c>
      <c r="DR56" s="240" t="s">
        <v>231</v>
      </c>
      <c r="DS56" s="240" t="s">
        <v>492</v>
      </c>
      <c r="DT56" s="240" t="s">
        <v>492</v>
      </c>
      <c r="DU56" s="240" t="s">
        <v>231</v>
      </c>
      <c r="DV56" s="240" t="s">
        <v>231</v>
      </c>
      <c r="DW56" s="240" t="s">
        <v>231</v>
      </c>
      <c r="DX56" s="240" t="s">
        <v>231</v>
      </c>
      <c r="DY56" s="240" t="s">
        <v>231</v>
      </c>
      <c r="DZ56" s="240" t="s">
        <v>231</v>
      </c>
      <c r="EA56" s="240" t="s">
        <v>231</v>
      </c>
      <c r="EB56" s="240" t="s">
        <v>231</v>
      </c>
      <c r="EC56" s="240" t="s">
        <v>231</v>
      </c>
      <c r="ED56" s="240" t="s">
        <v>231</v>
      </c>
      <c r="EE56" s="240" t="s">
        <v>231</v>
      </c>
      <c r="EF56" s="240" t="s">
        <v>231</v>
      </c>
      <c r="EG56" s="240" t="s">
        <v>231</v>
      </c>
      <c r="EH56" s="240" t="s">
        <v>492</v>
      </c>
      <c r="EI56" s="240" t="s">
        <v>231</v>
      </c>
      <c r="EJ56" s="240" t="s">
        <v>231</v>
      </c>
      <c r="EK56" s="240" t="s">
        <v>231</v>
      </c>
      <c r="EL56" s="240" t="s">
        <v>231</v>
      </c>
      <c r="EM56" s="240" t="s">
        <v>231</v>
      </c>
      <c r="EN56" s="240" t="s">
        <v>231</v>
      </c>
      <c r="EO56" s="240" t="s">
        <v>231</v>
      </c>
      <c r="EP56" s="240" t="s">
        <v>231</v>
      </c>
      <c r="EQ56" s="240" t="s">
        <v>492</v>
      </c>
      <c r="ER56" s="240" t="s">
        <v>231</v>
      </c>
      <c r="ES56" s="240" t="s">
        <v>231</v>
      </c>
      <c r="ET56" s="240" t="s">
        <v>231</v>
      </c>
      <c r="EU56" s="240" t="s">
        <v>231</v>
      </c>
      <c r="EV56" s="240" t="s">
        <v>231</v>
      </c>
      <c r="EW56" s="240" t="s">
        <v>231</v>
      </c>
      <c r="EX56" s="240" t="s">
        <v>231</v>
      </c>
      <c r="EY56" s="240" t="s">
        <v>231</v>
      </c>
      <c r="EZ56" s="240" t="s">
        <v>231</v>
      </c>
      <c r="FA56" s="240" t="s">
        <v>231</v>
      </c>
      <c r="FB56" s="240" t="s">
        <v>231</v>
      </c>
      <c r="FC56" s="240" t="s">
        <v>231</v>
      </c>
      <c r="FD56" s="240" t="s">
        <v>492</v>
      </c>
      <c r="FE56" s="240" t="s">
        <v>231</v>
      </c>
      <c r="FF56" s="240" t="s">
        <v>231</v>
      </c>
      <c r="FG56" s="240" t="s">
        <v>231</v>
      </c>
      <c r="FH56" s="240" t="s">
        <v>231</v>
      </c>
      <c r="FI56" s="240" t="s">
        <v>231</v>
      </c>
      <c r="FJ56" s="240" t="s">
        <v>231</v>
      </c>
      <c r="FK56" s="240" t="s">
        <v>231</v>
      </c>
      <c r="FL56" s="240" t="s">
        <v>231</v>
      </c>
      <c r="FM56" s="240" t="s">
        <v>231</v>
      </c>
      <c r="FN56" s="240" t="s">
        <v>231</v>
      </c>
      <c r="FO56" s="240" t="s">
        <v>231</v>
      </c>
      <c r="FP56" s="240" t="s">
        <v>231</v>
      </c>
      <c r="FQ56" s="240" t="s">
        <v>231</v>
      </c>
      <c r="FR56" s="240" t="s">
        <v>231</v>
      </c>
      <c r="FS56" s="240" t="s">
        <v>231</v>
      </c>
      <c r="FT56" s="240" t="s">
        <v>492</v>
      </c>
      <c r="FU56" s="240" t="s">
        <v>231</v>
      </c>
      <c r="FV56" s="240" t="s">
        <v>231</v>
      </c>
      <c r="FW56" s="240" t="s">
        <v>231</v>
      </c>
      <c r="FX56" s="240" t="s">
        <v>231</v>
      </c>
      <c r="FY56" s="240" t="s">
        <v>231</v>
      </c>
      <c r="FZ56" s="240" t="s">
        <v>231</v>
      </c>
      <c r="GA56" s="240" t="s">
        <v>231</v>
      </c>
      <c r="GB56" s="240" t="s">
        <v>231</v>
      </c>
      <c r="GC56" s="240" t="s">
        <v>231</v>
      </c>
      <c r="GD56" s="240" t="s">
        <v>231</v>
      </c>
      <c r="GE56" s="240" t="s">
        <v>231</v>
      </c>
      <c r="GF56" s="240" t="s">
        <v>231</v>
      </c>
      <c r="GG56" s="240" t="s">
        <v>231</v>
      </c>
      <c r="GH56" s="240" t="s">
        <v>231</v>
      </c>
      <c r="GI56" s="240" t="s">
        <v>231</v>
      </c>
      <c r="GJ56" s="240" t="s">
        <v>231</v>
      </c>
      <c r="GK56" s="240" t="s">
        <v>231</v>
      </c>
      <c r="GL56" s="240" t="s">
        <v>231</v>
      </c>
      <c r="GM56" s="240" t="s">
        <v>231</v>
      </c>
      <c r="GN56" s="240" t="s">
        <v>492</v>
      </c>
      <c r="GO56" s="240" t="s">
        <v>231</v>
      </c>
      <c r="GP56" s="240" t="s">
        <v>492</v>
      </c>
      <c r="GQ56" s="240" t="s">
        <v>231</v>
      </c>
      <c r="GR56" s="240" t="s">
        <v>231</v>
      </c>
      <c r="GS56" s="240" t="s">
        <v>231</v>
      </c>
      <c r="GT56" s="240" t="s">
        <v>231</v>
      </c>
      <c r="GU56" s="240" t="s">
        <v>231</v>
      </c>
      <c r="GV56" s="240" t="s">
        <v>492</v>
      </c>
      <c r="GW56" s="240" t="s">
        <v>231</v>
      </c>
      <c r="GX56" s="240" t="s">
        <v>231</v>
      </c>
      <c r="GY56" s="240" t="s">
        <v>231</v>
      </c>
      <c r="GZ56" s="240" t="s">
        <v>231</v>
      </c>
      <c r="HA56" s="240" t="s">
        <v>231</v>
      </c>
      <c r="HB56" s="240" t="s">
        <v>231</v>
      </c>
      <c r="HC56" s="240" t="s">
        <v>231</v>
      </c>
      <c r="HD56" s="240" t="s">
        <v>231</v>
      </c>
      <c r="HE56" s="240" t="s">
        <v>492</v>
      </c>
      <c r="HF56" s="240" t="s">
        <v>231</v>
      </c>
      <c r="HG56" s="240" t="s">
        <v>231</v>
      </c>
      <c r="HH56" s="240" t="s">
        <v>231</v>
      </c>
      <c r="HI56" s="240" t="s">
        <v>231</v>
      </c>
      <c r="HJ56" s="240" t="s">
        <v>231</v>
      </c>
      <c r="HK56" s="240" t="s">
        <v>231</v>
      </c>
      <c r="HL56" s="240" t="s">
        <v>231</v>
      </c>
      <c r="HM56" s="240" t="s">
        <v>231</v>
      </c>
      <c r="HN56" s="240" t="s">
        <v>231</v>
      </c>
      <c r="HO56" s="240" t="s">
        <v>231</v>
      </c>
      <c r="HP56" s="240" t="s">
        <v>231</v>
      </c>
      <c r="HQ56" s="240" t="s">
        <v>492</v>
      </c>
      <c r="HR56" s="240" t="s">
        <v>492</v>
      </c>
      <c r="HS56" s="240" t="s">
        <v>492</v>
      </c>
      <c r="HT56" s="240" t="s">
        <v>492</v>
      </c>
      <c r="HU56" s="240" t="s">
        <v>231</v>
      </c>
      <c r="HV56" s="240" t="s">
        <v>231</v>
      </c>
      <c r="HW56" s="240" t="s">
        <v>231</v>
      </c>
      <c r="HX56" s="240" t="s">
        <v>231</v>
      </c>
      <c r="HY56" s="240" t="s">
        <v>231</v>
      </c>
      <c r="HZ56" s="240" t="s">
        <v>231</v>
      </c>
      <c r="IA56" s="240" t="s">
        <v>231</v>
      </c>
      <c r="IB56" s="240" t="s">
        <v>231</v>
      </c>
      <c r="IC56" s="240" t="s">
        <v>231</v>
      </c>
      <c r="ID56" s="240" t="s">
        <v>231</v>
      </c>
      <c r="IE56" s="240" t="s">
        <v>231</v>
      </c>
      <c r="IF56" s="240" t="s">
        <v>231</v>
      </c>
      <c r="IG56" s="240" t="s">
        <v>231</v>
      </c>
      <c r="IH56" s="240" t="s">
        <v>231</v>
      </c>
      <c r="II56" s="240" t="s">
        <v>231</v>
      </c>
      <c r="IJ56" s="240" t="s">
        <v>231</v>
      </c>
      <c r="IK56" s="240" t="s">
        <v>231</v>
      </c>
      <c r="IL56" s="240" t="s">
        <v>231</v>
      </c>
      <c r="IM56" s="240" t="s">
        <v>231</v>
      </c>
      <c r="IN56" s="240" t="s">
        <v>231</v>
      </c>
      <c r="IO56" s="240" t="s">
        <v>220</v>
      </c>
      <c r="IP56" s="240" t="s">
        <v>493</v>
      </c>
      <c r="IQ56" s="240" t="s">
        <v>219</v>
      </c>
      <c r="IR56" s="240" t="s">
        <v>490</v>
      </c>
      <c r="IS56" s="240" t="s">
        <v>492</v>
      </c>
      <c r="IT56" s="240" t="s">
        <v>492</v>
      </c>
    </row>
    <row r="57" spans="1:254" ht="15" x14ac:dyDescent="0.25">
      <c r="A57" s="258" t="str">
        <f>HYPERLINK("http://www.ofsted.gov.uk/inspection-reports/find-inspection-report/provider/ELS/136748 ","Ofsted School Webpage")</f>
        <v>Ofsted School Webpage</v>
      </c>
      <c r="B57" s="237">
        <v>136748</v>
      </c>
      <c r="C57" s="237">
        <v>8406012</v>
      </c>
      <c r="D57" s="237" t="s">
        <v>648</v>
      </c>
      <c r="E57" s="237" t="s">
        <v>248</v>
      </c>
      <c r="F57" s="237" t="s">
        <v>501</v>
      </c>
      <c r="G57" s="237" t="s">
        <v>523</v>
      </c>
      <c r="H57" s="237" t="s">
        <v>539</v>
      </c>
      <c r="I57" s="237" t="s">
        <v>649</v>
      </c>
      <c r="J57" s="237" t="s">
        <v>650</v>
      </c>
      <c r="K57" s="237" t="s">
        <v>93</v>
      </c>
      <c r="L57" s="237" t="s">
        <v>93</v>
      </c>
      <c r="M57" s="237" t="s">
        <v>93</v>
      </c>
      <c r="N57" s="237" t="s">
        <v>90</v>
      </c>
      <c r="O57" s="237" t="s">
        <v>486</v>
      </c>
      <c r="P57" s="237" t="s">
        <v>487</v>
      </c>
      <c r="Q57" s="238">
        <v>10053830</v>
      </c>
      <c r="R57" s="239">
        <v>43389</v>
      </c>
      <c r="S57" s="239">
        <v>43391</v>
      </c>
      <c r="T57" s="239">
        <v>43424</v>
      </c>
      <c r="U57" s="237" t="s">
        <v>2930</v>
      </c>
      <c r="V57" s="237" t="s">
        <v>489</v>
      </c>
      <c r="W57" s="237">
        <v>2</v>
      </c>
      <c r="X57" s="237">
        <v>2</v>
      </c>
      <c r="Y57" s="237">
        <v>2</v>
      </c>
      <c r="Z57" s="237">
        <v>2</v>
      </c>
      <c r="AA57" s="237">
        <v>2</v>
      </c>
      <c r="AB57" s="237" t="s">
        <v>486</v>
      </c>
      <c r="AC57" s="237" t="s">
        <v>486</v>
      </c>
      <c r="AD57" s="237" t="s">
        <v>219</v>
      </c>
      <c r="AE57" s="237" t="s">
        <v>490</v>
      </c>
      <c r="AF57" s="237" t="s">
        <v>486</v>
      </c>
      <c r="AG57" s="237" t="s">
        <v>486</v>
      </c>
      <c r="AH57" s="237" t="s">
        <v>486</v>
      </c>
      <c r="AI57" s="237" t="s">
        <v>486</v>
      </c>
      <c r="AJ57" s="237" t="s">
        <v>486</v>
      </c>
      <c r="AK57" s="237" t="s">
        <v>486</v>
      </c>
      <c r="AL57" s="237" t="s">
        <v>486</v>
      </c>
      <c r="AM57" s="237" t="s">
        <v>491</v>
      </c>
      <c r="AN57" s="237" t="s">
        <v>231</v>
      </c>
      <c r="AO57" s="237" t="s">
        <v>231</v>
      </c>
      <c r="AP57" s="237" t="s">
        <v>231</v>
      </c>
      <c r="AQ57" s="237" t="s">
        <v>231</v>
      </c>
      <c r="AR57" s="237" t="s">
        <v>231</v>
      </c>
      <c r="AS57" s="237" t="s">
        <v>231</v>
      </c>
      <c r="AT57" s="237" t="s">
        <v>231</v>
      </c>
      <c r="AU57" s="237" t="s">
        <v>231</v>
      </c>
      <c r="AV57" s="237" t="s">
        <v>231</v>
      </c>
      <c r="AW57" s="237" t="s">
        <v>231</v>
      </c>
      <c r="AX57" s="237" t="s">
        <v>231</v>
      </c>
      <c r="AY57" s="237" t="s">
        <v>231</v>
      </c>
      <c r="AZ57" s="237" t="s">
        <v>231</v>
      </c>
      <c r="BA57" s="237" t="s">
        <v>231</v>
      </c>
      <c r="BB57" s="237" t="s">
        <v>231</v>
      </c>
      <c r="BC57" s="237" t="s">
        <v>231</v>
      </c>
      <c r="BD57" s="237" t="s">
        <v>492</v>
      </c>
      <c r="BE57" s="237" t="s">
        <v>231</v>
      </c>
      <c r="BF57" s="237" t="s">
        <v>231</v>
      </c>
      <c r="BG57" s="237" t="s">
        <v>231</v>
      </c>
      <c r="BH57" s="237" t="s">
        <v>231</v>
      </c>
      <c r="BI57" s="237" t="s">
        <v>231</v>
      </c>
      <c r="BJ57" s="237" t="s">
        <v>231</v>
      </c>
      <c r="BK57" s="237" t="s">
        <v>231</v>
      </c>
      <c r="BL57" s="237" t="s">
        <v>492</v>
      </c>
      <c r="BM57" s="237" t="s">
        <v>231</v>
      </c>
      <c r="BN57" s="237" t="s">
        <v>231</v>
      </c>
      <c r="BO57" s="237" t="s">
        <v>231</v>
      </c>
      <c r="BP57" s="237" t="s">
        <v>231</v>
      </c>
      <c r="BQ57" s="237" t="s">
        <v>231</v>
      </c>
      <c r="BR57" s="237" t="s">
        <v>231</v>
      </c>
      <c r="BS57" s="237" t="s">
        <v>231</v>
      </c>
      <c r="BT57" s="237" t="s">
        <v>231</v>
      </c>
      <c r="BU57" s="237" t="s">
        <v>231</v>
      </c>
      <c r="BV57" s="237" t="s">
        <v>231</v>
      </c>
      <c r="BW57" s="237" t="s">
        <v>231</v>
      </c>
      <c r="BX57" s="237" t="s">
        <v>231</v>
      </c>
      <c r="BY57" s="237" t="s">
        <v>231</v>
      </c>
      <c r="BZ57" s="237" t="s">
        <v>231</v>
      </c>
      <c r="CA57" s="237" t="s">
        <v>231</v>
      </c>
      <c r="CB57" s="237" t="s">
        <v>231</v>
      </c>
      <c r="CC57" s="237" t="s">
        <v>231</v>
      </c>
      <c r="CD57" s="237" t="s">
        <v>231</v>
      </c>
      <c r="CE57" s="237" t="s">
        <v>231</v>
      </c>
      <c r="CF57" s="237" t="s">
        <v>231</v>
      </c>
      <c r="CG57" s="237" t="s">
        <v>231</v>
      </c>
      <c r="CH57" s="237" t="s">
        <v>231</v>
      </c>
      <c r="CI57" s="237" t="s">
        <v>231</v>
      </c>
      <c r="CJ57" s="237" t="s">
        <v>231</v>
      </c>
      <c r="CK57" s="237" t="s">
        <v>231</v>
      </c>
      <c r="CL57" s="237" t="s">
        <v>231</v>
      </c>
      <c r="CM57" s="237" t="s">
        <v>231</v>
      </c>
      <c r="CN57" s="237" t="s">
        <v>231</v>
      </c>
      <c r="CO57" s="237" t="s">
        <v>231</v>
      </c>
      <c r="CP57" s="237" t="s">
        <v>231</v>
      </c>
      <c r="CQ57" s="237" t="s">
        <v>231</v>
      </c>
      <c r="CR57" s="237" t="s">
        <v>231</v>
      </c>
      <c r="CS57" s="237" t="s">
        <v>231</v>
      </c>
      <c r="CT57" s="237" t="s">
        <v>492</v>
      </c>
      <c r="CU57" s="237" t="s">
        <v>492</v>
      </c>
      <c r="CV57" s="237" t="s">
        <v>492</v>
      </c>
      <c r="CW57" s="237" t="s">
        <v>231</v>
      </c>
      <c r="CX57" s="237" t="s">
        <v>231</v>
      </c>
      <c r="CY57" s="237" t="s">
        <v>231</v>
      </c>
      <c r="CZ57" s="237" t="s">
        <v>231</v>
      </c>
      <c r="DA57" s="237" t="s">
        <v>231</v>
      </c>
      <c r="DB57" s="237" t="s">
        <v>231</v>
      </c>
      <c r="DC57" s="237" t="s">
        <v>231</v>
      </c>
      <c r="DD57" s="237" t="s">
        <v>231</v>
      </c>
      <c r="DE57" s="237" t="s">
        <v>231</v>
      </c>
      <c r="DF57" s="237" t="s">
        <v>231</v>
      </c>
      <c r="DG57" s="237" t="s">
        <v>231</v>
      </c>
      <c r="DH57" s="237" t="s">
        <v>231</v>
      </c>
      <c r="DI57" s="237" t="s">
        <v>231</v>
      </c>
      <c r="DJ57" s="237" t="s">
        <v>231</v>
      </c>
      <c r="DK57" s="237" t="s">
        <v>231</v>
      </c>
      <c r="DL57" s="237" t="s">
        <v>231</v>
      </c>
      <c r="DM57" s="237" t="s">
        <v>231</v>
      </c>
      <c r="DN57" s="237" t="s">
        <v>231</v>
      </c>
      <c r="DO57" s="237" t="s">
        <v>231</v>
      </c>
      <c r="DP57" s="237" t="s">
        <v>231</v>
      </c>
      <c r="DQ57" s="237" t="s">
        <v>231</v>
      </c>
      <c r="DR57" s="237" t="s">
        <v>231</v>
      </c>
      <c r="DS57" s="237" t="s">
        <v>231</v>
      </c>
      <c r="DT57" s="237" t="s">
        <v>492</v>
      </c>
      <c r="DU57" s="237" t="s">
        <v>231</v>
      </c>
      <c r="DV57" s="237" t="s">
        <v>492</v>
      </c>
      <c r="DW57" s="237" t="s">
        <v>492</v>
      </c>
      <c r="DX57" s="237" t="s">
        <v>492</v>
      </c>
      <c r="DY57" s="237" t="s">
        <v>492</v>
      </c>
      <c r="DZ57" s="237" t="s">
        <v>492</v>
      </c>
      <c r="EA57" s="237" t="s">
        <v>492</v>
      </c>
      <c r="EB57" s="237" t="s">
        <v>492</v>
      </c>
      <c r="EC57" s="237" t="s">
        <v>492</v>
      </c>
      <c r="ED57" s="237" t="s">
        <v>492</v>
      </c>
      <c r="EE57" s="237" t="s">
        <v>492</v>
      </c>
      <c r="EF57" s="237" t="s">
        <v>492</v>
      </c>
      <c r="EG57" s="237" t="s">
        <v>492</v>
      </c>
      <c r="EH57" s="237" t="s">
        <v>492</v>
      </c>
      <c r="EI57" s="237" t="s">
        <v>492</v>
      </c>
      <c r="EJ57" s="237" t="s">
        <v>231</v>
      </c>
      <c r="EK57" s="237" t="s">
        <v>231</v>
      </c>
      <c r="EL57" s="237" t="s">
        <v>231</v>
      </c>
      <c r="EM57" s="237" t="s">
        <v>231</v>
      </c>
      <c r="EN57" s="237" t="s">
        <v>231</v>
      </c>
      <c r="EO57" s="237" t="s">
        <v>231</v>
      </c>
      <c r="EP57" s="237" t="s">
        <v>231</v>
      </c>
      <c r="EQ57" s="237" t="s">
        <v>231</v>
      </c>
      <c r="ER57" s="237" t="s">
        <v>231</v>
      </c>
      <c r="ES57" s="237" t="s">
        <v>231</v>
      </c>
      <c r="ET57" s="237" t="s">
        <v>231</v>
      </c>
      <c r="EU57" s="237" t="s">
        <v>231</v>
      </c>
      <c r="EV57" s="237" t="s">
        <v>231</v>
      </c>
      <c r="EW57" s="237" t="s">
        <v>231</v>
      </c>
      <c r="EX57" s="237" t="s">
        <v>231</v>
      </c>
      <c r="EY57" s="237" t="s">
        <v>231</v>
      </c>
      <c r="EZ57" s="237" t="s">
        <v>231</v>
      </c>
      <c r="FA57" s="237" t="s">
        <v>231</v>
      </c>
      <c r="FB57" s="237" t="s">
        <v>231</v>
      </c>
      <c r="FC57" s="237" t="s">
        <v>231</v>
      </c>
      <c r="FD57" s="237" t="s">
        <v>231</v>
      </c>
      <c r="FE57" s="237" t="s">
        <v>231</v>
      </c>
      <c r="FF57" s="237" t="s">
        <v>231</v>
      </c>
      <c r="FG57" s="237" t="s">
        <v>492</v>
      </c>
      <c r="FH57" s="237" t="s">
        <v>492</v>
      </c>
      <c r="FI57" s="237" t="s">
        <v>492</v>
      </c>
      <c r="FJ57" s="237" t="s">
        <v>492</v>
      </c>
      <c r="FK57" s="237" t="s">
        <v>492</v>
      </c>
      <c r="FL57" s="237" t="s">
        <v>492</v>
      </c>
      <c r="FM57" s="237" t="s">
        <v>231</v>
      </c>
      <c r="FN57" s="237" t="s">
        <v>231</v>
      </c>
      <c r="FO57" s="237" t="s">
        <v>231</v>
      </c>
      <c r="FP57" s="237" t="s">
        <v>231</v>
      </c>
      <c r="FQ57" s="237" t="s">
        <v>231</v>
      </c>
      <c r="FR57" s="237" t="s">
        <v>231</v>
      </c>
      <c r="FS57" s="237" t="s">
        <v>231</v>
      </c>
      <c r="FT57" s="237" t="s">
        <v>231</v>
      </c>
      <c r="FU57" s="237" t="s">
        <v>231</v>
      </c>
      <c r="FV57" s="237" t="s">
        <v>231</v>
      </c>
      <c r="FW57" s="237" t="s">
        <v>231</v>
      </c>
      <c r="FX57" s="237" t="s">
        <v>492</v>
      </c>
      <c r="FY57" s="237" t="s">
        <v>231</v>
      </c>
      <c r="FZ57" s="237" t="s">
        <v>231</v>
      </c>
      <c r="GA57" s="237" t="s">
        <v>231</v>
      </c>
      <c r="GB57" s="237" t="s">
        <v>231</v>
      </c>
      <c r="GC57" s="237" t="s">
        <v>231</v>
      </c>
      <c r="GD57" s="237" t="s">
        <v>231</v>
      </c>
      <c r="GE57" s="237" t="s">
        <v>231</v>
      </c>
      <c r="GF57" s="237" t="s">
        <v>231</v>
      </c>
      <c r="GG57" s="237" t="s">
        <v>231</v>
      </c>
      <c r="GH57" s="237" t="s">
        <v>231</v>
      </c>
      <c r="GI57" s="237" t="s">
        <v>231</v>
      </c>
      <c r="GJ57" s="237" t="s">
        <v>231</v>
      </c>
      <c r="GK57" s="237" t="s">
        <v>231</v>
      </c>
      <c r="GL57" s="237" t="s">
        <v>231</v>
      </c>
      <c r="GM57" s="237" t="s">
        <v>231</v>
      </c>
      <c r="GN57" s="237" t="s">
        <v>231</v>
      </c>
      <c r="GO57" s="237" t="s">
        <v>231</v>
      </c>
      <c r="GP57" s="237" t="s">
        <v>492</v>
      </c>
      <c r="GQ57" s="237" t="s">
        <v>231</v>
      </c>
      <c r="GR57" s="237" t="s">
        <v>231</v>
      </c>
      <c r="GS57" s="237" t="s">
        <v>231</v>
      </c>
      <c r="GT57" s="237" t="s">
        <v>231</v>
      </c>
      <c r="GU57" s="237" t="s">
        <v>231</v>
      </c>
      <c r="GV57" s="237" t="s">
        <v>492</v>
      </c>
      <c r="GW57" s="237" t="s">
        <v>231</v>
      </c>
      <c r="GX57" s="237" t="s">
        <v>231</v>
      </c>
      <c r="GY57" s="237" t="s">
        <v>231</v>
      </c>
      <c r="GZ57" s="237" t="s">
        <v>231</v>
      </c>
      <c r="HA57" s="237" t="s">
        <v>231</v>
      </c>
      <c r="HB57" s="237" t="s">
        <v>492</v>
      </c>
      <c r="HC57" s="237" t="s">
        <v>231</v>
      </c>
      <c r="HD57" s="237" t="s">
        <v>231</v>
      </c>
      <c r="HE57" s="237" t="s">
        <v>231</v>
      </c>
      <c r="HF57" s="237" t="s">
        <v>492</v>
      </c>
      <c r="HG57" s="237" t="s">
        <v>231</v>
      </c>
      <c r="HH57" s="237" t="s">
        <v>231</v>
      </c>
      <c r="HI57" s="237" t="s">
        <v>231</v>
      </c>
      <c r="HJ57" s="237" t="s">
        <v>231</v>
      </c>
      <c r="HK57" s="237" t="s">
        <v>231</v>
      </c>
      <c r="HL57" s="237" t="s">
        <v>231</v>
      </c>
      <c r="HM57" s="237" t="s">
        <v>231</v>
      </c>
      <c r="HN57" s="237" t="s">
        <v>231</v>
      </c>
      <c r="HO57" s="237" t="s">
        <v>231</v>
      </c>
      <c r="HP57" s="237" t="s">
        <v>231</v>
      </c>
      <c r="HQ57" s="237" t="s">
        <v>492</v>
      </c>
      <c r="HR57" s="237" t="s">
        <v>492</v>
      </c>
      <c r="HS57" s="237" t="s">
        <v>492</v>
      </c>
      <c r="HT57" s="237" t="s">
        <v>492</v>
      </c>
      <c r="HU57" s="237" t="s">
        <v>231</v>
      </c>
      <c r="HV57" s="237" t="s">
        <v>231</v>
      </c>
      <c r="HW57" s="237" t="s">
        <v>231</v>
      </c>
      <c r="HX57" s="237" t="s">
        <v>231</v>
      </c>
      <c r="HY57" s="237" t="s">
        <v>231</v>
      </c>
      <c r="HZ57" s="237" t="s">
        <v>231</v>
      </c>
      <c r="IA57" s="237" t="s">
        <v>231</v>
      </c>
      <c r="IB57" s="237" t="s">
        <v>231</v>
      </c>
      <c r="IC57" s="237" t="s">
        <v>231</v>
      </c>
      <c r="ID57" s="237" t="s">
        <v>231</v>
      </c>
      <c r="IE57" s="237" t="s">
        <v>231</v>
      </c>
      <c r="IF57" s="237" t="s">
        <v>231</v>
      </c>
      <c r="IG57" s="237" t="s">
        <v>231</v>
      </c>
      <c r="IH57" s="237" t="s">
        <v>231</v>
      </c>
      <c r="II57" s="237" t="s">
        <v>231</v>
      </c>
      <c r="IJ57" s="237" t="s">
        <v>231</v>
      </c>
      <c r="IK57" s="237" t="s">
        <v>231</v>
      </c>
      <c r="IL57" s="237" t="s">
        <v>231</v>
      </c>
      <c r="IM57" s="237" t="s">
        <v>231</v>
      </c>
      <c r="IN57" s="237" t="s">
        <v>231</v>
      </c>
      <c r="IO57" s="237" t="s">
        <v>220</v>
      </c>
      <c r="IP57" s="237" t="s">
        <v>493</v>
      </c>
      <c r="IQ57" s="237" t="s">
        <v>219</v>
      </c>
      <c r="IR57" s="237" t="s">
        <v>490</v>
      </c>
      <c r="IS57" s="237" t="s">
        <v>492</v>
      </c>
      <c r="IT57" s="237" t="s">
        <v>492</v>
      </c>
    </row>
    <row r="58" spans="1:254" ht="15" x14ac:dyDescent="0.25">
      <c r="A58" s="259" t="str">
        <f>HYPERLINK("http://www.ofsted.gov.uk/inspection-reports/find-inspection-report/provider/ELS/131004 ","Ofsted School Webpage")</f>
        <v>Ofsted School Webpage</v>
      </c>
      <c r="B58" s="240">
        <v>131004</v>
      </c>
      <c r="C58" s="240">
        <v>8606029</v>
      </c>
      <c r="D58" s="240" t="s">
        <v>651</v>
      </c>
      <c r="E58" s="240" t="s">
        <v>248</v>
      </c>
      <c r="F58" s="240" t="s">
        <v>501</v>
      </c>
      <c r="G58" s="240" t="s">
        <v>502</v>
      </c>
      <c r="H58" s="240" t="s">
        <v>502</v>
      </c>
      <c r="I58" s="240" t="s">
        <v>652</v>
      </c>
      <c r="J58" s="240" t="s">
        <v>653</v>
      </c>
      <c r="K58" s="240" t="s">
        <v>93</v>
      </c>
      <c r="L58" s="240" t="s">
        <v>93</v>
      </c>
      <c r="M58" s="240" t="s">
        <v>93</v>
      </c>
      <c r="N58" s="240" t="s">
        <v>90</v>
      </c>
      <c r="O58" s="240" t="s">
        <v>486</v>
      </c>
      <c r="P58" s="240" t="s">
        <v>487</v>
      </c>
      <c r="Q58" s="241">
        <v>10041364</v>
      </c>
      <c r="R58" s="242">
        <v>43389</v>
      </c>
      <c r="S58" s="242">
        <v>43391</v>
      </c>
      <c r="T58" s="242">
        <v>43420</v>
      </c>
      <c r="U58" s="240" t="s">
        <v>488</v>
      </c>
      <c r="V58" s="240" t="s">
        <v>489</v>
      </c>
      <c r="W58" s="240">
        <v>1</v>
      </c>
      <c r="X58" s="240">
        <v>1</v>
      </c>
      <c r="Y58" s="240">
        <v>1</v>
      </c>
      <c r="Z58" s="240">
        <v>1</v>
      </c>
      <c r="AA58" s="240">
        <v>1</v>
      </c>
      <c r="AB58" s="240" t="s">
        <v>486</v>
      </c>
      <c r="AC58" s="240">
        <v>1</v>
      </c>
      <c r="AD58" s="240" t="s">
        <v>219</v>
      </c>
      <c r="AE58" s="240" t="s">
        <v>490</v>
      </c>
      <c r="AF58" s="240" t="s">
        <v>486</v>
      </c>
      <c r="AG58" s="240" t="s">
        <v>486</v>
      </c>
      <c r="AH58" s="240" t="s">
        <v>486</v>
      </c>
      <c r="AI58" s="240" t="s">
        <v>486</v>
      </c>
      <c r="AJ58" s="240" t="s">
        <v>486</v>
      </c>
      <c r="AK58" s="240" t="s">
        <v>486</v>
      </c>
      <c r="AL58" s="240" t="s">
        <v>486</v>
      </c>
      <c r="AM58" s="240" t="s">
        <v>491</v>
      </c>
      <c r="AN58" s="240" t="s">
        <v>231</v>
      </c>
      <c r="AO58" s="240" t="s">
        <v>231</v>
      </c>
      <c r="AP58" s="240" t="s">
        <v>231</v>
      </c>
      <c r="AQ58" s="240" t="s">
        <v>231</v>
      </c>
      <c r="AR58" s="240" t="s">
        <v>231</v>
      </c>
      <c r="AS58" s="240" t="s">
        <v>231</v>
      </c>
      <c r="AT58" s="240" t="s">
        <v>231</v>
      </c>
      <c r="AU58" s="240" t="s">
        <v>231</v>
      </c>
      <c r="AV58" s="240" t="s">
        <v>231</v>
      </c>
      <c r="AW58" s="240" t="s">
        <v>231</v>
      </c>
      <c r="AX58" s="240" t="s">
        <v>231</v>
      </c>
      <c r="AY58" s="240" t="s">
        <v>231</v>
      </c>
      <c r="AZ58" s="240" t="s">
        <v>231</v>
      </c>
      <c r="BA58" s="240" t="s">
        <v>231</v>
      </c>
      <c r="BB58" s="240" t="s">
        <v>231</v>
      </c>
      <c r="BC58" s="240" t="s">
        <v>231</v>
      </c>
      <c r="BD58" s="240" t="s">
        <v>492</v>
      </c>
      <c r="BE58" s="240" t="s">
        <v>231</v>
      </c>
      <c r="BF58" s="240" t="s">
        <v>231</v>
      </c>
      <c r="BG58" s="240" t="s">
        <v>231</v>
      </c>
      <c r="BH58" s="240" t="s">
        <v>231</v>
      </c>
      <c r="BI58" s="240" t="s">
        <v>231</v>
      </c>
      <c r="BJ58" s="240" t="s">
        <v>231</v>
      </c>
      <c r="BK58" s="240" t="s">
        <v>231</v>
      </c>
      <c r="BL58" s="240" t="s">
        <v>492</v>
      </c>
      <c r="BM58" s="240" t="s">
        <v>231</v>
      </c>
      <c r="BN58" s="240" t="s">
        <v>231</v>
      </c>
      <c r="BO58" s="240" t="s">
        <v>231</v>
      </c>
      <c r="BP58" s="240" t="s">
        <v>231</v>
      </c>
      <c r="BQ58" s="240" t="s">
        <v>231</v>
      </c>
      <c r="BR58" s="240" t="s">
        <v>231</v>
      </c>
      <c r="BS58" s="240" t="s">
        <v>231</v>
      </c>
      <c r="BT58" s="240" t="s">
        <v>231</v>
      </c>
      <c r="BU58" s="240" t="s">
        <v>231</v>
      </c>
      <c r="BV58" s="240" t="s">
        <v>231</v>
      </c>
      <c r="BW58" s="240" t="s">
        <v>231</v>
      </c>
      <c r="BX58" s="240" t="s">
        <v>231</v>
      </c>
      <c r="BY58" s="240" t="s">
        <v>231</v>
      </c>
      <c r="BZ58" s="240" t="s">
        <v>231</v>
      </c>
      <c r="CA58" s="240" t="s">
        <v>231</v>
      </c>
      <c r="CB58" s="240" t="s">
        <v>231</v>
      </c>
      <c r="CC58" s="240" t="s">
        <v>231</v>
      </c>
      <c r="CD58" s="240" t="s">
        <v>231</v>
      </c>
      <c r="CE58" s="240" t="s">
        <v>231</v>
      </c>
      <c r="CF58" s="240" t="s">
        <v>231</v>
      </c>
      <c r="CG58" s="240" t="s">
        <v>231</v>
      </c>
      <c r="CH58" s="240" t="s">
        <v>231</v>
      </c>
      <c r="CI58" s="240" t="s">
        <v>231</v>
      </c>
      <c r="CJ58" s="240" t="s">
        <v>231</v>
      </c>
      <c r="CK58" s="240" t="s">
        <v>231</v>
      </c>
      <c r="CL58" s="240" t="s">
        <v>231</v>
      </c>
      <c r="CM58" s="240" t="s">
        <v>231</v>
      </c>
      <c r="CN58" s="240" t="s">
        <v>231</v>
      </c>
      <c r="CO58" s="240" t="s">
        <v>231</v>
      </c>
      <c r="CP58" s="240" t="s">
        <v>231</v>
      </c>
      <c r="CQ58" s="240" t="s">
        <v>231</v>
      </c>
      <c r="CR58" s="240" t="s">
        <v>231</v>
      </c>
      <c r="CS58" s="240" t="s">
        <v>231</v>
      </c>
      <c r="CT58" s="240" t="s">
        <v>492</v>
      </c>
      <c r="CU58" s="240" t="s">
        <v>492</v>
      </c>
      <c r="CV58" s="240" t="s">
        <v>492</v>
      </c>
      <c r="CW58" s="240" t="s">
        <v>231</v>
      </c>
      <c r="CX58" s="240" t="s">
        <v>231</v>
      </c>
      <c r="CY58" s="240" t="s">
        <v>231</v>
      </c>
      <c r="CZ58" s="240" t="s">
        <v>231</v>
      </c>
      <c r="DA58" s="240" t="s">
        <v>231</v>
      </c>
      <c r="DB58" s="240" t="s">
        <v>231</v>
      </c>
      <c r="DC58" s="240" t="s">
        <v>231</v>
      </c>
      <c r="DD58" s="240" t="s">
        <v>231</v>
      </c>
      <c r="DE58" s="240" t="s">
        <v>231</v>
      </c>
      <c r="DF58" s="240" t="s">
        <v>231</v>
      </c>
      <c r="DG58" s="240" t="s">
        <v>231</v>
      </c>
      <c r="DH58" s="240" t="s">
        <v>231</v>
      </c>
      <c r="DI58" s="240" t="s">
        <v>231</v>
      </c>
      <c r="DJ58" s="240" t="s">
        <v>231</v>
      </c>
      <c r="DK58" s="240" t="s">
        <v>231</v>
      </c>
      <c r="DL58" s="240" t="s">
        <v>231</v>
      </c>
      <c r="DM58" s="240" t="s">
        <v>231</v>
      </c>
      <c r="DN58" s="240" t="s">
        <v>231</v>
      </c>
      <c r="DO58" s="240" t="s">
        <v>231</v>
      </c>
      <c r="DP58" s="240" t="s">
        <v>231</v>
      </c>
      <c r="DQ58" s="240" t="s">
        <v>231</v>
      </c>
      <c r="DR58" s="240" t="s">
        <v>231</v>
      </c>
      <c r="DS58" s="240" t="s">
        <v>231</v>
      </c>
      <c r="DT58" s="240" t="s">
        <v>492</v>
      </c>
      <c r="DU58" s="240" t="s">
        <v>231</v>
      </c>
      <c r="DV58" s="240" t="s">
        <v>492</v>
      </c>
      <c r="DW58" s="240" t="s">
        <v>492</v>
      </c>
      <c r="DX58" s="240" t="s">
        <v>492</v>
      </c>
      <c r="DY58" s="240" t="s">
        <v>492</v>
      </c>
      <c r="DZ58" s="240" t="s">
        <v>492</v>
      </c>
      <c r="EA58" s="240" t="s">
        <v>492</v>
      </c>
      <c r="EB58" s="240" t="s">
        <v>492</v>
      </c>
      <c r="EC58" s="240" t="s">
        <v>492</v>
      </c>
      <c r="ED58" s="240" t="s">
        <v>492</v>
      </c>
      <c r="EE58" s="240" t="s">
        <v>492</v>
      </c>
      <c r="EF58" s="240" t="s">
        <v>492</v>
      </c>
      <c r="EG58" s="240" t="s">
        <v>492</v>
      </c>
      <c r="EH58" s="240" t="s">
        <v>492</v>
      </c>
      <c r="EI58" s="240" t="s">
        <v>492</v>
      </c>
      <c r="EJ58" s="240" t="s">
        <v>231</v>
      </c>
      <c r="EK58" s="240" t="s">
        <v>231</v>
      </c>
      <c r="EL58" s="240" t="s">
        <v>231</v>
      </c>
      <c r="EM58" s="240" t="s">
        <v>231</v>
      </c>
      <c r="EN58" s="240" t="s">
        <v>231</v>
      </c>
      <c r="EO58" s="240" t="s">
        <v>231</v>
      </c>
      <c r="EP58" s="240" t="s">
        <v>231</v>
      </c>
      <c r="EQ58" s="240" t="s">
        <v>231</v>
      </c>
      <c r="ER58" s="240" t="s">
        <v>231</v>
      </c>
      <c r="ES58" s="240" t="s">
        <v>231</v>
      </c>
      <c r="ET58" s="240" t="s">
        <v>231</v>
      </c>
      <c r="EU58" s="240" t="s">
        <v>231</v>
      </c>
      <c r="EV58" s="240" t="s">
        <v>231</v>
      </c>
      <c r="EW58" s="240" t="s">
        <v>231</v>
      </c>
      <c r="EX58" s="240" t="s">
        <v>231</v>
      </c>
      <c r="EY58" s="240" t="s">
        <v>231</v>
      </c>
      <c r="EZ58" s="240" t="s">
        <v>231</v>
      </c>
      <c r="FA58" s="240" t="s">
        <v>231</v>
      </c>
      <c r="FB58" s="240" t="s">
        <v>231</v>
      </c>
      <c r="FC58" s="240" t="s">
        <v>231</v>
      </c>
      <c r="FD58" s="240" t="s">
        <v>231</v>
      </c>
      <c r="FE58" s="240" t="s">
        <v>231</v>
      </c>
      <c r="FF58" s="240" t="s">
        <v>492</v>
      </c>
      <c r="FG58" s="240" t="s">
        <v>492</v>
      </c>
      <c r="FH58" s="240" t="s">
        <v>492</v>
      </c>
      <c r="FI58" s="240" t="s">
        <v>492</v>
      </c>
      <c r="FJ58" s="240" t="s">
        <v>492</v>
      </c>
      <c r="FK58" s="240" t="s">
        <v>492</v>
      </c>
      <c r="FL58" s="240" t="s">
        <v>492</v>
      </c>
      <c r="FM58" s="240" t="s">
        <v>231</v>
      </c>
      <c r="FN58" s="240" t="s">
        <v>492</v>
      </c>
      <c r="FO58" s="240" t="s">
        <v>493</v>
      </c>
      <c r="FP58" s="240" t="s">
        <v>492</v>
      </c>
      <c r="FQ58" s="240" t="s">
        <v>231</v>
      </c>
      <c r="FR58" s="240" t="s">
        <v>231</v>
      </c>
      <c r="FS58" s="240" t="s">
        <v>231</v>
      </c>
      <c r="FT58" s="240" t="s">
        <v>231</v>
      </c>
      <c r="FU58" s="240" t="s">
        <v>231</v>
      </c>
      <c r="FV58" s="240" t="s">
        <v>231</v>
      </c>
      <c r="FW58" s="240" t="s">
        <v>231</v>
      </c>
      <c r="FX58" s="240" t="s">
        <v>492</v>
      </c>
      <c r="FY58" s="240" t="s">
        <v>231</v>
      </c>
      <c r="FZ58" s="240" t="s">
        <v>231</v>
      </c>
      <c r="GA58" s="240" t="s">
        <v>231</v>
      </c>
      <c r="GB58" s="240" t="s">
        <v>231</v>
      </c>
      <c r="GC58" s="240" t="s">
        <v>231</v>
      </c>
      <c r="GD58" s="240" t="s">
        <v>231</v>
      </c>
      <c r="GE58" s="240" t="s">
        <v>231</v>
      </c>
      <c r="GF58" s="240" t="s">
        <v>231</v>
      </c>
      <c r="GG58" s="240" t="s">
        <v>231</v>
      </c>
      <c r="GH58" s="240" t="s">
        <v>231</v>
      </c>
      <c r="GI58" s="240" t="s">
        <v>231</v>
      </c>
      <c r="GJ58" s="240" t="s">
        <v>231</v>
      </c>
      <c r="GK58" s="240" t="s">
        <v>231</v>
      </c>
      <c r="GL58" s="240" t="s">
        <v>231</v>
      </c>
      <c r="GM58" s="240" t="s">
        <v>231</v>
      </c>
      <c r="GN58" s="240" t="s">
        <v>231</v>
      </c>
      <c r="GO58" s="240" t="s">
        <v>231</v>
      </c>
      <c r="GP58" s="240" t="s">
        <v>492</v>
      </c>
      <c r="GQ58" s="240" t="s">
        <v>231</v>
      </c>
      <c r="GR58" s="240" t="s">
        <v>231</v>
      </c>
      <c r="GS58" s="240" t="s">
        <v>231</v>
      </c>
      <c r="GT58" s="240" t="s">
        <v>231</v>
      </c>
      <c r="GU58" s="240" t="s">
        <v>231</v>
      </c>
      <c r="GV58" s="240" t="s">
        <v>492</v>
      </c>
      <c r="GW58" s="240" t="s">
        <v>231</v>
      </c>
      <c r="GX58" s="240" t="s">
        <v>231</v>
      </c>
      <c r="GY58" s="240" t="s">
        <v>231</v>
      </c>
      <c r="GZ58" s="240" t="s">
        <v>231</v>
      </c>
      <c r="HA58" s="240" t="s">
        <v>231</v>
      </c>
      <c r="HB58" s="240" t="s">
        <v>231</v>
      </c>
      <c r="HC58" s="240" t="s">
        <v>231</v>
      </c>
      <c r="HD58" s="240" t="s">
        <v>231</v>
      </c>
      <c r="HE58" s="240" t="s">
        <v>492</v>
      </c>
      <c r="HF58" s="240" t="s">
        <v>231</v>
      </c>
      <c r="HG58" s="240" t="s">
        <v>231</v>
      </c>
      <c r="HH58" s="240" t="s">
        <v>231</v>
      </c>
      <c r="HI58" s="240" t="s">
        <v>231</v>
      </c>
      <c r="HJ58" s="240" t="s">
        <v>231</v>
      </c>
      <c r="HK58" s="240" t="s">
        <v>231</v>
      </c>
      <c r="HL58" s="240" t="s">
        <v>231</v>
      </c>
      <c r="HM58" s="240" t="s">
        <v>231</v>
      </c>
      <c r="HN58" s="240" t="s">
        <v>231</v>
      </c>
      <c r="HO58" s="240" t="s">
        <v>231</v>
      </c>
      <c r="HP58" s="240" t="s">
        <v>231</v>
      </c>
      <c r="HQ58" s="240" t="s">
        <v>492</v>
      </c>
      <c r="HR58" s="240" t="s">
        <v>492</v>
      </c>
      <c r="HS58" s="240" t="s">
        <v>492</v>
      </c>
      <c r="HT58" s="240" t="s">
        <v>492</v>
      </c>
      <c r="HU58" s="240" t="s">
        <v>231</v>
      </c>
      <c r="HV58" s="240" t="s">
        <v>231</v>
      </c>
      <c r="HW58" s="240" t="s">
        <v>231</v>
      </c>
      <c r="HX58" s="240" t="s">
        <v>231</v>
      </c>
      <c r="HY58" s="240" t="s">
        <v>231</v>
      </c>
      <c r="HZ58" s="240" t="s">
        <v>231</v>
      </c>
      <c r="IA58" s="240" t="s">
        <v>231</v>
      </c>
      <c r="IB58" s="240" t="s">
        <v>231</v>
      </c>
      <c r="IC58" s="240" t="s">
        <v>231</v>
      </c>
      <c r="ID58" s="240" t="s">
        <v>231</v>
      </c>
      <c r="IE58" s="240" t="s">
        <v>231</v>
      </c>
      <c r="IF58" s="240" t="s">
        <v>231</v>
      </c>
      <c r="IG58" s="240" t="s">
        <v>231</v>
      </c>
      <c r="IH58" s="240" t="s">
        <v>231</v>
      </c>
      <c r="II58" s="240" t="s">
        <v>231</v>
      </c>
      <c r="IJ58" s="240" t="s">
        <v>231</v>
      </c>
      <c r="IK58" s="240" t="s">
        <v>231</v>
      </c>
      <c r="IL58" s="240" t="s">
        <v>231</v>
      </c>
      <c r="IM58" s="240" t="s">
        <v>231</v>
      </c>
      <c r="IN58" s="240" t="s">
        <v>231</v>
      </c>
      <c r="IO58" s="240" t="s">
        <v>220</v>
      </c>
      <c r="IP58" s="240" t="s">
        <v>493</v>
      </c>
      <c r="IQ58" s="240" t="s">
        <v>219</v>
      </c>
      <c r="IR58" s="240" t="s">
        <v>490</v>
      </c>
      <c r="IS58" s="240" t="s">
        <v>492</v>
      </c>
      <c r="IT58" s="240" t="s">
        <v>492</v>
      </c>
    </row>
    <row r="59" spans="1:254" ht="15" x14ac:dyDescent="0.25">
      <c r="A59" s="258" t="str">
        <f>HYPERLINK("http://www.ofsted.gov.uk/inspection-reports/find-inspection-report/provider/ELS/139071 ","Ofsted School Webpage")</f>
        <v>Ofsted School Webpage</v>
      </c>
      <c r="B59" s="237">
        <v>139071</v>
      </c>
      <c r="C59" s="237">
        <v>8616008</v>
      </c>
      <c r="D59" s="237" t="s">
        <v>654</v>
      </c>
      <c r="E59" s="237" t="s">
        <v>247</v>
      </c>
      <c r="F59" s="237" t="s">
        <v>482</v>
      </c>
      <c r="G59" s="237" t="s">
        <v>502</v>
      </c>
      <c r="H59" s="237" t="s">
        <v>502</v>
      </c>
      <c r="I59" s="237" t="s">
        <v>655</v>
      </c>
      <c r="J59" s="237" t="s">
        <v>656</v>
      </c>
      <c r="K59" s="237" t="s">
        <v>83</v>
      </c>
      <c r="L59" s="237" t="s">
        <v>84</v>
      </c>
      <c r="M59" s="237" t="s">
        <v>83</v>
      </c>
      <c r="N59" s="237" t="s">
        <v>84</v>
      </c>
      <c r="O59" s="237" t="s">
        <v>486</v>
      </c>
      <c r="P59" s="237" t="s">
        <v>487</v>
      </c>
      <c r="Q59" s="238">
        <v>10020795</v>
      </c>
      <c r="R59" s="239">
        <v>43389</v>
      </c>
      <c r="S59" s="239">
        <v>43391</v>
      </c>
      <c r="T59" s="239">
        <v>43418</v>
      </c>
      <c r="U59" s="237" t="s">
        <v>488</v>
      </c>
      <c r="V59" s="237" t="s">
        <v>489</v>
      </c>
      <c r="W59" s="237">
        <v>2</v>
      </c>
      <c r="X59" s="237">
        <v>2</v>
      </c>
      <c r="Y59" s="237">
        <v>2</v>
      </c>
      <c r="Z59" s="237">
        <v>2</v>
      </c>
      <c r="AA59" s="237">
        <v>2</v>
      </c>
      <c r="AB59" s="237">
        <v>2</v>
      </c>
      <c r="AC59" s="237" t="s">
        <v>486</v>
      </c>
      <c r="AD59" s="237" t="s">
        <v>219</v>
      </c>
      <c r="AE59" s="237" t="s">
        <v>490</v>
      </c>
      <c r="AF59" s="237" t="s">
        <v>486</v>
      </c>
      <c r="AG59" s="237" t="s">
        <v>486</v>
      </c>
      <c r="AH59" s="237" t="s">
        <v>486</v>
      </c>
      <c r="AI59" s="237" t="s">
        <v>486</v>
      </c>
      <c r="AJ59" s="237" t="s">
        <v>486</v>
      </c>
      <c r="AK59" s="237" t="s">
        <v>486</v>
      </c>
      <c r="AL59" s="237" t="s">
        <v>486</v>
      </c>
      <c r="AM59" s="237" t="s">
        <v>491</v>
      </c>
      <c r="AN59" s="237" t="s">
        <v>231</v>
      </c>
      <c r="AO59" s="237" t="s">
        <v>231</v>
      </c>
      <c r="AP59" s="237" t="s">
        <v>231</v>
      </c>
      <c r="AQ59" s="237" t="s">
        <v>231</v>
      </c>
      <c r="AR59" s="237" t="s">
        <v>231</v>
      </c>
      <c r="AS59" s="237" t="s">
        <v>231</v>
      </c>
      <c r="AT59" s="237" t="s">
        <v>231</v>
      </c>
      <c r="AU59" s="237" t="s">
        <v>231</v>
      </c>
      <c r="AV59" s="237" t="s">
        <v>231</v>
      </c>
      <c r="AW59" s="237" t="s">
        <v>231</v>
      </c>
      <c r="AX59" s="237" t="s">
        <v>231</v>
      </c>
      <c r="AY59" s="237" t="s">
        <v>231</v>
      </c>
      <c r="AZ59" s="237" t="s">
        <v>231</v>
      </c>
      <c r="BA59" s="237" t="s">
        <v>231</v>
      </c>
      <c r="BB59" s="237" t="s">
        <v>231</v>
      </c>
      <c r="BC59" s="237" t="s">
        <v>231</v>
      </c>
      <c r="BD59" s="237" t="s">
        <v>492</v>
      </c>
      <c r="BE59" s="237" t="s">
        <v>231</v>
      </c>
      <c r="BF59" s="237" t="s">
        <v>231</v>
      </c>
      <c r="BG59" s="237" t="s">
        <v>231</v>
      </c>
      <c r="BH59" s="237" t="s">
        <v>231</v>
      </c>
      <c r="BI59" s="237" t="s">
        <v>231</v>
      </c>
      <c r="BJ59" s="237" t="s">
        <v>231</v>
      </c>
      <c r="BK59" s="237" t="s">
        <v>231</v>
      </c>
      <c r="BL59" s="237" t="s">
        <v>231</v>
      </c>
      <c r="BM59" s="237" t="s">
        <v>492</v>
      </c>
      <c r="BN59" s="237" t="s">
        <v>231</v>
      </c>
      <c r="BO59" s="237" t="s">
        <v>231</v>
      </c>
      <c r="BP59" s="237" t="s">
        <v>231</v>
      </c>
      <c r="BQ59" s="237" t="s">
        <v>231</v>
      </c>
      <c r="BR59" s="237" t="s">
        <v>231</v>
      </c>
      <c r="BS59" s="237" t="s">
        <v>231</v>
      </c>
      <c r="BT59" s="237" t="s">
        <v>231</v>
      </c>
      <c r="BU59" s="237" t="s">
        <v>231</v>
      </c>
      <c r="BV59" s="237" t="s">
        <v>231</v>
      </c>
      <c r="BW59" s="237" t="s">
        <v>231</v>
      </c>
      <c r="BX59" s="237" t="s">
        <v>231</v>
      </c>
      <c r="BY59" s="237" t="s">
        <v>231</v>
      </c>
      <c r="BZ59" s="237" t="s">
        <v>231</v>
      </c>
      <c r="CA59" s="237" t="s">
        <v>231</v>
      </c>
      <c r="CB59" s="237" t="s">
        <v>231</v>
      </c>
      <c r="CC59" s="237" t="s">
        <v>231</v>
      </c>
      <c r="CD59" s="237" t="s">
        <v>231</v>
      </c>
      <c r="CE59" s="237" t="s">
        <v>231</v>
      </c>
      <c r="CF59" s="237" t="s">
        <v>231</v>
      </c>
      <c r="CG59" s="237" t="s">
        <v>231</v>
      </c>
      <c r="CH59" s="237" t="s">
        <v>231</v>
      </c>
      <c r="CI59" s="237" t="s">
        <v>231</v>
      </c>
      <c r="CJ59" s="237" t="s">
        <v>231</v>
      </c>
      <c r="CK59" s="237" t="s">
        <v>231</v>
      </c>
      <c r="CL59" s="237" t="s">
        <v>231</v>
      </c>
      <c r="CM59" s="237" t="s">
        <v>231</v>
      </c>
      <c r="CN59" s="237" t="s">
        <v>231</v>
      </c>
      <c r="CO59" s="237" t="s">
        <v>231</v>
      </c>
      <c r="CP59" s="237" t="s">
        <v>231</v>
      </c>
      <c r="CQ59" s="237" t="s">
        <v>231</v>
      </c>
      <c r="CR59" s="237" t="s">
        <v>231</v>
      </c>
      <c r="CS59" s="237" t="s">
        <v>231</v>
      </c>
      <c r="CT59" s="237" t="s">
        <v>492</v>
      </c>
      <c r="CU59" s="237" t="s">
        <v>492</v>
      </c>
      <c r="CV59" s="237" t="s">
        <v>492</v>
      </c>
      <c r="CW59" s="237" t="s">
        <v>231</v>
      </c>
      <c r="CX59" s="237" t="s">
        <v>231</v>
      </c>
      <c r="CY59" s="237" t="s">
        <v>231</v>
      </c>
      <c r="CZ59" s="237" t="s">
        <v>231</v>
      </c>
      <c r="DA59" s="237" t="s">
        <v>231</v>
      </c>
      <c r="DB59" s="237" t="s">
        <v>231</v>
      </c>
      <c r="DC59" s="237" t="s">
        <v>231</v>
      </c>
      <c r="DD59" s="237" t="s">
        <v>231</v>
      </c>
      <c r="DE59" s="237" t="s">
        <v>231</v>
      </c>
      <c r="DF59" s="237" t="s">
        <v>231</v>
      </c>
      <c r="DG59" s="237" t="s">
        <v>231</v>
      </c>
      <c r="DH59" s="237" t="s">
        <v>231</v>
      </c>
      <c r="DI59" s="237" t="s">
        <v>231</v>
      </c>
      <c r="DJ59" s="237" t="s">
        <v>231</v>
      </c>
      <c r="DK59" s="237" t="s">
        <v>231</v>
      </c>
      <c r="DL59" s="237" t="s">
        <v>231</v>
      </c>
      <c r="DM59" s="237" t="s">
        <v>231</v>
      </c>
      <c r="DN59" s="237" t="s">
        <v>231</v>
      </c>
      <c r="DO59" s="237" t="s">
        <v>231</v>
      </c>
      <c r="DP59" s="237" t="s">
        <v>231</v>
      </c>
      <c r="DQ59" s="237" t="s">
        <v>231</v>
      </c>
      <c r="DR59" s="237" t="s">
        <v>231</v>
      </c>
      <c r="DS59" s="237" t="s">
        <v>231</v>
      </c>
      <c r="DT59" s="237" t="s">
        <v>492</v>
      </c>
      <c r="DU59" s="237" t="s">
        <v>231</v>
      </c>
      <c r="DV59" s="237" t="s">
        <v>492</v>
      </c>
      <c r="DW59" s="237" t="s">
        <v>492</v>
      </c>
      <c r="DX59" s="237" t="s">
        <v>492</v>
      </c>
      <c r="DY59" s="237" t="s">
        <v>492</v>
      </c>
      <c r="DZ59" s="237" t="s">
        <v>492</v>
      </c>
      <c r="EA59" s="237" t="s">
        <v>492</v>
      </c>
      <c r="EB59" s="237" t="s">
        <v>492</v>
      </c>
      <c r="EC59" s="237" t="s">
        <v>492</v>
      </c>
      <c r="ED59" s="237" t="s">
        <v>492</v>
      </c>
      <c r="EE59" s="237" t="s">
        <v>492</v>
      </c>
      <c r="EF59" s="237" t="s">
        <v>492</v>
      </c>
      <c r="EG59" s="237" t="s">
        <v>492</v>
      </c>
      <c r="EH59" s="237" t="s">
        <v>492</v>
      </c>
      <c r="EI59" s="237" t="s">
        <v>492</v>
      </c>
      <c r="EJ59" s="237" t="s">
        <v>492</v>
      </c>
      <c r="EK59" s="237" t="s">
        <v>492</v>
      </c>
      <c r="EL59" s="237" t="s">
        <v>492</v>
      </c>
      <c r="EM59" s="237" t="s">
        <v>492</v>
      </c>
      <c r="EN59" s="237" t="s">
        <v>492</v>
      </c>
      <c r="EO59" s="237" t="s">
        <v>492</v>
      </c>
      <c r="EP59" s="237" t="s">
        <v>492</v>
      </c>
      <c r="EQ59" s="237" t="s">
        <v>492</v>
      </c>
      <c r="ER59" s="237" t="s">
        <v>492</v>
      </c>
      <c r="ES59" s="237" t="s">
        <v>231</v>
      </c>
      <c r="ET59" s="237" t="s">
        <v>231</v>
      </c>
      <c r="EU59" s="237" t="s">
        <v>231</v>
      </c>
      <c r="EV59" s="237" t="s">
        <v>231</v>
      </c>
      <c r="EW59" s="237" t="s">
        <v>231</v>
      </c>
      <c r="EX59" s="237" t="s">
        <v>231</v>
      </c>
      <c r="EY59" s="237" t="s">
        <v>231</v>
      </c>
      <c r="EZ59" s="237" t="s">
        <v>231</v>
      </c>
      <c r="FA59" s="237" t="s">
        <v>231</v>
      </c>
      <c r="FB59" s="237" t="s">
        <v>231</v>
      </c>
      <c r="FC59" s="237" t="s">
        <v>231</v>
      </c>
      <c r="FD59" s="237" t="s">
        <v>231</v>
      </c>
      <c r="FE59" s="237" t="s">
        <v>231</v>
      </c>
      <c r="FF59" s="237" t="s">
        <v>492</v>
      </c>
      <c r="FG59" s="237" t="s">
        <v>492</v>
      </c>
      <c r="FH59" s="237" t="s">
        <v>492</v>
      </c>
      <c r="FI59" s="237" t="s">
        <v>492</v>
      </c>
      <c r="FJ59" s="237" t="s">
        <v>492</v>
      </c>
      <c r="FK59" s="237" t="s">
        <v>492</v>
      </c>
      <c r="FL59" s="237" t="s">
        <v>492</v>
      </c>
      <c r="FM59" s="237" t="s">
        <v>492</v>
      </c>
      <c r="FN59" s="237" t="s">
        <v>492</v>
      </c>
      <c r="FO59" s="237" t="s">
        <v>493</v>
      </c>
      <c r="FP59" s="237" t="s">
        <v>492</v>
      </c>
      <c r="FQ59" s="237" t="s">
        <v>231</v>
      </c>
      <c r="FR59" s="237" t="s">
        <v>231</v>
      </c>
      <c r="FS59" s="237" t="s">
        <v>231</v>
      </c>
      <c r="FT59" s="237" t="s">
        <v>231</v>
      </c>
      <c r="FU59" s="237" t="s">
        <v>231</v>
      </c>
      <c r="FV59" s="237" t="s">
        <v>231</v>
      </c>
      <c r="FW59" s="237" t="s">
        <v>231</v>
      </c>
      <c r="FX59" s="237" t="s">
        <v>492</v>
      </c>
      <c r="FY59" s="237" t="s">
        <v>231</v>
      </c>
      <c r="FZ59" s="237" t="s">
        <v>231</v>
      </c>
      <c r="GA59" s="237" t="s">
        <v>231</v>
      </c>
      <c r="GB59" s="237" t="s">
        <v>231</v>
      </c>
      <c r="GC59" s="237" t="s">
        <v>231</v>
      </c>
      <c r="GD59" s="237" t="s">
        <v>231</v>
      </c>
      <c r="GE59" s="237" t="s">
        <v>231</v>
      </c>
      <c r="GF59" s="237" t="s">
        <v>231</v>
      </c>
      <c r="GG59" s="237" t="s">
        <v>231</v>
      </c>
      <c r="GH59" s="237" t="s">
        <v>231</v>
      </c>
      <c r="GI59" s="237" t="s">
        <v>231</v>
      </c>
      <c r="GJ59" s="237" t="s">
        <v>231</v>
      </c>
      <c r="GK59" s="237" t="s">
        <v>231</v>
      </c>
      <c r="GL59" s="237" t="s">
        <v>231</v>
      </c>
      <c r="GM59" s="237" t="s">
        <v>231</v>
      </c>
      <c r="GN59" s="237" t="s">
        <v>231</v>
      </c>
      <c r="GO59" s="237" t="s">
        <v>231</v>
      </c>
      <c r="GP59" s="237" t="s">
        <v>492</v>
      </c>
      <c r="GQ59" s="237" t="s">
        <v>231</v>
      </c>
      <c r="GR59" s="237" t="s">
        <v>231</v>
      </c>
      <c r="GS59" s="237" t="s">
        <v>231</v>
      </c>
      <c r="GT59" s="237" t="s">
        <v>231</v>
      </c>
      <c r="GU59" s="237" t="s">
        <v>231</v>
      </c>
      <c r="GV59" s="237" t="s">
        <v>492</v>
      </c>
      <c r="GW59" s="237" t="s">
        <v>231</v>
      </c>
      <c r="GX59" s="237" t="s">
        <v>231</v>
      </c>
      <c r="GY59" s="237" t="s">
        <v>492</v>
      </c>
      <c r="GZ59" s="237" t="s">
        <v>492</v>
      </c>
      <c r="HA59" s="237" t="s">
        <v>492</v>
      </c>
      <c r="HB59" s="237" t="s">
        <v>231</v>
      </c>
      <c r="HC59" s="237" t="s">
        <v>231</v>
      </c>
      <c r="HD59" s="237" t="s">
        <v>231</v>
      </c>
      <c r="HE59" s="237" t="s">
        <v>231</v>
      </c>
      <c r="HF59" s="237" t="s">
        <v>492</v>
      </c>
      <c r="HG59" s="237" t="s">
        <v>492</v>
      </c>
      <c r="HH59" s="237" t="s">
        <v>231</v>
      </c>
      <c r="HI59" s="237" t="s">
        <v>231</v>
      </c>
      <c r="HJ59" s="237" t="s">
        <v>231</v>
      </c>
      <c r="HK59" s="237" t="s">
        <v>231</v>
      </c>
      <c r="HL59" s="237" t="s">
        <v>231</v>
      </c>
      <c r="HM59" s="237" t="s">
        <v>231</v>
      </c>
      <c r="HN59" s="237" t="s">
        <v>231</v>
      </c>
      <c r="HO59" s="237" t="s">
        <v>231</v>
      </c>
      <c r="HP59" s="237" t="s">
        <v>231</v>
      </c>
      <c r="HQ59" s="237" t="s">
        <v>492</v>
      </c>
      <c r="HR59" s="237" t="s">
        <v>492</v>
      </c>
      <c r="HS59" s="237" t="s">
        <v>492</v>
      </c>
      <c r="HT59" s="237" t="s">
        <v>492</v>
      </c>
      <c r="HU59" s="237" t="s">
        <v>231</v>
      </c>
      <c r="HV59" s="237" t="s">
        <v>231</v>
      </c>
      <c r="HW59" s="237" t="s">
        <v>231</v>
      </c>
      <c r="HX59" s="237" t="s">
        <v>231</v>
      </c>
      <c r="HY59" s="237" t="s">
        <v>231</v>
      </c>
      <c r="HZ59" s="237" t="s">
        <v>231</v>
      </c>
      <c r="IA59" s="237" t="s">
        <v>231</v>
      </c>
      <c r="IB59" s="237" t="s">
        <v>231</v>
      </c>
      <c r="IC59" s="237" t="s">
        <v>231</v>
      </c>
      <c r="ID59" s="237" t="s">
        <v>231</v>
      </c>
      <c r="IE59" s="237" t="s">
        <v>231</v>
      </c>
      <c r="IF59" s="237" t="s">
        <v>231</v>
      </c>
      <c r="IG59" s="237" t="s">
        <v>231</v>
      </c>
      <c r="IH59" s="237" t="s">
        <v>231</v>
      </c>
      <c r="II59" s="237" t="s">
        <v>231</v>
      </c>
      <c r="IJ59" s="237" t="s">
        <v>231</v>
      </c>
      <c r="IK59" s="237" t="s">
        <v>231</v>
      </c>
      <c r="IL59" s="237" t="s">
        <v>231</v>
      </c>
      <c r="IM59" s="237" t="s">
        <v>231</v>
      </c>
      <c r="IN59" s="237" t="s">
        <v>231</v>
      </c>
      <c r="IO59" s="237" t="s">
        <v>220</v>
      </c>
      <c r="IP59" s="237" t="s">
        <v>493</v>
      </c>
      <c r="IQ59" s="237" t="s">
        <v>219</v>
      </c>
      <c r="IR59" s="237" t="s">
        <v>490</v>
      </c>
      <c r="IS59" s="237" t="s">
        <v>231</v>
      </c>
      <c r="IT59" s="237" t="s">
        <v>231</v>
      </c>
    </row>
    <row r="60" spans="1:254" ht="15" x14ac:dyDescent="0.25">
      <c r="A60" s="259" t="str">
        <f>HYPERLINK("http://www.ofsted.gov.uk/inspection-reports/find-inspection-report/provider/ELS/100536 ","Ofsted School Webpage")</f>
        <v>Ofsted School Webpage</v>
      </c>
      <c r="B60" s="240">
        <v>100536</v>
      </c>
      <c r="C60" s="240">
        <v>2136389</v>
      </c>
      <c r="D60" s="240" t="s">
        <v>657</v>
      </c>
      <c r="E60" s="240" t="s">
        <v>247</v>
      </c>
      <c r="F60" s="240" t="s">
        <v>482</v>
      </c>
      <c r="G60" s="240" t="s">
        <v>506</v>
      </c>
      <c r="H60" s="240" t="s">
        <v>506</v>
      </c>
      <c r="I60" s="240" t="s">
        <v>658</v>
      </c>
      <c r="J60" s="240" t="s">
        <v>659</v>
      </c>
      <c r="K60" s="240" t="s">
        <v>93</v>
      </c>
      <c r="L60" s="240" t="s">
        <v>93</v>
      </c>
      <c r="M60" s="240" t="s">
        <v>93</v>
      </c>
      <c r="N60" s="240" t="s">
        <v>90</v>
      </c>
      <c r="O60" s="240" t="s">
        <v>486</v>
      </c>
      <c r="P60" s="240" t="s">
        <v>660</v>
      </c>
      <c r="Q60" s="241">
        <v>10080981</v>
      </c>
      <c r="R60" s="242">
        <v>43389</v>
      </c>
      <c r="S60" s="242">
        <v>43391</v>
      </c>
      <c r="T60" s="242">
        <v>43420</v>
      </c>
      <c r="U60" s="240" t="s">
        <v>624</v>
      </c>
      <c r="V60" s="240" t="s">
        <v>489</v>
      </c>
      <c r="W60" s="240">
        <v>2</v>
      </c>
      <c r="X60" s="240">
        <v>2</v>
      </c>
      <c r="Y60" s="240">
        <v>1</v>
      </c>
      <c r="Z60" s="240">
        <v>2</v>
      </c>
      <c r="AA60" s="240">
        <v>2</v>
      </c>
      <c r="AB60" s="240" t="s">
        <v>486</v>
      </c>
      <c r="AC60" s="240">
        <v>1</v>
      </c>
      <c r="AD60" s="240" t="s">
        <v>219</v>
      </c>
      <c r="AE60" s="240" t="s">
        <v>490</v>
      </c>
      <c r="AF60" s="240" t="s">
        <v>486</v>
      </c>
      <c r="AG60" s="240" t="s">
        <v>486</v>
      </c>
      <c r="AH60" s="240" t="s">
        <v>486</v>
      </c>
      <c r="AI60" s="240" t="s">
        <v>486</v>
      </c>
      <c r="AJ60" s="240" t="s">
        <v>486</v>
      </c>
      <c r="AK60" s="240" t="s">
        <v>486</v>
      </c>
      <c r="AL60" s="240" t="s">
        <v>486</v>
      </c>
      <c r="AM60" s="240" t="s">
        <v>491</v>
      </c>
      <c r="AN60" s="240" t="s">
        <v>231</v>
      </c>
      <c r="AO60" s="240" t="s">
        <v>231</v>
      </c>
      <c r="AP60" s="240" t="s">
        <v>231</v>
      </c>
      <c r="AQ60" s="240" t="s">
        <v>231</v>
      </c>
      <c r="AR60" s="240" t="s">
        <v>231</v>
      </c>
      <c r="AS60" s="240" t="s">
        <v>231</v>
      </c>
      <c r="AT60" s="240" t="s">
        <v>231</v>
      </c>
      <c r="AU60" s="240" t="s">
        <v>231</v>
      </c>
      <c r="AV60" s="240" t="s">
        <v>231</v>
      </c>
      <c r="AW60" s="240" t="s">
        <v>231</v>
      </c>
      <c r="AX60" s="240" t="s">
        <v>231</v>
      </c>
      <c r="AY60" s="240" t="s">
        <v>231</v>
      </c>
      <c r="AZ60" s="240" t="s">
        <v>231</v>
      </c>
      <c r="BA60" s="240" t="s">
        <v>231</v>
      </c>
      <c r="BB60" s="240" t="s">
        <v>231</v>
      </c>
      <c r="BC60" s="240" t="s">
        <v>231</v>
      </c>
      <c r="BD60" s="240" t="s">
        <v>492</v>
      </c>
      <c r="BE60" s="240" t="s">
        <v>231</v>
      </c>
      <c r="BF60" s="240" t="s">
        <v>231</v>
      </c>
      <c r="BG60" s="240" t="s">
        <v>231</v>
      </c>
      <c r="BH60" s="240" t="s">
        <v>231</v>
      </c>
      <c r="BI60" s="240" t="s">
        <v>231</v>
      </c>
      <c r="BJ60" s="240" t="s">
        <v>231</v>
      </c>
      <c r="BK60" s="240" t="s">
        <v>231</v>
      </c>
      <c r="BL60" s="240" t="s">
        <v>492</v>
      </c>
      <c r="BM60" s="240" t="s">
        <v>231</v>
      </c>
      <c r="BN60" s="240" t="s">
        <v>231</v>
      </c>
      <c r="BO60" s="240" t="s">
        <v>231</v>
      </c>
      <c r="BP60" s="240" t="s">
        <v>231</v>
      </c>
      <c r="BQ60" s="240" t="s">
        <v>231</v>
      </c>
      <c r="BR60" s="240" t="s">
        <v>231</v>
      </c>
      <c r="BS60" s="240" t="s">
        <v>231</v>
      </c>
      <c r="BT60" s="240" t="s">
        <v>231</v>
      </c>
      <c r="BU60" s="240" t="s">
        <v>231</v>
      </c>
      <c r="BV60" s="240" t="s">
        <v>231</v>
      </c>
      <c r="BW60" s="240" t="s">
        <v>231</v>
      </c>
      <c r="BX60" s="240" t="s">
        <v>231</v>
      </c>
      <c r="BY60" s="240" t="s">
        <v>231</v>
      </c>
      <c r="BZ60" s="240" t="s">
        <v>231</v>
      </c>
      <c r="CA60" s="240" t="s">
        <v>231</v>
      </c>
      <c r="CB60" s="240" t="s">
        <v>231</v>
      </c>
      <c r="CC60" s="240" t="s">
        <v>231</v>
      </c>
      <c r="CD60" s="240" t="s">
        <v>231</v>
      </c>
      <c r="CE60" s="240" t="s">
        <v>231</v>
      </c>
      <c r="CF60" s="240" t="s">
        <v>231</v>
      </c>
      <c r="CG60" s="240" t="s">
        <v>231</v>
      </c>
      <c r="CH60" s="240" t="s">
        <v>231</v>
      </c>
      <c r="CI60" s="240" t="s">
        <v>231</v>
      </c>
      <c r="CJ60" s="240" t="s">
        <v>231</v>
      </c>
      <c r="CK60" s="240" t="s">
        <v>231</v>
      </c>
      <c r="CL60" s="240" t="s">
        <v>231</v>
      </c>
      <c r="CM60" s="240" t="s">
        <v>231</v>
      </c>
      <c r="CN60" s="240" t="s">
        <v>231</v>
      </c>
      <c r="CO60" s="240" t="s">
        <v>231</v>
      </c>
      <c r="CP60" s="240" t="s">
        <v>231</v>
      </c>
      <c r="CQ60" s="240" t="s">
        <v>231</v>
      </c>
      <c r="CR60" s="240" t="s">
        <v>231</v>
      </c>
      <c r="CS60" s="240" t="s">
        <v>231</v>
      </c>
      <c r="CT60" s="240" t="s">
        <v>231</v>
      </c>
      <c r="CU60" s="240" t="s">
        <v>231</v>
      </c>
      <c r="CV60" s="240" t="s">
        <v>231</v>
      </c>
      <c r="CW60" s="240" t="s">
        <v>231</v>
      </c>
      <c r="CX60" s="240" t="s">
        <v>231</v>
      </c>
      <c r="CY60" s="240" t="s">
        <v>231</v>
      </c>
      <c r="CZ60" s="240" t="s">
        <v>231</v>
      </c>
      <c r="DA60" s="240" t="s">
        <v>231</v>
      </c>
      <c r="DB60" s="240" t="s">
        <v>231</v>
      </c>
      <c r="DC60" s="240" t="s">
        <v>231</v>
      </c>
      <c r="DD60" s="240" t="s">
        <v>231</v>
      </c>
      <c r="DE60" s="240" t="s">
        <v>231</v>
      </c>
      <c r="DF60" s="240" t="s">
        <v>231</v>
      </c>
      <c r="DG60" s="240" t="s">
        <v>231</v>
      </c>
      <c r="DH60" s="240" t="s">
        <v>231</v>
      </c>
      <c r="DI60" s="240" t="s">
        <v>231</v>
      </c>
      <c r="DJ60" s="240" t="s">
        <v>231</v>
      </c>
      <c r="DK60" s="240" t="s">
        <v>231</v>
      </c>
      <c r="DL60" s="240" t="s">
        <v>231</v>
      </c>
      <c r="DM60" s="240" t="s">
        <v>231</v>
      </c>
      <c r="DN60" s="240" t="s">
        <v>231</v>
      </c>
      <c r="DO60" s="240" t="s">
        <v>231</v>
      </c>
      <c r="DP60" s="240" t="s">
        <v>231</v>
      </c>
      <c r="DQ60" s="240" t="s">
        <v>231</v>
      </c>
      <c r="DR60" s="240" t="s">
        <v>231</v>
      </c>
      <c r="DS60" s="240" t="s">
        <v>492</v>
      </c>
      <c r="DT60" s="240" t="s">
        <v>231</v>
      </c>
      <c r="DU60" s="240" t="s">
        <v>231</v>
      </c>
      <c r="DV60" s="240" t="s">
        <v>492</v>
      </c>
      <c r="DW60" s="240" t="s">
        <v>492</v>
      </c>
      <c r="DX60" s="240" t="s">
        <v>492</v>
      </c>
      <c r="DY60" s="240" t="s">
        <v>492</v>
      </c>
      <c r="DZ60" s="240" t="s">
        <v>492</v>
      </c>
      <c r="EA60" s="240" t="s">
        <v>492</v>
      </c>
      <c r="EB60" s="240" t="s">
        <v>492</v>
      </c>
      <c r="EC60" s="240" t="s">
        <v>492</v>
      </c>
      <c r="ED60" s="240" t="s">
        <v>492</v>
      </c>
      <c r="EE60" s="240" t="s">
        <v>492</v>
      </c>
      <c r="EF60" s="240" t="s">
        <v>492</v>
      </c>
      <c r="EG60" s="240" t="s">
        <v>492</v>
      </c>
      <c r="EH60" s="240" t="s">
        <v>231</v>
      </c>
      <c r="EI60" s="240" t="s">
        <v>492</v>
      </c>
      <c r="EJ60" s="240" t="s">
        <v>492</v>
      </c>
      <c r="EK60" s="240" t="s">
        <v>492</v>
      </c>
      <c r="EL60" s="240" t="s">
        <v>492</v>
      </c>
      <c r="EM60" s="240" t="s">
        <v>492</v>
      </c>
      <c r="EN60" s="240" t="s">
        <v>492</v>
      </c>
      <c r="EO60" s="240" t="s">
        <v>492</v>
      </c>
      <c r="EP60" s="240" t="s">
        <v>492</v>
      </c>
      <c r="EQ60" s="240" t="s">
        <v>492</v>
      </c>
      <c r="ER60" s="240" t="s">
        <v>492</v>
      </c>
      <c r="ES60" s="240" t="s">
        <v>231</v>
      </c>
      <c r="ET60" s="240" t="s">
        <v>231</v>
      </c>
      <c r="EU60" s="240" t="s">
        <v>231</v>
      </c>
      <c r="EV60" s="240" t="s">
        <v>231</v>
      </c>
      <c r="EW60" s="240" t="s">
        <v>231</v>
      </c>
      <c r="EX60" s="240" t="s">
        <v>231</v>
      </c>
      <c r="EY60" s="240" t="s">
        <v>231</v>
      </c>
      <c r="EZ60" s="240" t="s">
        <v>231</v>
      </c>
      <c r="FA60" s="240" t="s">
        <v>231</v>
      </c>
      <c r="FB60" s="240" t="s">
        <v>231</v>
      </c>
      <c r="FC60" s="240" t="s">
        <v>231</v>
      </c>
      <c r="FD60" s="240" t="s">
        <v>231</v>
      </c>
      <c r="FE60" s="240" t="s">
        <v>231</v>
      </c>
      <c r="FF60" s="240" t="s">
        <v>492</v>
      </c>
      <c r="FG60" s="240" t="s">
        <v>492</v>
      </c>
      <c r="FH60" s="240" t="s">
        <v>492</v>
      </c>
      <c r="FI60" s="240" t="s">
        <v>492</v>
      </c>
      <c r="FJ60" s="240" t="s">
        <v>492</v>
      </c>
      <c r="FK60" s="240" t="s">
        <v>492</v>
      </c>
      <c r="FL60" s="240" t="s">
        <v>492</v>
      </c>
      <c r="FM60" s="240" t="s">
        <v>231</v>
      </c>
      <c r="FN60" s="240" t="s">
        <v>492</v>
      </c>
      <c r="FO60" s="240" t="s">
        <v>493</v>
      </c>
      <c r="FP60" s="240" t="s">
        <v>492</v>
      </c>
      <c r="FQ60" s="240" t="s">
        <v>231</v>
      </c>
      <c r="FR60" s="240" t="s">
        <v>231</v>
      </c>
      <c r="FS60" s="240" t="s">
        <v>231</v>
      </c>
      <c r="FT60" s="240" t="s">
        <v>231</v>
      </c>
      <c r="FU60" s="240" t="s">
        <v>231</v>
      </c>
      <c r="FV60" s="240" t="s">
        <v>231</v>
      </c>
      <c r="FW60" s="240" t="s">
        <v>231</v>
      </c>
      <c r="FX60" s="240" t="s">
        <v>492</v>
      </c>
      <c r="FY60" s="240" t="s">
        <v>231</v>
      </c>
      <c r="FZ60" s="240" t="s">
        <v>231</v>
      </c>
      <c r="GA60" s="240" t="s">
        <v>231</v>
      </c>
      <c r="GB60" s="240" t="s">
        <v>231</v>
      </c>
      <c r="GC60" s="240" t="s">
        <v>231</v>
      </c>
      <c r="GD60" s="240" t="s">
        <v>231</v>
      </c>
      <c r="GE60" s="240" t="s">
        <v>231</v>
      </c>
      <c r="GF60" s="240" t="s">
        <v>231</v>
      </c>
      <c r="GG60" s="240" t="s">
        <v>231</v>
      </c>
      <c r="GH60" s="240" t="s">
        <v>231</v>
      </c>
      <c r="GI60" s="240" t="s">
        <v>231</v>
      </c>
      <c r="GJ60" s="240" t="s">
        <v>231</v>
      </c>
      <c r="GK60" s="240" t="s">
        <v>231</v>
      </c>
      <c r="GL60" s="240" t="s">
        <v>231</v>
      </c>
      <c r="GM60" s="240" t="s">
        <v>231</v>
      </c>
      <c r="GN60" s="240" t="s">
        <v>231</v>
      </c>
      <c r="GO60" s="240" t="s">
        <v>231</v>
      </c>
      <c r="GP60" s="240" t="s">
        <v>231</v>
      </c>
      <c r="GQ60" s="240" t="s">
        <v>231</v>
      </c>
      <c r="GR60" s="240" t="s">
        <v>231</v>
      </c>
      <c r="GS60" s="240" t="s">
        <v>231</v>
      </c>
      <c r="GT60" s="240" t="s">
        <v>231</v>
      </c>
      <c r="GU60" s="240" t="s">
        <v>492</v>
      </c>
      <c r="GV60" s="240" t="s">
        <v>492</v>
      </c>
      <c r="GW60" s="240" t="s">
        <v>661</v>
      </c>
      <c r="GX60" s="240" t="s">
        <v>231</v>
      </c>
      <c r="GY60" s="240" t="s">
        <v>492</v>
      </c>
      <c r="GZ60" s="240" t="s">
        <v>492</v>
      </c>
      <c r="HA60" s="240" t="s">
        <v>231</v>
      </c>
      <c r="HB60" s="240" t="s">
        <v>231</v>
      </c>
      <c r="HC60" s="240" t="s">
        <v>231</v>
      </c>
      <c r="HD60" s="240" t="s">
        <v>231</v>
      </c>
      <c r="HE60" s="240" t="s">
        <v>492</v>
      </c>
      <c r="HF60" s="240" t="s">
        <v>231</v>
      </c>
      <c r="HG60" s="240" t="s">
        <v>231</v>
      </c>
      <c r="HH60" s="240" t="s">
        <v>231</v>
      </c>
      <c r="HI60" s="240" t="s">
        <v>231</v>
      </c>
      <c r="HJ60" s="240" t="s">
        <v>231</v>
      </c>
      <c r="HK60" s="240" t="s">
        <v>231</v>
      </c>
      <c r="HL60" s="240" t="s">
        <v>231</v>
      </c>
      <c r="HM60" s="240" t="s">
        <v>231</v>
      </c>
      <c r="HN60" s="240" t="s">
        <v>661</v>
      </c>
      <c r="HO60" s="240" t="s">
        <v>231</v>
      </c>
      <c r="HP60" s="240" t="s">
        <v>492</v>
      </c>
      <c r="HQ60" s="240" t="s">
        <v>492</v>
      </c>
      <c r="HR60" s="240" t="s">
        <v>492</v>
      </c>
      <c r="HS60" s="240" t="s">
        <v>492</v>
      </c>
      <c r="HT60" s="240" t="s">
        <v>492</v>
      </c>
      <c r="HU60" s="240" t="s">
        <v>231</v>
      </c>
      <c r="HV60" s="240" t="s">
        <v>231</v>
      </c>
      <c r="HW60" s="240" t="s">
        <v>231</v>
      </c>
      <c r="HX60" s="240" t="s">
        <v>231</v>
      </c>
      <c r="HY60" s="240" t="s">
        <v>231</v>
      </c>
      <c r="HZ60" s="240" t="s">
        <v>231</v>
      </c>
      <c r="IA60" s="240" t="s">
        <v>231</v>
      </c>
      <c r="IB60" s="240" t="s">
        <v>231</v>
      </c>
      <c r="IC60" s="240" t="s">
        <v>231</v>
      </c>
      <c r="ID60" s="240" t="s">
        <v>231</v>
      </c>
      <c r="IE60" s="240" t="s">
        <v>231</v>
      </c>
      <c r="IF60" s="240" t="s">
        <v>231</v>
      </c>
      <c r="IG60" s="240" t="s">
        <v>231</v>
      </c>
      <c r="IH60" s="240" t="s">
        <v>231</v>
      </c>
      <c r="II60" s="240" t="s">
        <v>231</v>
      </c>
      <c r="IJ60" s="240" t="s">
        <v>231</v>
      </c>
      <c r="IK60" s="240" t="s">
        <v>231</v>
      </c>
      <c r="IL60" s="240" t="s">
        <v>231</v>
      </c>
      <c r="IM60" s="240" t="s">
        <v>231</v>
      </c>
      <c r="IN60" s="240" t="s">
        <v>231</v>
      </c>
      <c r="IO60" s="240" t="s">
        <v>220</v>
      </c>
      <c r="IP60" s="240" t="s">
        <v>493</v>
      </c>
      <c r="IQ60" s="240" t="s">
        <v>219</v>
      </c>
      <c r="IR60" s="240" t="s">
        <v>490</v>
      </c>
      <c r="IS60" s="240" t="s">
        <v>492</v>
      </c>
      <c r="IT60" s="240" t="s">
        <v>492</v>
      </c>
    </row>
    <row r="61" spans="1:254" ht="15" x14ac:dyDescent="0.25">
      <c r="A61" s="258" t="str">
        <f>HYPERLINK("http://www.ofsted.gov.uk/inspection-reports/find-inspection-report/provider/ELS/145292 ","Ofsted School Webpage")</f>
        <v>Ofsted School Webpage</v>
      </c>
      <c r="B61" s="237">
        <v>145292</v>
      </c>
      <c r="C61" s="237">
        <v>9096004</v>
      </c>
      <c r="D61" s="237" t="s">
        <v>662</v>
      </c>
      <c r="E61" s="237" t="s">
        <v>247</v>
      </c>
      <c r="F61" s="237" t="s">
        <v>482</v>
      </c>
      <c r="G61" s="237" t="s">
        <v>495</v>
      </c>
      <c r="H61" s="237" t="s">
        <v>495</v>
      </c>
      <c r="I61" s="237" t="s">
        <v>663</v>
      </c>
      <c r="J61" s="237" t="s">
        <v>664</v>
      </c>
      <c r="K61" s="237" t="s">
        <v>93</v>
      </c>
      <c r="L61" s="237" t="s">
        <v>74</v>
      </c>
      <c r="M61" s="237" t="s">
        <v>74</v>
      </c>
      <c r="N61" s="237" t="s">
        <v>71</v>
      </c>
      <c r="O61" s="237" t="s">
        <v>486</v>
      </c>
      <c r="P61" s="237" t="s">
        <v>487</v>
      </c>
      <c r="Q61" s="238">
        <v>10053745</v>
      </c>
      <c r="R61" s="239">
        <v>43389</v>
      </c>
      <c r="S61" s="239">
        <v>43391</v>
      </c>
      <c r="T61" s="239">
        <v>43420</v>
      </c>
      <c r="U61" s="237" t="s">
        <v>499</v>
      </c>
      <c r="V61" s="237" t="s">
        <v>489</v>
      </c>
      <c r="W61" s="237">
        <v>2</v>
      </c>
      <c r="X61" s="237">
        <v>2</v>
      </c>
      <c r="Y61" s="237">
        <v>2</v>
      </c>
      <c r="Z61" s="237">
        <v>2</v>
      </c>
      <c r="AA61" s="237">
        <v>2</v>
      </c>
      <c r="AB61" s="237" t="s">
        <v>486</v>
      </c>
      <c r="AC61" s="237" t="s">
        <v>486</v>
      </c>
      <c r="AD61" s="237" t="s">
        <v>219</v>
      </c>
      <c r="AE61" s="237" t="s">
        <v>490</v>
      </c>
      <c r="AF61" s="237" t="s">
        <v>486</v>
      </c>
      <c r="AG61" s="237" t="s">
        <v>486</v>
      </c>
      <c r="AH61" s="237" t="s">
        <v>486</v>
      </c>
      <c r="AI61" s="237" t="s">
        <v>486</v>
      </c>
      <c r="AJ61" s="237" t="s">
        <v>486</v>
      </c>
      <c r="AK61" s="237" t="s">
        <v>486</v>
      </c>
      <c r="AL61" s="237" t="s">
        <v>486</v>
      </c>
      <c r="AM61" s="237" t="s">
        <v>491</v>
      </c>
      <c r="AN61" s="237" t="s">
        <v>231</v>
      </c>
      <c r="AO61" s="237" t="s">
        <v>231</v>
      </c>
      <c r="AP61" s="237" t="s">
        <v>231</v>
      </c>
      <c r="AQ61" s="237" t="s">
        <v>231</v>
      </c>
      <c r="AR61" s="237" t="s">
        <v>231</v>
      </c>
      <c r="AS61" s="237" t="s">
        <v>231</v>
      </c>
      <c r="AT61" s="237" t="s">
        <v>231</v>
      </c>
      <c r="AU61" s="237" t="s">
        <v>231</v>
      </c>
      <c r="AV61" s="237" t="s">
        <v>231</v>
      </c>
      <c r="AW61" s="237" t="s">
        <v>231</v>
      </c>
      <c r="AX61" s="237" t="s">
        <v>231</v>
      </c>
      <c r="AY61" s="237" t="s">
        <v>231</v>
      </c>
      <c r="AZ61" s="237" t="s">
        <v>231</v>
      </c>
      <c r="BA61" s="237" t="s">
        <v>231</v>
      </c>
      <c r="BB61" s="237" t="s">
        <v>231</v>
      </c>
      <c r="BC61" s="237" t="s">
        <v>231</v>
      </c>
      <c r="BD61" s="237" t="s">
        <v>231</v>
      </c>
      <c r="BE61" s="237" t="s">
        <v>231</v>
      </c>
      <c r="BF61" s="237" t="s">
        <v>231</v>
      </c>
      <c r="BG61" s="237" t="s">
        <v>231</v>
      </c>
      <c r="BH61" s="237" t="s">
        <v>231</v>
      </c>
      <c r="BI61" s="237" t="s">
        <v>231</v>
      </c>
      <c r="BJ61" s="237" t="s">
        <v>231</v>
      </c>
      <c r="BK61" s="237" t="s">
        <v>231</v>
      </c>
      <c r="BL61" s="237" t="s">
        <v>492</v>
      </c>
      <c r="BM61" s="237" t="s">
        <v>492</v>
      </c>
      <c r="BN61" s="237" t="s">
        <v>231</v>
      </c>
      <c r="BO61" s="237" t="s">
        <v>231</v>
      </c>
      <c r="BP61" s="237" t="s">
        <v>231</v>
      </c>
      <c r="BQ61" s="237" t="s">
        <v>231</v>
      </c>
      <c r="BR61" s="237" t="s">
        <v>231</v>
      </c>
      <c r="BS61" s="237" t="s">
        <v>231</v>
      </c>
      <c r="BT61" s="237" t="s">
        <v>231</v>
      </c>
      <c r="BU61" s="237" t="s">
        <v>231</v>
      </c>
      <c r="BV61" s="237" t="s">
        <v>231</v>
      </c>
      <c r="BW61" s="237" t="s">
        <v>231</v>
      </c>
      <c r="BX61" s="237" t="s">
        <v>231</v>
      </c>
      <c r="BY61" s="237" t="s">
        <v>231</v>
      </c>
      <c r="BZ61" s="237" t="s">
        <v>231</v>
      </c>
      <c r="CA61" s="237" t="s">
        <v>231</v>
      </c>
      <c r="CB61" s="237" t="s">
        <v>231</v>
      </c>
      <c r="CC61" s="237" t="s">
        <v>231</v>
      </c>
      <c r="CD61" s="237" t="s">
        <v>231</v>
      </c>
      <c r="CE61" s="237" t="s">
        <v>231</v>
      </c>
      <c r="CF61" s="237" t="s">
        <v>231</v>
      </c>
      <c r="CG61" s="237" t="s">
        <v>231</v>
      </c>
      <c r="CH61" s="237" t="s">
        <v>231</v>
      </c>
      <c r="CI61" s="237" t="s">
        <v>231</v>
      </c>
      <c r="CJ61" s="237" t="s">
        <v>231</v>
      </c>
      <c r="CK61" s="237" t="s">
        <v>231</v>
      </c>
      <c r="CL61" s="237" t="s">
        <v>231</v>
      </c>
      <c r="CM61" s="237" t="s">
        <v>231</v>
      </c>
      <c r="CN61" s="237" t="s">
        <v>231</v>
      </c>
      <c r="CO61" s="237" t="s">
        <v>231</v>
      </c>
      <c r="CP61" s="237" t="s">
        <v>231</v>
      </c>
      <c r="CQ61" s="237" t="s">
        <v>231</v>
      </c>
      <c r="CR61" s="237" t="s">
        <v>231</v>
      </c>
      <c r="CS61" s="237" t="s">
        <v>231</v>
      </c>
      <c r="CT61" s="237" t="s">
        <v>492</v>
      </c>
      <c r="CU61" s="237" t="s">
        <v>492</v>
      </c>
      <c r="CV61" s="237" t="s">
        <v>492</v>
      </c>
      <c r="CW61" s="237" t="s">
        <v>231</v>
      </c>
      <c r="CX61" s="237" t="s">
        <v>231</v>
      </c>
      <c r="CY61" s="237" t="s">
        <v>231</v>
      </c>
      <c r="CZ61" s="237" t="s">
        <v>231</v>
      </c>
      <c r="DA61" s="237" t="s">
        <v>231</v>
      </c>
      <c r="DB61" s="237" t="s">
        <v>231</v>
      </c>
      <c r="DC61" s="237" t="s">
        <v>231</v>
      </c>
      <c r="DD61" s="237" t="s">
        <v>231</v>
      </c>
      <c r="DE61" s="237" t="s">
        <v>231</v>
      </c>
      <c r="DF61" s="237" t="s">
        <v>231</v>
      </c>
      <c r="DG61" s="237" t="s">
        <v>231</v>
      </c>
      <c r="DH61" s="237" t="s">
        <v>231</v>
      </c>
      <c r="DI61" s="237" t="s">
        <v>231</v>
      </c>
      <c r="DJ61" s="237" t="s">
        <v>231</v>
      </c>
      <c r="DK61" s="237" t="s">
        <v>231</v>
      </c>
      <c r="DL61" s="237" t="s">
        <v>231</v>
      </c>
      <c r="DM61" s="237" t="s">
        <v>231</v>
      </c>
      <c r="DN61" s="237" t="s">
        <v>231</v>
      </c>
      <c r="DO61" s="237" t="s">
        <v>231</v>
      </c>
      <c r="DP61" s="237" t="s">
        <v>231</v>
      </c>
      <c r="DQ61" s="237" t="s">
        <v>231</v>
      </c>
      <c r="DR61" s="237" t="s">
        <v>231</v>
      </c>
      <c r="DS61" s="237" t="s">
        <v>231</v>
      </c>
      <c r="DT61" s="237" t="s">
        <v>492</v>
      </c>
      <c r="DU61" s="237" t="s">
        <v>231</v>
      </c>
      <c r="DV61" s="237" t="s">
        <v>492</v>
      </c>
      <c r="DW61" s="237" t="s">
        <v>492</v>
      </c>
      <c r="DX61" s="237" t="s">
        <v>492</v>
      </c>
      <c r="DY61" s="237" t="s">
        <v>492</v>
      </c>
      <c r="DZ61" s="237" t="s">
        <v>492</v>
      </c>
      <c r="EA61" s="237" t="s">
        <v>492</v>
      </c>
      <c r="EB61" s="237" t="s">
        <v>492</v>
      </c>
      <c r="EC61" s="237" t="s">
        <v>492</v>
      </c>
      <c r="ED61" s="237" t="s">
        <v>492</v>
      </c>
      <c r="EE61" s="237" t="s">
        <v>492</v>
      </c>
      <c r="EF61" s="237" t="s">
        <v>492</v>
      </c>
      <c r="EG61" s="237" t="s">
        <v>492</v>
      </c>
      <c r="EH61" s="237" t="s">
        <v>492</v>
      </c>
      <c r="EI61" s="237" t="s">
        <v>231</v>
      </c>
      <c r="EJ61" s="237" t="s">
        <v>231</v>
      </c>
      <c r="EK61" s="237" t="s">
        <v>231</v>
      </c>
      <c r="EL61" s="237" t="s">
        <v>231</v>
      </c>
      <c r="EM61" s="237" t="s">
        <v>231</v>
      </c>
      <c r="EN61" s="237" t="s">
        <v>231</v>
      </c>
      <c r="EO61" s="237" t="s">
        <v>231</v>
      </c>
      <c r="EP61" s="237" t="s">
        <v>231</v>
      </c>
      <c r="EQ61" s="237" t="s">
        <v>231</v>
      </c>
      <c r="ER61" s="237" t="s">
        <v>231</v>
      </c>
      <c r="ES61" s="237" t="s">
        <v>231</v>
      </c>
      <c r="ET61" s="237" t="s">
        <v>231</v>
      </c>
      <c r="EU61" s="237" t="s">
        <v>231</v>
      </c>
      <c r="EV61" s="237" t="s">
        <v>231</v>
      </c>
      <c r="EW61" s="237" t="s">
        <v>231</v>
      </c>
      <c r="EX61" s="237" t="s">
        <v>231</v>
      </c>
      <c r="EY61" s="237" t="s">
        <v>231</v>
      </c>
      <c r="EZ61" s="237" t="s">
        <v>231</v>
      </c>
      <c r="FA61" s="237" t="s">
        <v>231</v>
      </c>
      <c r="FB61" s="237" t="s">
        <v>231</v>
      </c>
      <c r="FC61" s="237" t="s">
        <v>231</v>
      </c>
      <c r="FD61" s="237" t="s">
        <v>231</v>
      </c>
      <c r="FE61" s="237" t="s">
        <v>231</v>
      </c>
      <c r="FF61" s="237" t="s">
        <v>492</v>
      </c>
      <c r="FG61" s="237" t="s">
        <v>492</v>
      </c>
      <c r="FH61" s="237" t="s">
        <v>492</v>
      </c>
      <c r="FI61" s="237" t="s">
        <v>492</v>
      </c>
      <c r="FJ61" s="237" t="s">
        <v>492</v>
      </c>
      <c r="FK61" s="237" t="s">
        <v>492</v>
      </c>
      <c r="FL61" s="237" t="s">
        <v>492</v>
      </c>
      <c r="FM61" s="237" t="s">
        <v>231</v>
      </c>
      <c r="FN61" s="237" t="s">
        <v>231</v>
      </c>
      <c r="FO61" s="237" t="s">
        <v>231</v>
      </c>
      <c r="FP61" s="237" t="s">
        <v>231</v>
      </c>
      <c r="FQ61" s="237" t="s">
        <v>231</v>
      </c>
      <c r="FR61" s="237" t="s">
        <v>231</v>
      </c>
      <c r="FS61" s="237" t="s">
        <v>231</v>
      </c>
      <c r="FT61" s="237" t="s">
        <v>231</v>
      </c>
      <c r="FU61" s="237" t="s">
        <v>231</v>
      </c>
      <c r="FV61" s="237" t="s">
        <v>231</v>
      </c>
      <c r="FW61" s="237" t="s">
        <v>231</v>
      </c>
      <c r="FX61" s="237" t="s">
        <v>231</v>
      </c>
      <c r="FY61" s="237" t="s">
        <v>231</v>
      </c>
      <c r="FZ61" s="237" t="s">
        <v>231</v>
      </c>
      <c r="GA61" s="237" t="s">
        <v>231</v>
      </c>
      <c r="GB61" s="237" t="s">
        <v>231</v>
      </c>
      <c r="GC61" s="237" t="s">
        <v>231</v>
      </c>
      <c r="GD61" s="237" t="s">
        <v>231</v>
      </c>
      <c r="GE61" s="237" t="s">
        <v>231</v>
      </c>
      <c r="GF61" s="237" t="s">
        <v>231</v>
      </c>
      <c r="GG61" s="237" t="s">
        <v>231</v>
      </c>
      <c r="GH61" s="237" t="s">
        <v>231</v>
      </c>
      <c r="GI61" s="237" t="s">
        <v>231</v>
      </c>
      <c r="GJ61" s="237" t="s">
        <v>231</v>
      </c>
      <c r="GK61" s="237" t="s">
        <v>231</v>
      </c>
      <c r="GL61" s="237" t="s">
        <v>231</v>
      </c>
      <c r="GM61" s="237" t="s">
        <v>231</v>
      </c>
      <c r="GN61" s="237" t="s">
        <v>231</v>
      </c>
      <c r="GO61" s="237" t="s">
        <v>231</v>
      </c>
      <c r="GP61" s="237" t="s">
        <v>492</v>
      </c>
      <c r="GQ61" s="237" t="s">
        <v>231</v>
      </c>
      <c r="GR61" s="237" t="s">
        <v>231</v>
      </c>
      <c r="GS61" s="237" t="s">
        <v>231</v>
      </c>
      <c r="GT61" s="237" t="s">
        <v>231</v>
      </c>
      <c r="GU61" s="237" t="s">
        <v>492</v>
      </c>
      <c r="GV61" s="237" t="s">
        <v>492</v>
      </c>
      <c r="GW61" s="237" t="s">
        <v>231</v>
      </c>
      <c r="GX61" s="237" t="s">
        <v>231</v>
      </c>
      <c r="GY61" s="237" t="s">
        <v>492</v>
      </c>
      <c r="GZ61" s="237" t="s">
        <v>492</v>
      </c>
      <c r="HA61" s="237" t="s">
        <v>231</v>
      </c>
      <c r="HB61" s="237" t="s">
        <v>231</v>
      </c>
      <c r="HC61" s="237" t="s">
        <v>231</v>
      </c>
      <c r="HD61" s="237" t="s">
        <v>231</v>
      </c>
      <c r="HE61" s="237" t="s">
        <v>231</v>
      </c>
      <c r="HF61" s="237" t="s">
        <v>231</v>
      </c>
      <c r="HG61" s="237" t="s">
        <v>231</v>
      </c>
      <c r="HH61" s="237" t="s">
        <v>231</v>
      </c>
      <c r="HI61" s="237" t="s">
        <v>231</v>
      </c>
      <c r="HJ61" s="237" t="s">
        <v>231</v>
      </c>
      <c r="HK61" s="237" t="s">
        <v>231</v>
      </c>
      <c r="HL61" s="237" t="s">
        <v>231</v>
      </c>
      <c r="HM61" s="237" t="s">
        <v>231</v>
      </c>
      <c r="HN61" s="237" t="s">
        <v>231</v>
      </c>
      <c r="HO61" s="237" t="s">
        <v>231</v>
      </c>
      <c r="HP61" s="237" t="s">
        <v>231</v>
      </c>
      <c r="HQ61" s="237" t="s">
        <v>492</v>
      </c>
      <c r="HR61" s="237" t="s">
        <v>492</v>
      </c>
      <c r="HS61" s="237" t="s">
        <v>492</v>
      </c>
      <c r="HT61" s="237" t="s">
        <v>492</v>
      </c>
      <c r="HU61" s="237" t="s">
        <v>231</v>
      </c>
      <c r="HV61" s="237" t="s">
        <v>231</v>
      </c>
      <c r="HW61" s="237" t="s">
        <v>231</v>
      </c>
      <c r="HX61" s="237" t="s">
        <v>231</v>
      </c>
      <c r="HY61" s="237" t="s">
        <v>231</v>
      </c>
      <c r="HZ61" s="237" t="s">
        <v>231</v>
      </c>
      <c r="IA61" s="237" t="s">
        <v>231</v>
      </c>
      <c r="IB61" s="237" t="s">
        <v>231</v>
      </c>
      <c r="IC61" s="237" t="s">
        <v>231</v>
      </c>
      <c r="ID61" s="237" t="s">
        <v>231</v>
      </c>
      <c r="IE61" s="237" t="s">
        <v>231</v>
      </c>
      <c r="IF61" s="237" t="s">
        <v>231</v>
      </c>
      <c r="IG61" s="237" t="s">
        <v>231</v>
      </c>
      <c r="IH61" s="237" t="s">
        <v>231</v>
      </c>
      <c r="II61" s="237" t="s">
        <v>231</v>
      </c>
      <c r="IJ61" s="237" t="s">
        <v>231</v>
      </c>
      <c r="IK61" s="237" t="s">
        <v>231</v>
      </c>
      <c r="IL61" s="237" t="s">
        <v>231</v>
      </c>
      <c r="IM61" s="237" t="s">
        <v>231</v>
      </c>
      <c r="IN61" s="237" t="s">
        <v>231</v>
      </c>
      <c r="IO61" s="237" t="s">
        <v>220</v>
      </c>
      <c r="IP61" s="237" t="s">
        <v>493</v>
      </c>
      <c r="IQ61" s="237" t="s">
        <v>219</v>
      </c>
      <c r="IR61" s="237" t="s">
        <v>490</v>
      </c>
      <c r="IS61" s="237" t="s">
        <v>492</v>
      </c>
      <c r="IT61" s="237" t="s">
        <v>492</v>
      </c>
    </row>
    <row r="62" spans="1:254" ht="15" x14ac:dyDescent="0.25">
      <c r="A62" s="259" t="str">
        <f>HYPERLINK("http://www.ofsted.gov.uk/inspection-reports/find-inspection-report/provider/ELS/145478 ","Ofsted School Webpage")</f>
        <v>Ofsted School Webpage</v>
      </c>
      <c r="B62" s="240">
        <v>145478</v>
      </c>
      <c r="C62" s="240">
        <v>8936035</v>
      </c>
      <c r="D62" s="240" t="s">
        <v>665</v>
      </c>
      <c r="E62" s="240" t="s">
        <v>247</v>
      </c>
      <c r="F62" s="240" t="s">
        <v>482</v>
      </c>
      <c r="G62" s="240" t="s">
        <v>502</v>
      </c>
      <c r="H62" s="240" t="s">
        <v>502</v>
      </c>
      <c r="I62" s="240" t="s">
        <v>666</v>
      </c>
      <c r="J62" s="240" t="s">
        <v>667</v>
      </c>
      <c r="K62" s="240" t="s">
        <v>93</v>
      </c>
      <c r="L62" s="240" t="s">
        <v>93</v>
      </c>
      <c r="M62" s="240" t="s">
        <v>93</v>
      </c>
      <c r="N62" s="240" t="s">
        <v>90</v>
      </c>
      <c r="O62" s="240" t="s">
        <v>486</v>
      </c>
      <c r="P62" s="240" t="s">
        <v>487</v>
      </c>
      <c r="Q62" s="241">
        <v>10056210</v>
      </c>
      <c r="R62" s="242">
        <v>43396</v>
      </c>
      <c r="S62" s="242">
        <v>43397</v>
      </c>
      <c r="T62" s="242">
        <v>43423</v>
      </c>
      <c r="U62" s="240" t="s">
        <v>499</v>
      </c>
      <c r="V62" s="240" t="s">
        <v>489</v>
      </c>
      <c r="W62" s="240">
        <v>1</v>
      </c>
      <c r="X62" s="240">
        <v>1</v>
      </c>
      <c r="Y62" s="240">
        <v>1</v>
      </c>
      <c r="Z62" s="240">
        <v>1</v>
      </c>
      <c r="AA62" s="240">
        <v>2</v>
      </c>
      <c r="AB62" s="240" t="s">
        <v>486</v>
      </c>
      <c r="AC62" s="240" t="s">
        <v>486</v>
      </c>
      <c r="AD62" s="240" t="s">
        <v>219</v>
      </c>
      <c r="AE62" s="240" t="s">
        <v>490</v>
      </c>
      <c r="AF62" s="240" t="s">
        <v>486</v>
      </c>
      <c r="AG62" s="240" t="s">
        <v>486</v>
      </c>
      <c r="AH62" s="240" t="s">
        <v>486</v>
      </c>
      <c r="AI62" s="240" t="s">
        <v>486</v>
      </c>
      <c r="AJ62" s="240" t="s">
        <v>486</v>
      </c>
      <c r="AK62" s="240" t="s">
        <v>486</v>
      </c>
      <c r="AL62" s="240" t="s">
        <v>486</v>
      </c>
      <c r="AM62" s="240" t="s">
        <v>491</v>
      </c>
      <c r="AN62" s="240" t="s">
        <v>231</v>
      </c>
      <c r="AO62" s="240" t="s">
        <v>231</v>
      </c>
      <c r="AP62" s="240" t="s">
        <v>231</v>
      </c>
      <c r="AQ62" s="240" t="s">
        <v>231</v>
      </c>
      <c r="AR62" s="240" t="s">
        <v>231</v>
      </c>
      <c r="AS62" s="240" t="s">
        <v>231</v>
      </c>
      <c r="AT62" s="240" t="s">
        <v>231</v>
      </c>
      <c r="AU62" s="240" t="s">
        <v>231</v>
      </c>
      <c r="AV62" s="240" t="s">
        <v>231</v>
      </c>
      <c r="AW62" s="240" t="s">
        <v>231</v>
      </c>
      <c r="AX62" s="240" t="s">
        <v>231</v>
      </c>
      <c r="AY62" s="240" t="s">
        <v>231</v>
      </c>
      <c r="AZ62" s="240" t="s">
        <v>231</v>
      </c>
      <c r="BA62" s="240" t="s">
        <v>231</v>
      </c>
      <c r="BB62" s="240" t="s">
        <v>231</v>
      </c>
      <c r="BC62" s="240" t="s">
        <v>231</v>
      </c>
      <c r="BD62" s="240" t="s">
        <v>492</v>
      </c>
      <c r="BE62" s="240" t="s">
        <v>231</v>
      </c>
      <c r="BF62" s="240" t="s">
        <v>231</v>
      </c>
      <c r="BG62" s="240" t="s">
        <v>231</v>
      </c>
      <c r="BH62" s="240" t="s">
        <v>492</v>
      </c>
      <c r="BI62" s="240" t="s">
        <v>492</v>
      </c>
      <c r="BJ62" s="240" t="s">
        <v>492</v>
      </c>
      <c r="BK62" s="240" t="s">
        <v>492</v>
      </c>
      <c r="BL62" s="240" t="s">
        <v>231</v>
      </c>
      <c r="BM62" s="240" t="s">
        <v>492</v>
      </c>
      <c r="BN62" s="240" t="s">
        <v>231</v>
      </c>
      <c r="BO62" s="240" t="s">
        <v>231</v>
      </c>
      <c r="BP62" s="240" t="s">
        <v>231</v>
      </c>
      <c r="BQ62" s="240" t="s">
        <v>231</v>
      </c>
      <c r="BR62" s="240" t="s">
        <v>231</v>
      </c>
      <c r="BS62" s="240" t="s">
        <v>231</v>
      </c>
      <c r="BT62" s="240" t="s">
        <v>231</v>
      </c>
      <c r="BU62" s="240" t="s">
        <v>231</v>
      </c>
      <c r="BV62" s="240" t="s">
        <v>231</v>
      </c>
      <c r="BW62" s="240" t="s">
        <v>231</v>
      </c>
      <c r="BX62" s="240" t="s">
        <v>231</v>
      </c>
      <c r="BY62" s="240" t="s">
        <v>231</v>
      </c>
      <c r="BZ62" s="240" t="s">
        <v>231</v>
      </c>
      <c r="CA62" s="240" t="s">
        <v>231</v>
      </c>
      <c r="CB62" s="240" t="s">
        <v>231</v>
      </c>
      <c r="CC62" s="240" t="s">
        <v>231</v>
      </c>
      <c r="CD62" s="240" t="s">
        <v>231</v>
      </c>
      <c r="CE62" s="240" t="s">
        <v>231</v>
      </c>
      <c r="CF62" s="240" t="s">
        <v>231</v>
      </c>
      <c r="CG62" s="240" t="s">
        <v>231</v>
      </c>
      <c r="CH62" s="240" t="s">
        <v>231</v>
      </c>
      <c r="CI62" s="240" t="s">
        <v>231</v>
      </c>
      <c r="CJ62" s="240" t="s">
        <v>231</v>
      </c>
      <c r="CK62" s="240" t="s">
        <v>231</v>
      </c>
      <c r="CL62" s="240" t="s">
        <v>231</v>
      </c>
      <c r="CM62" s="240" t="s">
        <v>231</v>
      </c>
      <c r="CN62" s="240" t="s">
        <v>231</v>
      </c>
      <c r="CO62" s="240" t="s">
        <v>231</v>
      </c>
      <c r="CP62" s="240" t="s">
        <v>231</v>
      </c>
      <c r="CQ62" s="240" t="s">
        <v>231</v>
      </c>
      <c r="CR62" s="240" t="s">
        <v>231</v>
      </c>
      <c r="CS62" s="240" t="s">
        <v>231</v>
      </c>
      <c r="CT62" s="240" t="s">
        <v>492</v>
      </c>
      <c r="CU62" s="240" t="s">
        <v>492</v>
      </c>
      <c r="CV62" s="240" t="s">
        <v>492</v>
      </c>
      <c r="CW62" s="240" t="s">
        <v>231</v>
      </c>
      <c r="CX62" s="240" t="s">
        <v>231</v>
      </c>
      <c r="CY62" s="240" t="s">
        <v>231</v>
      </c>
      <c r="CZ62" s="240" t="s">
        <v>231</v>
      </c>
      <c r="DA62" s="240" t="s">
        <v>231</v>
      </c>
      <c r="DB62" s="240" t="s">
        <v>231</v>
      </c>
      <c r="DC62" s="240" t="s">
        <v>231</v>
      </c>
      <c r="DD62" s="240" t="s">
        <v>231</v>
      </c>
      <c r="DE62" s="240" t="s">
        <v>231</v>
      </c>
      <c r="DF62" s="240" t="s">
        <v>231</v>
      </c>
      <c r="DG62" s="240" t="s">
        <v>231</v>
      </c>
      <c r="DH62" s="240" t="s">
        <v>231</v>
      </c>
      <c r="DI62" s="240" t="s">
        <v>231</v>
      </c>
      <c r="DJ62" s="240" t="s">
        <v>231</v>
      </c>
      <c r="DK62" s="240" t="s">
        <v>231</v>
      </c>
      <c r="DL62" s="240" t="s">
        <v>231</v>
      </c>
      <c r="DM62" s="240" t="s">
        <v>231</v>
      </c>
      <c r="DN62" s="240" t="s">
        <v>231</v>
      </c>
      <c r="DO62" s="240" t="s">
        <v>231</v>
      </c>
      <c r="DP62" s="240" t="s">
        <v>231</v>
      </c>
      <c r="DQ62" s="240" t="s">
        <v>231</v>
      </c>
      <c r="DR62" s="240" t="s">
        <v>231</v>
      </c>
      <c r="DS62" s="240" t="s">
        <v>231</v>
      </c>
      <c r="DT62" s="240" t="s">
        <v>492</v>
      </c>
      <c r="DU62" s="240" t="s">
        <v>231</v>
      </c>
      <c r="DV62" s="240" t="s">
        <v>492</v>
      </c>
      <c r="DW62" s="240" t="s">
        <v>492</v>
      </c>
      <c r="DX62" s="240" t="s">
        <v>492</v>
      </c>
      <c r="DY62" s="240" t="s">
        <v>492</v>
      </c>
      <c r="DZ62" s="240" t="s">
        <v>492</v>
      </c>
      <c r="EA62" s="240" t="s">
        <v>492</v>
      </c>
      <c r="EB62" s="240" t="s">
        <v>492</v>
      </c>
      <c r="EC62" s="240" t="s">
        <v>492</v>
      </c>
      <c r="ED62" s="240" t="s">
        <v>492</v>
      </c>
      <c r="EE62" s="240" t="s">
        <v>492</v>
      </c>
      <c r="EF62" s="240" t="s">
        <v>492</v>
      </c>
      <c r="EG62" s="240" t="s">
        <v>492</v>
      </c>
      <c r="EH62" s="240" t="s">
        <v>492</v>
      </c>
      <c r="EI62" s="240" t="s">
        <v>492</v>
      </c>
      <c r="EJ62" s="240" t="s">
        <v>492</v>
      </c>
      <c r="EK62" s="240" t="s">
        <v>492</v>
      </c>
      <c r="EL62" s="240" t="s">
        <v>492</v>
      </c>
      <c r="EM62" s="240" t="s">
        <v>492</v>
      </c>
      <c r="EN62" s="240" t="s">
        <v>492</v>
      </c>
      <c r="EO62" s="240" t="s">
        <v>492</v>
      </c>
      <c r="EP62" s="240" t="s">
        <v>492</v>
      </c>
      <c r="EQ62" s="240" t="s">
        <v>492</v>
      </c>
      <c r="ER62" s="240" t="s">
        <v>492</v>
      </c>
      <c r="ES62" s="240" t="s">
        <v>231</v>
      </c>
      <c r="ET62" s="240" t="s">
        <v>231</v>
      </c>
      <c r="EU62" s="240" t="s">
        <v>231</v>
      </c>
      <c r="EV62" s="240" t="s">
        <v>231</v>
      </c>
      <c r="EW62" s="240" t="s">
        <v>231</v>
      </c>
      <c r="EX62" s="240" t="s">
        <v>231</v>
      </c>
      <c r="EY62" s="240" t="s">
        <v>231</v>
      </c>
      <c r="EZ62" s="240" t="s">
        <v>231</v>
      </c>
      <c r="FA62" s="240" t="s">
        <v>231</v>
      </c>
      <c r="FB62" s="240" t="s">
        <v>231</v>
      </c>
      <c r="FC62" s="240" t="s">
        <v>231</v>
      </c>
      <c r="FD62" s="240" t="s">
        <v>231</v>
      </c>
      <c r="FE62" s="240" t="s">
        <v>231</v>
      </c>
      <c r="FF62" s="240" t="s">
        <v>492</v>
      </c>
      <c r="FG62" s="240" t="s">
        <v>492</v>
      </c>
      <c r="FH62" s="240" t="s">
        <v>492</v>
      </c>
      <c r="FI62" s="240" t="s">
        <v>492</v>
      </c>
      <c r="FJ62" s="240" t="s">
        <v>492</v>
      </c>
      <c r="FK62" s="240" t="s">
        <v>492</v>
      </c>
      <c r="FL62" s="240" t="s">
        <v>492</v>
      </c>
      <c r="FM62" s="240" t="s">
        <v>492</v>
      </c>
      <c r="FN62" s="240" t="s">
        <v>492</v>
      </c>
      <c r="FO62" s="240" t="s">
        <v>493</v>
      </c>
      <c r="FP62" s="240" t="s">
        <v>492</v>
      </c>
      <c r="FQ62" s="240" t="s">
        <v>231</v>
      </c>
      <c r="FR62" s="240" t="s">
        <v>231</v>
      </c>
      <c r="FS62" s="240" t="s">
        <v>492</v>
      </c>
      <c r="FT62" s="240" t="s">
        <v>492</v>
      </c>
      <c r="FU62" s="240" t="s">
        <v>231</v>
      </c>
      <c r="FV62" s="240" t="s">
        <v>231</v>
      </c>
      <c r="FW62" s="240" t="s">
        <v>231</v>
      </c>
      <c r="FX62" s="240" t="s">
        <v>492</v>
      </c>
      <c r="FY62" s="240" t="s">
        <v>492</v>
      </c>
      <c r="FZ62" s="240" t="s">
        <v>231</v>
      </c>
      <c r="GA62" s="240" t="s">
        <v>231</v>
      </c>
      <c r="GB62" s="240" t="s">
        <v>231</v>
      </c>
      <c r="GC62" s="240" t="s">
        <v>231</v>
      </c>
      <c r="GD62" s="240" t="s">
        <v>231</v>
      </c>
      <c r="GE62" s="240" t="s">
        <v>231</v>
      </c>
      <c r="GF62" s="240" t="s">
        <v>231</v>
      </c>
      <c r="GG62" s="240" t="s">
        <v>231</v>
      </c>
      <c r="GH62" s="240" t="s">
        <v>231</v>
      </c>
      <c r="GI62" s="240" t="s">
        <v>231</v>
      </c>
      <c r="GJ62" s="240" t="s">
        <v>231</v>
      </c>
      <c r="GK62" s="240" t="s">
        <v>231</v>
      </c>
      <c r="GL62" s="240" t="s">
        <v>231</v>
      </c>
      <c r="GM62" s="240" t="s">
        <v>231</v>
      </c>
      <c r="GN62" s="240" t="s">
        <v>231</v>
      </c>
      <c r="GO62" s="240" t="s">
        <v>231</v>
      </c>
      <c r="GP62" s="240" t="s">
        <v>492</v>
      </c>
      <c r="GQ62" s="240" t="s">
        <v>231</v>
      </c>
      <c r="GR62" s="240" t="s">
        <v>231</v>
      </c>
      <c r="GS62" s="240" t="s">
        <v>231</v>
      </c>
      <c r="GT62" s="240" t="s">
        <v>231</v>
      </c>
      <c r="GU62" s="240" t="s">
        <v>492</v>
      </c>
      <c r="GV62" s="240" t="s">
        <v>492</v>
      </c>
      <c r="GW62" s="240" t="s">
        <v>231</v>
      </c>
      <c r="GX62" s="240" t="s">
        <v>231</v>
      </c>
      <c r="GY62" s="240" t="s">
        <v>492</v>
      </c>
      <c r="GZ62" s="240" t="s">
        <v>492</v>
      </c>
      <c r="HA62" s="240" t="s">
        <v>231</v>
      </c>
      <c r="HB62" s="240" t="s">
        <v>231</v>
      </c>
      <c r="HC62" s="240" t="s">
        <v>231</v>
      </c>
      <c r="HD62" s="240" t="s">
        <v>231</v>
      </c>
      <c r="HE62" s="240" t="s">
        <v>231</v>
      </c>
      <c r="HF62" s="240" t="s">
        <v>492</v>
      </c>
      <c r="HG62" s="240" t="s">
        <v>492</v>
      </c>
      <c r="HH62" s="240" t="s">
        <v>231</v>
      </c>
      <c r="HI62" s="240" t="s">
        <v>231</v>
      </c>
      <c r="HJ62" s="240" t="s">
        <v>231</v>
      </c>
      <c r="HK62" s="240" t="s">
        <v>231</v>
      </c>
      <c r="HL62" s="240" t="s">
        <v>231</v>
      </c>
      <c r="HM62" s="240" t="s">
        <v>231</v>
      </c>
      <c r="HN62" s="240" t="s">
        <v>231</v>
      </c>
      <c r="HO62" s="240" t="s">
        <v>231</v>
      </c>
      <c r="HP62" s="240" t="s">
        <v>492</v>
      </c>
      <c r="HQ62" s="240" t="s">
        <v>492</v>
      </c>
      <c r="HR62" s="240" t="s">
        <v>492</v>
      </c>
      <c r="HS62" s="240" t="s">
        <v>492</v>
      </c>
      <c r="HT62" s="240" t="s">
        <v>492</v>
      </c>
      <c r="HU62" s="240" t="s">
        <v>231</v>
      </c>
      <c r="HV62" s="240" t="s">
        <v>231</v>
      </c>
      <c r="HW62" s="240" t="s">
        <v>231</v>
      </c>
      <c r="HX62" s="240" t="s">
        <v>231</v>
      </c>
      <c r="HY62" s="240" t="s">
        <v>231</v>
      </c>
      <c r="HZ62" s="240" t="s">
        <v>231</v>
      </c>
      <c r="IA62" s="240" t="s">
        <v>231</v>
      </c>
      <c r="IB62" s="240" t="s">
        <v>231</v>
      </c>
      <c r="IC62" s="240" t="s">
        <v>231</v>
      </c>
      <c r="ID62" s="240" t="s">
        <v>231</v>
      </c>
      <c r="IE62" s="240" t="s">
        <v>231</v>
      </c>
      <c r="IF62" s="240" t="s">
        <v>231</v>
      </c>
      <c r="IG62" s="240" t="s">
        <v>231</v>
      </c>
      <c r="IH62" s="240" t="s">
        <v>231</v>
      </c>
      <c r="II62" s="240" t="s">
        <v>231</v>
      </c>
      <c r="IJ62" s="240" t="s">
        <v>231</v>
      </c>
      <c r="IK62" s="240" t="s">
        <v>231</v>
      </c>
      <c r="IL62" s="240" t="s">
        <v>231</v>
      </c>
      <c r="IM62" s="240" t="s">
        <v>231</v>
      </c>
      <c r="IN62" s="240" t="s">
        <v>231</v>
      </c>
      <c r="IO62" s="240" t="s">
        <v>220</v>
      </c>
      <c r="IP62" s="240" t="s">
        <v>493</v>
      </c>
      <c r="IQ62" s="240" t="s">
        <v>219</v>
      </c>
      <c r="IR62" s="240" t="s">
        <v>490</v>
      </c>
      <c r="IS62" s="240" t="s">
        <v>231</v>
      </c>
      <c r="IT62" s="240" t="s">
        <v>231</v>
      </c>
    </row>
    <row r="63" spans="1:254" ht="15" x14ac:dyDescent="0.25">
      <c r="A63" s="258" t="str">
        <f>HYPERLINK("http://www.ofsted.gov.uk/inspection-reports/find-inspection-report/provider/ELS/101958 ","Ofsted School Webpage")</f>
        <v>Ofsted School Webpage</v>
      </c>
      <c r="B63" s="237">
        <v>101958</v>
      </c>
      <c r="C63" s="237">
        <v>3076070</v>
      </c>
      <c r="D63" s="237" t="s">
        <v>668</v>
      </c>
      <c r="E63" s="237" t="s">
        <v>247</v>
      </c>
      <c r="F63" s="237" t="s">
        <v>482</v>
      </c>
      <c r="G63" s="237" t="s">
        <v>506</v>
      </c>
      <c r="H63" s="237" t="s">
        <v>506</v>
      </c>
      <c r="I63" s="237" t="s">
        <v>507</v>
      </c>
      <c r="J63" s="237" t="s">
        <v>669</v>
      </c>
      <c r="K63" s="237" t="s">
        <v>93</v>
      </c>
      <c r="L63" s="237" t="s">
        <v>93</v>
      </c>
      <c r="M63" s="237" t="s">
        <v>93</v>
      </c>
      <c r="N63" s="237" t="s">
        <v>90</v>
      </c>
      <c r="O63" s="237" t="s">
        <v>486</v>
      </c>
      <c r="P63" s="237" t="s">
        <v>487</v>
      </c>
      <c r="Q63" s="238">
        <v>10055397</v>
      </c>
      <c r="R63" s="239">
        <v>43403</v>
      </c>
      <c r="S63" s="239">
        <v>43404</v>
      </c>
      <c r="T63" s="239">
        <v>43446</v>
      </c>
      <c r="U63" s="237" t="s">
        <v>488</v>
      </c>
      <c r="V63" s="237" t="s">
        <v>489</v>
      </c>
      <c r="W63" s="237">
        <v>4</v>
      </c>
      <c r="X63" s="237">
        <v>4</v>
      </c>
      <c r="Y63" s="237">
        <v>3</v>
      </c>
      <c r="Z63" s="237">
        <v>2</v>
      </c>
      <c r="AA63" s="237">
        <v>2</v>
      </c>
      <c r="AB63" s="237" t="s">
        <v>486</v>
      </c>
      <c r="AC63" s="237" t="s">
        <v>486</v>
      </c>
      <c r="AD63" s="237" t="s">
        <v>220</v>
      </c>
      <c r="AE63" s="237" t="s">
        <v>512</v>
      </c>
      <c r="AF63" s="237" t="s">
        <v>490</v>
      </c>
      <c r="AG63" s="237" t="s">
        <v>486</v>
      </c>
      <c r="AH63" s="237" t="s">
        <v>486</v>
      </c>
      <c r="AI63" s="237" t="s">
        <v>486</v>
      </c>
      <c r="AJ63" s="237" t="s">
        <v>486</v>
      </c>
      <c r="AK63" s="237" t="s">
        <v>486</v>
      </c>
      <c r="AL63" s="237" t="s">
        <v>486</v>
      </c>
      <c r="AM63" s="237" t="s">
        <v>545</v>
      </c>
      <c r="AN63" s="237" t="s">
        <v>546</v>
      </c>
      <c r="AO63" s="237" t="s">
        <v>546</v>
      </c>
      <c r="AP63" s="237" t="s">
        <v>546</v>
      </c>
      <c r="AQ63" s="237" t="s">
        <v>546</v>
      </c>
      <c r="AR63" s="237" t="s">
        <v>231</v>
      </c>
      <c r="AS63" s="237" t="s">
        <v>231</v>
      </c>
      <c r="AT63" s="237" t="s">
        <v>546</v>
      </c>
      <c r="AU63" s="237" t="s">
        <v>546</v>
      </c>
      <c r="AV63" s="237" t="s">
        <v>232</v>
      </c>
      <c r="AW63" s="237" t="s">
        <v>231</v>
      </c>
      <c r="AX63" s="237" t="s">
        <v>232</v>
      </c>
      <c r="AY63" s="237" t="s">
        <v>232</v>
      </c>
      <c r="AZ63" s="237" t="s">
        <v>231</v>
      </c>
      <c r="BA63" s="237" t="s">
        <v>232</v>
      </c>
      <c r="BB63" s="237" t="s">
        <v>231</v>
      </c>
      <c r="BC63" s="237" t="s">
        <v>231</v>
      </c>
      <c r="BD63" s="237" t="s">
        <v>231</v>
      </c>
      <c r="BE63" s="237" t="s">
        <v>232</v>
      </c>
      <c r="BF63" s="237" t="s">
        <v>231</v>
      </c>
      <c r="BG63" s="237" t="s">
        <v>232</v>
      </c>
      <c r="BH63" s="237" t="s">
        <v>231</v>
      </c>
      <c r="BI63" s="237" t="s">
        <v>231</v>
      </c>
      <c r="BJ63" s="237" t="s">
        <v>231</v>
      </c>
      <c r="BK63" s="237" t="s">
        <v>231</v>
      </c>
      <c r="BL63" s="237" t="s">
        <v>492</v>
      </c>
      <c r="BM63" s="237" t="s">
        <v>492</v>
      </c>
      <c r="BN63" s="237" t="s">
        <v>231</v>
      </c>
      <c r="BO63" s="237" t="s">
        <v>231</v>
      </c>
      <c r="BP63" s="237" t="s">
        <v>231</v>
      </c>
      <c r="BQ63" s="237" t="s">
        <v>231</v>
      </c>
      <c r="BR63" s="237" t="s">
        <v>231</v>
      </c>
      <c r="BS63" s="237" t="s">
        <v>231</v>
      </c>
      <c r="BT63" s="237" t="s">
        <v>231</v>
      </c>
      <c r="BU63" s="237" t="s">
        <v>231</v>
      </c>
      <c r="BV63" s="237" t="s">
        <v>231</v>
      </c>
      <c r="BW63" s="237" t="s">
        <v>231</v>
      </c>
      <c r="BX63" s="237" t="s">
        <v>231</v>
      </c>
      <c r="BY63" s="237" t="s">
        <v>231</v>
      </c>
      <c r="BZ63" s="237" t="s">
        <v>231</v>
      </c>
      <c r="CA63" s="237" t="s">
        <v>231</v>
      </c>
      <c r="CB63" s="237" t="s">
        <v>232</v>
      </c>
      <c r="CC63" s="237" t="s">
        <v>231</v>
      </c>
      <c r="CD63" s="237" t="s">
        <v>232</v>
      </c>
      <c r="CE63" s="237" t="s">
        <v>231</v>
      </c>
      <c r="CF63" s="237" t="s">
        <v>231</v>
      </c>
      <c r="CG63" s="237" t="s">
        <v>231</v>
      </c>
      <c r="CH63" s="237" t="s">
        <v>231</v>
      </c>
      <c r="CI63" s="237" t="s">
        <v>231</v>
      </c>
      <c r="CJ63" s="237" t="s">
        <v>232</v>
      </c>
      <c r="CK63" s="237" t="s">
        <v>231</v>
      </c>
      <c r="CL63" s="237" t="s">
        <v>231</v>
      </c>
      <c r="CM63" s="237" t="s">
        <v>231</v>
      </c>
      <c r="CN63" s="237" t="s">
        <v>231</v>
      </c>
      <c r="CO63" s="237" t="s">
        <v>231</v>
      </c>
      <c r="CP63" s="237" t="s">
        <v>231</v>
      </c>
      <c r="CQ63" s="237" t="s">
        <v>232</v>
      </c>
      <c r="CR63" s="237" t="s">
        <v>232</v>
      </c>
      <c r="CS63" s="237" t="s">
        <v>232</v>
      </c>
      <c r="CT63" s="237" t="s">
        <v>492</v>
      </c>
      <c r="CU63" s="237" t="s">
        <v>492</v>
      </c>
      <c r="CV63" s="237" t="s">
        <v>492</v>
      </c>
      <c r="CW63" s="237" t="s">
        <v>231</v>
      </c>
      <c r="CX63" s="237" t="s">
        <v>231</v>
      </c>
      <c r="CY63" s="237" t="s">
        <v>231</v>
      </c>
      <c r="CZ63" s="237" t="s">
        <v>231</v>
      </c>
      <c r="DA63" s="237" t="s">
        <v>231</v>
      </c>
      <c r="DB63" s="237" t="s">
        <v>231</v>
      </c>
      <c r="DC63" s="237" t="s">
        <v>231</v>
      </c>
      <c r="DD63" s="237" t="s">
        <v>231</v>
      </c>
      <c r="DE63" s="237" t="s">
        <v>231</v>
      </c>
      <c r="DF63" s="237" t="s">
        <v>231</v>
      </c>
      <c r="DG63" s="237" t="s">
        <v>231</v>
      </c>
      <c r="DH63" s="237" t="s">
        <v>231</v>
      </c>
      <c r="DI63" s="237" t="s">
        <v>231</v>
      </c>
      <c r="DJ63" s="237" t="s">
        <v>232</v>
      </c>
      <c r="DK63" s="237" t="s">
        <v>231</v>
      </c>
      <c r="DL63" s="237" t="s">
        <v>232</v>
      </c>
      <c r="DM63" s="237" t="s">
        <v>232</v>
      </c>
      <c r="DN63" s="237" t="s">
        <v>232</v>
      </c>
      <c r="DO63" s="237" t="s">
        <v>231</v>
      </c>
      <c r="DP63" s="237" t="s">
        <v>232</v>
      </c>
      <c r="DQ63" s="237" t="s">
        <v>231</v>
      </c>
      <c r="DR63" s="237" t="s">
        <v>231</v>
      </c>
      <c r="DS63" s="237" t="s">
        <v>231</v>
      </c>
      <c r="DT63" s="237" t="s">
        <v>492</v>
      </c>
      <c r="DU63" s="237" t="s">
        <v>232</v>
      </c>
      <c r="DV63" s="237" t="s">
        <v>231</v>
      </c>
      <c r="DW63" s="237" t="s">
        <v>231</v>
      </c>
      <c r="DX63" s="237" t="s">
        <v>231</v>
      </c>
      <c r="DY63" s="237" t="s">
        <v>231</v>
      </c>
      <c r="DZ63" s="237" t="s">
        <v>231</v>
      </c>
      <c r="EA63" s="237" t="s">
        <v>231</v>
      </c>
      <c r="EB63" s="237" t="s">
        <v>231</v>
      </c>
      <c r="EC63" s="237" t="s">
        <v>231</v>
      </c>
      <c r="ED63" s="237" t="s">
        <v>231</v>
      </c>
      <c r="EE63" s="237" t="s">
        <v>231</v>
      </c>
      <c r="EF63" s="237" t="s">
        <v>231</v>
      </c>
      <c r="EG63" s="237" t="s">
        <v>231</v>
      </c>
      <c r="EH63" s="237" t="s">
        <v>492</v>
      </c>
      <c r="EI63" s="237" t="s">
        <v>492</v>
      </c>
      <c r="EJ63" s="237" t="s">
        <v>232</v>
      </c>
      <c r="EK63" s="237" t="s">
        <v>232</v>
      </c>
      <c r="EL63" s="237" t="s">
        <v>231</v>
      </c>
      <c r="EM63" s="237" t="s">
        <v>232</v>
      </c>
      <c r="EN63" s="237" t="s">
        <v>232</v>
      </c>
      <c r="EO63" s="237" t="s">
        <v>231</v>
      </c>
      <c r="EP63" s="237" t="s">
        <v>232</v>
      </c>
      <c r="EQ63" s="237" t="s">
        <v>231</v>
      </c>
      <c r="ER63" s="237" t="s">
        <v>232</v>
      </c>
      <c r="ES63" s="237" t="s">
        <v>232</v>
      </c>
      <c r="ET63" s="237" t="s">
        <v>231</v>
      </c>
      <c r="EU63" s="237" t="s">
        <v>232</v>
      </c>
      <c r="EV63" s="237" t="s">
        <v>232</v>
      </c>
      <c r="EW63" s="237" t="s">
        <v>232</v>
      </c>
      <c r="EX63" s="237" t="s">
        <v>231</v>
      </c>
      <c r="EY63" s="237" t="s">
        <v>232</v>
      </c>
      <c r="EZ63" s="237" t="s">
        <v>231</v>
      </c>
      <c r="FA63" s="237" t="s">
        <v>231</v>
      </c>
      <c r="FB63" s="237" t="s">
        <v>231</v>
      </c>
      <c r="FC63" s="237" t="s">
        <v>232</v>
      </c>
      <c r="FD63" s="237" t="s">
        <v>231</v>
      </c>
      <c r="FE63" s="237" t="s">
        <v>232</v>
      </c>
      <c r="FF63" s="237" t="s">
        <v>231</v>
      </c>
      <c r="FG63" s="237" t="s">
        <v>231</v>
      </c>
      <c r="FH63" s="237" t="s">
        <v>231</v>
      </c>
      <c r="FI63" s="237" t="s">
        <v>231</v>
      </c>
      <c r="FJ63" s="237" t="s">
        <v>231</v>
      </c>
      <c r="FK63" s="237" t="s">
        <v>231</v>
      </c>
      <c r="FL63" s="237" t="s">
        <v>231</v>
      </c>
      <c r="FM63" s="237" t="s">
        <v>231</v>
      </c>
      <c r="FN63" s="237" t="s">
        <v>231</v>
      </c>
      <c r="FO63" s="237" t="s">
        <v>231</v>
      </c>
      <c r="FP63" s="237" t="s">
        <v>231</v>
      </c>
      <c r="FQ63" s="237" t="s">
        <v>231</v>
      </c>
      <c r="FR63" s="237" t="s">
        <v>231</v>
      </c>
      <c r="FS63" s="237" t="s">
        <v>231</v>
      </c>
      <c r="FT63" s="237" t="s">
        <v>231</v>
      </c>
      <c r="FU63" s="237" t="s">
        <v>231</v>
      </c>
      <c r="FV63" s="237" t="s">
        <v>231</v>
      </c>
      <c r="FW63" s="237" t="s">
        <v>231</v>
      </c>
      <c r="FX63" s="237" t="s">
        <v>492</v>
      </c>
      <c r="FY63" s="237" t="s">
        <v>231</v>
      </c>
      <c r="FZ63" s="237" t="s">
        <v>231</v>
      </c>
      <c r="GA63" s="237" t="s">
        <v>231</v>
      </c>
      <c r="GB63" s="237" t="s">
        <v>231</v>
      </c>
      <c r="GC63" s="237" t="s">
        <v>231</v>
      </c>
      <c r="GD63" s="237" t="s">
        <v>231</v>
      </c>
      <c r="GE63" s="237" t="s">
        <v>231</v>
      </c>
      <c r="GF63" s="237" t="s">
        <v>231</v>
      </c>
      <c r="GG63" s="237" t="s">
        <v>231</v>
      </c>
      <c r="GH63" s="237" t="s">
        <v>231</v>
      </c>
      <c r="GI63" s="237" t="s">
        <v>231</v>
      </c>
      <c r="GJ63" s="237" t="s">
        <v>231</v>
      </c>
      <c r="GK63" s="237" t="s">
        <v>231</v>
      </c>
      <c r="GL63" s="237" t="s">
        <v>231</v>
      </c>
      <c r="GM63" s="237" t="s">
        <v>231</v>
      </c>
      <c r="GN63" s="237" t="s">
        <v>231</v>
      </c>
      <c r="GO63" s="237" t="s">
        <v>231</v>
      </c>
      <c r="GP63" s="237" t="s">
        <v>492</v>
      </c>
      <c r="GQ63" s="237" t="s">
        <v>231</v>
      </c>
      <c r="GR63" s="237" t="s">
        <v>231</v>
      </c>
      <c r="GS63" s="237" t="s">
        <v>231</v>
      </c>
      <c r="GT63" s="237" t="s">
        <v>231</v>
      </c>
      <c r="GU63" s="237" t="s">
        <v>231</v>
      </c>
      <c r="GV63" s="237" t="s">
        <v>231</v>
      </c>
      <c r="GW63" s="237" t="s">
        <v>231</v>
      </c>
      <c r="GX63" s="237" t="s">
        <v>231</v>
      </c>
      <c r="GY63" s="237" t="s">
        <v>231</v>
      </c>
      <c r="GZ63" s="237" t="s">
        <v>231</v>
      </c>
      <c r="HA63" s="237" t="s">
        <v>231</v>
      </c>
      <c r="HB63" s="237" t="s">
        <v>231</v>
      </c>
      <c r="HC63" s="237" t="s">
        <v>231</v>
      </c>
      <c r="HD63" s="237" t="s">
        <v>231</v>
      </c>
      <c r="HE63" s="237" t="s">
        <v>492</v>
      </c>
      <c r="HF63" s="237" t="s">
        <v>231</v>
      </c>
      <c r="HG63" s="237" t="s">
        <v>231</v>
      </c>
      <c r="HH63" s="237" t="s">
        <v>231</v>
      </c>
      <c r="HI63" s="237" t="s">
        <v>231</v>
      </c>
      <c r="HJ63" s="237" t="s">
        <v>231</v>
      </c>
      <c r="HK63" s="237" t="s">
        <v>231</v>
      </c>
      <c r="HL63" s="237" t="s">
        <v>231</v>
      </c>
      <c r="HM63" s="237" t="s">
        <v>231</v>
      </c>
      <c r="HN63" s="237" t="s">
        <v>231</v>
      </c>
      <c r="HO63" s="237" t="s">
        <v>231</v>
      </c>
      <c r="HP63" s="237" t="s">
        <v>231</v>
      </c>
      <c r="HQ63" s="237" t="s">
        <v>231</v>
      </c>
      <c r="HR63" s="237" t="s">
        <v>231</v>
      </c>
      <c r="HS63" s="237" t="s">
        <v>231</v>
      </c>
      <c r="HT63" s="237" t="s">
        <v>231</v>
      </c>
      <c r="HU63" s="237" t="s">
        <v>232</v>
      </c>
      <c r="HV63" s="237" t="s">
        <v>231</v>
      </c>
      <c r="HW63" s="237" t="s">
        <v>231</v>
      </c>
      <c r="HX63" s="237" t="s">
        <v>231</v>
      </c>
      <c r="HY63" s="237" t="s">
        <v>231</v>
      </c>
      <c r="HZ63" s="237" t="s">
        <v>231</v>
      </c>
      <c r="IA63" s="237" t="s">
        <v>232</v>
      </c>
      <c r="IB63" s="237" t="s">
        <v>232</v>
      </c>
      <c r="IC63" s="237" t="s">
        <v>231</v>
      </c>
      <c r="ID63" s="237" t="s">
        <v>232</v>
      </c>
      <c r="IE63" s="237" t="s">
        <v>232</v>
      </c>
      <c r="IF63" s="237" t="s">
        <v>231</v>
      </c>
      <c r="IG63" s="237" t="s">
        <v>232</v>
      </c>
      <c r="IH63" s="237" t="s">
        <v>232</v>
      </c>
      <c r="II63" s="237" t="s">
        <v>232</v>
      </c>
      <c r="IJ63" s="237" t="s">
        <v>231</v>
      </c>
      <c r="IK63" s="237" t="s">
        <v>232</v>
      </c>
      <c r="IL63" s="237" t="s">
        <v>232</v>
      </c>
      <c r="IM63" s="237" t="s">
        <v>232</v>
      </c>
      <c r="IN63" s="237" t="s">
        <v>232</v>
      </c>
      <c r="IO63" s="237" t="s">
        <v>220</v>
      </c>
      <c r="IP63" s="237" t="s">
        <v>493</v>
      </c>
      <c r="IQ63" s="237" t="s">
        <v>219</v>
      </c>
      <c r="IR63" s="237" t="s">
        <v>490</v>
      </c>
      <c r="IS63" s="237" t="s">
        <v>492</v>
      </c>
      <c r="IT63" s="237" t="s">
        <v>492</v>
      </c>
    </row>
    <row r="64" spans="1:254" ht="15" x14ac:dyDescent="0.25">
      <c r="A64" s="259" t="str">
        <f>HYPERLINK("http://www.ofsted.gov.uk/inspection-reports/find-inspection-report/provider/ELS/134579 ","Ofsted School Webpage")</f>
        <v>Ofsted School Webpage</v>
      </c>
      <c r="B64" s="240">
        <v>134579</v>
      </c>
      <c r="C64" s="240">
        <v>3206064</v>
      </c>
      <c r="D64" s="240" t="s">
        <v>670</v>
      </c>
      <c r="E64" s="240" t="s">
        <v>247</v>
      </c>
      <c r="F64" s="240" t="s">
        <v>482</v>
      </c>
      <c r="G64" s="240" t="s">
        <v>506</v>
      </c>
      <c r="H64" s="240" t="s">
        <v>506</v>
      </c>
      <c r="I64" s="240" t="s">
        <v>671</v>
      </c>
      <c r="J64" s="240" t="s">
        <v>672</v>
      </c>
      <c r="K64" s="240" t="s">
        <v>93</v>
      </c>
      <c r="L64" s="240" t="s">
        <v>93</v>
      </c>
      <c r="M64" s="240" t="s">
        <v>93</v>
      </c>
      <c r="N64" s="240" t="s">
        <v>90</v>
      </c>
      <c r="O64" s="240" t="s">
        <v>486</v>
      </c>
      <c r="P64" s="240" t="s">
        <v>487</v>
      </c>
      <c r="Q64" s="241">
        <v>10055505</v>
      </c>
      <c r="R64" s="242">
        <v>43403</v>
      </c>
      <c r="S64" s="242">
        <v>43405</v>
      </c>
      <c r="T64" s="242">
        <v>43432</v>
      </c>
      <c r="U64" s="240" t="s">
        <v>488</v>
      </c>
      <c r="V64" s="240" t="s">
        <v>489</v>
      </c>
      <c r="W64" s="240">
        <v>3</v>
      </c>
      <c r="X64" s="240">
        <v>3</v>
      </c>
      <c r="Y64" s="240">
        <v>3</v>
      </c>
      <c r="Z64" s="240">
        <v>3</v>
      </c>
      <c r="AA64" s="240">
        <v>3</v>
      </c>
      <c r="AB64" s="240">
        <v>2</v>
      </c>
      <c r="AC64" s="240" t="s">
        <v>486</v>
      </c>
      <c r="AD64" s="240" t="s">
        <v>219</v>
      </c>
      <c r="AE64" s="240" t="s">
        <v>490</v>
      </c>
      <c r="AF64" s="240" t="s">
        <v>486</v>
      </c>
      <c r="AG64" s="240" t="s">
        <v>486</v>
      </c>
      <c r="AH64" s="240" t="s">
        <v>486</v>
      </c>
      <c r="AI64" s="240" t="s">
        <v>486</v>
      </c>
      <c r="AJ64" s="240" t="s">
        <v>486</v>
      </c>
      <c r="AK64" s="240" t="s">
        <v>486</v>
      </c>
      <c r="AL64" s="240" t="s">
        <v>486</v>
      </c>
      <c r="AM64" s="240" t="s">
        <v>491</v>
      </c>
      <c r="AN64" s="240" t="s">
        <v>231</v>
      </c>
      <c r="AO64" s="240" t="s">
        <v>231</v>
      </c>
      <c r="AP64" s="240" t="s">
        <v>231</v>
      </c>
      <c r="AQ64" s="240" t="s">
        <v>231</v>
      </c>
      <c r="AR64" s="240" t="s">
        <v>231</v>
      </c>
      <c r="AS64" s="240" t="s">
        <v>231</v>
      </c>
      <c r="AT64" s="240" t="s">
        <v>231</v>
      </c>
      <c r="AU64" s="240" t="s">
        <v>231</v>
      </c>
      <c r="AV64" s="240" t="s">
        <v>231</v>
      </c>
      <c r="AW64" s="240" t="s">
        <v>231</v>
      </c>
      <c r="AX64" s="240" t="s">
        <v>231</v>
      </c>
      <c r="AY64" s="240" t="s">
        <v>231</v>
      </c>
      <c r="AZ64" s="240" t="s">
        <v>231</v>
      </c>
      <c r="BA64" s="240" t="s">
        <v>231</v>
      </c>
      <c r="BB64" s="240" t="s">
        <v>231</v>
      </c>
      <c r="BC64" s="240" t="s">
        <v>231</v>
      </c>
      <c r="BD64" s="240" t="s">
        <v>492</v>
      </c>
      <c r="BE64" s="240" t="s">
        <v>231</v>
      </c>
      <c r="BF64" s="240" t="s">
        <v>231</v>
      </c>
      <c r="BG64" s="240" t="s">
        <v>231</v>
      </c>
      <c r="BH64" s="240" t="s">
        <v>492</v>
      </c>
      <c r="BI64" s="240" t="s">
        <v>492</v>
      </c>
      <c r="BJ64" s="240" t="s">
        <v>492</v>
      </c>
      <c r="BK64" s="240" t="s">
        <v>492</v>
      </c>
      <c r="BL64" s="240" t="s">
        <v>231</v>
      </c>
      <c r="BM64" s="240" t="s">
        <v>492</v>
      </c>
      <c r="BN64" s="240" t="s">
        <v>231</v>
      </c>
      <c r="BO64" s="240" t="s">
        <v>231</v>
      </c>
      <c r="BP64" s="240" t="s">
        <v>231</v>
      </c>
      <c r="BQ64" s="240" t="s">
        <v>231</v>
      </c>
      <c r="BR64" s="240" t="s">
        <v>231</v>
      </c>
      <c r="BS64" s="240" t="s">
        <v>231</v>
      </c>
      <c r="BT64" s="240" t="s">
        <v>231</v>
      </c>
      <c r="BU64" s="240" t="s">
        <v>231</v>
      </c>
      <c r="BV64" s="240" t="s">
        <v>231</v>
      </c>
      <c r="BW64" s="240" t="s">
        <v>231</v>
      </c>
      <c r="BX64" s="240" t="s">
        <v>231</v>
      </c>
      <c r="BY64" s="240" t="s">
        <v>231</v>
      </c>
      <c r="BZ64" s="240" t="s">
        <v>231</v>
      </c>
      <c r="CA64" s="240" t="s">
        <v>231</v>
      </c>
      <c r="CB64" s="240" t="s">
        <v>231</v>
      </c>
      <c r="CC64" s="240" t="s">
        <v>231</v>
      </c>
      <c r="CD64" s="240" t="s">
        <v>231</v>
      </c>
      <c r="CE64" s="240" t="s">
        <v>231</v>
      </c>
      <c r="CF64" s="240" t="s">
        <v>231</v>
      </c>
      <c r="CG64" s="240" t="s">
        <v>231</v>
      </c>
      <c r="CH64" s="240" t="s">
        <v>231</v>
      </c>
      <c r="CI64" s="240" t="s">
        <v>231</v>
      </c>
      <c r="CJ64" s="240" t="s">
        <v>231</v>
      </c>
      <c r="CK64" s="240" t="s">
        <v>231</v>
      </c>
      <c r="CL64" s="240" t="s">
        <v>231</v>
      </c>
      <c r="CM64" s="240" t="s">
        <v>231</v>
      </c>
      <c r="CN64" s="240" t="s">
        <v>231</v>
      </c>
      <c r="CO64" s="240" t="s">
        <v>231</v>
      </c>
      <c r="CP64" s="240" t="s">
        <v>231</v>
      </c>
      <c r="CQ64" s="240" t="s">
        <v>231</v>
      </c>
      <c r="CR64" s="240" t="s">
        <v>231</v>
      </c>
      <c r="CS64" s="240" t="s">
        <v>231</v>
      </c>
      <c r="CT64" s="240" t="s">
        <v>492</v>
      </c>
      <c r="CU64" s="240" t="s">
        <v>492</v>
      </c>
      <c r="CV64" s="240" t="s">
        <v>492</v>
      </c>
      <c r="CW64" s="240" t="s">
        <v>231</v>
      </c>
      <c r="CX64" s="240" t="s">
        <v>231</v>
      </c>
      <c r="CY64" s="240" t="s">
        <v>231</v>
      </c>
      <c r="CZ64" s="240" t="s">
        <v>231</v>
      </c>
      <c r="DA64" s="240" t="s">
        <v>231</v>
      </c>
      <c r="DB64" s="240" t="s">
        <v>231</v>
      </c>
      <c r="DC64" s="240" t="s">
        <v>231</v>
      </c>
      <c r="DD64" s="240" t="s">
        <v>231</v>
      </c>
      <c r="DE64" s="240" t="s">
        <v>231</v>
      </c>
      <c r="DF64" s="240" t="s">
        <v>231</v>
      </c>
      <c r="DG64" s="240" t="s">
        <v>231</v>
      </c>
      <c r="DH64" s="240" t="s">
        <v>231</v>
      </c>
      <c r="DI64" s="240" t="s">
        <v>231</v>
      </c>
      <c r="DJ64" s="240" t="s">
        <v>231</v>
      </c>
      <c r="DK64" s="240" t="s">
        <v>231</v>
      </c>
      <c r="DL64" s="240" t="s">
        <v>231</v>
      </c>
      <c r="DM64" s="240" t="s">
        <v>231</v>
      </c>
      <c r="DN64" s="240" t="s">
        <v>231</v>
      </c>
      <c r="DO64" s="240" t="s">
        <v>231</v>
      </c>
      <c r="DP64" s="240" t="s">
        <v>231</v>
      </c>
      <c r="DQ64" s="240" t="s">
        <v>231</v>
      </c>
      <c r="DR64" s="240" t="s">
        <v>231</v>
      </c>
      <c r="DS64" s="240" t="s">
        <v>231</v>
      </c>
      <c r="DT64" s="240" t="s">
        <v>492</v>
      </c>
      <c r="DU64" s="240" t="s">
        <v>231</v>
      </c>
      <c r="DV64" s="240" t="s">
        <v>492</v>
      </c>
      <c r="DW64" s="240" t="s">
        <v>492</v>
      </c>
      <c r="DX64" s="240" t="s">
        <v>492</v>
      </c>
      <c r="DY64" s="240" t="s">
        <v>492</v>
      </c>
      <c r="DZ64" s="240" t="s">
        <v>492</v>
      </c>
      <c r="EA64" s="240" t="s">
        <v>492</v>
      </c>
      <c r="EB64" s="240" t="s">
        <v>492</v>
      </c>
      <c r="EC64" s="240" t="s">
        <v>492</v>
      </c>
      <c r="ED64" s="240" t="s">
        <v>492</v>
      </c>
      <c r="EE64" s="240" t="s">
        <v>492</v>
      </c>
      <c r="EF64" s="240" t="s">
        <v>492</v>
      </c>
      <c r="EG64" s="240" t="s">
        <v>492</v>
      </c>
      <c r="EH64" s="240" t="s">
        <v>492</v>
      </c>
      <c r="EI64" s="240" t="s">
        <v>231</v>
      </c>
      <c r="EJ64" s="240" t="s">
        <v>231</v>
      </c>
      <c r="EK64" s="240" t="s">
        <v>231</v>
      </c>
      <c r="EL64" s="240" t="s">
        <v>231</v>
      </c>
      <c r="EM64" s="240" t="s">
        <v>231</v>
      </c>
      <c r="EN64" s="240" t="s">
        <v>231</v>
      </c>
      <c r="EO64" s="240" t="s">
        <v>231</v>
      </c>
      <c r="EP64" s="240" t="s">
        <v>231</v>
      </c>
      <c r="EQ64" s="240" t="s">
        <v>231</v>
      </c>
      <c r="ER64" s="240" t="s">
        <v>231</v>
      </c>
      <c r="ES64" s="240" t="s">
        <v>231</v>
      </c>
      <c r="ET64" s="240" t="s">
        <v>231</v>
      </c>
      <c r="EU64" s="240" t="s">
        <v>231</v>
      </c>
      <c r="EV64" s="240" t="s">
        <v>231</v>
      </c>
      <c r="EW64" s="240" t="s">
        <v>231</v>
      </c>
      <c r="EX64" s="240" t="s">
        <v>231</v>
      </c>
      <c r="EY64" s="240" t="s">
        <v>231</v>
      </c>
      <c r="EZ64" s="240" t="s">
        <v>231</v>
      </c>
      <c r="FA64" s="240" t="s">
        <v>231</v>
      </c>
      <c r="FB64" s="240" t="s">
        <v>231</v>
      </c>
      <c r="FC64" s="240" t="s">
        <v>231</v>
      </c>
      <c r="FD64" s="240" t="s">
        <v>231</v>
      </c>
      <c r="FE64" s="240" t="s">
        <v>231</v>
      </c>
      <c r="FF64" s="240" t="s">
        <v>231</v>
      </c>
      <c r="FG64" s="240" t="s">
        <v>231</v>
      </c>
      <c r="FH64" s="240" t="s">
        <v>231</v>
      </c>
      <c r="FI64" s="240" t="s">
        <v>231</v>
      </c>
      <c r="FJ64" s="240" t="s">
        <v>231</v>
      </c>
      <c r="FK64" s="240" t="s">
        <v>231</v>
      </c>
      <c r="FL64" s="240" t="s">
        <v>231</v>
      </c>
      <c r="FM64" s="240" t="s">
        <v>231</v>
      </c>
      <c r="FN64" s="240" t="s">
        <v>231</v>
      </c>
      <c r="FO64" s="240" t="s">
        <v>231</v>
      </c>
      <c r="FP64" s="240" t="s">
        <v>231</v>
      </c>
      <c r="FQ64" s="240" t="s">
        <v>231</v>
      </c>
      <c r="FR64" s="240" t="s">
        <v>231</v>
      </c>
      <c r="FS64" s="240" t="s">
        <v>231</v>
      </c>
      <c r="FT64" s="240" t="s">
        <v>492</v>
      </c>
      <c r="FU64" s="240" t="s">
        <v>231</v>
      </c>
      <c r="FV64" s="240" t="s">
        <v>231</v>
      </c>
      <c r="FW64" s="240" t="s">
        <v>231</v>
      </c>
      <c r="FX64" s="240" t="s">
        <v>492</v>
      </c>
      <c r="FY64" s="240" t="s">
        <v>492</v>
      </c>
      <c r="FZ64" s="240" t="s">
        <v>231</v>
      </c>
      <c r="GA64" s="240" t="s">
        <v>231</v>
      </c>
      <c r="GB64" s="240" t="s">
        <v>231</v>
      </c>
      <c r="GC64" s="240" t="s">
        <v>231</v>
      </c>
      <c r="GD64" s="240" t="s">
        <v>231</v>
      </c>
      <c r="GE64" s="240" t="s">
        <v>231</v>
      </c>
      <c r="GF64" s="240" t="s">
        <v>231</v>
      </c>
      <c r="GG64" s="240" t="s">
        <v>231</v>
      </c>
      <c r="GH64" s="240" t="s">
        <v>231</v>
      </c>
      <c r="GI64" s="240" t="s">
        <v>231</v>
      </c>
      <c r="GJ64" s="240" t="s">
        <v>231</v>
      </c>
      <c r="GK64" s="240" t="s">
        <v>231</v>
      </c>
      <c r="GL64" s="240" t="s">
        <v>231</v>
      </c>
      <c r="GM64" s="240" t="s">
        <v>231</v>
      </c>
      <c r="GN64" s="240" t="s">
        <v>231</v>
      </c>
      <c r="GO64" s="240" t="s">
        <v>231</v>
      </c>
      <c r="GP64" s="240" t="s">
        <v>492</v>
      </c>
      <c r="GQ64" s="240" t="s">
        <v>231</v>
      </c>
      <c r="GR64" s="240" t="s">
        <v>231</v>
      </c>
      <c r="GS64" s="240" t="s">
        <v>231</v>
      </c>
      <c r="GT64" s="240" t="s">
        <v>231</v>
      </c>
      <c r="GU64" s="240" t="s">
        <v>231</v>
      </c>
      <c r="GV64" s="240" t="s">
        <v>231</v>
      </c>
      <c r="GW64" s="240" t="s">
        <v>231</v>
      </c>
      <c r="GX64" s="240" t="s">
        <v>231</v>
      </c>
      <c r="GY64" s="240" t="s">
        <v>492</v>
      </c>
      <c r="GZ64" s="240" t="s">
        <v>492</v>
      </c>
      <c r="HA64" s="240" t="s">
        <v>231</v>
      </c>
      <c r="HB64" s="240" t="s">
        <v>231</v>
      </c>
      <c r="HC64" s="240" t="s">
        <v>231</v>
      </c>
      <c r="HD64" s="240" t="s">
        <v>231</v>
      </c>
      <c r="HE64" s="240" t="s">
        <v>231</v>
      </c>
      <c r="HF64" s="240" t="s">
        <v>492</v>
      </c>
      <c r="HG64" s="240" t="s">
        <v>492</v>
      </c>
      <c r="HH64" s="240" t="s">
        <v>231</v>
      </c>
      <c r="HI64" s="240" t="s">
        <v>231</v>
      </c>
      <c r="HJ64" s="240" t="s">
        <v>231</v>
      </c>
      <c r="HK64" s="240" t="s">
        <v>231</v>
      </c>
      <c r="HL64" s="240" t="s">
        <v>231</v>
      </c>
      <c r="HM64" s="240" t="s">
        <v>231</v>
      </c>
      <c r="HN64" s="240" t="s">
        <v>231</v>
      </c>
      <c r="HO64" s="240" t="s">
        <v>231</v>
      </c>
      <c r="HP64" s="240" t="s">
        <v>231</v>
      </c>
      <c r="HQ64" s="240" t="s">
        <v>492</v>
      </c>
      <c r="HR64" s="240" t="s">
        <v>492</v>
      </c>
      <c r="HS64" s="240" t="s">
        <v>492</v>
      </c>
      <c r="HT64" s="240" t="s">
        <v>492</v>
      </c>
      <c r="HU64" s="240" t="s">
        <v>231</v>
      </c>
      <c r="HV64" s="240" t="s">
        <v>231</v>
      </c>
      <c r="HW64" s="240" t="s">
        <v>231</v>
      </c>
      <c r="HX64" s="240" t="s">
        <v>231</v>
      </c>
      <c r="HY64" s="240" t="s">
        <v>231</v>
      </c>
      <c r="HZ64" s="240" t="s">
        <v>231</v>
      </c>
      <c r="IA64" s="240" t="s">
        <v>231</v>
      </c>
      <c r="IB64" s="240" t="s">
        <v>231</v>
      </c>
      <c r="IC64" s="240" t="s">
        <v>231</v>
      </c>
      <c r="ID64" s="240" t="s">
        <v>231</v>
      </c>
      <c r="IE64" s="240" t="s">
        <v>231</v>
      </c>
      <c r="IF64" s="240" t="s">
        <v>231</v>
      </c>
      <c r="IG64" s="240" t="s">
        <v>231</v>
      </c>
      <c r="IH64" s="240" t="s">
        <v>231</v>
      </c>
      <c r="II64" s="240" t="s">
        <v>231</v>
      </c>
      <c r="IJ64" s="240" t="s">
        <v>231</v>
      </c>
      <c r="IK64" s="240" t="s">
        <v>231</v>
      </c>
      <c r="IL64" s="240" t="s">
        <v>231</v>
      </c>
      <c r="IM64" s="240" t="s">
        <v>231</v>
      </c>
      <c r="IN64" s="240" t="s">
        <v>231</v>
      </c>
      <c r="IO64" s="240" t="s">
        <v>220</v>
      </c>
      <c r="IP64" s="240" t="s">
        <v>493</v>
      </c>
      <c r="IQ64" s="240" t="s">
        <v>219</v>
      </c>
      <c r="IR64" s="240" t="s">
        <v>490</v>
      </c>
      <c r="IS64" s="240" t="s">
        <v>231</v>
      </c>
      <c r="IT64" s="240" t="s">
        <v>231</v>
      </c>
    </row>
    <row r="65" spans="1:254" ht="15" x14ac:dyDescent="0.25">
      <c r="A65" s="258" t="str">
        <f>HYPERLINK("http://www.ofsted.gov.uk/inspection-reports/find-inspection-report/provider/ELS/145168 ","Ofsted School Webpage")</f>
        <v>Ofsted School Webpage</v>
      </c>
      <c r="B65" s="237">
        <v>145168</v>
      </c>
      <c r="C65" s="237">
        <v>3806014</v>
      </c>
      <c r="D65" s="237" t="s">
        <v>673</v>
      </c>
      <c r="E65" s="237" t="s">
        <v>247</v>
      </c>
      <c r="F65" s="237" t="s">
        <v>482</v>
      </c>
      <c r="G65" s="237" t="s">
        <v>523</v>
      </c>
      <c r="H65" s="237" t="s">
        <v>524</v>
      </c>
      <c r="I65" s="237" t="s">
        <v>674</v>
      </c>
      <c r="J65" s="237" t="s">
        <v>675</v>
      </c>
      <c r="K65" s="237" t="s">
        <v>83</v>
      </c>
      <c r="L65" s="237" t="s">
        <v>93</v>
      </c>
      <c r="M65" s="237" t="s">
        <v>83</v>
      </c>
      <c r="N65" s="237" t="s">
        <v>84</v>
      </c>
      <c r="O65" s="237" t="s">
        <v>486</v>
      </c>
      <c r="P65" s="237" t="s">
        <v>487</v>
      </c>
      <c r="Q65" s="238">
        <v>10053838</v>
      </c>
      <c r="R65" s="239">
        <v>43403</v>
      </c>
      <c r="S65" s="239">
        <v>43405</v>
      </c>
      <c r="T65" s="239">
        <v>43445</v>
      </c>
      <c r="U65" s="237" t="s">
        <v>499</v>
      </c>
      <c r="V65" s="237" t="s">
        <v>489</v>
      </c>
      <c r="W65" s="237">
        <v>3</v>
      </c>
      <c r="X65" s="237">
        <v>3</v>
      </c>
      <c r="Y65" s="237">
        <v>2</v>
      </c>
      <c r="Z65" s="237">
        <v>2</v>
      </c>
      <c r="AA65" s="237">
        <v>2</v>
      </c>
      <c r="AB65" s="237" t="s">
        <v>486</v>
      </c>
      <c r="AC65" s="237" t="s">
        <v>486</v>
      </c>
      <c r="AD65" s="237" t="s">
        <v>219</v>
      </c>
      <c r="AE65" s="237" t="s">
        <v>490</v>
      </c>
      <c r="AF65" s="237" t="s">
        <v>486</v>
      </c>
      <c r="AG65" s="237" t="s">
        <v>486</v>
      </c>
      <c r="AH65" s="237" t="s">
        <v>486</v>
      </c>
      <c r="AI65" s="237" t="s">
        <v>486</v>
      </c>
      <c r="AJ65" s="237" t="s">
        <v>486</v>
      </c>
      <c r="AK65" s="237" t="s">
        <v>486</v>
      </c>
      <c r="AL65" s="237" t="s">
        <v>486</v>
      </c>
      <c r="AM65" s="237" t="s">
        <v>545</v>
      </c>
      <c r="AN65" s="237" t="s">
        <v>231</v>
      </c>
      <c r="AO65" s="237" t="s">
        <v>231</v>
      </c>
      <c r="AP65" s="237" t="s">
        <v>546</v>
      </c>
      <c r="AQ65" s="237" t="s">
        <v>231</v>
      </c>
      <c r="AR65" s="237" t="s">
        <v>231</v>
      </c>
      <c r="AS65" s="237" t="s">
        <v>231</v>
      </c>
      <c r="AT65" s="237" t="s">
        <v>231</v>
      </c>
      <c r="AU65" s="237" t="s">
        <v>546</v>
      </c>
      <c r="AV65" s="237" t="s">
        <v>231</v>
      </c>
      <c r="AW65" s="237" t="s">
        <v>231</v>
      </c>
      <c r="AX65" s="237" t="s">
        <v>231</v>
      </c>
      <c r="AY65" s="237" t="s">
        <v>231</v>
      </c>
      <c r="AZ65" s="237" t="s">
        <v>231</v>
      </c>
      <c r="BA65" s="237" t="s">
        <v>231</v>
      </c>
      <c r="BB65" s="237" t="s">
        <v>231</v>
      </c>
      <c r="BC65" s="237" t="s">
        <v>231</v>
      </c>
      <c r="BD65" s="237" t="s">
        <v>492</v>
      </c>
      <c r="BE65" s="237" t="s">
        <v>231</v>
      </c>
      <c r="BF65" s="237" t="s">
        <v>231</v>
      </c>
      <c r="BG65" s="237" t="s">
        <v>231</v>
      </c>
      <c r="BH65" s="237" t="s">
        <v>232</v>
      </c>
      <c r="BI65" s="237" t="s">
        <v>232</v>
      </c>
      <c r="BJ65" s="237" t="s">
        <v>231</v>
      </c>
      <c r="BK65" s="237" t="s">
        <v>231</v>
      </c>
      <c r="BL65" s="237" t="s">
        <v>492</v>
      </c>
      <c r="BM65" s="237" t="s">
        <v>492</v>
      </c>
      <c r="BN65" s="237" t="s">
        <v>231</v>
      </c>
      <c r="BO65" s="237" t="s">
        <v>231</v>
      </c>
      <c r="BP65" s="237" t="s">
        <v>231</v>
      </c>
      <c r="BQ65" s="237" t="s">
        <v>231</v>
      </c>
      <c r="BR65" s="237" t="s">
        <v>231</v>
      </c>
      <c r="BS65" s="237" t="s">
        <v>231</v>
      </c>
      <c r="BT65" s="237" t="s">
        <v>231</v>
      </c>
      <c r="BU65" s="237" t="s">
        <v>231</v>
      </c>
      <c r="BV65" s="237" t="s">
        <v>231</v>
      </c>
      <c r="BW65" s="237" t="s">
        <v>231</v>
      </c>
      <c r="BX65" s="237" t="s">
        <v>231</v>
      </c>
      <c r="BY65" s="237" t="s">
        <v>231</v>
      </c>
      <c r="BZ65" s="237" t="s">
        <v>231</v>
      </c>
      <c r="CA65" s="237" t="s">
        <v>231</v>
      </c>
      <c r="CB65" s="237" t="s">
        <v>231</v>
      </c>
      <c r="CC65" s="237" t="s">
        <v>231</v>
      </c>
      <c r="CD65" s="237" t="s">
        <v>231</v>
      </c>
      <c r="CE65" s="237" t="s">
        <v>231</v>
      </c>
      <c r="CF65" s="237" t="s">
        <v>231</v>
      </c>
      <c r="CG65" s="237" t="s">
        <v>231</v>
      </c>
      <c r="CH65" s="237" t="s">
        <v>231</v>
      </c>
      <c r="CI65" s="237" t="s">
        <v>231</v>
      </c>
      <c r="CJ65" s="237" t="s">
        <v>231</v>
      </c>
      <c r="CK65" s="237" t="s">
        <v>231</v>
      </c>
      <c r="CL65" s="237" t="s">
        <v>231</v>
      </c>
      <c r="CM65" s="237" t="s">
        <v>231</v>
      </c>
      <c r="CN65" s="237" t="s">
        <v>231</v>
      </c>
      <c r="CO65" s="237" t="s">
        <v>231</v>
      </c>
      <c r="CP65" s="237" t="s">
        <v>231</v>
      </c>
      <c r="CQ65" s="237" t="s">
        <v>231</v>
      </c>
      <c r="CR65" s="237" t="s">
        <v>231</v>
      </c>
      <c r="CS65" s="237" t="s">
        <v>231</v>
      </c>
      <c r="CT65" s="237" t="s">
        <v>231</v>
      </c>
      <c r="CU65" s="237" t="s">
        <v>231</v>
      </c>
      <c r="CV65" s="237" t="s">
        <v>231</v>
      </c>
      <c r="CW65" s="237" t="s">
        <v>231</v>
      </c>
      <c r="CX65" s="237" t="s">
        <v>231</v>
      </c>
      <c r="CY65" s="237" t="s">
        <v>231</v>
      </c>
      <c r="CZ65" s="237" t="s">
        <v>231</v>
      </c>
      <c r="DA65" s="237" t="s">
        <v>231</v>
      </c>
      <c r="DB65" s="237" t="s">
        <v>231</v>
      </c>
      <c r="DC65" s="237" t="s">
        <v>231</v>
      </c>
      <c r="DD65" s="237" t="s">
        <v>231</v>
      </c>
      <c r="DE65" s="237" t="s">
        <v>231</v>
      </c>
      <c r="DF65" s="237" t="s">
        <v>232</v>
      </c>
      <c r="DG65" s="237" t="s">
        <v>231</v>
      </c>
      <c r="DH65" s="237" t="s">
        <v>231</v>
      </c>
      <c r="DI65" s="237" t="s">
        <v>231</v>
      </c>
      <c r="DJ65" s="237" t="s">
        <v>231</v>
      </c>
      <c r="DK65" s="237" t="s">
        <v>231</v>
      </c>
      <c r="DL65" s="237" t="s">
        <v>231</v>
      </c>
      <c r="DM65" s="237" t="s">
        <v>231</v>
      </c>
      <c r="DN65" s="237" t="s">
        <v>231</v>
      </c>
      <c r="DO65" s="237" t="s">
        <v>231</v>
      </c>
      <c r="DP65" s="237" t="s">
        <v>231</v>
      </c>
      <c r="DQ65" s="237" t="s">
        <v>231</v>
      </c>
      <c r="DR65" s="237" t="s">
        <v>231</v>
      </c>
      <c r="DS65" s="237" t="s">
        <v>231</v>
      </c>
      <c r="DT65" s="237" t="s">
        <v>492</v>
      </c>
      <c r="DU65" s="237" t="s">
        <v>231</v>
      </c>
      <c r="DV65" s="237" t="s">
        <v>492</v>
      </c>
      <c r="DW65" s="237" t="s">
        <v>492</v>
      </c>
      <c r="DX65" s="237" t="s">
        <v>492</v>
      </c>
      <c r="DY65" s="237" t="s">
        <v>492</v>
      </c>
      <c r="DZ65" s="237" t="s">
        <v>492</v>
      </c>
      <c r="EA65" s="237" t="s">
        <v>492</v>
      </c>
      <c r="EB65" s="237" t="s">
        <v>492</v>
      </c>
      <c r="EC65" s="237" t="s">
        <v>492</v>
      </c>
      <c r="ED65" s="237" t="s">
        <v>492</v>
      </c>
      <c r="EE65" s="237" t="s">
        <v>492</v>
      </c>
      <c r="EF65" s="237" t="s">
        <v>492</v>
      </c>
      <c r="EG65" s="237" t="s">
        <v>492</v>
      </c>
      <c r="EH65" s="237" t="s">
        <v>492</v>
      </c>
      <c r="EI65" s="237" t="s">
        <v>492</v>
      </c>
      <c r="EJ65" s="237" t="s">
        <v>492</v>
      </c>
      <c r="EK65" s="237" t="s">
        <v>492</v>
      </c>
      <c r="EL65" s="237" t="s">
        <v>492</v>
      </c>
      <c r="EM65" s="237" t="s">
        <v>492</v>
      </c>
      <c r="EN65" s="237" t="s">
        <v>492</v>
      </c>
      <c r="EO65" s="237" t="s">
        <v>492</v>
      </c>
      <c r="EP65" s="237" t="s">
        <v>492</v>
      </c>
      <c r="EQ65" s="237" t="s">
        <v>492</v>
      </c>
      <c r="ER65" s="237" t="s">
        <v>492</v>
      </c>
      <c r="ES65" s="237" t="s">
        <v>231</v>
      </c>
      <c r="ET65" s="237" t="s">
        <v>231</v>
      </c>
      <c r="EU65" s="237" t="s">
        <v>231</v>
      </c>
      <c r="EV65" s="237" t="s">
        <v>231</v>
      </c>
      <c r="EW65" s="237" t="s">
        <v>231</v>
      </c>
      <c r="EX65" s="237" t="s">
        <v>231</v>
      </c>
      <c r="EY65" s="237" t="s">
        <v>231</v>
      </c>
      <c r="EZ65" s="237" t="s">
        <v>231</v>
      </c>
      <c r="FA65" s="237" t="s">
        <v>231</v>
      </c>
      <c r="FB65" s="237" t="s">
        <v>231</v>
      </c>
      <c r="FC65" s="237" t="s">
        <v>231</v>
      </c>
      <c r="FD65" s="237" t="s">
        <v>231</v>
      </c>
      <c r="FE65" s="237" t="s">
        <v>231</v>
      </c>
      <c r="FF65" s="237" t="s">
        <v>231</v>
      </c>
      <c r="FG65" s="237" t="s">
        <v>231</v>
      </c>
      <c r="FH65" s="237" t="s">
        <v>231</v>
      </c>
      <c r="FI65" s="237" t="s">
        <v>231</v>
      </c>
      <c r="FJ65" s="237" t="s">
        <v>231</v>
      </c>
      <c r="FK65" s="237" t="s">
        <v>231</v>
      </c>
      <c r="FL65" s="237" t="s">
        <v>231</v>
      </c>
      <c r="FM65" s="237" t="s">
        <v>231</v>
      </c>
      <c r="FN65" s="237" t="s">
        <v>231</v>
      </c>
      <c r="FO65" s="237" t="s">
        <v>231</v>
      </c>
      <c r="FP65" s="237" t="s">
        <v>231</v>
      </c>
      <c r="FQ65" s="237" t="s">
        <v>231</v>
      </c>
      <c r="FR65" s="237" t="s">
        <v>231</v>
      </c>
      <c r="FS65" s="237" t="s">
        <v>231</v>
      </c>
      <c r="FT65" s="237" t="s">
        <v>231</v>
      </c>
      <c r="FU65" s="237" t="s">
        <v>231</v>
      </c>
      <c r="FV65" s="237" t="s">
        <v>231</v>
      </c>
      <c r="FW65" s="237" t="s">
        <v>231</v>
      </c>
      <c r="FX65" s="237" t="s">
        <v>231</v>
      </c>
      <c r="FY65" s="237" t="s">
        <v>231</v>
      </c>
      <c r="FZ65" s="237" t="s">
        <v>231</v>
      </c>
      <c r="GA65" s="237" t="s">
        <v>231</v>
      </c>
      <c r="GB65" s="237" t="s">
        <v>231</v>
      </c>
      <c r="GC65" s="237" t="s">
        <v>231</v>
      </c>
      <c r="GD65" s="237" t="s">
        <v>231</v>
      </c>
      <c r="GE65" s="237" t="s">
        <v>231</v>
      </c>
      <c r="GF65" s="237" t="s">
        <v>231</v>
      </c>
      <c r="GG65" s="237" t="s">
        <v>231</v>
      </c>
      <c r="GH65" s="237" t="s">
        <v>231</v>
      </c>
      <c r="GI65" s="237" t="s">
        <v>231</v>
      </c>
      <c r="GJ65" s="237" t="s">
        <v>231</v>
      </c>
      <c r="GK65" s="237" t="s">
        <v>231</v>
      </c>
      <c r="GL65" s="237" t="s">
        <v>231</v>
      </c>
      <c r="GM65" s="237" t="s">
        <v>231</v>
      </c>
      <c r="GN65" s="237" t="s">
        <v>231</v>
      </c>
      <c r="GO65" s="237" t="s">
        <v>231</v>
      </c>
      <c r="GP65" s="237" t="s">
        <v>231</v>
      </c>
      <c r="GQ65" s="237" t="s">
        <v>231</v>
      </c>
      <c r="GR65" s="237" t="s">
        <v>231</v>
      </c>
      <c r="GS65" s="237" t="s">
        <v>231</v>
      </c>
      <c r="GT65" s="237" t="s">
        <v>231</v>
      </c>
      <c r="GU65" s="237" t="s">
        <v>231</v>
      </c>
      <c r="GV65" s="237" t="s">
        <v>231</v>
      </c>
      <c r="GW65" s="237" t="s">
        <v>231</v>
      </c>
      <c r="GX65" s="237" t="s">
        <v>231</v>
      </c>
      <c r="GY65" s="237" t="s">
        <v>231</v>
      </c>
      <c r="GZ65" s="237" t="s">
        <v>231</v>
      </c>
      <c r="HA65" s="237" t="s">
        <v>231</v>
      </c>
      <c r="HB65" s="237" t="s">
        <v>231</v>
      </c>
      <c r="HC65" s="237" t="s">
        <v>231</v>
      </c>
      <c r="HD65" s="237" t="s">
        <v>231</v>
      </c>
      <c r="HE65" s="237" t="s">
        <v>231</v>
      </c>
      <c r="HF65" s="237" t="s">
        <v>231</v>
      </c>
      <c r="HG65" s="237" t="s">
        <v>492</v>
      </c>
      <c r="HH65" s="237" t="s">
        <v>231</v>
      </c>
      <c r="HI65" s="237" t="s">
        <v>231</v>
      </c>
      <c r="HJ65" s="237" t="s">
        <v>231</v>
      </c>
      <c r="HK65" s="237" t="s">
        <v>231</v>
      </c>
      <c r="HL65" s="237" t="s">
        <v>231</v>
      </c>
      <c r="HM65" s="237" t="s">
        <v>231</v>
      </c>
      <c r="HN65" s="237" t="s">
        <v>231</v>
      </c>
      <c r="HO65" s="237" t="s">
        <v>231</v>
      </c>
      <c r="HP65" s="237" t="s">
        <v>492</v>
      </c>
      <c r="HQ65" s="237" t="s">
        <v>492</v>
      </c>
      <c r="HR65" s="237" t="s">
        <v>492</v>
      </c>
      <c r="HS65" s="237" t="s">
        <v>492</v>
      </c>
      <c r="HT65" s="237" t="s">
        <v>492</v>
      </c>
      <c r="HU65" s="237" t="s">
        <v>231</v>
      </c>
      <c r="HV65" s="237" t="s">
        <v>231</v>
      </c>
      <c r="HW65" s="237" t="s">
        <v>231</v>
      </c>
      <c r="HX65" s="237" t="s">
        <v>231</v>
      </c>
      <c r="HY65" s="237" t="s">
        <v>231</v>
      </c>
      <c r="HZ65" s="237" t="s">
        <v>231</v>
      </c>
      <c r="IA65" s="237" t="s">
        <v>231</v>
      </c>
      <c r="IB65" s="237" t="s">
        <v>231</v>
      </c>
      <c r="IC65" s="237" t="s">
        <v>231</v>
      </c>
      <c r="ID65" s="237" t="s">
        <v>231</v>
      </c>
      <c r="IE65" s="237" t="s">
        <v>231</v>
      </c>
      <c r="IF65" s="237" t="s">
        <v>231</v>
      </c>
      <c r="IG65" s="237" t="s">
        <v>231</v>
      </c>
      <c r="IH65" s="237" t="s">
        <v>231</v>
      </c>
      <c r="II65" s="237" t="s">
        <v>231</v>
      </c>
      <c r="IJ65" s="237" t="s">
        <v>231</v>
      </c>
      <c r="IK65" s="237" t="s">
        <v>232</v>
      </c>
      <c r="IL65" s="237" t="s">
        <v>232</v>
      </c>
      <c r="IM65" s="237" t="s">
        <v>232</v>
      </c>
      <c r="IN65" s="237" t="s">
        <v>232</v>
      </c>
      <c r="IO65" s="237" t="s">
        <v>220</v>
      </c>
      <c r="IP65" s="237" t="s">
        <v>493</v>
      </c>
      <c r="IQ65" s="237" t="s">
        <v>219</v>
      </c>
      <c r="IR65" s="237" t="s">
        <v>490</v>
      </c>
      <c r="IS65" s="237" t="s">
        <v>492</v>
      </c>
      <c r="IT65" s="237" t="s">
        <v>492</v>
      </c>
    </row>
    <row r="66" spans="1:254" ht="15" x14ac:dyDescent="0.25">
      <c r="A66" s="259" t="str">
        <f>HYPERLINK("http://www.ofsted.gov.uk/inspection-reports/find-inspection-report/provider/ELS/133449 ","Ofsted School Webpage")</f>
        <v>Ofsted School Webpage</v>
      </c>
      <c r="B66" s="240">
        <v>133449</v>
      </c>
      <c r="C66" s="240">
        <v>2046410</v>
      </c>
      <c r="D66" s="240" t="s">
        <v>676</v>
      </c>
      <c r="E66" s="240" t="s">
        <v>247</v>
      </c>
      <c r="F66" s="240" t="s">
        <v>482</v>
      </c>
      <c r="G66" s="240" t="s">
        <v>506</v>
      </c>
      <c r="H66" s="240" t="s">
        <v>506</v>
      </c>
      <c r="I66" s="240" t="s">
        <v>617</v>
      </c>
      <c r="J66" s="240" t="s">
        <v>677</v>
      </c>
      <c r="K66" s="240" t="s">
        <v>93</v>
      </c>
      <c r="L66" s="240" t="s">
        <v>84</v>
      </c>
      <c r="M66" s="240" t="s">
        <v>84</v>
      </c>
      <c r="N66" s="240" t="s">
        <v>84</v>
      </c>
      <c r="O66" s="240" t="s">
        <v>486</v>
      </c>
      <c r="P66" s="240" t="s">
        <v>487</v>
      </c>
      <c r="Q66" s="241">
        <v>10055446</v>
      </c>
      <c r="R66" s="242">
        <v>43403</v>
      </c>
      <c r="S66" s="242">
        <v>43405</v>
      </c>
      <c r="T66" s="242">
        <v>43429</v>
      </c>
      <c r="U66" s="240" t="s">
        <v>488</v>
      </c>
      <c r="V66" s="240" t="s">
        <v>489</v>
      </c>
      <c r="W66" s="240">
        <v>3</v>
      </c>
      <c r="X66" s="240">
        <v>3</v>
      </c>
      <c r="Y66" s="240">
        <v>2</v>
      </c>
      <c r="Z66" s="240">
        <v>3</v>
      </c>
      <c r="AA66" s="240">
        <v>3</v>
      </c>
      <c r="AB66" s="240" t="s">
        <v>486</v>
      </c>
      <c r="AC66" s="240" t="s">
        <v>486</v>
      </c>
      <c r="AD66" s="240" t="s">
        <v>219</v>
      </c>
      <c r="AE66" s="240" t="s">
        <v>490</v>
      </c>
      <c r="AF66" s="240" t="s">
        <v>486</v>
      </c>
      <c r="AG66" s="240" t="s">
        <v>486</v>
      </c>
      <c r="AH66" s="240" t="s">
        <v>486</v>
      </c>
      <c r="AI66" s="240" t="s">
        <v>486</v>
      </c>
      <c r="AJ66" s="240" t="s">
        <v>486</v>
      </c>
      <c r="AK66" s="240" t="s">
        <v>486</v>
      </c>
      <c r="AL66" s="240" t="s">
        <v>486</v>
      </c>
      <c r="AM66" s="240" t="s">
        <v>491</v>
      </c>
      <c r="AN66" s="240" t="s">
        <v>231</v>
      </c>
      <c r="AO66" s="240" t="s">
        <v>231</v>
      </c>
      <c r="AP66" s="240" t="s">
        <v>231</v>
      </c>
      <c r="AQ66" s="240" t="s">
        <v>231</v>
      </c>
      <c r="AR66" s="240" t="s">
        <v>231</v>
      </c>
      <c r="AS66" s="240" t="s">
        <v>231</v>
      </c>
      <c r="AT66" s="240" t="s">
        <v>231</v>
      </c>
      <c r="AU66" s="240" t="s">
        <v>231</v>
      </c>
      <c r="AV66" s="240" t="s">
        <v>231</v>
      </c>
      <c r="AW66" s="240" t="s">
        <v>231</v>
      </c>
      <c r="AX66" s="240" t="s">
        <v>231</v>
      </c>
      <c r="AY66" s="240" t="s">
        <v>231</v>
      </c>
      <c r="AZ66" s="240" t="s">
        <v>231</v>
      </c>
      <c r="BA66" s="240" t="s">
        <v>231</v>
      </c>
      <c r="BB66" s="240" t="s">
        <v>231</v>
      </c>
      <c r="BC66" s="240" t="s">
        <v>231</v>
      </c>
      <c r="BD66" s="240" t="s">
        <v>492</v>
      </c>
      <c r="BE66" s="240" t="s">
        <v>231</v>
      </c>
      <c r="BF66" s="240" t="s">
        <v>231</v>
      </c>
      <c r="BG66" s="240" t="s">
        <v>231</v>
      </c>
      <c r="BH66" s="240" t="s">
        <v>492</v>
      </c>
      <c r="BI66" s="240" t="s">
        <v>492</v>
      </c>
      <c r="BJ66" s="240" t="s">
        <v>492</v>
      </c>
      <c r="BK66" s="240" t="s">
        <v>492</v>
      </c>
      <c r="BL66" s="240" t="s">
        <v>492</v>
      </c>
      <c r="BM66" s="240" t="s">
        <v>492</v>
      </c>
      <c r="BN66" s="240" t="s">
        <v>231</v>
      </c>
      <c r="BO66" s="240" t="s">
        <v>231</v>
      </c>
      <c r="BP66" s="240" t="s">
        <v>231</v>
      </c>
      <c r="BQ66" s="240" t="s">
        <v>231</v>
      </c>
      <c r="BR66" s="240" t="s">
        <v>231</v>
      </c>
      <c r="BS66" s="240" t="s">
        <v>231</v>
      </c>
      <c r="BT66" s="240" t="s">
        <v>231</v>
      </c>
      <c r="BU66" s="240" t="s">
        <v>231</v>
      </c>
      <c r="BV66" s="240" t="s">
        <v>231</v>
      </c>
      <c r="BW66" s="240" t="s">
        <v>231</v>
      </c>
      <c r="BX66" s="240" t="s">
        <v>231</v>
      </c>
      <c r="BY66" s="240" t="s">
        <v>231</v>
      </c>
      <c r="BZ66" s="240" t="s">
        <v>231</v>
      </c>
      <c r="CA66" s="240" t="s">
        <v>231</v>
      </c>
      <c r="CB66" s="240" t="s">
        <v>231</v>
      </c>
      <c r="CC66" s="240" t="s">
        <v>231</v>
      </c>
      <c r="CD66" s="240" t="s">
        <v>231</v>
      </c>
      <c r="CE66" s="240" t="s">
        <v>231</v>
      </c>
      <c r="CF66" s="240" t="s">
        <v>231</v>
      </c>
      <c r="CG66" s="240" t="s">
        <v>231</v>
      </c>
      <c r="CH66" s="240" t="s">
        <v>231</v>
      </c>
      <c r="CI66" s="240" t="s">
        <v>231</v>
      </c>
      <c r="CJ66" s="240" t="s">
        <v>231</v>
      </c>
      <c r="CK66" s="240" t="s">
        <v>231</v>
      </c>
      <c r="CL66" s="240" t="s">
        <v>231</v>
      </c>
      <c r="CM66" s="240" t="s">
        <v>231</v>
      </c>
      <c r="CN66" s="240" t="s">
        <v>231</v>
      </c>
      <c r="CO66" s="240" t="s">
        <v>231</v>
      </c>
      <c r="CP66" s="240" t="s">
        <v>231</v>
      </c>
      <c r="CQ66" s="240" t="s">
        <v>231</v>
      </c>
      <c r="CR66" s="240" t="s">
        <v>231</v>
      </c>
      <c r="CS66" s="240" t="s">
        <v>231</v>
      </c>
      <c r="CT66" s="240" t="s">
        <v>492</v>
      </c>
      <c r="CU66" s="240" t="s">
        <v>492</v>
      </c>
      <c r="CV66" s="240" t="s">
        <v>492</v>
      </c>
      <c r="CW66" s="240" t="s">
        <v>231</v>
      </c>
      <c r="CX66" s="240" t="s">
        <v>231</v>
      </c>
      <c r="CY66" s="240" t="s">
        <v>231</v>
      </c>
      <c r="CZ66" s="240" t="s">
        <v>231</v>
      </c>
      <c r="DA66" s="240" t="s">
        <v>231</v>
      </c>
      <c r="DB66" s="240" t="s">
        <v>231</v>
      </c>
      <c r="DC66" s="240" t="s">
        <v>231</v>
      </c>
      <c r="DD66" s="240" t="s">
        <v>231</v>
      </c>
      <c r="DE66" s="240" t="s">
        <v>231</v>
      </c>
      <c r="DF66" s="240" t="s">
        <v>231</v>
      </c>
      <c r="DG66" s="240" t="s">
        <v>231</v>
      </c>
      <c r="DH66" s="240" t="s">
        <v>231</v>
      </c>
      <c r="DI66" s="240" t="s">
        <v>231</v>
      </c>
      <c r="DJ66" s="240" t="s">
        <v>231</v>
      </c>
      <c r="DK66" s="240" t="s">
        <v>231</v>
      </c>
      <c r="DL66" s="240" t="s">
        <v>231</v>
      </c>
      <c r="DM66" s="240" t="s">
        <v>231</v>
      </c>
      <c r="DN66" s="240" t="s">
        <v>231</v>
      </c>
      <c r="DO66" s="240" t="s">
        <v>231</v>
      </c>
      <c r="DP66" s="240" t="s">
        <v>231</v>
      </c>
      <c r="DQ66" s="240" t="s">
        <v>231</v>
      </c>
      <c r="DR66" s="240" t="s">
        <v>231</v>
      </c>
      <c r="DS66" s="240" t="s">
        <v>231</v>
      </c>
      <c r="DT66" s="240" t="s">
        <v>492</v>
      </c>
      <c r="DU66" s="240" t="s">
        <v>231</v>
      </c>
      <c r="DV66" s="240" t="s">
        <v>492</v>
      </c>
      <c r="DW66" s="240" t="s">
        <v>492</v>
      </c>
      <c r="DX66" s="240" t="s">
        <v>492</v>
      </c>
      <c r="DY66" s="240" t="s">
        <v>492</v>
      </c>
      <c r="DZ66" s="240" t="s">
        <v>492</v>
      </c>
      <c r="EA66" s="240" t="s">
        <v>492</v>
      </c>
      <c r="EB66" s="240" t="s">
        <v>492</v>
      </c>
      <c r="EC66" s="240" t="s">
        <v>492</v>
      </c>
      <c r="ED66" s="240" t="s">
        <v>492</v>
      </c>
      <c r="EE66" s="240" t="s">
        <v>492</v>
      </c>
      <c r="EF66" s="240" t="s">
        <v>492</v>
      </c>
      <c r="EG66" s="240" t="s">
        <v>492</v>
      </c>
      <c r="EH66" s="240" t="s">
        <v>492</v>
      </c>
      <c r="EI66" s="240" t="s">
        <v>492</v>
      </c>
      <c r="EJ66" s="240" t="s">
        <v>231</v>
      </c>
      <c r="EK66" s="240" t="s">
        <v>231</v>
      </c>
      <c r="EL66" s="240" t="s">
        <v>231</v>
      </c>
      <c r="EM66" s="240" t="s">
        <v>231</v>
      </c>
      <c r="EN66" s="240" t="s">
        <v>231</v>
      </c>
      <c r="EO66" s="240" t="s">
        <v>231</v>
      </c>
      <c r="EP66" s="240" t="s">
        <v>231</v>
      </c>
      <c r="EQ66" s="240" t="s">
        <v>231</v>
      </c>
      <c r="ER66" s="240" t="s">
        <v>231</v>
      </c>
      <c r="ES66" s="240" t="s">
        <v>231</v>
      </c>
      <c r="ET66" s="240" t="s">
        <v>231</v>
      </c>
      <c r="EU66" s="240" t="s">
        <v>231</v>
      </c>
      <c r="EV66" s="240" t="s">
        <v>231</v>
      </c>
      <c r="EW66" s="240" t="s">
        <v>231</v>
      </c>
      <c r="EX66" s="240" t="s">
        <v>231</v>
      </c>
      <c r="EY66" s="240" t="s">
        <v>231</v>
      </c>
      <c r="EZ66" s="240" t="s">
        <v>231</v>
      </c>
      <c r="FA66" s="240" t="s">
        <v>231</v>
      </c>
      <c r="FB66" s="240" t="s">
        <v>231</v>
      </c>
      <c r="FC66" s="240" t="s">
        <v>231</v>
      </c>
      <c r="FD66" s="240" t="s">
        <v>231</v>
      </c>
      <c r="FE66" s="240" t="s">
        <v>231</v>
      </c>
      <c r="FF66" s="240" t="s">
        <v>231</v>
      </c>
      <c r="FG66" s="240" t="s">
        <v>492</v>
      </c>
      <c r="FH66" s="240" t="s">
        <v>492</v>
      </c>
      <c r="FI66" s="240" t="s">
        <v>492</v>
      </c>
      <c r="FJ66" s="240" t="s">
        <v>492</v>
      </c>
      <c r="FK66" s="240" t="s">
        <v>492</v>
      </c>
      <c r="FL66" s="240" t="s">
        <v>492</v>
      </c>
      <c r="FM66" s="240" t="s">
        <v>231</v>
      </c>
      <c r="FN66" s="240" t="s">
        <v>231</v>
      </c>
      <c r="FO66" s="240" t="s">
        <v>231</v>
      </c>
      <c r="FP66" s="240" t="s">
        <v>231</v>
      </c>
      <c r="FQ66" s="240" t="s">
        <v>231</v>
      </c>
      <c r="FR66" s="240" t="s">
        <v>231</v>
      </c>
      <c r="FS66" s="240" t="s">
        <v>231</v>
      </c>
      <c r="FT66" s="240" t="s">
        <v>492</v>
      </c>
      <c r="FU66" s="240" t="s">
        <v>231</v>
      </c>
      <c r="FV66" s="240" t="s">
        <v>231</v>
      </c>
      <c r="FW66" s="240" t="s">
        <v>231</v>
      </c>
      <c r="FX66" s="240" t="s">
        <v>492</v>
      </c>
      <c r="FY66" s="240" t="s">
        <v>231</v>
      </c>
      <c r="FZ66" s="240" t="s">
        <v>231</v>
      </c>
      <c r="GA66" s="240" t="s">
        <v>231</v>
      </c>
      <c r="GB66" s="240" t="s">
        <v>231</v>
      </c>
      <c r="GC66" s="240" t="s">
        <v>231</v>
      </c>
      <c r="GD66" s="240" t="s">
        <v>231</v>
      </c>
      <c r="GE66" s="240" t="s">
        <v>231</v>
      </c>
      <c r="GF66" s="240" t="s">
        <v>231</v>
      </c>
      <c r="GG66" s="240" t="s">
        <v>231</v>
      </c>
      <c r="GH66" s="240" t="s">
        <v>231</v>
      </c>
      <c r="GI66" s="240" t="s">
        <v>231</v>
      </c>
      <c r="GJ66" s="240" t="s">
        <v>231</v>
      </c>
      <c r="GK66" s="240" t="s">
        <v>231</v>
      </c>
      <c r="GL66" s="240" t="s">
        <v>231</v>
      </c>
      <c r="GM66" s="240" t="s">
        <v>231</v>
      </c>
      <c r="GN66" s="240" t="s">
        <v>231</v>
      </c>
      <c r="GO66" s="240" t="s">
        <v>231</v>
      </c>
      <c r="GP66" s="240" t="s">
        <v>492</v>
      </c>
      <c r="GQ66" s="240" t="s">
        <v>231</v>
      </c>
      <c r="GR66" s="240" t="s">
        <v>231</v>
      </c>
      <c r="GS66" s="240" t="s">
        <v>231</v>
      </c>
      <c r="GT66" s="240" t="s">
        <v>231</v>
      </c>
      <c r="GU66" s="240" t="s">
        <v>231</v>
      </c>
      <c r="GV66" s="240" t="s">
        <v>492</v>
      </c>
      <c r="GW66" s="240" t="s">
        <v>231</v>
      </c>
      <c r="GX66" s="240" t="s">
        <v>231</v>
      </c>
      <c r="GY66" s="240" t="s">
        <v>492</v>
      </c>
      <c r="GZ66" s="240" t="s">
        <v>492</v>
      </c>
      <c r="HA66" s="240" t="s">
        <v>492</v>
      </c>
      <c r="HB66" s="240" t="s">
        <v>231</v>
      </c>
      <c r="HC66" s="240" t="s">
        <v>231</v>
      </c>
      <c r="HD66" s="240" t="s">
        <v>231</v>
      </c>
      <c r="HE66" s="240" t="s">
        <v>492</v>
      </c>
      <c r="HF66" s="240" t="s">
        <v>231</v>
      </c>
      <c r="HG66" s="240" t="s">
        <v>231</v>
      </c>
      <c r="HH66" s="240" t="s">
        <v>231</v>
      </c>
      <c r="HI66" s="240" t="s">
        <v>231</v>
      </c>
      <c r="HJ66" s="240" t="s">
        <v>231</v>
      </c>
      <c r="HK66" s="240" t="s">
        <v>231</v>
      </c>
      <c r="HL66" s="240" t="s">
        <v>231</v>
      </c>
      <c r="HM66" s="240" t="s">
        <v>231</v>
      </c>
      <c r="HN66" s="240" t="s">
        <v>231</v>
      </c>
      <c r="HO66" s="240" t="s">
        <v>231</v>
      </c>
      <c r="HP66" s="240" t="s">
        <v>231</v>
      </c>
      <c r="HQ66" s="240" t="s">
        <v>492</v>
      </c>
      <c r="HR66" s="240" t="s">
        <v>492</v>
      </c>
      <c r="HS66" s="240" t="s">
        <v>492</v>
      </c>
      <c r="HT66" s="240" t="s">
        <v>492</v>
      </c>
      <c r="HU66" s="240" t="s">
        <v>231</v>
      </c>
      <c r="HV66" s="240" t="s">
        <v>231</v>
      </c>
      <c r="HW66" s="240" t="s">
        <v>231</v>
      </c>
      <c r="HX66" s="240" t="s">
        <v>231</v>
      </c>
      <c r="HY66" s="240" t="s">
        <v>231</v>
      </c>
      <c r="HZ66" s="240" t="s">
        <v>231</v>
      </c>
      <c r="IA66" s="240" t="s">
        <v>231</v>
      </c>
      <c r="IB66" s="240" t="s">
        <v>231</v>
      </c>
      <c r="IC66" s="240" t="s">
        <v>231</v>
      </c>
      <c r="ID66" s="240" t="s">
        <v>231</v>
      </c>
      <c r="IE66" s="240" t="s">
        <v>231</v>
      </c>
      <c r="IF66" s="240" t="s">
        <v>231</v>
      </c>
      <c r="IG66" s="240" t="s">
        <v>231</v>
      </c>
      <c r="IH66" s="240" t="s">
        <v>231</v>
      </c>
      <c r="II66" s="240" t="s">
        <v>231</v>
      </c>
      <c r="IJ66" s="240" t="s">
        <v>231</v>
      </c>
      <c r="IK66" s="240" t="s">
        <v>231</v>
      </c>
      <c r="IL66" s="240" t="s">
        <v>231</v>
      </c>
      <c r="IM66" s="240" t="s">
        <v>231</v>
      </c>
      <c r="IN66" s="240" t="s">
        <v>231</v>
      </c>
      <c r="IO66" s="240" t="s">
        <v>220</v>
      </c>
      <c r="IP66" s="240" t="s">
        <v>493</v>
      </c>
      <c r="IQ66" s="240" t="s">
        <v>219</v>
      </c>
      <c r="IR66" s="240" t="s">
        <v>490</v>
      </c>
      <c r="IS66" s="240" t="s">
        <v>492</v>
      </c>
      <c r="IT66" s="240" t="s">
        <v>492</v>
      </c>
    </row>
    <row r="67" spans="1:254" ht="15" x14ac:dyDescent="0.25">
      <c r="A67" s="258" t="str">
        <f>HYPERLINK("http://www.ofsted.gov.uk/inspection-reports/find-inspection-report/provider/ELS/131395 ","Ofsted School Webpage")</f>
        <v>Ofsted School Webpage</v>
      </c>
      <c r="B67" s="237">
        <v>131395</v>
      </c>
      <c r="C67" s="237">
        <v>3056078</v>
      </c>
      <c r="D67" s="237" t="s">
        <v>678</v>
      </c>
      <c r="E67" s="237" t="s">
        <v>248</v>
      </c>
      <c r="F67" s="237" t="s">
        <v>501</v>
      </c>
      <c r="G67" s="237" t="s">
        <v>506</v>
      </c>
      <c r="H67" s="237" t="s">
        <v>506</v>
      </c>
      <c r="I67" s="237" t="s">
        <v>679</v>
      </c>
      <c r="J67" s="237" t="s">
        <v>680</v>
      </c>
      <c r="K67" s="237" t="s">
        <v>93</v>
      </c>
      <c r="L67" s="237" t="s">
        <v>74</v>
      </c>
      <c r="M67" s="237" t="s">
        <v>74</v>
      </c>
      <c r="N67" s="237" t="s">
        <v>71</v>
      </c>
      <c r="O67" s="237" t="s">
        <v>486</v>
      </c>
      <c r="P67" s="237" t="s">
        <v>487</v>
      </c>
      <c r="Q67" s="238">
        <v>10055476</v>
      </c>
      <c r="R67" s="239">
        <v>43404</v>
      </c>
      <c r="S67" s="239">
        <v>43406</v>
      </c>
      <c r="T67" s="239">
        <v>43425</v>
      </c>
      <c r="U67" s="237" t="s">
        <v>488</v>
      </c>
      <c r="V67" s="237" t="s">
        <v>489</v>
      </c>
      <c r="W67" s="237">
        <v>2</v>
      </c>
      <c r="X67" s="237">
        <v>2</v>
      </c>
      <c r="Y67" s="237">
        <v>1</v>
      </c>
      <c r="Z67" s="237">
        <v>2</v>
      </c>
      <c r="AA67" s="237">
        <v>2</v>
      </c>
      <c r="AB67" s="237" t="s">
        <v>486</v>
      </c>
      <c r="AC67" s="237" t="s">
        <v>486</v>
      </c>
      <c r="AD67" s="237" t="s">
        <v>219</v>
      </c>
      <c r="AE67" s="237" t="s">
        <v>512</v>
      </c>
      <c r="AF67" s="237" t="s">
        <v>486</v>
      </c>
      <c r="AG67" s="237" t="s">
        <v>486</v>
      </c>
      <c r="AH67" s="237" t="s">
        <v>486</v>
      </c>
      <c r="AI67" s="237" t="s">
        <v>490</v>
      </c>
      <c r="AJ67" s="237" t="s">
        <v>486</v>
      </c>
      <c r="AK67" s="237" t="s">
        <v>486</v>
      </c>
      <c r="AL67" s="237" t="s">
        <v>486</v>
      </c>
      <c r="AM67" s="237" t="s">
        <v>491</v>
      </c>
      <c r="AN67" s="237" t="s">
        <v>231</v>
      </c>
      <c r="AO67" s="237" t="s">
        <v>231</v>
      </c>
      <c r="AP67" s="237" t="s">
        <v>231</v>
      </c>
      <c r="AQ67" s="237" t="s">
        <v>231</v>
      </c>
      <c r="AR67" s="237" t="s">
        <v>231</v>
      </c>
      <c r="AS67" s="237" t="s">
        <v>231</v>
      </c>
      <c r="AT67" s="237" t="s">
        <v>231</v>
      </c>
      <c r="AU67" s="237" t="s">
        <v>231</v>
      </c>
      <c r="AV67" s="237" t="s">
        <v>231</v>
      </c>
      <c r="AW67" s="237" t="s">
        <v>231</v>
      </c>
      <c r="AX67" s="237" t="s">
        <v>231</v>
      </c>
      <c r="AY67" s="237" t="s">
        <v>231</v>
      </c>
      <c r="AZ67" s="237" t="s">
        <v>231</v>
      </c>
      <c r="BA67" s="237" t="s">
        <v>231</v>
      </c>
      <c r="BB67" s="237" t="s">
        <v>231</v>
      </c>
      <c r="BC67" s="237" t="s">
        <v>231</v>
      </c>
      <c r="BD67" s="237" t="s">
        <v>492</v>
      </c>
      <c r="BE67" s="237" t="s">
        <v>231</v>
      </c>
      <c r="BF67" s="237" t="s">
        <v>231</v>
      </c>
      <c r="BG67" s="237" t="s">
        <v>231</v>
      </c>
      <c r="BH67" s="237" t="s">
        <v>231</v>
      </c>
      <c r="BI67" s="237" t="s">
        <v>231</v>
      </c>
      <c r="BJ67" s="237" t="s">
        <v>231</v>
      </c>
      <c r="BK67" s="237" t="s">
        <v>231</v>
      </c>
      <c r="BL67" s="237" t="s">
        <v>492</v>
      </c>
      <c r="BM67" s="237" t="s">
        <v>231</v>
      </c>
      <c r="BN67" s="237" t="s">
        <v>231</v>
      </c>
      <c r="BO67" s="237" t="s">
        <v>231</v>
      </c>
      <c r="BP67" s="237" t="s">
        <v>231</v>
      </c>
      <c r="BQ67" s="237" t="s">
        <v>231</v>
      </c>
      <c r="BR67" s="237" t="s">
        <v>231</v>
      </c>
      <c r="BS67" s="237" t="s">
        <v>231</v>
      </c>
      <c r="BT67" s="237" t="s">
        <v>231</v>
      </c>
      <c r="BU67" s="237" t="s">
        <v>231</v>
      </c>
      <c r="BV67" s="237" t="s">
        <v>231</v>
      </c>
      <c r="BW67" s="237" t="s">
        <v>231</v>
      </c>
      <c r="BX67" s="237" t="s">
        <v>231</v>
      </c>
      <c r="BY67" s="237" t="s">
        <v>231</v>
      </c>
      <c r="BZ67" s="237" t="s">
        <v>231</v>
      </c>
      <c r="CA67" s="237" t="s">
        <v>231</v>
      </c>
      <c r="CB67" s="237" t="s">
        <v>231</v>
      </c>
      <c r="CC67" s="237" t="s">
        <v>231</v>
      </c>
      <c r="CD67" s="237" t="s">
        <v>231</v>
      </c>
      <c r="CE67" s="237" t="s">
        <v>231</v>
      </c>
      <c r="CF67" s="237" t="s">
        <v>231</v>
      </c>
      <c r="CG67" s="237" t="s">
        <v>231</v>
      </c>
      <c r="CH67" s="237" t="s">
        <v>231</v>
      </c>
      <c r="CI67" s="237" t="s">
        <v>231</v>
      </c>
      <c r="CJ67" s="237" t="s">
        <v>231</v>
      </c>
      <c r="CK67" s="237" t="s">
        <v>231</v>
      </c>
      <c r="CL67" s="237" t="s">
        <v>231</v>
      </c>
      <c r="CM67" s="237" t="s">
        <v>231</v>
      </c>
      <c r="CN67" s="237" t="s">
        <v>231</v>
      </c>
      <c r="CO67" s="237" t="s">
        <v>231</v>
      </c>
      <c r="CP67" s="237" t="s">
        <v>231</v>
      </c>
      <c r="CQ67" s="237" t="s">
        <v>231</v>
      </c>
      <c r="CR67" s="237" t="s">
        <v>231</v>
      </c>
      <c r="CS67" s="237" t="s">
        <v>231</v>
      </c>
      <c r="CT67" s="237" t="s">
        <v>492</v>
      </c>
      <c r="CU67" s="237" t="s">
        <v>492</v>
      </c>
      <c r="CV67" s="237" t="s">
        <v>492</v>
      </c>
      <c r="CW67" s="237" t="s">
        <v>231</v>
      </c>
      <c r="CX67" s="237" t="s">
        <v>231</v>
      </c>
      <c r="CY67" s="237" t="s">
        <v>231</v>
      </c>
      <c r="CZ67" s="237" t="s">
        <v>231</v>
      </c>
      <c r="DA67" s="237" t="s">
        <v>231</v>
      </c>
      <c r="DB67" s="237" t="s">
        <v>231</v>
      </c>
      <c r="DC67" s="237" t="s">
        <v>231</v>
      </c>
      <c r="DD67" s="237" t="s">
        <v>231</v>
      </c>
      <c r="DE67" s="237" t="s">
        <v>231</v>
      </c>
      <c r="DF67" s="237" t="s">
        <v>231</v>
      </c>
      <c r="DG67" s="237" t="s">
        <v>231</v>
      </c>
      <c r="DH67" s="237" t="s">
        <v>231</v>
      </c>
      <c r="DI67" s="237" t="s">
        <v>231</v>
      </c>
      <c r="DJ67" s="237" t="s">
        <v>231</v>
      </c>
      <c r="DK67" s="237" t="s">
        <v>231</v>
      </c>
      <c r="DL67" s="237" t="s">
        <v>231</v>
      </c>
      <c r="DM67" s="237" t="s">
        <v>231</v>
      </c>
      <c r="DN67" s="237" t="s">
        <v>231</v>
      </c>
      <c r="DO67" s="237" t="s">
        <v>231</v>
      </c>
      <c r="DP67" s="237" t="s">
        <v>231</v>
      </c>
      <c r="DQ67" s="237" t="s">
        <v>231</v>
      </c>
      <c r="DR67" s="237" t="s">
        <v>231</v>
      </c>
      <c r="DS67" s="237" t="s">
        <v>231</v>
      </c>
      <c r="DT67" s="237" t="s">
        <v>492</v>
      </c>
      <c r="DU67" s="237" t="s">
        <v>231</v>
      </c>
      <c r="DV67" s="237" t="s">
        <v>492</v>
      </c>
      <c r="DW67" s="237" t="s">
        <v>492</v>
      </c>
      <c r="DX67" s="237" t="s">
        <v>492</v>
      </c>
      <c r="DY67" s="237" t="s">
        <v>492</v>
      </c>
      <c r="DZ67" s="237" t="s">
        <v>492</v>
      </c>
      <c r="EA67" s="237" t="s">
        <v>492</v>
      </c>
      <c r="EB67" s="237" t="s">
        <v>492</v>
      </c>
      <c r="EC67" s="237" t="s">
        <v>492</v>
      </c>
      <c r="ED67" s="237" t="s">
        <v>492</v>
      </c>
      <c r="EE67" s="237" t="s">
        <v>492</v>
      </c>
      <c r="EF67" s="237" t="s">
        <v>492</v>
      </c>
      <c r="EG67" s="237" t="s">
        <v>492</v>
      </c>
      <c r="EH67" s="237" t="s">
        <v>492</v>
      </c>
      <c r="EI67" s="237" t="s">
        <v>492</v>
      </c>
      <c r="EJ67" s="237" t="s">
        <v>231</v>
      </c>
      <c r="EK67" s="237" t="s">
        <v>231</v>
      </c>
      <c r="EL67" s="237" t="s">
        <v>231</v>
      </c>
      <c r="EM67" s="237" t="s">
        <v>231</v>
      </c>
      <c r="EN67" s="237" t="s">
        <v>231</v>
      </c>
      <c r="EO67" s="237" t="s">
        <v>231</v>
      </c>
      <c r="EP67" s="237" t="s">
        <v>231</v>
      </c>
      <c r="EQ67" s="237" t="s">
        <v>231</v>
      </c>
      <c r="ER67" s="237" t="s">
        <v>231</v>
      </c>
      <c r="ES67" s="237" t="s">
        <v>231</v>
      </c>
      <c r="ET67" s="237" t="s">
        <v>231</v>
      </c>
      <c r="EU67" s="237" t="s">
        <v>231</v>
      </c>
      <c r="EV67" s="237" t="s">
        <v>231</v>
      </c>
      <c r="EW67" s="237" t="s">
        <v>231</v>
      </c>
      <c r="EX67" s="237" t="s">
        <v>231</v>
      </c>
      <c r="EY67" s="237" t="s">
        <v>231</v>
      </c>
      <c r="EZ67" s="237" t="s">
        <v>231</v>
      </c>
      <c r="FA67" s="237" t="s">
        <v>231</v>
      </c>
      <c r="FB67" s="237" t="s">
        <v>231</v>
      </c>
      <c r="FC67" s="237" t="s">
        <v>231</v>
      </c>
      <c r="FD67" s="237" t="s">
        <v>231</v>
      </c>
      <c r="FE67" s="237" t="s">
        <v>231</v>
      </c>
      <c r="FF67" s="237" t="s">
        <v>231</v>
      </c>
      <c r="FG67" s="237" t="s">
        <v>492</v>
      </c>
      <c r="FH67" s="237" t="s">
        <v>492</v>
      </c>
      <c r="FI67" s="237" t="s">
        <v>492</v>
      </c>
      <c r="FJ67" s="237" t="s">
        <v>492</v>
      </c>
      <c r="FK67" s="237" t="s">
        <v>492</v>
      </c>
      <c r="FL67" s="237" t="s">
        <v>492</v>
      </c>
      <c r="FM67" s="237" t="s">
        <v>231</v>
      </c>
      <c r="FN67" s="237" t="s">
        <v>231</v>
      </c>
      <c r="FO67" s="237" t="s">
        <v>231</v>
      </c>
      <c r="FP67" s="237" t="s">
        <v>231</v>
      </c>
      <c r="FQ67" s="237" t="s">
        <v>231</v>
      </c>
      <c r="FR67" s="237" t="s">
        <v>231</v>
      </c>
      <c r="FS67" s="237" t="s">
        <v>231</v>
      </c>
      <c r="FT67" s="237" t="s">
        <v>231</v>
      </c>
      <c r="FU67" s="237" t="s">
        <v>231</v>
      </c>
      <c r="FV67" s="237" t="s">
        <v>231</v>
      </c>
      <c r="FW67" s="237" t="s">
        <v>231</v>
      </c>
      <c r="FX67" s="237" t="s">
        <v>492</v>
      </c>
      <c r="FY67" s="237" t="s">
        <v>231</v>
      </c>
      <c r="FZ67" s="237" t="s">
        <v>231</v>
      </c>
      <c r="GA67" s="237" t="s">
        <v>231</v>
      </c>
      <c r="GB67" s="237" t="s">
        <v>231</v>
      </c>
      <c r="GC67" s="237" t="s">
        <v>231</v>
      </c>
      <c r="GD67" s="237" t="s">
        <v>231</v>
      </c>
      <c r="GE67" s="237" t="s">
        <v>231</v>
      </c>
      <c r="GF67" s="237" t="s">
        <v>231</v>
      </c>
      <c r="GG67" s="237" t="s">
        <v>231</v>
      </c>
      <c r="GH67" s="237" t="s">
        <v>231</v>
      </c>
      <c r="GI67" s="237" t="s">
        <v>231</v>
      </c>
      <c r="GJ67" s="237" t="s">
        <v>231</v>
      </c>
      <c r="GK67" s="237" t="s">
        <v>231</v>
      </c>
      <c r="GL67" s="237" t="s">
        <v>231</v>
      </c>
      <c r="GM67" s="237" t="s">
        <v>231</v>
      </c>
      <c r="GN67" s="237" t="s">
        <v>231</v>
      </c>
      <c r="GO67" s="237" t="s">
        <v>231</v>
      </c>
      <c r="GP67" s="237" t="s">
        <v>492</v>
      </c>
      <c r="GQ67" s="237" t="s">
        <v>231</v>
      </c>
      <c r="GR67" s="237" t="s">
        <v>231</v>
      </c>
      <c r="GS67" s="237" t="s">
        <v>231</v>
      </c>
      <c r="GT67" s="237" t="s">
        <v>231</v>
      </c>
      <c r="GU67" s="237" t="s">
        <v>231</v>
      </c>
      <c r="GV67" s="237" t="s">
        <v>492</v>
      </c>
      <c r="GW67" s="237" t="s">
        <v>231</v>
      </c>
      <c r="GX67" s="237" t="s">
        <v>231</v>
      </c>
      <c r="GY67" s="237" t="s">
        <v>231</v>
      </c>
      <c r="GZ67" s="237" t="s">
        <v>231</v>
      </c>
      <c r="HA67" s="237" t="s">
        <v>231</v>
      </c>
      <c r="HB67" s="237" t="s">
        <v>231</v>
      </c>
      <c r="HC67" s="237" t="s">
        <v>231</v>
      </c>
      <c r="HD67" s="237" t="s">
        <v>231</v>
      </c>
      <c r="HE67" s="237" t="s">
        <v>231</v>
      </c>
      <c r="HF67" s="237" t="s">
        <v>492</v>
      </c>
      <c r="HG67" s="237" t="s">
        <v>231</v>
      </c>
      <c r="HH67" s="237" t="s">
        <v>231</v>
      </c>
      <c r="HI67" s="237" t="s">
        <v>231</v>
      </c>
      <c r="HJ67" s="237" t="s">
        <v>231</v>
      </c>
      <c r="HK67" s="237" t="s">
        <v>231</v>
      </c>
      <c r="HL67" s="237" t="s">
        <v>231</v>
      </c>
      <c r="HM67" s="237" t="s">
        <v>231</v>
      </c>
      <c r="HN67" s="237" t="s">
        <v>231</v>
      </c>
      <c r="HO67" s="237" t="s">
        <v>231</v>
      </c>
      <c r="HP67" s="237" t="s">
        <v>231</v>
      </c>
      <c r="HQ67" s="237" t="s">
        <v>492</v>
      </c>
      <c r="HR67" s="237" t="s">
        <v>492</v>
      </c>
      <c r="HS67" s="237" t="s">
        <v>492</v>
      </c>
      <c r="HT67" s="237" t="s">
        <v>492</v>
      </c>
      <c r="HU67" s="237" t="s">
        <v>231</v>
      </c>
      <c r="HV67" s="237" t="s">
        <v>231</v>
      </c>
      <c r="HW67" s="237" t="s">
        <v>231</v>
      </c>
      <c r="HX67" s="237" t="s">
        <v>231</v>
      </c>
      <c r="HY67" s="237" t="s">
        <v>231</v>
      </c>
      <c r="HZ67" s="237" t="s">
        <v>231</v>
      </c>
      <c r="IA67" s="237" t="s">
        <v>231</v>
      </c>
      <c r="IB67" s="237" t="s">
        <v>231</v>
      </c>
      <c r="IC67" s="237" t="s">
        <v>231</v>
      </c>
      <c r="ID67" s="237" t="s">
        <v>231</v>
      </c>
      <c r="IE67" s="237" t="s">
        <v>231</v>
      </c>
      <c r="IF67" s="237" t="s">
        <v>231</v>
      </c>
      <c r="IG67" s="237" t="s">
        <v>231</v>
      </c>
      <c r="IH67" s="237" t="s">
        <v>231</v>
      </c>
      <c r="II67" s="237" t="s">
        <v>231</v>
      </c>
      <c r="IJ67" s="237" t="s">
        <v>231</v>
      </c>
      <c r="IK67" s="237" t="s">
        <v>231</v>
      </c>
      <c r="IL67" s="237" t="s">
        <v>231</v>
      </c>
      <c r="IM67" s="237" t="s">
        <v>231</v>
      </c>
      <c r="IN67" s="237" t="s">
        <v>231</v>
      </c>
      <c r="IO67" s="237" t="s">
        <v>220</v>
      </c>
      <c r="IP67" s="237" t="s">
        <v>493</v>
      </c>
      <c r="IQ67" s="237" t="s">
        <v>219</v>
      </c>
      <c r="IR67" s="237" t="s">
        <v>490</v>
      </c>
      <c r="IS67" s="237" t="s">
        <v>492</v>
      </c>
      <c r="IT67" s="237" t="s">
        <v>492</v>
      </c>
    </row>
    <row r="68" spans="1:254" ht="15" x14ac:dyDescent="0.25">
      <c r="A68" s="259" t="str">
        <f>HYPERLINK("http://www.ofsted.gov.uk/inspection-reports/find-inspection-report/provider/ELS/145468 ","Ofsted School Webpage")</f>
        <v>Ofsted School Webpage</v>
      </c>
      <c r="B68" s="240">
        <v>145468</v>
      </c>
      <c r="C68" s="240">
        <v>8936034</v>
      </c>
      <c r="D68" s="240" t="s">
        <v>681</v>
      </c>
      <c r="E68" s="240" t="s">
        <v>248</v>
      </c>
      <c r="F68" s="240" t="s">
        <v>501</v>
      </c>
      <c r="G68" s="240" t="s">
        <v>502</v>
      </c>
      <c r="H68" s="240" t="s">
        <v>502</v>
      </c>
      <c r="I68" s="240" t="s">
        <v>666</v>
      </c>
      <c r="J68" s="240" t="s">
        <v>607</v>
      </c>
      <c r="K68" s="240" t="s">
        <v>93</v>
      </c>
      <c r="L68" s="240" t="s">
        <v>93</v>
      </c>
      <c r="M68" s="240" t="s">
        <v>93</v>
      </c>
      <c r="N68" s="240" t="s">
        <v>90</v>
      </c>
      <c r="O68" s="240" t="s">
        <v>486</v>
      </c>
      <c r="P68" s="240" t="s">
        <v>487</v>
      </c>
      <c r="Q68" s="241">
        <v>10056211</v>
      </c>
      <c r="R68" s="242">
        <v>43410</v>
      </c>
      <c r="S68" s="242">
        <v>43411</v>
      </c>
      <c r="T68" s="242">
        <v>43437</v>
      </c>
      <c r="U68" s="240" t="s">
        <v>499</v>
      </c>
      <c r="V68" s="240" t="s">
        <v>489</v>
      </c>
      <c r="W68" s="240">
        <v>2</v>
      </c>
      <c r="X68" s="240">
        <v>2</v>
      </c>
      <c r="Y68" s="240">
        <v>2</v>
      </c>
      <c r="Z68" s="240">
        <v>2</v>
      </c>
      <c r="AA68" s="240">
        <v>2</v>
      </c>
      <c r="AB68" s="240" t="s">
        <v>486</v>
      </c>
      <c r="AC68" s="240" t="s">
        <v>486</v>
      </c>
      <c r="AD68" s="240" t="s">
        <v>219</v>
      </c>
      <c r="AE68" s="240" t="s">
        <v>490</v>
      </c>
      <c r="AF68" s="240" t="s">
        <v>486</v>
      </c>
      <c r="AG68" s="240" t="s">
        <v>486</v>
      </c>
      <c r="AH68" s="240" t="s">
        <v>486</v>
      </c>
      <c r="AI68" s="240" t="s">
        <v>486</v>
      </c>
      <c r="AJ68" s="240" t="s">
        <v>486</v>
      </c>
      <c r="AK68" s="240" t="s">
        <v>486</v>
      </c>
      <c r="AL68" s="240" t="s">
        <v>486</v>
      </c>
      <c r="AM68" s="240" t="s">
        <v>491</v>
      </c>
      <c r="AN68" s="240" t="s">
        <v>231</v>
      </c>
      <c r="AO68" s="240" t="s">
        <v>231</v>
      </c>
      <c r="AP68" s="240" t="s">
        <v>231</v>
      </c>
      <c r="AQ68" s="240" t="s">
        <v>231</v>
      </c>
      <c r="AR68" s="240" t="s">
        <v>231</v>
      </c>
      <c r="AS68" s="240" t="s">
        <v>231</v>
      </c>
      <c r="AT68" s="240" t="s">
        <v>231</v>
      </c>
      <c r="AU68" s="240" t="s">
        <v>231</v>
      </c>
      <c r="AV68" s="240" t="s">
        <v>231</v>
      </c>
      <c r="AW68" s="240" t="s">
        <v>231</v>
      </c>
      <c r="AX68" s="240" t="s">
        <v>231</v>
      </c>
      <c r="AY68" s="240" t="s">
        <v>231</v>
      </c>
      <c r="AZ68" s="240" t="s">
        <v>231</v>
      </c>
      <c r="BA68" s="240" t="s">
        <v>231</v>
      </c>
      <c r="BB68" s="240" t="s">
        <v>231</v>
      </c>
      <c r="BC68" s="240" t="s">
        <v>231</v>
      </c>
      <c r="BD68" s="240" t="s">
        <v>492</v>
      </c>
      <c r="BE68" s="240" t="s">
        <v>231</v>
      </c>
      <c r="BF68" s="240" t="s">
        <v>231</v>
      </c>
      <c r="BG68" s="240" t="s">
        <v>231</v>
      </c>
      <c r="BH68" s="240" t="s">
        <v>231</v>
      </c>
      <c r="BI68" s="240" t="s">
        <v>231</v>
      </c>
      <c r="BJ68" s="240" t="s">
        <v>231</v>
      </c>
      <c r="BK68" s="240" t="s">
        <v>231</v>
      </c>
      <c r="BL68" s="240" t="s">
        <v>492</v>
      </c>
      <c r="BM68" s="240" t="s">
        <v>492</v>
      </c>
      <c r="BN68" s="240" t="s">
        <v>231</v>
      </c>
      <c r="BO68" s="240" t="s">
        <v>231</v>
      </c>
      <c r="BP68" s="240" t="s">
        <v>231</v>
      </c>
      <c r="BQ68" s="240" t="s">
        <v>231</v>
      </c>
      <c r="BR68" s="240" t="s">
        <v>231</v>
      </c>
      <c r="BS68" s="240" t="s">
        <v>231</v>
      </c>
      <c r="BT68" s="240" t="s">
        <v>231</v>
      </c>
      <c r="BU68" s="240" t="s">
        <v>231</v>
      </c>
      <c r="BV68" s="240" t="s">
        <v>231</v>
      </c>
      <c r="BW68" s="240" t="s">
        <v>231</v>
      </c>
      <c r="BX68" s="240" t="s">
        <v>231</v>
      </c>
      <c r="BY68" s="240" t="s">
        <v>231</v>
      </c>
      <c r="BZ68" s="240" t="s">
        <v>231</v>
      </c>
      <c r="CA68" s="240" t="s">
        <v>231</v>
      </c>
      <c r="CB68" s="240" t="s">
        <v>231</v>
      </c>
      <c r="CC68" s="240" t="s">
        <v>231</v>
      </c>
      <c r="CD68" s="240" t="s">
        <v>231</v>
      </c>
      <c r="CE68" s="240" t="s">
        <v>231</v>
      </c>
      <c r="CF68" s="240" t="s">
        <v>231</v>
      </c>
      <c r="CG68" s="240" t="s">
        <v>231</v>
      </c>
      <c r="CH68" s="240" t="s">
        <v>231</v>
      </c>
      <c r="CI68" s="240" t="s">
        <v>231</v>
      </c>
      <c r="CJ68" s="240" t="s">
        <v>231</v>
      </c>
      <c r="CK68" s="240" t="s">
        <v>231</v>
      </c>
      <c r="CL68" s="240" t="s">
        <v>231</v>
      </c>
      <c r="CM68" s="240" t="s">
        <v>231</v>
      </c>
      <c r="CN68" s="240" t="s">
        <v>231</v>
      </c>
      <c r="CO68" s="240" t="s">
        <v>231</v>
      </c>
      <c r="CP68" s="240" t="s">
        <v>231</v>
      </c>
      <c r="CQ68" s="240" t="s">
        <v>231</v>
      </c>
      <c r="CR68" s="240" t="s">
        <v>231</v>
      </c>
      <c r="CS68" s="240" t="s">
        <v>231</v>
      </c>
      <c r="CT68" s="240" t="s">
        <v>492</v>
      </c>
      <c r="CU68" s="240" t="s">
        <v>492</v>
      </c>
      <c r="CV68" s="240" t="s">
        <v>492</v>
      </c>
      <c r="CW68" s="240" t="s">
        <v>231</v>
      </c>
      <c r="CX68" s="240" t="s">
        <v>231</v>
      </c>
      <c r="CY68" s="240" t="s">
        <v>231</v>
      </c>
      <c r="CZ68" s="240" t="s">
        <v>231</v>
      </c>
      <c r="DA68" s="240" t="s">
        <v>231</v>
      </c>
      <c r="DB68" s="240" t="s">
        <v>231</v>
      </c>
      <c r="DC68" s="240" t="s">
        <v>231</v>
      </c>
      <c r="DD68" s="240" t="s">
        <v>231</v>
      </c>
      <c r="DE68" s="240" t="s">
        <v>231</v>
      </c>
      <c r="DF68" s="240" t="s">
        <v>231</v>
      </c>
      <c r="DG68" s="240" t="s">
        <v>231</v>
      </c>
      <c r="DH68" s="240" t="s">
        <v>231</v>
      </c>
      <c r="DI68" s="240" t="s">
        <v>231</v>
      </c>
      <c r="DJ68" s="240" t="s">
        <v>231</v>
      </c>
      <c r="DK68" s="240" t="s">
        <v>231</v>
      </c>
      <c r="DL68" s="240" t="s">
        <v>231</v>
      </c>
      <c r="DM68" s="240" t="s">
        <v>231</v>
      </c>
      <c r="DN68" s="240" t="s">
        <v>231</v>
      </c>
      <c r="DO68" s="240" t="s">
        <v>231</v>
      </c>
      <c r="DP68" s="240" t="s">
        <v>231</v>
      </c>
      <c r="DQ68" s="240" t="s">
        <v>231</v>
      </c>
      <c r="DR68" s="240" t="s">
        <v>231</v>
      </c>
      <c r="DS68" s="240" t="s">
        <v>231</v>
      </c>
      <c r="DT68" s="240" t="s">
        <v>492</v>
      </c>
      <c r="DU68" s="240" t="s">
        <v>231</v>
      </c>
      <c r="DV68" s="240" t="s">
        <v>492</v>
      </c>
      <c r="DW68" s="240" t="s">
        <v>492</v>
      </c>
      <c r="DX68" s="240" t="s">
        <v>492</v>
      </c>
      <c r="DY68" s="240" t="s">
        <v>492</v>
      </c>
      <c r="DZ68" s="240" t="s">
        <v>492</v>
      </c>
      <c r="EA68" s="240" t="s">
        <v>492</v>
      </c>
      <c r="EB68" s="240" t="s">
        <v>492</v>
      </c>
      <c r="EC68" s="240" t="s">
        <v>492</v>
      </c>
      <c r="ED68" s="240" t="s">
        <v>492</v>
      </c>
      <c r="EE68" s="240" t="s">
        <v>492</v>
      </c>
      <c r="EF68" s="240" t="s">
        <v>492</v>
      </c>
      <c r="EG68" s="240" t="s">
        <v>492</v>
      </c>
      <c r="EH68" s="240" t="s">
        <v>492</v>
      </c>
      <c r="EI68" s="240" t="s">
        <v>492</v>
      </c>
      <c r="EJ68" s="240" t="s">
        <v>231</v>
      </c>
      <c r="EK68" s="240" t="s">
        <v>231</v>
      </c>
      <c r="EL68" s="240" t="s">
        <v>231</v>
      </c>
      <c r="EM68" s="240" t="s">
        <v>231</v>
      </c>
      <c r="EN68" s="240" t="s">
        <v>231</v>
      </c>
      <c r="EO68" s="240" t="s">
        <v>231</v>
      </c>
      <c r="EP68" s="240" t="s">
        <v>231</v>
      </c>
      <c r="EQ68" s="240" t="s">
        <v>231</v>
      </c>
      <c r="ER68" s="240" t="s">
        <v>231</v>
      </c>
      <c r="ES68" s="240" t="s">
        <v>231</v>
      </c>
      <c r="ET68" s="240" t="s">
        <v>231</v>
      </c>
      <c r="EU68" s="240" t="s">
        <v>231</v>
      </c>
      <c r="EV68" s="240" t="s">
        <v>231</v>
      </c>
      <c r="EW68" s="240" t="s">
        <v>231</v>
      </c>
      <c r="EX68" s="240" t="s">
        <v>231</v>
      </c>
      <c r="EY68" s="240" t="s">
        <v>231</v>
      </c>
      <c r="EZ68" s="240" t="s">
        <v>231</v>
      </c>
      <c r="FA68" s="240" t="s">
        <v>231</v>
      </c>
      <c r="FB68" s="240" t="s">
        <v>231</v>
      </c>
      <c r="FC68" s="240" t="s">
        <v>231</v>
      </c>
      <c r="FD68" s="240" t="s">
        <v>231</v>
      </c>
      <c r="FE68" s="240" t="s">
        <v>231</v>
      </c>
      <c r="FF68" s="240" t="s">
        <v>231</v>
      </c>
      <c r="FG68" s="240" t="s">
        <v>231</v>
      </c>
      <c r="FH68" s="240" t="s">
        <v>231</v>
      </c>
      <c r="FI68" s="240" t="s">
        <v>231</v>
      </c>
      <c r="FJ68" s="240" t="s">
        <v>231</v>
      </c>
      <c r="FK68" s="240" t="s">
        <v>231</v>
      </c>
      <c r="FL68" s="240" t="s">
        <v>231</v>
      </c>
      <c r="FM68" s="240" t="s">
        <v>231</v>
      </c>
      <c r="FN68" s="240" t="s">
        <v>231</v>
      </c>
      <c r="FO68" s="240" t="s">
        <v>231</v>
      </c>
      <c r="FP68" s="240" t="s">
        <v>231</v>
      </c>
      <c r="FQ68" s="240" t="s">
        <v>231</v>
      </c>
      <c r="FR68" s="240" t="s">
        <v>231</v>
      </c>
      <c r="FS68" s="240" t="s">
        <v>231</v>
      </c>
      <c r="FT68" s="240" t="s">
        <v>231</v>
      </c>
      <c r="FU68" s="240" t="s">
        <v>231</v>
      </c>
      <c r="FV68" s="240" t="s">
        <v>231</v>
      </c>
      <c r="FW68" s="240" t="s">
        <v>231</v>
      </c>
      <c r="FX68" s="240" t="s">
        <v>492</v>
      </c>
      <c r="FY68" s="240" t="s">
        <v>231</v>
      </c>
      <c r="FZ68" s="240" t="s">
        <v>231</v>
      </c>
      <c r="GA68" s="240" t="s">
        <v>231</v>
      </c>
      <c r="GB68" s="240" t="s">
        <v>231</v>
      </c>
      <c r="GC68" s="240" t="s">
        <v>231</v>
      </c>
      <c r="GD68" s="240" t="s">
        <v>231</v>
      </c>
      <c r="GE68" s="240" t="s">
        <v>231</v>
      </c>
      <c r="GF68" s="240" t="s">
        <v>231</v>
      </c>
      <c r="GG68" s="240" t="s">
        <v>231</v>
      </c>
      <c r="GH68" s="240" t="s">
        <v>231</v>
      </c>
      <c r="GI68" s="240" t="s">
        <v>231</v>
      </c>
      <c r="GJ68" s="240" t="s">
        <v>231</v>
      </c>
      <c r="GK68" s="240" t="s">
        <v>231</v>
      </c>
      <c r="GL68" s="240" t="s">
        <v>231</v>
      </c>
      <c r="GM68" s="240" t="s">
        <v>231</v>
      </c>
      <c r="GN68" s="240" t="s">
        <v>231</v>
      </c>
      <c r="GO68" s="240" t="s">
        <v>231</v>
      </c>
      <c r="GP68" s="240" t="s">
        <v>492</v>
      </c>
      <c r="GQ68" s="240" t="s">
        <v>231</v>
      </c>
      <c r="GR68" s="240" t="s">
        <v>231</v>
      </c>
      <c r="GS68" s="240" t="s">
        <v>231</v>
      </c>
      <c r="GT68" s="240" t="s">
        <v>231</v>
      </c>
      <c r="GU68" s="240" t="s">
        <v>231</v>
      </c>
      <c r="GV68" s="240" t="s">
        <v>492</v>
      </c>
      <c r="GW68" s="240" t="s">
        <v>231</v>
      </c>
      <c r="GX68" s="240" t="s">
        <v>231</v>
      </c>
      <c r="GY68" s="240" t="s">
        <v>231</v>
      </c>
      <c r="GZ68" s="240" t="s">
        <v>231</v>
      </c>
      <c r="HA68" s="240" t="s">
        <v>492</v>
      </c>
      <c r="HB68" s="240" t="s">
        <v>231</v>
      </c>
      <c r="HC68" s="240" t="s">
        <v>231</v>
      </c>
      <c r="HD68" s="240" t="s">
        <v>231</v>
      </c>
      <c r="HE68" s="240" t="s">
        <v>231</v>
      </c>
      <c r="HF68" s="240" t="s">
        <v>231</v>
      </c>
      <c r="HG68" s="240" t="s">
        <v>231</v>
      </c>
      <c r="HH68" s="240" t="s">
        <v>231</v>
      </c>
      <c r="HI68" s="240" t="s">
        <v>231</v>
      </c>
      <c r="HJ68" s="240" t="s">
        <v>231</v>
      </c>
      <c r="HK68" s="240" t="s">
        <v>231</v>
      </c>
      <c r="HL68" s="240" t="s">
        <v>231</v>
      </c>
      <c r="HM68" s="240" t="s">
        <v>231</v>
      </c>
      <c r="HN68" s="240" t="s">
        <v>231</v>
      </c>
      <c r="HO68" s="240" t="s">
        <v>231</v>
      </c>
      <c r="HP68" s="240" t="s">
        <v>231</v>
      </c>
      <c r="HQ68" s="240" t="s">
        <v>231</v>
      </c>
      <c r="HR68" s="240" t="s">
        <v>492</v>
      </c>
      <c r="HS68" s="240" t="s">
        <v>492</v>
      </c>
      <c r="HT68" s="240" t="s">
        <v>492</v>
      </c>
      <c r="HU68" s="240" t="s">
        <v>231</v>
      </c>
      <c r="HV68" s="240" t="s">
        <v>231</v>
      </c>
      <c r="HW68" s="240" t="s">
        <v>231</v>
      </c>
      <c r="HX68" s="240" t="s">
        <v>231</v>
      </c>
      <c r="HY68" s="240" t="s">
        <v>231</v>
      </c>
      <c r="HZ68" s="240" t="s">
        <v>231</v>
      </c>
      <c r="IA68" s="240" t="s">
        <v>231</v>
      </c>
      <c r="IB68" s="240" t="s">
        <v>231</v>
      </c>
      <c r="IC68" s="240" t="s">
        <v>231</v>
      </c>
      <c r="ID68" s="240" t="s">
        <v>231</v>
      </c>
      <c r="IE68" s="240" t="s">
        <v>231</v>
      </c>
      <c r="IF68" s="240" t="s">
        <v>231</v>
      </c>
      <c r="IG68" s="240" t="s">
        <v>231</v>
      </c>
      <c r="IH68" s="240" t="s">
        <v>231</v>
      </c>
      <c r="II68" s="240" t="s">
        <v>231</v>
      </c>
      <c r="IJ68" s="240" t="s">
        <v>231</v>
      </c>
      <c r="IK68" s="240" t="s">
        <v>231</v>
      </c>
      <c r="IL68" s="240" t="s">
        <v>231</v>
      </c>
      <c r="IM68" s="240" t="s">
        <v>231</v>
      </c>
      <c r="IN68" s="240" t="s">
        <v>231</v>
      </c>
      <c r="IO68" s="240" t="s">
        <v>220</v>
      </c>
      <c r="IP68" s="240" t="s">
        <v>493</v>
      </c>
      <c r="IQ68" s="240" t="s">
        <v>219</v>
      </c>
      <c r="IR68" s="240" t="s">
        <v>490</v>
      </c>
      <c r="IS68" s="240" t="s">
        <v>492</v>
      </c>
      <c r="IT68" s="240" t="s">
        <v>492</v>
      </c>
    </row>
    <row r="69" spans="1:254" ht="15" x14ac:dyDescent="0.25">
      <c r="A69" s="258" t="str">
        <f>HYPERLINK("http://www.ofsted.gov.uk/inspection-reports/find-inspection-report/provider/ELS/136746 ","Ofsted School Webpage")</f>
        <v>Ofsted School Webpage</v>
      </c>
      <c r="B69" s="237">
        <v>136746</v>
      </c>
      <c r="C69" s="237">
        <v>3016003</v>
      </c>
      <c r="D69" s="237" t="s">
        <v>682</v>
      </c>
      <c r="E69" s="237" t="s">
        <v>247</v>
      </c>
      <c r="F69" s="237" t="s">
        <v>482</v>
      </c>
      <c r="G69" s="237" t="s">
        <v>506</v>
      </c>
      <c r="H69" s="237" t="s">
        <v>506</v>
      </c>
      <c r="I69" s="237" t="s">
        <v>683</v>
      </c>
      <c r="J69" s="237" t="s">
        <v>684</v>
      </c>
      <c r="K69" s="237" t="s">
        <v>93</v>
      </c>
      <c r="L69" s="237" t="s">
        <v>84</v>
      </c>
      <c r="M69" s="237" t="s">
        <v>84</v>
      </c>
      <c r="N69" s="237" t="s">
        <v>84</v>
      </c>
      <c r="O69" s="237" t="s">
        <v>486</v>
      </c>
      <c r="P69" s="237" t="s">
        <v>487</v>
      </c>
      <c r="Q69" s="238">
        <v>10055415</v>
      </c>
      <c r="R69" s="239">
        <v>43410</v>
      </c>
      <c r="S69" s="239">
        <v>43412</v>
      </c>
      <c r="T69" s="239">
        <v>43432</v>
      </c>
      <c r="U69" s="237" t="s">
        <v>488</v>
      </c>
      <c r="V69" s="237" t="s">
        <v>489</v>
      </c>
      <c r="W69" s="237">
        <v>2</v>
      </c>
      <c r="X69" s="237">
        <v>2</v>
      </c>
      <c r="Y69" s="237">
        <v>2</v>
      </c>
      <c r="Z69" s="237">
        <v>2</v>
      </c>
      <c r="AA69" s="237">
        <v>2</v>
      </c>
      <c r="AB69" s="237" t="s">
        <v>486</v>
      </c>
      <c r="AC69" s="237" t="s">
        <v>486</v>
      </c>
      <c r="AD69" s="237" t="s">
        <v>219</v>
      </c>
      <c r="AE69" s="237" t="s">
        <v>490</v>
      </c>
      <c r="AF69" s="237" t="s">
        <v>486</v>
      </c>
      <c r="AG69" s="237" t="s">
        <v>486</v>
      </c>
      <c r="AH69" s="237" t="s">
        <v>486</v>
      </c>
      <c r="AI69" s="237" t="s">
        <v>486</v>
      </c>
      <c r="AJ69" s="237" t="s">
        <v>486</v>
      </c>
      <c r="AK69" s="237" t="s">
        <v>486</v>
      </c>
      <c r="AL69" s="237" t="s">
        <v>486</v>
      </c>
      <c r="AM69" s="237" t="s">
        <v>491</v>
      </c>
      <c r="AN69" s="237" t="s">
        <v>231</v>
      </c>
      <c r="AO69" s="237" t="s">
        <v>231</v>
      </c>
      <c r="AP69" s="237" t="s">
        <v>231</v>
      </c>
      <c r="AQ69" s="237" t="s">
        <v>231</v>
      </c>
      <c r="AR69" s="237" t="s">
        <v>231</v>
      </c>
      <c r="AS69" s="237" t="s">
        <v>231</v>
      </c>
      <c r="AT69" s="237" t="s">
        <v>231</v>
      </c>
      <c r="AU69" s="237" t="s">
        <v>231</v>
      </c>
      <c r="AV69" s="237" t="s">
        <v>231</v>
      </c>
      <c r="AW69" s="237" t="s">
        <v>231</v>
      </c>
      <c r="AX69" s="237" t="s">
        <v>231</v>
      </c>
      <c r="AY69" s="237" t="s">
        <v>231</v>
      </c>
      <c r="AZ69" s="237" t="s">
        <v>231</v>
      </c>
      <c r="BA69" s="237" t="s">
        <v>231</v>
      </c>
      <c r="BB69" s="237" t="s">
        <v>231</v>
      </c>
      <c r="BC69" s="237" t="s">
        <v>231</v>
      </c>
      <c r="BD69" s="237" t="s">
        <v>492</v>
      </c>
      <c r="BE69" s="237" t="s">
        <v>231</v>
      </c>
      <c r="BF69" s="237" t="s">
        <v>231</v>
      </c>
      <c r="BG69" s="237" t="s">
        <v>231</v>
      </c>
      <c r="BH69" s="237" t="s">
        <v>231</v>
      </c>
      <c r="BI69" s="237" t="s">
        <v>231</v>
      </c>
      <c r="BJ69" s="237" t="s">
        <v>231</v>
      </c>
      <c r="BK69" s="237" t="s">
        <v>231</v>
      </c>
      <c r="BL69" s="237" t="s">
        <v>492</v>
      </c>
      <c r="BM69" s="237" t="s">
        <v>492</v>
      </c>
      <c r="BN69" s="237" t="s">
        <v>231</v>
      </c>
      <c r="BO69" s="237" t="s">
        <v>231</v>
      </c>
      <c r="BP69" s="237" t="s">
        <v>231</v>
      </c>
      <c r="BQ69" s="237" t="s">
        <v>231</v>
      </c>
      <c r="BR69" s="237" t="s">
        <v>231</v>
      </c>
      <c r="BS69" s="237" t="s">
        <v>231</v>
      </c>
      <c r="BT69" s="237" t="s">
        <v>231</v>
      </c>
      <c r="BU69" s="237" t="s">
        <v>231</v>
      </c>
      <c r="BV69" s="237" t="s">
        <v>231</v>
      </c>
      <c r="BW69" s="237" t="s">
        <v>231</v>
      </c>
      <c r="BX69" s="237" t="s">
        <v>231</v>
      </c>
      <c r="BY69" s="237" t="s">
        <v>231</v>
      </c>
      <c r="BZ69" s="237" t="s">
        <v>231</v>
      </c>
      <c r="CA69" s="237" t="s">
        <v>231</v>
      </c>
      <c r="CB69" s="237" t="s">
        <v>231</v>
      </c>
      <c r="CC69" s="237" t="s">
        <v>231</v>
      </c>
      <c r="CD69" s="237" t="s">
        <v>231</v>
      </c>
      <c r="CE69" s="237" t="s">
        <v>231</v>
      </c>
      <c r="CF69" s="237" t="s">
        <v>231</v>
      </c>
      <c r="CG69" s="237" t="s">
        <v>231</v>
      </c>
      <c r="CH69" s="237" t="s">
        <v>231</v>
      </c>
      <c r="CI69" s="237" t="s">
        <v>231</v>
      </c>
      <c r="CJ69" s="237" t="s">
        <v>231</v>
      </c>
      <c r="CK69" s="237" t="s">
        <v>231</v>
      </c>
      <c r="CL69" s="237" t="s">
        <v>231</v>
      </c>
      <c r="CM69" s="237" t="s">
        <v>231</v>
      </c>
      <c r="CN69" s="237" t="s">
        <v>231</v>
      </c>
      <c r="CO69" s="237" t="s">
        <v>231</v>
      </c>
      <c r="CP69" s="237" t="s">
        <v>231</v>
      </c>
      <c r="CQ69" s="237" t="s">
        <v>231</v>
      </c>
      <c r="CR69" s="237" t="s">
        <v>231</v>
      </c>
      <c r="CS69" s="237" t="s">
        <v>231</v>
      </c>
      <c r="CT69" s="237" t="s">
        <v>492</v>
      </c>
      <c r="CU69" s="237" t="s">
        <v>492</v>
      </c>
      <c r="CV69" s="237" t="s">
        <v>492</v>
      </c>
      <c r="CW69" s="237" t="s">
        <v>231</v>
      </c>
      <c r="CX69" s="237" t="s">
        <v>231</v>
      </c>
      <c r="CY69" s="237" t="s">
        <v>231</v>
      </c>
      <c r="CZ69" s="237" t="s">
        <v>231</v>
      </c>
      <c r="DA69" s="237" t="s">
        <v>231</v>
      </c>
      <c r="DB69" s="237" t="s">
        <v>231</v>
      </c>
      <c r="DC69" s="237" t="s">
        <v>231</v>
      </c>
      <c r="DD69" s="237" t="s">
        <v>231</v>
      </c>
      <c r="DE69" s="237" t="s">
        <v>231</v>
      </c>
      <c r="DF69" s="237" t="s">
        <v>231</v>
      </c>
      <c r="DG69" s="237" t="s">
        <v>231</v>
      </c>
      <c r="DH69" s="237" t="s">
        <v>231</v>
      </c>
      <c r="DI69" s="237" t="s">
        <v>231</v>
      </c>
      <c r="DJ69" s="237" t="s">
        <v>231</v>
      </c>
      <c r="DK69" s="237" t="s">
        <v>231</v>
      </c>
      <c r="DL69" s="237" t="s">
        <v>231</v>
      </c>
      <c r="DM69" s="237" t="s">
        <v>231</v>
      </c>
      <c r="DN69" s="237" t="s">
        <v>231</v>
      </c>
      <c r="DO69" s="237" t="s">
        <v>231</v>
      </c>
      <c r="DP69" s="237" t="s">
        <v>231</v>
      </c>
      <c r="DQ69" s="237" t="s">
        <v>231</v>
      </c>
      <c r="DR69" s="237" t="s">
        <v>231</v>
      </c>
      <c r="DS69" s="237" t="s">
        <v>231</v>
      </c>
      <c r="DT69" s="237" t="s">
        <v>492</v>
      </c>
      <c r="DU69" s="237" t="s">
        <v>231</v>
      </c>
      <c r="DV69" s="237" t="s">
        <v>492</v>
      </c>
      <c r="DW69" s="237" t="s">
        <v>492</v>
      </c>
      <c r="DX69" s="237" t="s">
        <v>492</v>
      </c>
      <c r="DY69" s="237" t="s">
        <v>492</v>
      </c>
      <c r="DZ69" s="237" t="s">
        <v>492</v>
      </c>
      <c r="EA69" s="237" t="s">
        <v>492</v>
      </c>
      <c r="EB69" s="237" t="s">
        <v>492</v>
      </c>
      <c r="EC69" s="237" t="s">
        <v>492</v>
      </c>
      <c r="ED69" s="237" t="s">
        <v>492</v>
      </c>
      <c r="EE69" s="237" t="s">
        <v>492</v>
      </c>
      <c r="EF69" s="237" t="s">
        <v>492</v>
      </c>
      <c r="EG69" s="237" t="s">
        <v>492</v>
      </c>
      <c r="EH69" s="237" t="s">
        <v>492</v>
      </c>
      <c r="EI69" s="237" t="s">
        <v>231</v>
      </c>
      <c r="EJ69" s="237" t="s">
        <v>231</v>
      </c>
      <c r="EK69" s="237" t="s">
        <v>231</v>
      </c>
      <c r="EL69" s="237" t="s">
        <v>231</v>
      </c>
      <c r="EM69" s="237" t="s">
        <v>231</v>
      </c>
      <c r="EN69" s="237" t="s">
        <v>231</v>
      </c>
      <c r="EO69" s="237" t="s">
        <v>231</v>
      </c>
      <c r="EP69" s="237" t="s">
        <v>231</v>
      </c>
      <c r="EQ69" s="237" t="s">
        <v>231</v>
      </c>
      <c r="ER69" s="237" t="s">
        <v>231</v>
      </c>
      <c r="ES69" s="237" t="s">
        <v>231</v>
      </c>
      <c r="ET69" s="237" t="s">
        <v>231</v>
      </c>
      <c r="EU69" s="237" t="s">
        <v>231</v>
      </c>
      <c r="EV69" s="237" t="s">
        <v>231</v>
      </c>
      <c r="EW69" s="237" t="s">
        <v>231</v>
      </c>
      <c r="EX69" s="237" t="s">
        <v>231</v>
      </c>
      <c r="EY69" s="237" t="s">
        <v>231</v>
      </c>
      <c r="EZ69" s="237" t="s">
        <v>231</v>
      </c>
      <c r="FA69" s="237" t="s">
        <v>231</v>
      </c>
      <c r="FB69" s="237" t="s">
        <v>231</v>
      </c>
      <c r="FC69" s="237" t="s">
        <v>231</v>
      </c>
      <c r="FD69" s="237" t="s">
        <v>231</v>
      </c>
      <c r="FE69" s="237" t="s">
        <v>231</v>
      </c>
      <c r="FF69" s="237" t="s">
        <v>231</v>
      </c>
      <c r="FG69" s="237" t="s">
        <v>492</v>
      </c>
      <c r="FH69" s="237" t="s">
        <v>492</v>
      </c>
      <c r="FI69" s="237" t="s">
        <v>492</v>
      </c>
      <c r="FJ69" s="237" t="s">
        <v>492</v>
      </c>
      <c r="FK69" s="237" t="s">
        <v>492</v>
      </c>
      <c r="FL69" s="237" t="s">
        <v>492</v>
      </c>
      <c r="FM69" s="237" t="s">
        <v>492</v>
      </c>
      <c r="FN69" s="237" t="s">
        <v>492</v>
      </c>
      <c r="FO69" s="237" t="s">
        <v>493</v>
      </c>
      <c r="FP69" s="237" t="s">
        <v>492</v>
      </c>
      <c r="FQ69" s="237" t="s">
        <v>231</v>
      </c>
      <c r="FR69" s="237" t="s">
        <v>231</v>
      </c>
      <c r="FS69" s="237" t="s">
        <v>231</v>
      </c>
      <c r="FT69" s="237" t="s">
        <v>231</v>
      </c>
      <c r="FU69" s="237" t="s">
        <v>231</v>
      </c>
      <c r="FV69" s="237" t="s">
        <v>231</v>
      </c>
      <c r="FW69" s="237" t="s">
        <v>231</v>
      </c>
      <c r="FX69" s="237" t="s">
        <v>492</v>
      </c>
      <c r="FY69" s="237" t="s">
        <v>231</v>
      </c>
      <c r="FZ69" s="237" t="s">
        <v>231</v>
      </c>
      <c r="GA69" s="237" t="s">
        <v>231</v>
      </c>
      <c r="GB69" s="237" t="s">
        <v>231</v>
      </c>
      <c r="GC69" s="237" t="s">
        <v>231</v>
      </c>
      <c r="GD69" s="237" t="s">
        <v>231</v>
      </c>
      <c r="GE69" s="237" t="s">
        <v>231</v>
      </c>
      <c r="GF69" s="237" t="s">
        <v>231</v>
      </c>
      <c r="GG69" s="237" t="s">
        <v>231</v>
      </c>
      <c r="GH69" s="237" t="s">
        <v>231</v>
      </c>
      <c r="GI69" s="237" t="s">
        <v>231</v>
      </c>
      <c r="GJ69" s="237" t="s">
        <v>231</v>
      </c>
      <c r="GK69" s="237" t="s">
        <v>231</v>
      </c>
      <c r="GL69" s="237" t="s">
        <v>231</v>
      </c>
      <c r="GM69" s="237" t="s">
        <v>231</v>
      </c>
      <c r="GN69" s="237" t="s">
        <v>231</v>
      </c>
      <c r="GO69" s="237" t="s">
        <v>231</v>
      </c>
      <c r="GP69" s="237" t="s">
        <v>492</v>
      </c>
      <c r="GQ69" s="237" t="s">
        <v>231</v>
      </c>
      <c r="GR69" s="237" t="s">
        <v>231</v>
      </c>
      <c r="GS69" s="237" t="s">
        <v>231</v>
      </c>
      <c r="GT69" s="237" t="s">
        <v>231</v>
      </c>
      <c r="GU69" s="237" t="s">
        <v>231</v>
      </c>
      <c r="GV69" s="237" t="s">
        <v>492</v>
      </c>
      <c r="GW69" s="237" t="s">
        <v>231</v>
      </c>
      <c r="GX69" s="237" t="s">
        <v>231</v>
      </c>
      <c r="GY69" s="237" t="s">
        <v>492</v>
      </c>
      <c r="GZ69" s="237" t="s">
        <v>492</v>
      </c>
      <c r="HA69" s="237" t="s">
        <v>231</v>
      </c>
      <c r="HB69" s="237" t="s">
        <v>231</v>
      </c>
      <c r="HC69" s="237" t="s">
        <v>231</v>
      </c>
      <c r="HD69" s="237" t="s">
        <v>231</v>
      </c>
      <c r="HE69" s="237" t="s">
        <v>231</v>
      </c>
      <c r="HF69" s="237" t="s">
        <v>492</v>
      </c>
      <c r="HG69" s="237" t="s">
        <v>492</v>
      </c>
      <c r="HH69" s="237" t="s">
        <v>231</v>
      </c>
      <c r="HI69" s="237" t="s">
        <v>231</v>
      </c>
      <c r="HJ69" s="237" t="s">
        <v>231</v>
      </c>
      <c r="HK69" s="237" t="s">
        <v>231</v>
      </c>
      <c r="HL69" s="237" t="s">
        <v>231</v>
      </c>
      <c r="HM69" s="237" t="s">
        <v>231</v>
      </c>
      <c r="HN69" s="237" t="s">
        <v>231</v>
      </c>
      <c r="HO69" s="237" t="s">
        <v>231</v>
      </c>
      <c r="HP69" s="237" t="s">
        <v>231</v>
      </c>
      <c r="HQ69" s="237" t="s">
        <v>492</v>
      </c>
      <c r="HR69" s="237" t="s">
        <v>492</v>
      </c>
      <c r="HS69" s="237" t="s">
        <v>492</v>
      </c>
      <c r="HT69" s="237" t="s">
        <v>492</v>
      </c>
      <c r="HU69" s="237" t="s">
        <v>231</v>
      </c>
      <c r="HV69" s="237" t="s">
        <v>231</v>
      </c>
      <c r="HW69" s="237" t="s">
        <v>231</v>
      </c>
      <c r="HX69" s="237" t="s">
        <v>231</v>
      </c>
      <c r="HY69" s="237" t="s">
        <v>231</v>
      </c>
      <c r="HZ69" s="237" t="s">
        <v>231</v>
      </c>
      <c r="IA69" s="237" t="s">
        <v>231</v>
      </c>
      <c r="IB69" s="237" t="s">
        <v>231</v>
      </c>
      <c r="IC69" s="237" t="s">
        <v>231</v>
      </c>
      <c r="ID69" s="237" t="s">
        <v>231</v>
      </c>
      <c r="IE69" s="237" t="s">
        <v>231</v>
      </c>
      <c r="IF69" s="237" t="s">
        <v>231</v>
      </c>
      <c r="IG69" s="237" t="s">
        <v>231</v>
      </c>
      <c r="IH69" s="237" t="s">
        <v>231</v>
      </c>
      <c r="II69" s="237" t="s">
        <v>231</v>
      </c>
      <c r="IJ69" s="237" t="s">
        <v>231</v>
      </c>
      <c r="IK69" s="237" t="s">
        <v>231</v>
      </c>
      <c r="IL69" s="237" t="s">
        <v>231</v>
      </c>
      <c r="IM69" s="237" t="s">
        <v>231</v>
      </c>
      <c r="IN69" s="237" t="s">
        <v>231</v>
      </c>
      <c r="IO69" s="237" t="s">
        <v>220</v>
      </c>
      <c r="IP69" s="237" t="s">
        <v>493</v>
      </c>
      <c r="IQ69" s="237" t="s">
        <v>219</v>
      </c>
      <c r="IR69" s="237" t="s">
        <v>490</v>
      </c>
      <c r="IS69" s="237" t="s">
        <v>492</v>
      </c>
      <c r="IT69" s="237" t="s">
        <v>492</v>
      </c>
    </row>
    <row r="70" spans="1:254" ht="15" x14ac:dyDescent="0.25">
      <c r="A70" s="259" t="str">
        <f>HYPERLINK("http://www.ofsted.gov.uk/inspection-reports/find-inspection-report/provider/ELS/117631 ","Ofsted School Webpage")</f>
        <v>Ofsted School Webpage</v>
      </c>
      <c r="B70" s="240">
        <v>117631</v>
      </c>
      <c r="C70" s="240">
        <v>9196109</v>
      </c>
      <c r="D70" s="240" t="s">
        <v>685</v>
      </c>
      <c r="E70" s="240" t="s">
        <v>247</v>
      </c>
      <c r="F70" s="240" t="s">
        <v>482</v>
      </c>
      <c r="G70" s="240" t="s">
        <v>516</v>
      </c>
      <c r="H70" s="240" t="s">
        <v>516</v>
      </c>
      <c r="I70" s="240" t="s">
        <v>556</v>
      </c>
      <c r="J70" s="240" t="s">
        <v>686</v>
      </c>
      <c r="K70" s="240" t="s">
        <v>93</v>
      </c>
      <c r="L70" s="240" t="s">
        <v>93</v>
      </c>
      <c r="M70" s="240" t="s">
        <v>93</v>
      </c>
      <c r="N70" s="240" t="s">
        <v>90</v>
      </c>
      <c r="O70" s="240" t="s">
        <v>486</v>
      </c>
      <c r="P70" s="240" t="s">
        <v>487</v>
      </c>
      <c r="Q70" s="241">
        <v>10078693</v>
      </c>
      <c r="R70" s="242">
        <v>43410</v>
      </c>
      <c r="S70" s="242">
        <v>43412</v>
      </c>
      <c r="T70" s="242">
        <v>43440</v>
      </c>
      <c r="U70" s="240" t="s">
        <v>488</v>
      </c>
      <c r="V70" s="240" t="s">
        <v>489</v>
      </c>
      <c r="W70" s="240">
        <v>4</v>
      </c>
      <c r="X70" s="240">
        <v>4</v>
      </c>
      <c r="Y70" s="240">
        <v>3</v>
      </c>
      <c r="Z70" s="240">
        <v>3</v>
      </c>
      <c r="AA70" s="240">
        <v>3</v>
      </c>
      <c r="AB70" s="240" t="s">
        <v>486</v>
      </c>
      <c r="AC70" s="240">
        <v>0</v>
      </c>
      <c r="AD70" s="240" t="s">
        <v>220</v>
      </c>
      <c r="AE70" s="240" t="s">
        <v>490</v>
      </c>
      <c r="AF70" s="240" t="s">
        <v>486</v>
      </c>
      <c r="AG70" s="240" t="s">
        <v>486</v>
      </c>
      <c r="AH70" s="240" t="s">
        <v>486</v>
      </c>
      <c r="AI70" s="240" t="s">
        <v>486</v>
      </c>
      <c r="AJ70" s="240" t="s">
        <v>486</v>
      </c>
      <c r="AK70" s="240" t="s">
        <v>486</v>
      </c>
      <c r="AL70" s="240" t="s">
        <v>486</v>
      </c>
      <c r="AM70" s="240" t="s">
        <v>545</v>
      </c>
      <c r="AN70" s="240" t="s">
        <v>546</v>
      </c>
      <c r="AO70" s="240" t="s">
        <v>231</v>
      </c>
      <c r="AP70" s="240" t="s">
        <v>546</v>
      </c>
      <c r="AQ70" s="240" t="s">
        <v>231</v>
      </c>
      <c r="AR70" s="240" t="s">
        <v>546</v>
      </c>
      <c r="AS70" s="240" t="s">
        <v>231</v>
      </c>
      <c r="AT70" s="240" t="s">
        <v>546</v>
      </c>
      <c r="AU70" s="240" t="s">
        <v>546</v>
      </c>
      <c r="AV70" s="240" t="s">
        <v>231</v>
      </c>
      <c r="AW70" s="240" t="s">
        <v>231</v>
      </c>
      <c r="AX70" s="240" t="s">
        <v>231</v>
      </c>
      <c r="AY70" s="240" t="s">
        <v>231</v>
      </c>
      <c r="AZ70" s="240" t="s">
        <v>231</v>
      </c>
      <c r="BA70" s="240" t="s">
        <v>231</v>
      </c>
      <c r="BB70" s="240" t="s">
        <v>231</v>
      </c>
      <c r="BC70" s="240" t="s">
        <v>231</v>
      </c>
      <c r="BD70" s="240" t="s">
        <v>231</v>
      </c>
      <c r="BE70" s="240" t="s">
        <v>231</v>
      </c>
      <c r="BF70" s="240" t="s">
        <v>231</v>
      </c>
      <c r="BG70" s="240" t="s">
        <v>231</v>
      </c>
      <c r="BH70" s="240" t="s">
        <v>231</v>
      </c>
      <c r="BI70" s="240" t="s">
        <v>231</v>
      </c>
      <c r="BJ70" s="240" t="s">
        <v>231</v>
      </c>
      <c r="BK70" s="240" t="s">
        <v>231</v>
      </c>
      <c r="BL70" s="240" t="s">
        <v>231</v>
      </c>
      <c r="BM70" s="240" t="s">
        <v>231</v>
      </c>
      <c r="BN70" s="240" t="s">
        <v>231</v>
      </c>
      <c r="BO70" s="240" t="s">
        <v>231</v>
      </c>
      <c r="BP70" s="240" t="s">
        <v>232</v>
      </c>
      <c r="BQ70" s="240" t="s">
        <v>232</v>
      </c>
      <c r="BR70" s="240" t="s">
        <v>231</v>
      </c>
      <c r="BS70" s="240" t="s">
        <v>232</v>
      </c>
      <c r="BT70" s="240" t="s">
        <v>231</v>
      </c>
      <c r="BU70" s="240" t="s">
        <v>231</v>
      </c>
      <c r="BV70" s="240" t="s">
        <v>231</v>
      </c>
      <c r="BW70" s="240" t="s">
        <v>231</v>
      </c>
      <c r="BX70" s="240" t="s">
        <v>231</v>
      </c>
      <c r="BY70" s="240" t="s">
        <v>231</v>
      </c>
      <c r="BZ70" s="240" t="s">
        <v>231</v>
      </c>
      <c r="CA70" s="240" t="s">
        <v>231</v>
      </c>
      <c r="CB70" s="240" t="s">
        <v>231</v>
      </c>
      <c r="CC70" s="240" t="s">
        <v>231</v>
      </c>
      <c r="CD70" s="240" t="s">
        <v>231</v>
      </c>
      <c r="CE70" s="240" t="s">
        <v>231</v>
      </c>
      <c r="CF70" s="240" t="s">
        <v>231</v>
      </c>
      <c r="CG70" s="240" t="s">
        <v>231</v>
      </c>
      <c r="CH70" s="240" t="s">
        <v>231</v>
      </c>
      <c r="CI70" s="240" t="s">
        <v>231</v>
      </c>
      <c r="CJ70" s="240" t="s">
        <v>231</v>
      </c>
      <c r="CK70" s="240" t="s">
        <v>231</v>
      </c>
      <c r="CL70" s="240" t="s">
        <v>231</v>
      </c>
      <c r="CM70" s="240" t="s">
        <v>231</v>
      </c>
      <c r="CN70" s="240" t="s">
        <v>231</v>
      </c>
      <c r="CO70" s="240" t="s">
        <v>231</v>
      </c>
      <c r="CP70" s="240" t="s">
        <v>231</v>
      </c>
      <c r="CQ70" s="240" t="s">
        <v>232</v>
      </c>
      <c r="CR70" s="240" t="s">
        <v>232</v>
      </c>
      <c r="CS70" s="240" t="s">
        <v>232</v>
      </c>
      <c r="CT70" s="240" t="s">
        <v>492</v>
      </c>
      <c r="CU70" s="240" t="s">
        <v>492</v>
      </c>
      <c r="CV70" s="240" t="s">
        <v>492</v>
      </c>
      <c r="CW70" s="240" t="s">
        <v>231</v>
      </c>
      <c r="CX70" s="240" t="s">
        <v>231</v>
      </c>
      <c r="CY70" s="240" t="s">
        <v>231</v>
      </c>
      <c r="CZ70" s="240" t="s">
        <v>231</v>
      </c>
      <c r="DA70" s="240" t="s">
        <v>231</v>
      </c>
      <c r="DB70" s="240" t="s">
        <v>232</v>
      </c>
      <c r="DC70" s="240" t="s">
        <v>231</v>
      </c>
      <c r="DD70" s="240" t="s">
        <v>231</v>
      </c>
      <c r="DE70" s="240" t="s">
        <v>231</v>
      </c>
      <c r="DF70" s="240" t="s">
        <v>231</v>
      </c>
      <c r="DG70" s="240" t="s">
        <v>232</v>
      </c>
      <c r="DH70" s="240" t="s">
        <v>232</v>
      </c>
      <c r="DI70" s="240" t="s">
        <v>232</v>
      </c>
      <c r="DJ70" s="240" t="s">
        <v>231</v>
      </c>
      <c r="DK70" s="240" t="s">
        <v>231</v>
      </c>
      <c r="DL70" s="240" t="s">
        <v>231</v>
      </c>
      <c r="DM70" s="240" t="s">
        <v>231</v>
      </c>
      <c r="DN70" s="240" t="s">
        <v>231</v>
      </c>
      <c r="DO70" s="240" t="s">
        <v>231</v>
      </c>
      <c r="DP70" s="240" t="s">
        <v>231</v>
      </c>
      <c r="DQ70" s="240" t="s">
        <v>231</v>
      </c>
      <c r="DR70" s="240" t="s">
        <v>231</v>
      </c>
      <c r="DS70" s="240" t="s">
        <v>231</v>
      </c>
      <c r="DT70" s="240" t="s">
        <v>231</v>
      </c>
      <c r="DU70" s="240" t="s">
        <v>231</v>
      </c>
      <c r="DV70" s="240" t="s">
        <v>492</v>
      </c>
      <c r="DW70" s="240" t="s">
        <v>492</v>
      </c>
      <c r="DX70" s="240" t="s">
        <v>492</v>
      </c>
      <c r="DY70" s="240" t="s">
        <v>492</v>
      </c>
      <c r="DZ70" s="240" t="s">
        <v>492</v>
      </c>
      <c r="EA70" s="240" t="s">
        <v>492</v>
      </c>
      <c r="EB70" s="240" t="s">
        <v>492</v>
      </c>
      <c r="EC70" s="240" t="s">
        <v>492</v>
      </c>
      <c r="ED70" s="240" t="s">
        <v>492</v>
      </c>
      <c r="EE70" s="240" t="s">
        <v>492</v>
      </c>
      <c r="EF70" s="240" t="s">
        <v>492</v>
      </c>
      <c r="EG70" s="240" t="s">
        <v>492</v>
      </c>
      <c r="EH70" s="240" t="s">
        <v>492</v>
      </c>
      <c r="EI70" s="240" t="s">
        <v>492</v>
      </c>
      <c r="EJ70" s="240" t="s">
        <v>231</v>
      </c>
      <c r="EK70" s="240" t="s">
        <v>231</v>
      </c>
      <c r="EL70" s="240" t="s">
        <v>231</v>
      </c>
      <c r="EM70" s="240" t="s">
        <v>231</v>
      </c>
      <c r="EN70" s="240" t="s">
        <v>231</v>
      </c>
      <c r="EO70" s="240" t="s">
        <v>231</v>
      </c>
      <c r="EP70" s="240" t="s">
        <v>231</v>
      </c>
      <c r="EQ70" s="240" t="s">
        <v>231</v>
      </c>
      <c r="ER70" s="240" t="s">
        <v>231</v>
      </c>
      <c r="ES70" s="240" t="s">
        <v>231</v>
      </c>
      <c r="ET70" s="240" t="s">
        <v>231</v>
      </c>
      <c r="EU70" s="240" t="s">
        <v>231</v>
      </c>
      <c r="EV70" s="240" t="s">
        <v>231</v>
      </c>
      <c r="EW70" s="240" t="s">
        <v>231</v>
      </c>
      <c r="EX70" s="240" t="s">
        <v>231</v>
      </c>
      <c r="EY70" s="240" t="s">
        <v>231</v>
      </c>
      <c r="EZ70" s="240" t="s">
        <v>231</v>
      </c>
      <c r="FA70" s="240" t="s">
        <v>231</v>
      </c>
      <c r="FB70" s="240" t="s">
        <v>231</v>
      </c>
      <c r="FC70" s="240" t="s">
        <v>231</v>
      </c>
      <c r="FD70" s="240" t="s">
        <v>231</v>
      </c>
      <c r="FE70" s="240" t="s">
        <v>231</v>
      </c>
      <c r="FF70" s="240" t="s">
        <v>231</v>
      </c>
      <c r="FG70" s="240" t="s">
        <v>231</v>
      </c>
      <c r="FH70" s="240" t="s">
        <v>231</v>
      </c>
      <c r="FI70" s="240" t="s">
        <v>231</v>
      </c>
      <c r="FJ70" s="240" t="s">
        <v>231</v>
      </c>
      <c r="FK70" s="240" t="s">
        <v>231</v>
      </c>
      <c r="FL70" s="240" t="s">
        <v>231</v>
      </c>
      <c r="FM70" s="240" t="s">
        <v>231</v>
      </c>
      <c r="FN70" s="240" t="s">
        <v>231</v>
      </c>
      <c r="FO70" s="240" t="s">
        <v>231</v>
      </c>
      <c r="FP70" s="240" t="s">
        <v>231</v>
      </c>
      <c r="FQ70" s="240" t="s">
        <v>231</v>
      </c>
      <c r="FR70" s="240" t="s">
        <v>231</v>
      </c>
      <c r="FS70" s="240" t="s">
        <v>231</v>
      </c>
      <c r="FT70" s="240" t="s">
        <v>231</v>
      </c>
      <c r="FU70" s="240" t="s">
        <v>232</v>
      </c>
      <c r="FV70" s="240" t="s">
        <v>231</v>
      </c>
      <c r="FW70" s="240" t="s">
        <v>232</v>
      </c>
      <c r="FX70" s="240" t="s">
        <v>492</v>
      </c>
      <c r="FY70" s="240" t="s">
        <v>231</v>
      </c>
      <c r="FZ70" s="240" t="s">
        <v>232</v>
      </c>
      <c r="GA70" s="240" t="s">
        <v>231</v>
      </c>
      <c r="GB70" s="240" t="s">
        <v>232</v>
      </c>
      <c r="GC70" s="240" t="s">
        <v>231</v>
      </c>
      <c r="GD70" s="240" t="s">
        <v>232</v>
      </c>
      <c r="GE70" s="240" t="s">
        <v>232</v>
      </c>
      <c r="GF70" s="240" t="s">
        <v>231</v>
      </c>
      <c r="GG70" s="240" t="s">
        <v>231</v>
      </c>
      <c r="GH70" s="240" t="s">
        <v>232</v>
      </c>
      <c r="GI70" s="240" t="s">
        <v>231</v>
      </c>
      <c r="GJ70" s="240" t="s">
        <v>231</v>
      </c>
      <c r="GK70" s="240" t="s">
        <v>231</v>
      </c>
      <c r="GL70" s="240" t="s">
        <v>231</v>
      </c>
      <c r="GM70" s="240" t="s">
        <v>231</v>
      </c>
      <c r="GN70" s="240" t="s">
        <v>231</v>
      </c>
      <c r="GO70" s="240" t="s">
        <v>231</v>
      </c>
      <c r="GP70" s="240" t="s">
        <v>492</v>
      </c>
      <c r="GQ70" s="240" t="s">
        <v>231</v>
      </c>
      <c r="GR70" s="240" t="s">
        <v>231</v>
      </c>
      <c r="GS70" s="240" t="s">
        <v>231</v>
      </c>
      <c r="GT70" s="240" t="s">
        <v>231</v>
      </c>
      <c r="GU70" s="240" t="s">
        <v>231</v>
      </c>
      <c r="GV70" s="240" t="s">
        <v>492</v>
      </c>
      <c r="GW70" s="240" t="s">
        <v>231</v>
      </c>
      <c r="GX70" s="240" t="s">
        <v>231</v>
      </c>
      <c r="GY70" s="240" t="s">
        <v>492</v>
      </c>
      <c r="GZ70" s="240" t="s">
        <v>492</v>
      </c>
      <c r="HA70" s="240" t="s">
        <v>231</v>
      </c>
      <c r="HB70" s="240" t="s">
        <v>231</v>
      </c>
      <c r="HC70" s="240" t="s">
        <v>231</v>
      </c>
      <c r="HD70" s="240" t="s">
        <v>231</v>
      </c>
      <c r="HE70" s="240" t="s">
        <v>492</v>
      </c>
      <c r="HF70" s="240" t="s">
        <v>231</v>
      </c>
      <c r="HG70" s="240" t="s">
        <v>492</v>
      </c>
      <c r="HH70" s="240" t="s">
        <v>231</v>
      </c>
      <c r="HI70" s="240" t="s">
        <v>231</v>
      </c>
      <c r="HJ70" s="240" t="s">
        <v>231</v>
      </c>
      <c r="HK70" s="240" t="s">
        <v>231</v>
      </c>
      <c r="HL70" s="240" t="s">
        <v>231</v>
      </c>
      <c r="HM70" s="240" t="s">
        <v>231</v>
      </c>
      <c r="HN70" s="240" t="s">
        <v>231</v>
      </c>
      <c r="HO70" s="240" t="s">
        <v>231</v>
      </c>
      <c r="HP70" s="240" t="s">
        <v>231</v>
      </c>
      <c r="HQ70" s="240" t="s">
        <v>231</v>
      </c>
      <c r="HR70" s="240" t="s">
        <v>231</v>
      </c>
      <c r="HS70" s="240" t="s">
        <v>231</v>
      </c>
      <c r="HT70" s="240" t="s">
        <v>492</v>
      </c>
      <c r="HU70" s="240" t="s">
        <v>232</v>
      </c>
      <c r="HV70" s="240" t="s">
        <v>231</v>
      </c>
      <c r="HW70" s="240" t="s">
        <v>231</v>
      </c>
      <c r="HX70" s="240" t="s">
        <v>231</v>
      </c>
      <c r="HY70" s="240" t="s">
        <v>231</v>
      </c>
      <c r="HZ70" s="240" t="s">
        <v>231</v>
      </c>
      <c r="IA70" s="240" t="s">
        <v>231</v>
      </c>
      <c r="IB70" s="240" t="s">
        <v>231</v>
      </c>
      <c r="IC70" s="240" t="s">
        <v>231</v>
      </c>
      <c r="ID70" s="240" t="s">
        <v>231</v>
      </c>
      <c r="IE70" s="240" t="s">
        <v>231</v>
      </c>
      <c r="IF70" s="240" t="s">
        <v>231</v>
      </c>
      <c r="IG70" s="240" t="s">
        <v>231</v>
      </c>
      <c r="IH70" s="240" t="s">
        <v>231</v>
      </c>
      <c r="II70" s="240" t="s">
        <v>231</v>
      </c>
      <c r="IJ70" s="240" t="s">
        <v>231</v>
      </c>
      <c r="IK70" s="240" t="s">
        <v>232</v>
      </c>
      <c r="IL70" s="240" t="s">
        <v>232</v>
      </c>
      <c r="IM70" s="240" t="s">
        <v>232</v>
      </c>
      <c r="IN70" s="240" t="s">
        <v>232</v>
      </c>
      <c r="IO70" s="240" t="s">
        <v>220</v>
      </c>
      <c r="IP70" s="240" t="s">
        <v>219</v>
      </c>
      <c r="IQ70" s="240" t="s">
        <v>220</v>
      </c>
      <c r="IR70" s="240" t="s">
        <v>490</v>
      </c>
      <c r="IS70" s="240" t="s">
        <v>231</v>
      </c>
      <c r="IT70" s="240" t="s">
        <v>231</v>
      </c>
    </row>
    <row r="71" spans="1:254" ht="15" x14ac:dyDescent="0.25">
      <c r="A71" s="258" t="str">
        <f>HYPERLINK("http://www.ofsted.gov.uk/inspection-reports/find-inspection-report/provider/ELS/113026 ","Ofsted School Webpage")</f>
        <v>Ofsted School Webpage</v>
      </c>
      <c r="B71" s="237">
        <v>113026</v>
      </c>
      <c r="C71" s="237">
        <v>8306013</v>
      </c>
      <c r="D71" s="237" t="s">
        <v>687</v>
      </c>
      <c r="E71" s="237" t="s">
        <v>248</v>
      </c>
      <c r="F71" s="237" t="s">
        <v>501</v>
      </c>
      <c r="G71" s="237" t="s">
        <v>572</v>
      </c>
      <c r="H71" s="237" t="s">
        <v>572</v>
      </c>
      <c r="I71" s="237" t="s">
        <v>573</v>
      </c>
      <c r="J71" s="237" t="s">
        <v>688</v>
      </c>
      <c r="K71" s="237" t="s">
        <v>93</v>
      </c>
      <c r="L71" s="237" t="s">
        <v>93</v>
      </c>
      <c r="M71" s="237" t="s">
        <v>93</v>
      </c>
      <c r="N71" s="237" t="s">
        <v>90</v>
      </c>
      <c r="O71" s="237" t="s">
        <v>486</v>
      </c>
      <c r="P71" s="237" t="s">
        <v>487</v>
      </c>
      <c r="Q71" s="238">
        <v>10053963</v>
      </c>
      <c r="R71" s="239">
        <v>43410</v>
      </c>
      <c r="S71" s="239">
        <v>43412</v>
      </c>
      <c r="T71" s="239">
        <v>43432</v>
      </c>
      <c r="U71" s="237" t="s">
        <v>488</v>
      </c>
      <c r="V71" s="237" t="s">
        <v>489</v>
      </c>
      <c r="W71" s="237">
        <v>3</v>
      </c>
      <c r="X71" s="237">
        <v>3</v>
      </c>
      <c r="Y71" s="237">
        <v>2</v>
      </c>
      <c r="Z71" s="237">
        <v>2</v>
      </c>
      <c r="AA71" s="237">
        <v>2</v>
      </c>
      <c r="AB71" s="237" t="s">
        <v>486</v>
      </c>
      <c r="AC71" s="237">
        <v>2</v>
      </c>
      <c r="AD71" s="237" t="s">
        <v>219</v>
      </c>
      <c r="AE71" s="237" t="s">
        <v>490</v>
      </c>
      <c r="AF71" s="237" t="s">
        <v>486</v>
      </c>
      <c r="AG71" s="237" t="s">
        <v>486</v>
      </c>
      <c r="AH71" s="237" t="s">
        <v>486</v>
      </c>
      <c r="AI71" s="237" t="s">
        <v>486</v>
      </c>
      <c r="AJ71" s="237" t="s">
        <v>486</v>
      </c>
      <c r="AK71" s="237" t="s">
        <v>486</v>
      </c>
      <c r="AL71" s="237" t="s">
        <v>486</v>
      </c>
      <c r="AM71" s="237" t="s">
        <v>545</v>
      </c>
      <c r="AN71" s="237" t="s">
        <v>231</v>
      </c>
      <c r="AO71" s="237" t="s">
        <v>231</v>
      </c>
      <c r="AP71" s="237" t="s">
        <v>546</v>
      </c>
      <c r="AQ71" s="237" t="s">
        <v>231</v>
      </c>
      <c r="AR71" s="237" t="s">
        <v>546</v>
      </c>
      <c r="AS71" s="237" t="s">
        <v>231</v>
      </c>
      <c r="AT71" s="237" t="s">
        <v>231</v>
      </c>
      <c r="AU71" s="237" t="s">
        <v>546</v>
      </c>
      <c r="AV71" s="237" t="s">
        <v>231</v>
      </c>
      <c r="AW71" s="237" t="s">
        <v>231</v>
      </c>
      <c r="AX71" s="237" t="s">
        <v>231</v>
      </c>
      <c r="AY71" s="237" t="s">
        <v>231</v>
      </c>
      <c r="AZ71" s="237" t="s">
        <v>231</v>
      </c>
      <c r="BA71" s="237" t="s">
        <v>231</v>
      </c>
      <c r="BB71" s="237" t="s">
        <v>231</v>
      </c>
      <c r="BC71" s="237" t="s">
        <v>231</v>
      </c>
      <c r="BD71" s="237" t="s">
        <v>231</v>
      </c>
      <c r="BE71" s="237" t="s">
        <v>231</v>
      </c>
      <c r="BF71" s="237" t="s">
        <v>231</v>
      </c>
      <c r="BG71" s="237" t="s">
        <v>231</v>
      </c>
      <c r="BH71" s="237" t="s">
        <v>231</v>
      </c>
      <c r="BI71" s="237" t="s">
        <v>231</v>
      </c>
      <c r="BJ71" s="237" t="s">
        <v>231</v>
      </c>
      <c r="BK71" s="237" t="s">
        <v>231</v>
      </c>
      <c r="BL71" s="237" t="s">
        <v>492</v>
      </c>
      <c r="BM71" s="237" t="s">
        <v>231</v>
      </c>
      <c r="BN71" s="237" t="s">
        <v>231</v>
      </c>
      <c r="BO71" s="237" t="s">
        <v>231</v>
      </c>
      <c r="BP71" s="237" t="s">
        <v>231</v>
      </c>
      <c r="BQ71" s="237" t="s">
        <v>231</v>
      </c>
      <c r="BR71" s="237" t="s">
        <v>231</v>
      </c>
      <c r="BS71" s="237" t="s">
        <v>231</v>
      </c>
      <c r="BT71" s="237" t="s">
        <v>231</v>
      </c>
      <c r="BU71" s="237" t="s">
        <v>231</v>
      </c>
      <c r="BV71" s="237" t="s">
        <v>231</v>
      </c>
      <c r="BW71" s="237" t="s">
        <v>231</v>
      </c>
      <c r="BX71" s="237" t="s">
        <v>231</v>
      </c>
      <c r="BY71" s="237" t="s">
        <v>231</v>
      </c>
      <c r="BZ71" s="237" t="s">
        <v>231</v>
      </c>
      <c r="CA71" s="237" t="s">
        <v>231</v>
      </c>
      <c r="CB71" s="237" t="s">
        <v>231</v>
      </c>
      <c r="CC71" s="237" t="s">
        <v>231</v>
      </c>
      <c r="CD71" s="237" t="s">
        <v>231</v>
      </c>
      <c r="CE71" s="237" t="s">
        <v>231</v>
      </c>
      <c r="CF71" s="237" t="s">
        <v>231</v>
      </c>
      <c r="CG71" s="237" t="s">
        <v>231</v>
      </c>
      <c r="CH71" s="237" t="s">
        <v>231</v>
      </c>
      <c r="CI71" s="237" t="s">
        <v>231</v>
      </c>
      <c r="CJ71" s="237" t="s">
        <v>231</v>
      </c>
      <c r="CK71" s="237" t="s">
        <v>231</v>
      </c>
      <c r="CL71" s="237" t="s">
        <v>231</v>
      </c>
      <c r="CM71" s="237" t="s">
        <v>231</v>
      </c>
      <c r="CN71" s="237" t="s">
        <v>231</v>
      </c>
      <c r="CO71" s="237" t="s">
        <v>231</v>
      </c>
      <c r="CP71" s="237" t="s">
        <v>231</v>
      </c>
      <c r="CQ71" s="237" t="s">
        <v>231</v>
      </c>
      <c r="CR71" s="237" t="s">
        <v>231</v>
      </c>
      <c r="CS71" s="237" t="s">
        <v>231</v>
      </c>
      <c r="CT71" s="237" t="s">
        <v>231</v>
      </c>
      <c r="CU71" s="237" t="s">
        <v>231</v>
      </c>
      <c r="CV71" s="237" t="s">
        <v>231</v>
      </c>
      <c r="CW71" s="237" t="s">
        <v>231</v>
      </c>
      <c r="CX71" s="237" t="s">
        <v>231</v>
      </c>
      <c r="CY71" s="237" t="s">
        <v>231</v>
      </c>
      <c r="CZ71" s="237" t="s">
        <v>231</v>
      </c>
      <c r="DA71" s="237" t="s">
        <v>231</v>
      </c>
      <c r="DB71" s="237" t="s">
        <v>231</v>
      </c>
      <c r="DC71" s="237" t="s">
        <v>231</v>
      </c>
      <c r="DD71" s="237" t="s">
        <v>232</v>
      </c>
      <c r="DE71" s="237" t="s">
        <v>231</v>
      </c>
      <c r="DF71" s="237" t="s">
        <v>232</v>
      </c>
      <c r="DG71" s="237" t="s">
        <v>231</v>
      </c>
      <c r="DH71" s="237" t="s">
        <v>231</v>
      </c>
      <c r="DI71" s="237" t="s">
        <v>231</v>
      </c>
      <c r="DJ71" s="237" t="s">
        <v>231</v>
      </c>
      <c r="DK71" s="237" t="s">
        <v>231</v>
      </c>
      <c r="DL71" s="237" t="s">
        <v>231</v>
      </c>
      <c r="DM71" s="237" t="s">
        <v>231</v>
      </c>
      <c r="DN71" s="237" t="s">
        <v>231</v>
      </c>
      <c r="DO71" s="237" t="s">
        <v>231</v>
      </c>
      <c r="DP71" s="237" t="s">
        <v>231</v>
      </c>
      <c r="DQ71" s="237" t="s">
        <v>231</v>
      </c>
      <c r="DR71" s="237" t="s">
        <v>231</v>
      </c>
      <c r="DS71" s="237" t="s">
        <v>231</v>
      </c>
      <c r="DT71" s="237" t="s">
        <v>231</v>
      </c>
      <c r="DU71" s="237" t="s">
        <v>231</v>
      </c>
      <c r="DV71" s="237" t="s">
        <v>231</v>
      </c>
      <c r="DW71" s="237" t="s">
        <v>231</v>
      </c>
      <c r="DX71" s="237" t="s">
        <v>231</v>
      </c>
      <c r="DY71" s="237" t="s">
        <v>231</v>
      </c>
      <c r="DZ71" s="237" t="s">
        <v>231</v>
      </c>
      <c r="EA71" s="237" t="s">
        <v>231</v>
      </c>
      <c r="EB71" s="237" t="s">
        <v>231</v>
      </c>
      <c r="EC71" s="237" t="s">
        <v>231</v>
      </c>
      <c r="ED71" s="237" t="s">
        <v>231</v>
      </c>
      <c r="EE71" s="237" t="s">
        <v>231</v>
      </c>
      <c r="EF71" s="237" t="s">
        <v>231</v>
      </c>
      <c r="EG71" s="237" t="s">
        <v>231</v>
      </c>
      <c r="EH71" s="237" t="s">
        <v>492</v>
      </c>
      <c r="EI71" s="237" t="s">
        <v>231</v>
      </c>
      <c r="EJ71" s="237" t="s">
        <v>231</v>
      </c>
      <c r="EK71" s="237" t="s">
        <v>231</v>
      </c>
      <c r="EL71" s="237" t="s">
        <v>231</v>
      </c>
      <c r="EM71" s="237" t="s">
        <v>231</v>
      </c>
      <c r="EN71" s="237" t="s">
        <v>231</v>
      </c>
      <c r="EO71" s="237" t="s">
        <v>231</v>
      </c>
      <c r="EP71" s="237" t="s">
        <v>231</v>
      </c>
      <c r="EQ71" s="237" t="s">
        <v>231</v>
      </c>
      <c r="ER71" s="237" t="s">
        <v>231</v>
      </c>
      <c r="ES71" s="237" t="s">
        <v>231</v>
      </c>
      <c r="ET71" s="237" t="s">
        <v>231</v>
      </c>
      <c r="EU71" s="237" t="s">
        <v>231</v>
      </c>
      <c r="EV71" s="237" t="s">
        <v>231</v>
      </c>
      <c r="EW71" s="237" t="s">
        <v>231</v>
      </c>
      <c r="EX71" s="237" t="s">
        <v>231</v>
      </c>
      <c r="EY71" s="237" t="s">
        <v>231</v>
      </c>
      <c r="EZ71" s="237" t="s">
        <v>231</v>
      </c>
      <c r="FA71" s="237" t="s">
        <v>231</v>
      </c>
      <c r="FB71" s="237" t="s">
        <v>231</v>
      </c>
      <c r="FC71" s="237" t="s">
        <v>231</v>
      </c>
      <c r="FD71" s="237" t="s">
        <v>231</v>
      </c>
      <c r="FE71" s="237" t="s">
        <v>231</v>
      </c>
      <c r="FF71" s="237" t="s">
        <v>231</v>
      </c>
      <c r="FG71" s="237" t="s">
        <v>231</v>
      </c>
      <c r="FH71" s="237" t="s">
        <v>231</v>
      </c>
      <c r="FI71" s="237" t="s">
        <v>231</v>
      </c>
      <c r="FJ71" s="237" t="s">
        <v>231</v>
      </c>
      <c r="FK71" s="237" t="s">
        <v>231</v>
      </c>
      <c r="FL71" s="237" t="s">
        <v>231</v>
      </c>
      <c r="FM71" s="237" t="s">
        <v>231</v>
      </c>
      <c r="FN71" s="237" t="s">
        <v>231</v>
      </c>
      <c r="FO71" s="237" t="s">
        <v>231</v>
      </c>
      <c r="FP71" s="237" t="s">
        <v>231</v>
      </c>
      <c r="FQ71" s="237" t="s">
        <v>231</v>
      </c>
      <c r="FR71" s="237" t="s">
        <v>231</v>
      </c>
      <c r="FS71" s="237" t="s">
        <v>231</v>
      </c>
      <c r="FT71" s="237" t="s">
        <v>231</v>
      </c>
      <c r="FU71" s="237" t="s">
        <v>232</v>
      </c>
      <c r="FV71" s="237" t="s">
        <v>232</v>
      </c>
      <c r="FW71" s="237" t="s">
        <v>232</v>
      </c>
      <c r="FX71" s="237" t="s">
        <v>492</v>
      </c>
      <c r="FY71" s="237" t="s">
        <v>232</v>
      </c>
      <c r="FZ71" s="237" t="s">
        <v>231</v>
      </c>
      <c r="GA71" s="237" t="s">
        <v>231</v>
      </c>
      <c r="GB71" s="237" t="s">
        <v>231</v>
      </c>
      <c r="GC71" s="237" t="s">
        <v>231</v>
      </c>
      <c r="GD71" s="237" t="s">
        <v>231</v>
      </c>
      <c r="GE71" s="237" t="s">
        <v>231</v>
      </c>
      <c r="GF71" s="237" t="s">
        <v>231</v>
      </c>
      <c r="GG71" s="237" t="s">
        <v>231</v>
      </c>
      <c r="GH71" s="237" t="s">
        <v>231</v>
      </c>
      <c r="GI71" s="237" t="s">
        <v>231</v>
      </c>
      <c r="GJ71" s="237" t="s">
        <v>231</v>
      </c>
      <c r="GK71" s="237" t="s">
        <v>231</v>
      </c>
      <c r="GL71" s="237" t="s">
        <v>231</v>
      </c>
      <c r="GM71" s="237" t="s">
        <v>231</v>
      </c>
      <c r="GN71" s="237" t="s">
        <v>231</v>
      </c>
      <c r="GO71" s="237" t="s">
        <v>231</v>
      </c>
      <c r="GP71" s="237" t="s">
        <v>492</v>
      </c>
      <c r="GQ71" s="237" t="s">
        <v>231</v>
      </c>
      <c r="GR71" s="237" t="s">
        <v>231</v>
      </c>
      <c r="GS71" s="237" t="s">
        <v>231</v>
      </c>
      <c r="GT71" s="237" t="s">
        <v>231</v>
      </c>
      <c r="GU71" s="237" t="s">
        <v>231</v>
      </c>
      <c r="GV71" s="237" t="s">
        <v>231</v>
      </c>
      <c r="GW71" s="237" t="s">
        <v>231</v>
      </c>
      <c r="GX71" s="237" t="s">
        <v>231</v>
      </c>
      <c r="GY71" s="237" t="s">
        <v>231</v>
      </c>
      <c r="GZ71" s="237" t="s">
        <v>231</v>
      </c>
      <c r="HA71" s="237" t="s">
        <v>231</v>
      </c>
      <c r="HB71" s="237" t="s">
        <v>231</v>
      </c>
      <c r="HC71" s="237" t="s">
        <v>231</v>
      </c>
      <c r="HD71" s="237" t="s">
        <v>231</v>
      </c>
      <c r="HE71" s="237" t="s">
        <v>231</v>
      </c>
      <c r="HF71" s="237" t="s">
        <v>231</v>
      </c>
      <c r="HG71" s="237" t="s">
        <v>231</v>
      </c>
      <c r="HH71" s="237" t="s">
        <v>231</v>
      </c>
      <c r="HI71" s="237" t="s">
        <v>231</v>
      </c>
      <c r="HJ71" s="237" t="s">
        <v>231</v>
      </c>
      <c r="HK71" s="237" t="s">
        <v>231</v>
      </c>
      <c r="HL71" s="237" t="s">
        <v>231</v>
      </c>
      <c r="HM71" s="237" t="s">
        <v>231</v>
      </c>
      <c r="HN71" s="237" t="s">
        <v>231</v>
      </c>
      <c r="HO71" s="237" t="s">
        <v>231</v>
      </c>
      <c r="HP71" s="237" t="s">
        <v>231</v>
      </c>
      <c r="HQ71" s="237" t="s">
        <v>231</v>
      </c>
      <c r="HR71" s="237" t="s">
        <v>231</v>
      </c>
      <c r="HS71" s="237" t="s">
        <v>231</v>
      </c>
      <c r="HT71" s="237" t="s">
        <v>231</v>
      </c>
      <c r="HU71" s="237" t="s">
        <v>231</v>
      </c>
      <c r="HV71" s="237" t="s">
        <v>231</v>
      </c>
      <c r="HW71" s="237" t="s">
        <v>231</v>
      </c>
      <c r="HX71" s="237" t="s">
        <v>231</v>
      </c>
      <c r="HY71" s="237" t="s">
        <v>231</v>
      </c>
      <c r="HZ71" s="237" t="s">
        <v>231</v>
      </c>
      <c r="IA71" s="237" t="s">
        <v>231</v>
      </c>
      <c r="IB71" s="237" t="s">
        <v>231</v>
      </c>
      <c r="IC71" s="237" t="s">
        <v>231</v>
      </c>
      <c r="ID71" s="237" t="s">
        <v>231</v>
      </c>
      <c r="IE71" s="237" t="s">
        <v>231</v>
      </c>
      <c r="IF71" s="237" t="s">
        <v>231</v>
      </c>
      <c r="IG71" s="237" t="s">
        <v>231</v>
      </c>
      <c r="IH71" s="237" t="s">
        <v>231</v>
      </c>
      <c r="II71" s="237" t="s">
        <v>231</v>
      </c>
      <c r="IJ71" s="237" t="s">
        <v>231</v>
      </c>
      <c r="IK71" s="237" t="s">
        <v>232</v>
      </c>
      <c r="IL71" s="237" t="s">
        <v>231</v>
      </c>
      <c r="IM71" s="237" t="s">
        <v>232</v>
      </c>
      <c r="IN71" s="237" t="s">
        <v>231</v>
      </c>
      <c r="IO71" s="237" t="s">
        <v>220</v>
      </c>
      <c r="IP71" s="237" t="s">
        <v>493</v>
      </c>
      <c r="IQ71" s="237" t="s">
        <v>219</v>
      </c>
      <c r="IR71" s="237" t="s">
        <v>490</v>
      </c>
      <c r="IS71" s="237" t="s">
        <v>492</v>
      </c>
      <c r="IT71" s="237" t="s">
        <v>492</v>
      </c>
    </row>
    <row r="72" spans="1:254" ht="15" x14ac:dyDescent="0.25">
      <c r="A72" s="259" t="str">
        <f>HYPERLINK("http://www.ofsted.gov.uk/inspection-reports/find-inspection-report/provider/ELS/142334 ","Ofsted School Webpage")</f>
        <v>Ofsted School Webpage</v>
      </c>
      <c r="B72" s="240">
        <v>142334</v>
      </c>
      <c r="C72" s="240">
        <v>3116001</v>
      </c>
      <c r="D72" s="240" t="s">
        <v>689</v>
      </c>
      <c r="E72" s="240" t="s">
        <v>248</v>
      </c>
      <c r="F72" s="240" t="s">
        <v>501</v>
      </c>
      <c r="G72" s="240" t="s">
        <v>506</v>
      </c>
      <c r="H72" s="240" t="s">
        <v>506</v>
      </c>
      <c r="I72" s="240" t="s">
        <v>683</v>
      </c>
      <c r="J72" s="240" t="s">
        <v>690</v>
      </c>
      <c r="K72" s="240" t="s">
        <v>93</v>
      </c>
      <c r="L72" s="240" t="s">
        <v>93</v>
      </c>
      <c r="M72" s="240" t="s">
        <v>93</v>
      </c>
      <c r="N72" s="240" t="s">
        <v>90</v>
      </c>
      <c r="O72" s="240" t="s">
        <v>486</v>
      </c>
      <c r="P72" s="240" t="s">
        <v>487</v>
      </c>
      <c r="Q72" s="241">
        <v>10055473</v>
      </c>
      <c r="R72" s="242">
        <v>43410</v>
      </c>
      <c r="S72" s="242">
        <v>43412</v>
      </c>
      <c r="T72" s="242">
        <v>43430</v>
      </c>
      <c r="U72" s="240" t="s">
        <v>488</v>
      </c>
      <c r="V72" s="240" t="s">
        <v>489</v>
      </c>
      <c r="W72" s="240">
        <v>2</v>
      </c>
      <c r="X72" s="240">
        <v>2</v>
      </c>
      <c r="Y72" s="240">
        <v>2</v>
      </c>
      <c r="Z72" s="240">
        <v>2</v>
      </c>
      <c r="AA72" s="240">
        <v>2</v>
      </c>
      <c r="AB72" s="240" t="s">
        <v>486</v>
      </c>
      <c r="AC72" s="240" t="s">
        <v>486</v>
      </c>
      <c r="AD72" s="240" t="s">
        <v>219</v>
      </c>
      <c r="AE72" s="240" t="s">
        <v>490</v>
      </c>
      <c r="AF72" s="240" t="s">
        <v>486</v>
      </c>
      <c r="AG72" s="240" t="s">
        <v>486</v>
      </c>
      <c r="AH72" s="240" t="s">
        <v>486</v>
      </c>
      <c r="AI72" s="240" t="s">
        <v>486</v>
      </c>
      <c r="AJ72" s="240" t="s">
        <v>486</v>
      </c>
      <c r="AK72" s="240" t="s">
        <v>486</v>
      </c>
      <c r="AL72" s="240" t="s">
        <v>486</v>
      </c>
      <c r="AM72" s="240" t="s">
        <v>491</v>
      </c>
      <c r="AN72" s="240" t="s">
        <v>231</v>
      </c>
      <c r="AO72" s="240" t="s">
        <v>231</v>
      </c>
      <c r="AP72" s="240" t="s">
        <v>231</v>
      </c>
      <c r="AQ72" s="240" t="s">
        <v>231</v>
      </c>
      <c r="AR72" s="240" t="s">
        <v>231</v>
      </c>
      <c r="AS72" s="240" t="s">
        <v>231</v>
      </c>
      <c r="AT72" s="240" t="s">
        <v>231</v>
      </c>
      <c r="AU72" s="240" t="s">
        <v>231</v>
      </c>
      <c r="AV72" s="240" t="s">
        <v>231</v>
      </c>
      <c r="AW72" s="240" t="s">
        <v>231</v>
      </c>
      <c r="AX72" s="240" t="s">
        <v>231</v>
      </c>
      <c r="AY72" s="240" t="s">
        <v>231</v>
      </c>
      <c r="AZ72" s="240" t="s">
        <v>231</v>
      </c>
      <c r="BA72" s="240" t="s">
        <v>231</v>
      </c>
      <c r="BB72" s="240" t="s">
        <v>231</v>
      </c>
      <c r="BC72" s="240" t="s">
        <v>231</v>
      </c>
      <c r="BD72" s="240" t="s">
        <v>492</v>
      </c>
      <c r="BE72" s="240" t="s">
        <v>231</v>
      </c>
      <c r="BF72" s="240" t="s">
        <v>231</v>
      </c>
      <c r="BG72" s="240" t="s">
        <v>231</v>
      </c>
      <c r="BH72" s="240" t="s">
        <v>231</v>
      </c>
      <c r="BI72" s="240" t="s">
        <v>231</v>
      </c>
      <c r="BJ72" s="240" t="s">
        <v>231</v>
      </c>
      <c r="BK72" s="240" t="s">
        <v>231</v>
      </c>
      <c r="BL72" s="240" t="s">
        <v>492</v>
      </c>
      <c r="BM72" s="240" t="s">
        <v>492</v>
      </c>
      <c r="BN72" s="240" t="s">
        <v>231</v>
      </c>
      <c r="BO72" s="240" t="s">
        <v>231</v>
      </c>
      <c r="BP72" s="240" t="s">
        <v>231</v>
      </c>
      <c r="BQ72" s="240" t="s">
        <v>231</v>
      </c>
      <c r="BR72" s="240" t="s">
        <v>231</v>
      </c>
      <c r="BS72" s="240" t="s">
        <v>231</v>
      </c>
      <c r="BT72" s="240" t="s">
        <v>231</v>
      </c>
      <c r="BU72" s="240" t="s">
        <v>231</v>
      </c>
      <c r="BV72" s="240" t="s">
        <v>231</v>
      </c>
      <c r="BW72" s="240" t="s">
        <v>231</v>
      </c>
      <c r="BX72" s="240" t="s">
        <v>231</v>
      </c>
      <c r="BY72" s="240" t="s">
        <v>231</v>
      </c>
      <c r="BZ72" s="240" t="s">
        <v>231</v>
      </c>
      <c r="CA72" s="240" t="s">
        <v>231</v>
      </c>
      <c r="CB72" s="240" t="s">
        <v>231</v>
      </c>
      <c r="CC72" s="240" t="s">
        <v>231</v>
      </c>
      <c r="CD72" s="240" t="s">
        <v>231</v>
      </c>
      <c r="CE72" s="240" t="s">
        <v>231</v>
      </c>
      <c r="CF72" s="240" t="s">
        <v>231</v>
      </c>
      <c r="CG72" s="240" t="s">
        <v>231</v>
      </c>
      <c r="CH72" s="240" t="s">
        <v>231</v>
      </c>
      <c r="CI72" s="240" t="s">
        <v>231</v>
      </c>
      <c r="CJ72" s="240" t="s">
        <v>231</v>
      </c>
      <c r="CK72" s="240" t="s">
        <v>231</v>
      </c>
      <c r="CL72" s="240" t="s">
        <v>231</v>
      </c>
      <c r="CM72" s="240" t="s">
        <v>231</v>
      </c>
      <c r="CN72" s="240" t="s">
        <v>231</v>
      </c>
      <c r="CO72" s="240" t="s">
        <v>231</v>
      </c>
      <c r="CP72" s="240" t="s">
        <v>231</v>
      </c>
      <c r="CQ72" s="240" t="s">
        <v>231</v>
      </c>
      <c r="CR72" s="240" t="s">
        <v>231</v>
      </c>
      <c r="CS72" s="240" t="s">
        <v>231</v>
      </c>
      <c r="CT72" s="240" t="s">
        <v>492</v>
      </c>
      <c r="CU72" s="240" t="s">
        <v>492</v>
      </c>
      <c r="CV72" s="240" t="s">
        <v>492</v>
      </c>
      <c r="CW72" s="240" t="s">
        <v>231</v>
      </c>
      <c r="CX72" s="240" t="s">
        <v>231</v>
      </c>
      <c r="CY72" s="240" t="s">
        <v>231</v>
      </c>
      <c r="CZ72" s="240" t="s">
        <v>231</v>
      </c>
      <c r="DA72" s="240" t="s">
        <v>231</v>
      </c>
      <c r="DB72" s="240" t="s">
        <v>231</v>
      </c>
      <c r="DC72" s="240" t="s">
        <v>231</v>
      </c>
      <c r="DD72" s="240" t="s">
        <v>231</v>
      </c>
      <c r="DE72" s="240" t="s">
        <v>231</v>
      </c>
      <c r="DF72" s="240" t="s">
        <v>231</v>
      </c>
      <c r="DG72" s="240" t="s">
        <v>231</v>
      </c>
      <c r="DH72" s="240" t="s">
        <v>231</v>
      </c>
      <c r="DI72" s="240" t="s">
        <v>231</v>
      </c>
      <c r="DJ72" s="240" t="s">
        <v>231</v>
      </c>
      <c r="DK72" s="240" t="s">
        <v>231</v>
      </c>
      <c r="DL72" s="240" t="s">
        <v>231</v>
      </c>
      <c r="DM72" s="240" t="s">
        <v>231</v>
      </c>
      <c r="DN72" s="240" t="s">
        <v>231</v>
      </c>
      <c r="DO72" s="240" t="s">
        <v>231</v>
      </c>
      <c r="DP72" s="240" t="s">
        <v>231</v>
      </c>
      <c r="DQ72" s="240" t="s">
        <v>231</v>
      </c>
      <c r="DR72" s="240" t="s">
        <v>231</v>
      </c>
      <c r="DS72" s="240" t="s">
        <v>231</v>
      </c>
      <c r="DT72" s="240" t="s">
        <v>492</v>
      </c>
      <c r="DU72" s="240" t="s">
        <v>231</v>
      </c>
      <c r="DV72" s="240" t="s">
        <v>231</v>
      </c>
      <c r="DW72" s="240" t="s">
        <v>231</v>
      </c>
      <c r="DX72" s="240" t="s">
        <v>231</v>
      </c>
      <c r="DY72" s="240" t="s">
        <v>231</v>
      </c>
      <c r="DZ72" s="240" t="s">
        <v>231</v>
      </c>
      <c r="EA72" s="240" t="s">
        <v>231</v>
      </c>
      <c r="EB72" s="240" t="s">
        <v>231</v>
      </c>
      <c r="EC72" s="240" t="s">
        <v>231</v>
      </c>
      <c r="ED72" s="240" t="s">
        <v>231</v>
      </c>
      <c r="EE72" s="240" t="s">
        <v>231</v>
      </c>
      <c r="EF72" s="240" t="s">
        <v>231</v>
      </c>
      <c r="EG72" s="240" t="s">
        <v>231</v>
      </c>
      <c r="EH72" s="240" t="s">
        <v>492</v>
      </c>
      <c r="EI72" s="240" t="s">
        <v>231</v>
      </c>
      <c r="EJ72" s="240" t="s">
        <v>231</v>
      </c>
      <c r="EK72" s="240" t="s">
        <v>231</v>
      </c>
      <c r="EL72" s="240" t="s">
        <v>231</v>
      </c>
      <c r="EM72" s="240" t="s">
        <v>231</v>
      </c>
      <c r="EN72" s="240" t="s">
        <v>231</v>
      </c>
      <c r="EO72" s="240" t="s">
        <v>231</v>
      </c>
      <c r="EP72" s="240" t="s">
        <v>231</v>
      </c>
      <c r="EQ72" s="240" t="s">
        <v>231</v>
      </c>
      <c r="ER72" s="240" t="s">
        <v>231</v>
      </c>
      <c r="ES72" s="240" t="s">
        <v>231</v>
      </c>
      <c r="ET72" s="240" t="s">
        <v>231</v>
      </c>
      <c r="EU72" s="240" t="s">
        <v>231</v>
      </c>
      <c r="EV72" s="240" t="s">
        <v>231</v>
      </c>
      <c r="EW72" s="240" t="s">
        <v>231</v>
      </c>
      <c r="EX72" s="240" t="s">
        <v>231</v>
      </c>
      <c r="EY72" s="240" t="s">
        <v>231</v>
      </c>
      <c r="EZ72" s="240" t="s">
        <v>231</v>
      </c>
      <c r="FA72" s="240" t="s">
        <v>231</v>
      </c>
      <c r="FB72" s="240" t="s">
        <v>231</v>
      </c>
      <c r="FC72" s="240" t="s">
        <v>231</v>
      </c>
      <c r="FD72" s="240" t="s">
        <v>231</v>
      </c>
      <c r="FE72" s="240" t="s">
        <v>231</v>
      </c>
      <c r="FF72" s="240" t="s">
        <v>231</v>
      </c>
      <c r="FG72" s="240" t="s">
        <v>231</v>
      </c>
      <c r="FH72" s="240" t="s">
        <v>231</v>
      </c>
      <c r="FI72" s="240" t="s">
        <v>231</v>
      </c>
      <c r="FJ72" s="240" t="s">
        <v>231</v>
      </c>
      <c r="FK72" s="240" t="s">
        <v>231</v>
      </c>
      <c r="FL72" s="240" t="s">
        <v>231</v>
      </c>
      <c r="FM72" s="240" t="s">
        <v>231</v>
      </c>
      <c r="FN72" s="240" t="s">
        <v>231</v>
      </c>
      <c r="FO72" s="240" t="s">
        <v>231</v>
      </c>
      <c r="FP72" s="240" t="s">
        <v>231</v>
      </c>
      <c r="FQ72" s="240" t="s">
        <v>231</v>
      </c>
      <c r="FR72" s="240" t="s">
        <v>231</v>
      </c>
      <c r="FS72" s="240" t="s">
        <v>231</v>
      </c>
      <c r="FT72" s="240" t="s">
        <v>231</v>
      </c>
      <c r="FU72" s="240" t="s">
        <v>231</v>
      </c>
      <c r="FV72" s="240" t="s">
        <v>231</v>
      </c>
      <c r="FW72" s="240" t="s">
        <v>231</v>
      </c>
      <c r="FX72" s="240" t="s">
        <v>492</v>
      </c>
      <c r="FY72" s="240" t="s">
        <v>231</v>
      </c>
      <c r="FZ72" s="240" t="s">
        <v>231</v>
      </c>
      <c r="GA72" s="240" t="s">
        <v>231</v>
      </c>
      <c r="GB72" s="240" t="s">
        <v>231</v>
      </c>
      <c r="GC72" s="240" t="s">
        <v>231</v>
      </c>
      <c r="GD72" s="240" t="s">
        <v>231</v>
      </c>
      <c r="GE72" s="240" t="s">
        <v>231</v>
      </c>
      <c r="GF72" s="240" t="s">
        <v>231</v>
      </c>
      <c r="GG72" s="240" t="s">
        <v>231</v>
      </c>
      <c r="GH72" s="240" t="s">
        <v>231</v>
      </c>
      <c r="GI72" s="240" t="s">
        <v>231</v>
      </c>
      <c r="GJ72" s="240" t="s">
        <v>231</v>
      </c>
      <c r="GK72" s="240" t="s">
        <v>231</v>
      </c>
      <c r="GL72" s="240" t="s">
        <v>231</v>
      </c>
      <c r="GM72" s="240" t="s">
        <v>231</v>
      </c>
      <c r="GN72" s="240" t="s">
        <v>231</v>
      </c>
      <c r="GO72" s="240" t="s">
        <v>231</v>
      </c>
      <c r="GP72" s="240" t="s">
        <v>492</v>
      </c>
      <c r="GQ72" s="240" t="s">
        <v>231</v>
      </c>
      <c r="GR72" s="240" t="s">
        <v>231</v>
      </c>
      <c r="GS72" s="240" t="s">
        <v>231</v>
      </c>
      <c r="GT72" s="240" t="s">
        <v>231</v>
      </c>
      <c r="GU72" s="240" t="s">
        <v>231</v>
      </c>
      <c r="GV72" s="240" t="s">
        <v>492</v>
      </c>
      <c r="GW72" s="240" t="s">
        <v>231</v>
      </c>
      <c r="GX72" s="240" t="s">
        <v>231</v>
      </c>
      <c r="GY72" s="240" t="s">
        <v>231</v>
      </c>
      <c r="GZ72" s="240" t="s">
        <v>231</v>
      </c>
      <c r="HA72" s="240" t="s">
        <v>231</v>
      </c>
      <c r="HB72" s="240" t="s">
        <v>231</v>
      </c>
      <c r="HC72" s="240" t="s">
        <v>231</v>
      </c>
      <c r="HD72" s="240" t="s">
        <v>231</v>
      </c>
      <c r="HE72" s="240" t="s">
        <v>231</v>
      </c>
      <c r="HF72" s="240" t="s">
        <v>231</v>
      </c>
      <c r="HG72" s="240" t="s">
        <v>231</v>
      </c>
      <c r="HH72" s="240" t="s">
        <v>231</v>
      </c>
      <c r="HI72" s="240" t="s">
        <v>231</v>
      </c>
      <c r="HJ72" s="240" t="s">
        <v>231</v>
      </c>
      <c r="HK72" s="240" t="s">
        <v>231</v>
      </c>
      <c r="HL72" s="240" t="s">
        <v>231</v>
      </c>
      <c r="HM72" s="240" t="s">
        <v>231</v>
      </c>
      <c r="HN72" s="240" t="s">
        <v>231</v>
      </c>
      <c r="HO72" s="240" t="s">
        <v>231</v>
      </c>
      <c r="HP72" s="240" t="s">
        <v>231</v>
      </c>
      <c r="HQ72" s="240" t="s">
        <v>492</v>
      </c>
      <c r="HR72" s="240" t="s">
        <v>492</v>
      </c>
      <c r="HS72" s="240" t="s">
        <v>492</v>
      </c>
      <c r="HT72" s="240" t="s">
        <v>492</v>
      </c>
      <c r="HU72" s="240" t="s">
        <v>231</v>
      </c>
      <c r="HV72" s="240" t="s">
        <v>231</v>
      </c>
      <c r="HW72" s="240" t="s">
        <v>231</v>
      </c>
      <c r="HX72" s="240" t="s">
        <v>231</v>
      </c>
      <c r="HY72" s="240" t="s">
        <v>231</v>
      </c>
      <c r="HZ72" s="240" t="s">
        <v>231</v>
      </c>
      <c r="IA72" s="240" t="s">
        <v>231</v>
      </c>
      <c r="IB72" s="240" t="s">
        <v>231</v>
      </c>
      <c r="IC72" s="240" t="s">
        <v>231</v>
      </c>
      <c r="ID72" s="240" t="s">
        <v>231</v>
      </c>
      <c r="IE72" s="240" t="s">
        <v>231</v>
      </c>
      <c r="IF72" s="240" t="s">
        <v>231</v>
      </c>
      <c r="IG72" s="240" t="s">
        <v>231</v>
      </c>
      <c r="IH72" s="240" t="s">
        <v>231</v>
      </c>
      <c r="II72" s="240" t="s">
        <v>231</v>
      </c>
      <c r="IJ72" s="240" t="s">
        <v>231</v>
      </c>
      <c r="IK72" s="240" t="s">
        <v>231</v>
      </c>
      <c r="IL72" s="240" t="s">
        <v>231</v>
      </c>
      <c r="IM72" s="240" t="s">
        <v>231</v>
      </c>
      <c r="IN72" s="240" t="s">
        <v>231</v>
      </c>
      <c r="IO72" s="240" t="s">
        <v>220</v>
      </c>
      <c r="IP72" s="240" t="s">
        <v>493</v>
      </c>
      <c r="IQ72" s="240" t="s">
        <v>219</v>
      </c>
      <c r="IR72" s="240" t="s">
        <v>490</v>
      </c>
      <c r="IS72" s="240" t="s">
        <v>492</v>
      </c>
      <c r="IT72" s="240" t="s">
        <v>492</v>
      </c>
    </row>
    <row r="73" spans="1:254" ht="15" x14ac:dyDescent="0.25">
      <c r="A73" s="258" t="str">
        <f>HYPERLINK("http://www.ofsted.gov.uk/inspection-reports/find-inspection-report/provider/ELS/137502 ","Ofsted School Webpage")</f>
        <v>Ofsted School Webpage</v>
      </c>
      <c r="B73" s="237">
        <v>137502</v>
      </c>
      <c r="C73" s="237">
        <v>3026001</v>
      </c>
      <c r="D73" s="237" t="s">
        <v>691</v>
      </c>
      <c r="E73" s="237" t="s">
        <v>247</v>
      </c>
      <c r="F73" s="237" t="s">
        <v>482</v>
      </c>
      <c r="G73" s="237" t="s">
        <v>506</v>
      </c>
      <c r="H73" s="237" t="s">
        <v>506</v>
      </c>
      <c r="I73" s="237" t="s">
        <v>614</v>
      </c>
      <c r="J73" s="237" t="s">
        <v>692</v>
      </c>
      <c r="K73" s="237" t="s">
        <v>93</v>
      </c>
      <c r="L73" s="237" t="s">
        <v>81</v>
      </c>
      <c r="M73" s="237" t="s">
        <v>81</v>
      </c>
      <c r="N73" s="237" t="s">
        <v>81</v>
      </c>
      <c r="O73" s="237" t="s">
        <v>486</v>
      </c>
      <c r="P73" s="237" t="s">
        <v>487</v>
      </c>
      <c r="Q73" s="238">
        <v>10055403</v>
      </c>
      <c r="R73" s="239">
        <v>43410</v>
      </c>
      <c r="S73" s="239">
        <v>43412</v>
      </c>
      <c r="T73" s="239">
        <v>43438</v>
      </c>
      <c r="U73" s="237" t="s">
        <v>488</v>
      </c>
      <c r="V73" s="237" t="s">
        <v>489</v>
      </c>
      <c r="W73" s="237">
        <v>3</v>
      </c>
      <c r="X73" s="237">
        <v>3</v>
      </c>
      <c r="Y73" s="237">
        <v>2</v>
      </c>
      <c r="Z73" s="237">
        <v>3</v>
      </c>
      <c r="AA73" s="237">
        <v>3</v>
      </c>
      <c r="AB73" s="237">
        <v>2</v>
      </c>
      <c r="AC73" s="237" t="s">
        <v>486</v>
      </c>
      <c r="AD73" s="237" t="s">
        <v>219</v>
      </c>
      <c r="AE73" s="237" t="s">
        <v>490</v>
      </c>
      <c r="AF73" s="237" t="s">
        <v>486</v>
      </c>
      <c r="AG73" s="237" t="s">
        <v>486</v>
      </c>
      <c r="AH73" s="237" t="s">
        <v>486</v>
      </c>
      <c r="AI73" s="237" t="s">
        <v>486</v>
      </c>
      <c r="AJ73" s="237" t="s">
        <v>486</v>
      </c>
      <c r="AK73" s="237" t="s">
        <v>486</v>
      </c>
      <c r="AL73" s="237" t="s">
        <v>486</v>
      </c>
      <c r="AM73" s="237" t="s">
        <v>491</v>
      </c>
      <c r="AN73" s="237" t="s">
        <v>231</v>
      </c>
      <c r="AO73" s="237" t="s">
        <v>231</v>
      </c>
      <c r="AP73" s="237" t="s">
        <v>231</v>
      </c>
      <c r="AQ73" s="237" t="s">
        <v>231</v>
      </c>
      <c r="AR73" s="237" t="s">
        <v>231</v>
      </c>
      <c r="AS73" s="237" t="s">
        <v>231</v>
      </c>
      <c r="AT73" s="237" t="s">
        <v>231</v>
      </c>
      <c r="AU73" s="237" t="s">
        <v>231</v>
      </c>
      <c r="AV73" s="237" t="s">
        <v>231</v>
      </c>
      <c r="AW73" s="237" t="s">
        <v>231</v>
      </c>
      <c r="AX73" s="237" t="s">
        <v>231</v>
      </c>
      <c r="AY73" s="237" t="s">
        <v>231</v>
      </c>
      <c r="AZ73" s="237" t="s">
        <v>231</v>
      </c>
      <c r="BA73" s="237" t="s">
        <v>231</v>
      </c>
      <c r="BB73" s="237" t="s">
        <v>231</v>
      </c>
      <c r="BC73" s="237" t="s">
        <v>231</v>
      </c>
      <c r="BD73" s="237" t="s">
        <v>231</v>
      </c>
      <c r="BE73" s="237" t="s">
        <v>231</v>
      </c>
      <c r="BF73" s="237" t="s">
        <v>231</v>
      </c>
      <c r="BG73" s="237" t="s">
        <v>231</v>
      </c>
      <c r="BH73" s="237" t="s">
        <v>492</v>
      </c>
      <c r="BI73" s="237" t="s">
        <v>492</v>
      </c>
      <c r="BJ73" s="237" t="s">
        <v>492</v>
      </c>
      <c r="BK73" s="237" t="s">
        <v>492</v>
      </c>
      <c r="BL73" s="237" t="s">
        <v>231</v>
      </c>
      <c r="BM73" s="237" t="s">
        <v>492</v>
      </c>
      <c r="BN73" s="237" t="s">
        <v>231</v>
      </c>
      <c r="BO73" s="237" t="s">
        <v>231</v>
      </c>
      <c r="BP73" s="237" t="s">
        <v>231</v>
      </c>
      <c r="BQ73" s="237" t="s">
        <v>231</v>
      </c>
      <c r="BR73" s="237" t="s">
        <v>231</v>
      </c>
      <c r="BS73" s="237" t="s">
        <v>231</v>
      </c>
      <c r="BT73" s="237" t="s">
        <v>231</v>
      </c>
      <c r="BU73" s="237" t="s">
        <v>231</v>
      </c>
      <c r="BV73" s="237" t="s">
        <v>231</v>
      </c>
      <c r="BW73" s="237" t="s">
        <v>231</v>
      </c>
      <c r="BX73" s="237" t="s">
        <v>231</v>
      </c>
      <c r="BY73" s="237" t="s">
        <v>231</v>
      </c>
      <c r="BZ73" s="237" t="s">
        <v>231</v>
      </c>
      <c r="CA73" s="237" t="s">
        <v>231</v>
      </c>
      <c r="CB73" s="237" t="s">
        <v>231</v>
      </c>
      <c r="CC73" s="237" t="s">
        <v>231</v>
      </c>
      <c r="CD73" s="237" t="s">
        <v>231</v>
      </c>
      <c r="CE73" s="237" t="s">
        <v>231</v>
      </c>
      <c r="CF73" s="237" t="s">
        <v>231</v>
      </c>
      <c r="CG73" s="237" t="s">
        <v>231</v>
      </c>
      <c r="CH73" s="237" t="s">
        <v>231</v>
      </c>
      <c r="CI73" s="237" t="s">
        <v>231</v>
      </c>
      <c r="CJ73" s="237" t="s">
        <v>231</v>
      </c>
      <c r="CK73" s="237" t="s">
        <v>231</v>
      </c>
      <c r="CL73" s="237" t="s">
        <v>231</v>
      </c>
      <c r="CM73" s="237" t="s">
        <v>231</v>
      </c>
      <c r="CN73" s="237" t="s">
        <v>231</v>
      </c>
      <c r="CO73" s="237" t="s">
        <v>231</v>
      </c>
      <c r="CP73" s="237" t="s">
        <v>231</v>
      </c>
      <c r="CQ73" s="237" t="s">
        <v>231</v>
      </c>
      <c r="CR73" s="237" t="s">
        <v>231</v>
      </c>
      <c r="CS73" s="237" t="s">
        <v>231</v>
      </c>
      <c r="CT73" s="237" t="s">
        <v>492</v>
      </c>
      <c r="CU73" s="237" t="s">
        <v>492</v>
      </c>
      <c r="CV73" s="237" t="s">
        <v>492</v>
      </c>
      <c r="CW73" s="237" t="s">
        <v>231</v>
      </c>
      <c r="CX73" s="237" t="s">
        <v>231</v>
      </c>
      <c r="CY73" s="237" t="s">
        <v>231</v>
      </c>
      <c r="CZ73" s="237" t="s">
        <v>231</v>
      </c>
      <c r="DA73" s="237" t="s">
        <v>231</v>
      </c>
      <c r="DB73" s="237" t="s">
        <v>231</v>
      </c>
      <c r="DC73" s="237" t="s">
        <v>231</v>
      </c>
      <c r="DD73" s="237" t="s">
        <v>231</v>
      </c>
      <c r="DE73" s="237" t="s">
        <v>231</v>
      </c>
      <c r="DF73" s="237" t="s">
        <v>231</v>
      </c>
      <c r="DG73" s="237" t="s">
        <v>231</v>
      </c>
      <c r="DH73" s="237" t="s">
        <v>231</v>
      </c>
      <c r="DI73" s="237" t="s">
        <v>231</v>
      </c>
      <c r="DJ73" s="237" t="s">
        <v>231</v>
      </c>
      <c r="DK73" s="237" t="s">
        <v>231</v>
      </c>
      <c r="DL73" s="237" t="s">
        <v>231</v>
      </c>
      <c r="DM73" s="237" t="s">
        <v>231</v>
      </c>
      <c r="DN73" s="237" t="s">
        <v>231</v>
      </c>
      <c r="DO73" s="237" t="s">
        <v>231</v>
      </c>
      <c r="DP73" s="237" t="s">
        <v>231</v>
      </c>
      <c r="DQ73" s="237" t="s">
        <v>231</v>
      </c>
      <c r="DR73" s="237" t="s">
        <v>231</v>
      </c>
      <c r="DS73" s="237" t="s">
        <v>231</v>
      </c>
      <c r="DT73" s="237" t="s">
        <v>492</v>
      </c>
      <c r="DU73" s="237" t="s">
        <v>231</v>
      </c>
      <c r="DV73" s="237" t="s">
        <v>231</v>
      </c>
      <c r="DW73" s="237" t="s">
        <v>231</v>
      </c>
      <c r="DX73" s="237" t="s">
        <v>231</v>
      </c>
      <c r="DY73" s="237" t="s">
        <v>231</v>
      </c>
      <c r="DZ73" s="237" t="s">
        <v>231</v>
      </c>
      <c r="EA73" s="237" t="s">
        <v>231</v>
      </c>
      <c r="EB73" s="237" t="s">
        <v>231</v>
      </c>
      <c r="EC73" s="237" t="s">
        <v>231</v>
      </c>
      <c r="ED73" s="237" t="s">
        <v>231</v>
      </c>
      <c r="EE73" s="237" t="s">
        <v>231</v>
      </c>
      <c r="EF73" s="237" t="s">
        <v>231</v>
      </c>
      <c r="EG73" s="237" t="s">
        <v>231</v>
      </c>
      <c r="EH73" s="237" t="s">
        <v>492</v>
      </c>
      <c r="EI73" s="237" t="s">
        <v>231</v>
      </c>
      <c r="EJ73" s="237" t="s">
        <v>231</v>
      </c>
      <c r="EK73" s="237" t="s">
        <v>231</v>
      </c>
      <c r="EL73" s="237" t="s">
        <v>231</v>
      </c>
      <c r="EM73" s="237" t="s">
        <v>231</v>
      </c>
      <c r="EN73" s="237" t="s">
        <v>231</v>
      </c>
      <c r="EO73" s="237" t="s">
        <v>231</v>
      </c>
      <c r="EP73" s="237" t="s">
        <v>231</v>
      </c>
      <c r="EQ73" s="237" t="s">
        <v>231</v>
      </c>
      <c r="ER73" s="237" t="s">
        <v>231</v>
      </c>
      <c r="ES73" s="237" t="s">
        <v>231</v>
      </c>
      <c r="ET73" s="237" t="s">
        <v>231</v>
      </c>
      <c r="EU73" s="237" t="s">
        <v>231</v>
      </c>
      <c r="EV73" s="237" t="s">
        <v>231</v>
      </c>
      <c r="EW73" s="237" t="s">
        <v>231</v>
      </c>
      <c r="EX73" s="237" t="s">
        <v>231</v>
      </c>
      <c r="EY73" s="237" t="s">
        <v>231</v>
      </c>
      <c r="EZ73" s="237" t="s">
        <v>231</v>
      </c>
      <c r="FA73" s="237" t="s">
        <v>231</v>
      </c>
      <c r="FB73" s="237" t="s">
        <v>231</v>
      </c>
      <c r="FC73" s="237" t="s">
        <v>231</v>
      </c>
      <c r="FD73" s="237" t="s">
        <v>231</v>
      </c>
      <c r="FE73" s="237" t="s">
        <v>231</v>
      </c>
      <c r="FF73" s="237" t="s">
        <v>231</v>
      </c>
      <c r="FG73" s="237" t="s">
        <v>231</v>
      </c>
      <c r="FH73" s="237" t="s">
        <v>231</v>
      </c>
      <c r="FI73" s="237" t="s">
        <v>231</v>
      </c>
      <c r="FJ73" s="237" t="s">
        <v>231</v>
      </c>
      <c r="FK73" s="237" t="s">
        <v>231</v>
      </c>
      <c r="FL73" s="237" t="s">
        <v>231</v>
      </c>
      <c r="FM73" s="237" t="s">
        <v>231</v>
      </c>
      <c r="FN73" s="237" t="s">
        <v>231</v>
      </c>
      <c r="FO73" s="237" t="s">
        <v>231</v>
      </c>
      <c r="FP73" s="237" t="s">
        <v>231</v>
      </c>
      <c r="FQ73" s="237" t="s">
        <v>231</v>
      </c>
      <c r="FR73" s="237" t="s">
        <v>231</v>
      </c>
      <c r="FS73" s="237" t="s">
        <v>492</v>
      </c>
      <c r="FT73" s="237" t="s">
        <v>492</v>
      </c>
      <c r="FU73" s="237" t="s">
        <v>231</v>
      </c>
      <c r="FV73" s="237" t="s">
        <v>231</v>
      </c>
      <c r="FW73" s="237" t="s">
        <v>231</v>
      </c>
      <c r="FX73" s="237" t="s">
        <v>492</v>
      </c>
      <c r="FY73" s="237" t="s">
        <v>231</v>
      </c>
      <c r="FZ73" s="237" t="s">
        <v>231</v>
      </c>
      <c r="GA73" s="237" t="s">
        <v>231</v>
      </c>
      <c r="GB73" s="237" t="s">
        <v>231</v>
      </c>
      <c r="GC73" s="237" t="s">
        <v>231</v>
      </c>
      <c r="GD73" s="237" t="s">
        <v>231</v>
      </c>
      <c r="GE73" s="237" t="s">
        <v>231</v>
      </c>
      <c r="GF73" s="237" t="s">
        <v>231</v>
      </c>
      <c r="GG73" s="237" t="s">
        <v>231</v>
      </c>
      <c r="GH73" s="237" t="s">
        <v>231</v>
      </c>
      <c r="GI73" s="237" t="s">
        <v>231</v>
      </c>
      <c r="GJ73" s="237" t="s">
        <v>231</v>
      </c>
      <c r="GK73" s="237" t="s">
        <v>231</v>
      </c>
      <c r="GL73" s="237" t="s">
        <v>231</v>
      </c>
      <c r="GM73" s="237" t="s">
        <v>231</v>
      </c>
      <c r="GN73" s="237" t="s">
        <v>231</v>
      </c>
      <c r="GO73" s="237" t="s">
        <v>231</v>
      </c>
      <c r="GP73" s="237" t="s">
        <v>492</v>
      </c>
      <c r="GQ73" s="237" t="s">
        <v>231</v>
      </c>
      <c r="GR73" s="237" t="s">
        <v>231</v>
      </c>
      <c r="GS73" s="237" t="s">
        <v>231</v>
      </c>
      <c r="GT73" s="237" t="s">
        <v>231</v>
      </c>
      <c r="GU73" s="237" t="s">
        <v>231</v>
      </c>
      <c r="GV73" s="237" t="s">
        <v>492</v>
      </c>
      <c r="GW73" s="237" t="s">
        <v>231</v>
      </c>
      <c r="GX73" s="237" t="s">
        <v>231</v>
      </c>
      <c r="GY73" s="237" t="s">
        <v>492</v>
      </c>
      <c r="GZ73" s="237" t="s">
        <v>492</v>
      </c>
      <c r="HA73" s="237" t="s">
        <v>231</v>
      </c>
      <c r="HB73" s="237" t="s">
        <v>231</v>
      </c>
      <c r="HC73" s="237" t="s">
        <v>231</v>
      </c>
      <c r="HD73" s="237" t="s">
        <v>231</v>
      </c>
      <c r="HE73" s="237" t="s">
        <v>231</v>
      </c>
      <c r="HF73" s="237" t="s">
        <v>492</v>
      </c>
      <c r="HG73" s="237" t="s">
        <v>231</v>
      </c>
      <c r="HH73" s="237" t="s">
        <v>231</v>
      </c>
      <c r="HI73" s="237" t="s">
        <v>231</v>
      </c>
      <c r="HJ73" s="237" t="s">
        <v>231</v>
      </c>
      <c r="HK73" s="237" t="s">
        <v>231</v>
      </c>
      <c r="HL73" s="237" t="s">
        <v>231</v>
      </c>
      <c r="HM73" s="237" t="s">
        <v>231</v>
      </c>
      <c r="HN73" s="237" t="s">
        <v>231</v>
      </c>
      <c r="HO73" s="237" t="s">
        <v>231</v>
      </c>
      <c r="HP73" s="237" t="s">
        <v>231</v>
      </c>
      <c r="HQ73" s="237" t="s">
        <v>492</v>
      </c>
      <c r="HR73" s="237" t="s">
        <v>492</v>
      </c>
      <c r="HS73" s="237" t="s">
        <v>492</v>
      </c>
      <c r="HT73" s="237" t="s">
        <v>492</v>
      </c>
      <c r="HU73" s="237" t="s">
        <v>231</v>
      </c>
      <c r="HV73" s="237" t="s">
        <v>231</v>
      </c>
      <c r="HW73" s="237" t="s">
        <v>231</v>
      </c>
      <c r="HX73" s="237" t="s">
        <v>231</v>
      </c>
      <c r="HY73" s="237" t="s">
        <v>231</v>
      </c>
      <c r="HZ73" s="237" t="s">
        <v>231</v>
      </c>
      <c r="IA73" s="237" t="s">
        <v>231</v>
      </c>
      <c r="IB73" s="237" t="s">
        <v>231</v>
      </c>
      <c r="IC73" s="237" t="s">
        <v>231</v>
      </c>
      <c r="ID73" s="237" t="s">
        <v>231</v>
      </c>
      <c r="IE73" s="237" t="s">
        <v>231</v>
      </c>
      <c r="IF73" s="237" t="s">
        <v>231</v>
      </c>
      <c r="IG73" s="237" t="s">
        <v>231</v>
      </c>
      <c r="IH73" s="237" t="s">
        <v>231</v>
      </c>
      <c r="II73" s="237" t="s">
        <v>231</v>
      </c>
      <c r="IJ73" s="237" t="s">
        <v>231</v>
      </c>
      <c r="IK73" s="237" t="s">
        <v>231</v>
      </c>
      <c r="IL73" s="237" t="s">
        <v>231</v>
      </c>
      <c r="IM73" s="237" t="s">
        <v>231</v>
      </c>
      <c r="IN73" s="237" t="s">
        <v>231</v>
      </c>
      <c r="IO73" s="237" t="s">
        <v>220</v>
      </c>
      <c r="IP73" s="237" t="s">
        <v>493</v>
      </c>
      <c r="IQ73" s="237" t="s">
        <v>219</v>
      </c>
      <c r="IR73" s="237" t="s">
        <v>490</v>
      </c>
      <c r="IS73" s="237" t="s">
        <v>231</v>
      </c>
      <c r="IT73" s="237" t="s">
        <v>231</v>
      </c>
    </row>
    <row r="74" spans="1:254" ht="15" x14ac:dyDescent="0.25">
      <c r="A74" s="259" t="str">
        <f>HYPERLINK("http://www.ofsted.gov.uk/inspection-reports/find-inspection-report/provider/ELS/131810 ","Ofsted School Webpage")</f>
        <v>Ofsted School Webpage</v>
      </c>
      <c r="B74" s="240">
        <v>131810</v>
      </c>
      <c r="C74" s="240">
        <v>8866085</v>
      </c>
      <c r="D74" s="240" t="s">
        <v>693</v>
      </c>
      <c r="E74" s="240" t="s">
        <v>248</v>
      </c>
      <c r="F74" s="240" t="s">
        <v>501</v>
      </c>
      <c r="G74" s="240" t="s">
        <v>581</v>
      </c>
      <c r="H74" s="240" t="s">
        <v>581</v>
      </c>
      <c r="I74" s="240" t="s">
        <v>694</v>
      </c>
      <c r="J74" s="240" t="s">
        <v>695</v>
      </c>
      <c r="K74" s="240" t="s">
        <v>93</v>
      </c>
      <c r="L74" s="240" t="s">
        <v>93</v>
      </c>
      <c r="M74" s="240" t="s">
        <v>93</v>
      </c>
      <c r="N74" s="240" t="s">
        <v>90</v>
      </c>
      <c r="O74" s="240" t="s">
        <v>486</v>
      </c>
      <c r="P74" s="240" t="s">
        <v>487</v>
      </c>
      <c r="Q74" s="241">
        <v>10054078</v>
      </c>
      <c r="R74" s="242">
        <v>43410</v>
      </c>
      <c r="S74" s="242">
        <v>43412</v>
      </c>
      <c r="T74" s="242">
        <v>43444</v>
      </c>
      <c r="U74" s="240" t="s">
        <v>2930</v>
      </c>
      <c r="V74" s="240" t="s">
        <v>489</v>
      </c>
      <c r="W74" s="240">
        <v>2</v>
      </c>
      <c r="X74" s="240">
        <v>2</v>
      </c>
      <c r="Y74" s="240">
        <v>1</v>
      </c>
      <c r="Z74" s="240">
        <v>2</v>
      </c>
      <c r="AA74" s="240">
        <v>2</v>
      </c>
      <c r="AB74" s="240" t="s">
        <v>486</v>
      </c>
      <c r="AC74" s="240" t="s">
        <v>486</v>
      </c>
      <c r="AD74" s="240" t="s">
        <v>219</v>
      </c>
      <c r="AE74" s="240" t="s">
        <v>490</v>
      </c>
      <c r="AF74" s="240" t="s">
        <v>486</v>
      </c>
      <c r="AG74" s="240" t="s">
        <v>486</v>
      </c>
      <c r="AH74" s="240" t="s">
        <v>486</v>
      </c>
      <c r="AI74" s="240" t="s">
        <v>486</v>
      </c>
      <c r="AJ74" s="240" t="s">
        <v>486</v>
      </c>
      <c r="AK74" s="240" t="s">
        <v>486</v>
      </c>
      <c r="AL74" s="240" t="s">
        <v>486</v>
      </c>
      <c r="AM74" s="240" t="s">
        <v>491</v>
      </c>
      <c r="AN74" s="240" t="s">
        <v>231</v>
      </c>
      <c r="AO74" s="240" t="s">
        <v>231</v>
      </c>
      <c r="AP74" s="240" t="s">
        <v>231</v>
      </c>
      <c r="AQ74" s="240" t="s">
        <v>231</v>
      </c>
      <c r="AR74" s="240" t="s">
        <v>231</v>
      </c>
      <c r="AS74" s="240" t="s">
        <v>231</v>
      </c>
      <c r="AT74" s="240" t="s">
        <v>231</v>
      </c>
      <c r="AU74" s="240" t="s">
        <v>231</v>
      </c>
      <c r="AV74" s="240" t="s">
        <v>231</v>
      </c>
      <c r="AW74" s="240" t="s">
        <v>231</v>
      </c>
      <c r="AX74" s="240" t="s">
        <v>231</v>
      </c>
      <c r="AY74" s="240" t="s">
        <v>231</v>
      </c>
      <c r="AZ74" s="240" t="s">
        <v>231</v>
      </c>
      <c r="BA74" s="240" t="s">
        <v>231</v>
      </c>
      <c r="BB74" s="240" t="s">
        <v>231</v>
      </c>
      <c r="BC74" s="240" t="s">
        <v>231</v>
      </c>
      <c r="BD74" s="240" t="s">
        <v>492</v>
      </c>
      <c r="BE74" s="240" t="s">
        <v>231</v>
      </c>
      <c r="BF74" s="240" t="s">
        <v>231</v>
      </c>
      <c r="BG74" s="240" t="s">
        <v>231</v>
      </c>
      <c r="BH74" s="240" t="s">
        <v>231</v>
      </c>
      <c r="BI74" s="240" t="s">
        <v>231</v>
      </c>
      <c r="BJ74" s="240" t="s">
        <v>231</v>
      </c>
      <c r="BK74" s="240" t="s">
        <v>231</v>
      </c>
      <c r="BL74" s="240" t="s">
        <v>492</v>
      </c>
      <c r="BM74" s="240" t="s">
        <v>492</v>
      </c>
      <c r="BN74" s="240" t="s">
        <v>231</v>
      </c>
      <c r="BO74" s="240" t="s">
        <v>231</v>
      </c>
      <c r="BP74" s="240" t="s">
        <v>231</v>
      </c>
      <c r="BQ74" s="240" t="s">
        <v>231</v>
      </c>
      <c r="BR74" s="240" t="s">
        <v>231</v>
      </c>
      <c r="BS74" s="240" t="s">
        <v>231</v>
      </c>
      <c r="BT74" s="240" t="s">
        <v>231</v>
      </c>
      <c r="BU74" s="240" t="s">
        <v>231</v>
      </c>
      <c r="BV74" s="240" t="s">
        <v>231</v>
      </c>
      <c r="BW74" s="240" t="s">
        <v>231</v>
      </c>
      <c r="BX74" s="240" t="s">
        <v>231</v>
      </c>
      <c r="BY74" s="240" t="s">
        <v>231</v>
      </c>
      <c r="BZ74" s="240" t="s">
        <v>231</v>
      </c>
      <c r="CA74" s="240" t="s">
        <v>231</v>
      </c>
      <c r="CB74" s="240" t="s">
        <v>486</v>
      </c>
      <c r="CC74" s="240" t="s">
        <v>231</v>
      </c>
      <c r="CD74" s="240" t="s">
        <v>231</v>
      </c>
      <c r="CE74" s="240" t="s">
        <v>231</v>
      </c>
      <c r="CF74" s="240" t="s">
        <v>231</v>
      </c>
      <c r="CG74" s="240" t="s">
        <v>231</v>
      </c>
      <c r="CH74" s="240" t="s">
        <v>231</v>
      </c>
      <c r="CI74" s="240" t="s">
        <v>231</v>
      </c>
      <c r="CJ74" s="240" t="s">
        <v>231</v>
      </c>
      <c r="CK74" s="240" t="s">
        <v>231</v>
      </c>
      <c r="CL74" s="240" t="s">
        <v>231</v>
      </c>
      <c r="CM74" s="240" t="s">
        <v>231</v>
      </c>
      <c r="CN74" s="240" t="s">
        <v>231</v>
      </c>
      <c r="CO74" s="240" t="s">
        <v>231</v>
      </c>
      <c r="CP74" s="240" t="s">
        <v>231</v>
      </c>
      <c r="CQ74" s="240" t="s">
        <v>231</v>
      </c>
      <c r="CR74" s="240" t="s">
        <v>231</v>
      </c>
      <c r="CS74" s="240" t="s">
        <v>231</v>
      </c>
      <c r="CT74" s="240" t="s">
        <v>231</v>
      </c>
      <c r="CU74" s="240" t="s">
        <v>231</v>
      </c>
      <c r="CV74" s="240" t="s">
        <v>492</v>
      </c>
      <c r="CW74" s="240" t="s">
        <v>231</v>
      </c>
      <c r="CX74" s="240" t="s">
        <v>231</v>
      </c>
      <c r="CY74" s="240" t="s">
        <v>231</v>
      </c>
      <c r="CZ74" s="240" t="s">
        <v>231</v>
      </c>
      <c r="DA74" s="240" t="s">
        <v>231</v>
      </c>
      <c r="DB74" s="240" t="s">
        <v>231</v>
      </c>
      <c r="DC74" s="240" t="s">
        <v>231</v>
      </c>
      <c r="DD74" s="240" t="s">
        <v>231</v>
      </c>
      <c r="DE74" s="240" t="s">
        <v>231</v>
      </c>
      <c r="DF74" s="240" t="s">
        <v>231</v>
      </c>
      <c r="DG74" s="240" t="s">
        <v>231</v>
      </c>
      <c r="DH74" s="240" t="s">
        <v>231</v>
      </c>
      <c r="DI74" s="240" t="s">
        <v>231</v>
      </c>
      <c r="DJ74" s="240" t="s">
        <v>231</v>
      </c>
      <c r="DK74" s="240" t="s">
        <v>231</v>
      </c>
      <c r="DL74" s="240" t="s">
        <v>231</v>
      </c>
      <c r="DM74" s="240" t="s">
        <v>231</v>
      </c>
      <c r="DN74" s="240" t="s">
        <v>231</v>
      </c>
      <c r="DO74" s="240" t="s">
        <v>231</v>
      </c>
      <c r="DP74" s="240" t="s">
        <v>231</v>
      </c>
      <c r="DQ74" s="240" t="s">
        <v>231</v>
      </c>
      <c r="DR74" s="240" t="s">
        <v>231</v>
      </c>
      <c r="DS74" s="240" t="s">
        <v>231</v>
      </c>
      <c r="DT74" s="240" t="s">
        <v>492</v>
      </c>
      <c r="DU74" s="240" t="s">
        <v>231</v>
      </c>
      <c r="DV74" s="240" t="s">
        <v>231</v>
      </c>
      <c r="DW74" s="240" t="s">
        <v>231</v>
      </c>
      <c r="DX74" s="240" t="s">
        <v>231</v>
      </c>
      <c r="DY74" s="240" t="s">
        <v>231</v>
      </c>
      <c r="DZ74" s="240" t="s">
        <v>231</v>
      </c>
      <c r="EA74" s="240" t="s">
        <v>231</v>
      </c>
      <c r="EB74" s="240" t="s">
        <v>231</v>
      </c>
      <c r="EC74" s="240" t="s">
        <v>231</v>
      </c>
      <c r="ED74" s="240" t="s">
        <v>231</v>
      </c>
      <c r="EE74" s="240" t="s">
        <v>231</v>
      </c>
      <c r="EF74" s="240" t="s">
        <v>231</v>
      </c>
      <c r="EG74" s="240" t="s">
        <v>231</v>
      </c>
      <c r="EH74" s="240" t="s">
        <v>231</v>
      </c>
      <c r="EI74" s="240" t="s">
        <v>231</v>
      </c>
      <c r="EJ74" s="240" t="s">
        <v>231</v>
      </c>
      <c r="EK74" s="240" t="s">
        <v>231</v>
      </c>
      <c r="EL74" s="240" t="s">
        <v>231</v>
      </c>
      <c r="EM74" s="240" t="s">
        <v>231</v>
      </c>
      <c r="EN74" s="240" t="s">
        <v>231</v>
      </c>
      <c r="EO74" s="240" t="s">
        <v>231</v>
      </c>
      <c r="EP74" s="240" t="s">
        <v>231</v>
      </c>
      <c r="EQ74" s="240" t="s">
        <v>231</v>
      </c>
      <c r="ER74" s="240" t="s">
        <v>231</v>
      </c>
      <c r="ES74" s="240" t="s">
        <v>231</v>
      </c>
      <c r="ET74" s="240" t="s">
        <v>231</v>
      </c>
      <c r="EU74" s="240" t="s">
        <v>231</v>
      </c>
      <c r="EV74" s="240" t="s">
        <v>231</v>
      </c>
      <c r="EW74" s="240" t="s">
        <v>231</v>
      </c>
      <c r="EX74" s="240" t="s">
        <v>231</v>
      </c>
      <c r="EY74" s="240" t="s">
        <v>231</v>
      </c>
      <c r="EZ74" s="240" t="s">
        <v>231</v>
      </c>
      <c r="FA74" s="240" t="s">
        <v>231</v>
      </c>
      <c r="FB74" s="240" t="s">
        <v>231</v>
      </c>
      <c r="FC74" s="240" t="s">
        <v>231</v>
      </c>
      <c r="FD74" s="240" t="s">
        <v>231</v>
      </c>
      <c r="FE74" s="240" t="s">
        <v>231</v>
      </c>
      <c r="FF74" s="240" t="s">
        <v>231</v>
      </c>
      <c r="FG74" s="240" t="s">
        <v>231</v>
      </c>
      <c r="FH74" s="240" t="s">
        <v>231</v>
      </c>
      <c r="FI74" s="240" t="s">
        <v>231</v>
      </c>
      <c r="FJ74" s="240" t="s">
        <v>231</v>
      </c>
      <c r="FK74" s="240" t="s">
        <v>231</v>
      </c>
      <c r="FL74" s="240" t="s">
        <v>231</v>
      </c>
      <c r="FM74" s="240" t="s">
        <v>231</v>
      </c>
      <c r="FN74" s="240" t="s">
        <v>231</v>
      </c>
      <c r="FO74" s="240" t="s">
        <v>231</v>
      </c>
      <c r="FP74" s="240" t="s">
        <v>231</v>
      </c>
      <c r="FQ74" s="240" t="s">
        <v>231</v>
      </c>
      <c r="FR74" s="240" t="s">
        <v>231</v>
      </c>
      <c r="FS74" s="240" t="s">
        <v>231</v>
      </c>
      <c r="FT74" s="240" t="s">
        <v>231</v>
      </c>
      <c r="FU74" s="240" t="s">
        <v>231</v>
      </c>
      <c r="FV74" s="240" t="s">
        <v>231</v>
      </c>
      <c r="FW74" s="240" t="s">
        <v>231</v>
      </c>
      <c r="FX74" s="240" t="s">
        <v>231</v>
      </c>
      <c r="FY74" s="240" t="s">
        <v>231</v>
      </c>
      <c r="FZ74" s="240" t="s">
        <v>231</v>
      </c>
      <c r="GA74" s="240" t="s">
        <v>231</v>
      </c>
      <c r="GB74" s="240" t="s">
        <v>231</v>
      </c>
      <c r="GC74" s="240" t="s">
        <v>231</v>
      </c>
      <c r="GD74" s="240" t="s">
        <v>231</v>
      </c>
      <c r="GE74" s="240" t="s">
        <v>231</v>
      </c>
      <c r="GF74" s="240" t="s">
        <v>486</v>
      </c>
      <c r="GG74" s="240" t="s">
        <v>231</v>
      </c>
      <c r="GH74" s="240" t="s">
        <v>231</v>
      </c>
      <c r="GI74" s="240" t="s">
        <v>231</v>
      </c>
      <c r="GJ74" s="240" t="s">
        <v>231</v>
      </c>
      <c r="GK74" s="240" t="s">
        <v>231</v>
      </c>
      <c r="GL74" s="240" t="s">
        <v>231</v>
      </c>
      <c r="GM74" s="240" t="s">
        <v>231</v>
      </c>
      <c r="GN74" s="240" t="s">
        <v>231</v>
      </c>
      <c r="GO74" s="240" t="s">
        <v>231</v>
      </c>
      <c r="GP74" s="240" t="s">
        <v>231</v>
      </c>
      <c r="GQ74" s="240" t="s">
        <v>231</v>
      </c>
      <c r="GR74" s="240" t="s">
        <v>231</v>
      </c>
      <c r="GS74" s="240" t="s">
        <v>231</v>
      </c>
      <c r="GT74" s="240" t="s">
        <v>231</v>
      </c>
      <c r="GU74" s="240" t="s">
        <v>231</v>
      </c>
      <c r="GV74" s="240" t="s">
        <v>231</v>
      </c>
      <c r="GW74" s="240" t="s">
        <v>231</v>
      </c>
      <c r="GX74" s="240" t="s">
        <v>231</v>
      </c>
      <c r="GY74" s="240" t="s">
        <v>231</v>
      </c>
      <c r="GZ74" s="240" t="s">
        <v>231</v>
      </c>
      <c r="HA74" s="240" t="s">
        <v>231</v>
      </c>
      <c r="HB74" s="240" t="s">
        <v>231</v>
      </c>
      <c r="HC74" s="240" t="s">
        <v>231</v>
      </c>
      <c r="HD74" s="240" t="s">
        <v>231</v>
      </c>
      <c r="HE74" s="240" t="s">
        <v>231</v>
      </c>
      <c r="HF74" s="240" t="s">
        <v>231</v>
      </c>
      <c r="HG74" s="240" t="s">
        <v>231</v>
      </c>
      <c r="HH74" s="240" t="s">
        <v>231</v>
      </c>
      <c r="HI74" s="240" t="s">
        <v>231</v>
      </c>
      <c r="HJ74" s="240" t="s">
        <v>231</v>
      </c>
      <c r="HK74" s="240" t="s">
        <v>231</v>
      </c>
      <c r="HL74" s="240" t="s">
        <v>231</v>
      </c>
      <c r="HM74" s="240" t="s">
        <v>231</v>
      </c>
      <c r="HN74" s="240" t="s">
        <v>231</v>
      </c>
      <c r="HO74" s="240" t="s">
        <v>231</v>
      </c>
      <c r="HP74" s="240" t="s">
        <v>231</v>
      </c>
      <c r="HQ74" s="240" t="s">
        <v>231</v>
      </c>
      <c r="HR74" s="240" t="s">
        <v>231</v>
      </c>
      <c r="HS74" s="240" t="s">
        <v>231</v>
      </c>
      <c r="HT74" s="240" t="s">
        <v>231</v>
      </c>
      <c r="HU74" s="240" t="s">
        <v>486</v>
      </c>
      <c r="HV74" s="240" t="s">
        <v>231</v>
      </c>
      <c r="HW74" s="240" t="s">
        <v>231</v>
      </c>
      <c r="HX74" s="240" t="s">
        <v>231</v>
      </c>
      <c r="HY74" s="240" t="s">
        <v>231</v>
      </c>
      <c r="HZ74" s="240" t="s">
        <v>231</v>
      </c>
      <c r="IA74" s="240" t="s">
        <v>231</v>
      </c>
      <c r="IB74" s="240" t="s">
        <v>231</v>
      </c>
      <c r="IC74" s="240" t="s">
        <v>231</v>
      </c>
      <c r="ID74" s="240" t="s">
        <v>231</v>
      </c>
      <c r="IE74" s="240" t="s">
        <v>231</v>
      </c>
      <c r="IF74" s="240" t="s">
        <v>231</v>
      </c>
      <c r="IG74" s="240" t="s">
        <v>231</v>
      </c>
      <c r="IH74" s="240" t="s">
        <v>231</v>
      </c>
      <c r="II74" s="240" t="s">
        <v>231</v>
      </c>
      <c r="IJ74" s="240" t="s">
        <v>231</v>
      </c>
      <c r="IK74" s="240" t="s">
        <v>231</v>
      </c>
      <c r="IL74" s="240" t="s">
        <v>231</v>
      </c>
      <c r="IM74" s="240" t="s">
        <v>231</v>
      </c>
      <c r="IN74" s="240" t="s">
        <v>231</v>
      </c>
      <c r="IO74" s="240" t="s">
        <v>220</v>
      </c>
      <c r="IP74" s="240" t="s">
        <v>493</v>
      </c>
      <c r="IQ74" s="240" t="s">
        <v>219</v>
      </c>
      <c r="IR74" s="240" t="s">
        <v>490</v>
      </c>
      <c r="IS74" s="240" t="s">
        <v>492</v>
      </c>
      <c r="IT74" s="240" t="s">
        <v>492</v>
      </c>
    </row>
    <row r="75" spans="1:254" ht="15" x14ac:dyDescent="0.25">
      <c r="A75" s="258" t="str">
        <f>HYPERLINK("http://www.ofsted.gov.uk/inspection-reports/find-inspection-report/provider/ELS/131567 ","Ofsted School Webpage")</f>
        <v>Ofsted School Webpage</v>
      </c>
      <c r="B75" s="237">
        <v>131567</v>
      </c>
      <c r="C75" s="237">
        <v>8866113</v>
      </c>
      <c r="D75" s="237" t="s">
        <v>696</v>
      </c>
      <c r="E75" s="237" t="s">
        <v>247</v>
      </c>
      <c r="F75" s="237" t="s">
        <v>482</v>
      </c>
      <c r="G75" s="237" t="s">
        <v>581</v>
      </c>
      <c r="H75" s="237" t="s">
        <v>581</v>
      </c>
      <c r="I75" s="237" t="s">
        <v>694</v>
      </c>
      <c r="J75" s="237" t="s">
        <v>697</v>
      </c>
      <c r="K75" s="237" t="s">
        <v>93</v>
      </c>
      <c r="L75" s="237" t="s">
        <v>71</v>
      </c>
      <c r="M75" s="237" t="s">
        <v>71</v>
      </c>
      <c r="N75" s="237" t="s">
        <v>71</v>
      </c>
      <c r="O75" s="237" t="s">
        <v>486</v>
      </c>
      <c r="P75" s="237" t="s">
        <v>487</v>
      </c>
      <c r="Q75" s="238">
        <v>10052089</v>
      </c>
      <c r="R75" s="239">
        <v>43410</v>
      </c>
      <c r="S75" s="239">
        <v>43412</v>
      </c>
      <c r="T75" s="239">
        <v>43450</v>
      </c>
      <c r="U75" s="237" t="s">
        <v>488</v>
      </c>
      <c r="V75" s="237" t="s">
        <v>489</v>
      </c>
      <c r="W75" s="237">
        <v>4</v>
      </c>
      <c r="X75" s="237">
        <v>4</v>
      </c>
      <c r="Y75" s="237">
        <v>4</v>
      </c>
      <c r="Z75" s="237">
        <v>1</v>
      </c>
      <c r="AA75" s="237">
        <v>1</v>
      </c>
      <c r="AB75" s="237">
        <v>4</v>
      </c>
      <c r="AC75" s="237" t="s">
        <v>486</v>
      </c>
      <c r="AD75" s="237" t="s">
        <v>220</v>
      </c>
      <c r="AE75" s="237" t="s">
        <v>490</v>
      </c>
      <c r="AF75" s="237" t="s">
        <v>486</v>
      </c>
      <c r="AG75" s="237" t="s">
        <v>486</v>
      </c>
      <c r="AH75" s="237" t="s">
        <v>486</v>
      </c>
      <c r="AI75" s="237" t="s">
        <v>486</v>
      </c>
      <c r="AJ75" s="237" t="s">
        <v>486</v>
      </c>
      <c r="AK75" s="237" t="s">
        <v>486</v>
      </c>
      <c r="AL75" s="237" t="s">
        <v>486</v>
      </c>
      <c r="AM75" s="237" t="s">
        <v>545</v>
      </c>
      <c r="AN75" s="237" t="s">
        <v>231</v>
      </c>
      <c r="AO75" s="237" t="s">
        <v>231</v>
      </c>
      <c r="AP75" s="237" t="s">
        <v>546</v>
      </c>
      <c r="AQ75" s="237" t="s">
        <v>546</v>
      </c>
      <c r="AR75" s="237" t="s">
        <v>546</v>
      </c>
      <c r="AS75" s="237" t="s">
        <v>546</v>
      </c>
      <c r="AT75" s="237" t="s">
        <v>231</v>
      </c>
      <c r="AU75" s="237" t="s">
        <v>546</v>
      </c>
      <c r="AV75" s="237" t="s">
        <v>231</v>
      </c>
      <c r="AW75" s="237" t="s">
        <v>231</v>
      </c>
      <c r="AX75" s="237" t="s">
        <v>231</v>
      </c>
      <c r="AY75" s="237" t="s">
        <v>231</v>
      </c>
      <c r="AZ75" s="237" t="s">
        <v>231</v>
      </c>
      <c r="BA75" s="237" t="s">
        <v>231</v>
      </c>
      <c r="BB75" s="237" t="s">
        <v>231</v>
      </c>
      <c r="BC75" s="237" t="s">
        <v>231</v>
      </c>
      <c r="BD75" s="237" t="s">
        <v>492</v>
      </c>
      <c r="BE75" s="237" t="s">
        <v>231</v>
      </c>
      <c r="BF75" s="237" t="s">
        <v>231</v>
      </c>
      <c r="BG75" s="237" t="s">
        <v>231</v>
      </c>
      <c r="BH75" s="237" t="s">
        <v>492</v>
      </c>
      <c r="BI75" s="237" t="s">
        <v>492</v>
      </c>
      <c r="BJ75" s="237" t="s">
        <v>492</v>
      </c>
      <c r="BK75" s="237" t="s">
        <v>492</v>
      </c>
      <c r="BL75" s="237" t="s">
        <v>231</v>
      </c>
      <c r="BM75" s="237" t="s">
        <v>231</v>
      </c>
      <c r="BN75" s="237" t="s">
        <v>231</v>
      </c>
      <c r="BO75" s="237" t="s">
        <v>231</v>
      </c>
      <c r="BP75" s="237" t="s">
        <v>231</v>
      </c>
      <c r="BQ75" s="237" t="s">
        <v>231</v>
      </c>
      <c r="BR75" s="237" t="s">
        <v>231</v>
      </c>
      <c r="BS75" s="237" t="s">
        <v>231</v>
      </c>
      <c r="BT75" s="237" t="s">
        <v>231</v>
      </c>
      <c r="BU75" s="237" t="s">
        <v>231</v>
      </c>
      <c r="BV75" s="237" t="s">
        <v>231</v>
      </c>
      <c r="BW75" s="237" t="s">
        <v>231</v>
      </c>
      <c r="BX75" s="237" t="s">
        <v>231</v>
      </c>
      <c r="BY75" s="237" t="s">
        <v>231</v>
      </c>
      <c r="BZ75" s="237" t="s">
        <v>231</v>
      </c>
      <c r="CA75" s="237" t="s">
        <v>231</v>
      </c>
      <c r="CB75" s="237" t="s">
        <v>231</v>
      </c>
      <c r="CC75" s="237" t="s">
        <v>231</v>
      </c>
      <c r="CD75" s="237" t="s">
        <v>231</v>
      </c>
      <c r="CE75" s="237" t="s">
        <v>231</v>
      </c>
      <c r="CF75" s="237" t="s">
        <v>231</v>
      </c>
      <c r="CG75" s="237" t="s">
        <v>231</v>
      </c>
      <c r="CH75" s="237" t="s">
        <v>231</v>
      </c>
      <c r="CI75" s="237" t="s">
        <v>231</v>
      </c>
      <c r="CJ75" s="237" t="s">
        <v>231</v>
      </c>
      <c r="CK75" s="237" t="s">
        <v>231</v>
      </c>
      <c r="CL75" s="237" t="s">
        <v>231</v>
      </c>
      <c r="CM75" s="237" t="s">
        <v>231</v>
      </c>
      <c r="CN75" s="237" t="s">
        <v>231</v>
      </c>
      <c r="CO75" s="237" t="s">
        <v>231</v>
      </c>
      <c r="CP75" s="237" t="s">
        <v>231</v>
      </c>
      <c r="CQ75" s="237" t="s">
        <v>232</v>
      </c>
      <c r="CR75" s="237" t="s">
        <v>232</v>
      </c>
      <c r="CS75" s="237" t="s">
        <v>232</v>
      </c>
      <c r="CT75" s="237" t="s">
        <v>492</v>
      </c>
      <c r="CU75" s="237" t="s">
        <v>492</v>
      </c>
      <c r="CV75" s="237" t="s">
        <v>492</v>
      </c>
      <c r="CW75" s="237" t="s">
        <v>231</v>
      </c>
      <c r="CX75" s="237" t="s">
        <v>231</v>
      </c>
      <c r="CY75" s="237" t="s">
        <v>231</v>
      </c>
      <c r="CZ75" s="237" t="s">
        <v>231</v>
      </c>
      <c r="DA75" s="237" t="s">
        <v>231</v>
      </c>
      <c r="DB75" s="237" t="s">
        <v>232</v>
      </c>
      <c r="DC75" s="237" t="s">
        <v>232</v>
      </c>
      <c r="DD75" s="237" t="s">
        <v>232</v>
      </c>
      <c r="DE75" s="237" t="s">
        <v>231</v>
      </c>
      <c r="DF75" s="237" t="s">
        <v>231</v>
      </c>
      <c r="DG75" s="237" t="s">
        <v>232</v>
      </c>
      <c r="DH75" s="237" t="s">
        <v>232</v>
      </c>
      <c r="DI75" s="237" t="s">
        <v>232</v>
      </c>
      <c r="DJ75" s="237" t="s">
        <v>232</v>
      </c>
      <c r="DK75" s="237" t="s">
        <v>232</v>
      </c>
      <c r="DL75" s="237" t="s">
        <v>232</v>
      </c>
      <c r="DM75" s="237" t="s">
        <v>232</v>
      </c>
      <c r="DN75" s="237" t="s">
        <v>232</v>
      </c>
      <c r="DO75" s="237" t="s">
        <v>232</v>
      </c>
      <c r="DP75" s="237" t="s">
        <v>232</v>
      </c>
      <c r="DQ75" s="237" t="s">
        <v>232</v>
      </c>
      <c r="DR75" s="237" t="s">
        <v>232</v>
      </c>
      <c r="DS75" s="237" t="s">
        <v>232</v>
      </c>
      <c r="DT75" s="237" t="s">
        <v>492</v>
      </c>
      <c r="DU75" s="237" t="s">
        <v>232</v>
      </c>
      <c r="DV75" s="237" t="s">
        <v>492</v>
      </c>
      <c r="DW75" s="237" t="s">
        <v>492</v>
      </c>
      <c r="DX75" s="237" t="s">
        <v>492</v>
      </c>
      <c r="DY75" s="237" t="s">
        <v>492</v>
      </c>
      <c r="DZ75" s="237" t="s">
        <v>492</v>
      </c>
      <c r="EA75" s="237" t="s">
        <v>492</v>
      </c>
      <c r="EB75" s="237" t="s">
        <v>492</v>
      </c>
      <c r="EC75" s="237" t="s">
        <v>492</v>
      </c>
      <c r="ED75" s="237" t="s">
        <v>492</v>
      </c>
      <c r="EE75" s="237" t="s">
        <v>492</v>
      </c>
      <c r="EF75" s="237" t="s">
        <v>492</v>
      </c>
      <c r="EG75" s="237" t="s">
        <v>492</v>
      </c>
      <c r="EH75" s="237" t="s">
        <v>492</v>
      </c>
      <c r="EI75" s="237" t="s">
        <v>232</v>
      </c>
      <c r="EJ75" s="237" t="s">
        <v>492</v>
      </c>
      <c r="EK75" s="237" t="s">
        <v>492</v>
      </c>
      <c r="EL75" s="237" t="s">
        <v>492</v>
      </c>
      <c r="EM75" s="237" t="s">
        <v>492</v>
      </c>
      <c r="EN75" s="237" t="s">
        <v>492</v>
      </c>
      <c r="EO75" s="237" t="s">
        <v>492</v>
      </c>
      <c r="EP75" s="237" t="s">
        <v>492</v>
      </c>
      <c r="EQ75" s="237" t="s">
        <v>492</v>
      </c>
      <c r="ER75" s="237" t="s">
        <v>492</v>
      </c>
      <c r="ES75" s="237" t="s">
        <v>232</v>
      </c>
      <c r="ET75" s="237" t="s">
        <v>232</v>
      </c>
      <c r="EU75" s="237" t="s">
        <v>232</v>
      </c>
      <c r="EV75" s="237" t="s">
        <v>232</v>
      </c>
      <c r="EW75" s="237" t="s">
        <v>232</v>
      </c>
      <c r="EX75" s="237" t="s">
        <v>232</v>
      </c>
      <c r="EY75" s="237" t="s">
        <v>232</v>
      </c>
      <c r="EZ75" s="237" t="s">
        <v>232</v>
      </c>
      <c r="FA75" s="237" t="s">
        <v>232</v>
      </c>
      <c r="FB75" s="237" t="s">
        <v>232</v>
      </c>
      <c r="FC75" s="237" t="s">
        <v>232</v>
      </c>
      <c r="FD75" s="237" t="s">
        <v>232</v>
      </c>
      <c r="FE75" s="237" t="s">
        <v>232</v>
      </c>
      <c r="FF75" s="237" t="s">
        <v>232</v>
      </c>
      <c r="FG75" s="237" t="s">
        <v>492</v>
      </c>
      <c r="FH75" s="237" t="s">
        <v>492</v>
      </c>
      <c r="FI75" s="237" t="s">
        <v>492</v>
      </c>
      <c r="FJ75" s="237" t="s">
        <v>492</v>
      </c>
      <c r="FK75" s="237" t="s">
        <v>492</v>
      </c>
      <c r="FL75" s="237" t="s">
        <v>492</v>
      </c>
      <c r="FM75" s="237" t="s">
        <v>492</v>
      </c>
      <c r="FN75" s="237" t="s">
        <v>492</v>
      </c>
      <c r="FO75" s="237" t="s">
        <v>493</v>
      </c>
      <c r="FP75" s="237" t="s">
        <v>492</v>
      </c>
      <c r="FQ75" s="237" t="s">
        <v>231</v>
      </c>
      <c r="FR75" s="237" t="s">
        <v>231</v>
      </c>
      <c r="FS75" s="237" t="s">
        <v>231</v>
      </c>
      <c r="FT75" s="237" t="s">
        <v>492</v>
      </c>
      <c r="FU75" s="237" t="s">
        <v>232</v>
      </c>
      <c r="FV75" s="237" t="s">
        <v>232</v>
      </c>
      <c r="FW75" s="237" t="s">
        <v>232</v>
      </c>
      <c r="FX75" s="237" t="s">
        <v>492</v>
      </c>
      <c r="FY75" s="237" t="s">
        <v>232</v>
      </c>
      <c r="FZ75" s="237" t="s">
        <v>231</v>
      </c>
      <c r="GA75" s="237" t="s">
        <v>231</v>
      </c>
      <c r="GB75" s="237" t="s">
        <v>231</v>
      </c>
      <c r="GC75" s="237" t="s">
        <v>231</v>
      </c>
      <c r="GD75" s="237" t="s">
        <v>231</v>
      </c>
      <c r="GE75" s="237" t="s">
        <v>232</v>
      </c>
      <c r="GF75" s="237" t="s">
        <v>231</v>
      </c>
      <c r="GG75" s="237" t="s">
        <v>231</v>
      </c>
      <c r="GH75" s="237" t="s">
        <v>231</v>
      </c>
      <c r="GI75" s="237" t="s">
        <v>232</v>
      </c>
      <c r="GJ75" s="237" t="s">
        <v>231</v>
      </c>
      <c r="GK75" s="237" t="s">
        <v>231</v>
      </c>
      <c r="GL75" s="237" t="s">
        <v>231</v>
      </c>
      <c r="GM75" s="237" t="s">
        <v>231</v>
      </c>
      <c r="GN75" s="237" t="s">
        <v>231</v>
      </c>
      <c r="GO75" s="237" t="s">
        <v>231</v>
      </c>
      <c r="GP75" s="237" t="s">
        <v>492</v>
      </c>
      <c r="GQ75" s="237" t="s">
        <v>232</v>
      </c>
      <c r="GR75" s="237" t="s">
        <v>231</v>
      </c>
      <c r="GS75" s="237" t="s">
        <v>231</v>
      </c>
      <c r="GT75" s="237" t="s">
        <v>232</v>
      </c>
      <c r="GU75" s="237" t="s">
        <v>231</v>
      </c>
      <c r="GV75" s="237" t="s">
        <v>492</v>
      </c>
      <c r="GW75" s="237" t="s">
        <v>231</v>
      </c>
      <c r="GX75" s="237" t="s">
        <v>231</v>
      </c>
      <c r="GY75" s="237" t="s">
        <v>492</v>
      </c>
      <c r="GZ75" s="237" t="s">
        <v>492</v>
      </c>
      <c r="HA75" s="237" t="s">
        <v>231</v>
      </c>
      <c r="HB75" s="237" t="s">
        <v>231</v>
      </c>
      <c r="HC75" s="237" t="s">
        <v>231</v>
      </c>
      <c r="HD75" s="237" t="s">
        <v>231</v>
      </c>
      <c r="HE75" s="237" t="s">
        <v>231</v>
      </c>
      <c r="HF75" s="237" t="s">
        <v>492</v>
      </c>
      <c r="HG75" s="237" t="s">
        <v>492</v>
      </c>
      <c r="HH75" s="237" t="s">
        <v>231</v>
      </c>
      <c r="HI75" s="237" t="s">
        <v>231</v>
      </c>
      <c r="HJ75" s="237" t="s">
        <v>231</v>
      </c>
      <c r="HK75" s="237" t="s">
        <v>492</v>
      </c>
      <c r="HL75" s="237" t="s">
        <v>231</v>
      </c>
      <c r="HM75" s="237" t="s">
        <v>231</v>
      </c>
      <c r="HN75" s="237" t="s">
        <v>492</v>
      </c>
      <c r="HO75" s="237" t="s">
        <v>231</v>
      </c>
      <c r="HP75" s="237" t="s">
        <v>231</v>
      </c>
      <c r="HQ75" s="237" t="s">
        <v>231</v>
      </c>
      <c r="HR75" s="237" t="s">
        <v>231</v>
      </c>
      <c r="HS75" s="237" t="s">
        <v>231</v>
      </c>
      <c r="HT75" s="237" t="s">
        <v>231</v>
      </c>
      <c r="HU75" s="237" t="s">
        <v>231</v>
      </c>
      <c r="HV75" s="237" t="s">
        <v>231</v>
      </c>
      <c r="HW75" s="237" t="s">
        <v>231</v>
      </c>
      <c r="HX75" s="237" t="s">
        <v>231</v>
      </c>
      <c r="HY75" s="237" t="s">
        <v>231</v>
      </c>
      <c r="HZ75" s="237" t="s">
        <v>231</v>
      </c>
      <c r="IA75" s="237" t="s">
        <v>231</v>
      </c>
      <c r="IB75" s="237" t="s">
        <v>231</v>
      </c>
      <c r="IC75" s="237" t="s">
        <v>231</v>
      </c>
      <c r="ID75" s="237" t="s">
        <v>231</v>
      </c>
      <c r="IE75" s="237" t="s">
        <v>231</v>
      </c>
      <c r="IF75" s="237" t="s">
        <v>231</v>
      </c>
      <c r="IG75" s="237" t="s">
        <v>231</v>
      </c>
      <c r="IH75" s="237" t="s">
        <v>231</v>
      </c>
      <c r="II75" s="237" t="s">
        <v>231</v>
      </c>
      <c r="IJ75" s="237" t="s">
        <v>231</v>
      </c>
      <c r="IK75" s="237" t="s">
        <v>232</v>
      </c>
      <c r="IL75" s="237" t="s">
        <v>232</v>
      </c>
      <c r="IM75" s="237" t="s">
        <v>232</v>
      </c>
      <c r="IN75" s="237" t="s">
        <v>232</v>
      </c>
      <c r="IO75" s="237" t="s">
        <v>220</v>
      </c>
      <c r="IP75" s="237" t="s">
        <v>493</v>
      </c>
      <c r="IQ75" s="237" t="s">
        <v>219</v>
      </c>
      <c r="IR75" s="237" t="s">
        <v>490</v>
      </c>
      <c r="IS75" s="237" t="s">
        <v>232</v>
      </c>
      <c r="IT75" s="237" t="s">
        <v>231</v>
      </c>
    </row>
    <row r="76" spans="1:254" ht="15" x14ac:dyDescent="0.25">
      <c r="A76" s="259" t="str">
        <f>HYPERLINK("http://www.ofsted.gov.uk/inspection-reports/find-inspection-report/provider/ELS/145563 ","Ofsted School Webpage")</f>
        <v>Ofsted School Webpage</v>
      </c>
      <c r="B76" s="240">
        <v>145563</v>
      </c>
      <c r="C76" s="240">
        <v>3326009</v>
      </c>
      <c r="D76" s="240" t="s">
        <v>698</v>
      </c>
      <c r="E76" s="240" t="s">
        <v>248</v>
      </c>
      <c r="F76" s="240" t="s">
        <v>501</v>
      </c>
      <c r="G76" s="240" t="s">
        <v>502</v>
      </c>
      <c r="H76" s="240" t="s">
        <v>502</v>
      </c>
      <c r="I76" s="240" t="s">
        <v>699</v>
      </c>
      <c r="J76" s="240" t="s">
        <v>700</v>
      </c>
      <c r="K76" s="240" t="s">
        <v>93</v>
      </c>
      <c r="L76" s="240" t="s">
        <v>93</v>
      </c>
      <c r="M76" s="240" t="s">
        <v>93</v>
      </c>
      <c r="N76" s="240" t="s">
        <v>90</v>
      </c>
      <c r="O76" s="240" t="s">
        <v>486</v>
      </c>
      <c r="P76" s="240" t="s">
        <v>487</v>
      </c>
      <c r="Q76" s="241">
        <v>10056212</v>
      </c>
      <c r="R76" s="242">
        <v>43410</v>
      </c>
      <c r="S76" s="242">
        <v>43412</v>
      </c>
      <c r="T76" s="242">
        <v>43445</v>
      </c>
      <c r="U76" s="240" t="s">
        <v>499</v>
      </c>
      <c r="V76" s="240" t="s">
        <v>489</v>
      </c>
      <c r="W76" s="240">
        <v>2</v>
      </c>
      <c r="X76" s="240">
        <v>2</v>
      </c>
      <c r="Y76" s="240">
        <v>1</v>
      </c>
      <c r="Z76" s="240">
        <v>2</v>
      </c>
      <c r="AA76" s="240">
        <v>2</v>
      </c>
      <c r="AB76" s="240" t="s">
        <v>486</v>
      </c>
      <c r="AC76" s="240">
        <v>0</v>
      </c>
      <c r="AD76" s="240" t="s">
        <v>219</v>
      </c>
      <c r="AE76" s="240" t="s">
        <v>512</v>
      </c>
      <c r="AF76" s="240" t="s">
        <v>490</v>
      </c>
      <c r="AG76" s="240" t="s">
        <v>486</v>
      </c>
      <c r="AH76" s="240" t="s">
        <v>486</v>
      </c>
      <c r="AI76" s="240" t="s">
        <v>486</v>
      </c>
      <c r="AJ76" s="240" t="s">
        <v>486</v>
      </c>
      <c r="AK76" s="240" t="s">
        <v>486</v>
      </c>
      <c r="AL76" s="240" t="s">
        <v>486</v>
      </c>
      <c r="AM76" s="240" t="s">
        <v>491</v>
      </c>
      <c r="AN76" s="240" t="s">
        <v>231</v>
      </c>
      <c r="AO76" s="240" t="s">
        <v>231</v>
      </c>
      <c r="AP76" s="240" t="s">
        <v>231</v>
      </c>
      <c r="AQ76" s="240" t="s">
        <v>231</v>
      </c>
      <c r="AR76" s="240" t="s">
        <v>231</v>
      </c>
      <c r="AS76" s="240" t="s">
        <v>231</v>
      </c>
      <c r="AT76" s="240" t="s">
        <v>231</v>
      </c>
      <c r="AU76" s="240" t="s">
        <v>231</v>
      </c>
      <c r="AV76" s="240" t="s">
        <v>231</v>
      </c>
      <c r="AW76" s="240" t="s">
        <v>231</v>
      </c>
      <c r="AX76" s="240" t="s">
        <v>231</v>
      </c>
      <c r="AY76" s="240" t="s">
        <v>231</v>
      </c>
      <c r="AZ76" s="240" t="s">
        <v>231</v>
      </c>
      <c r="BA76" s="240" t="s">
        <v>231</v>
      </c>
      <c r="BB76" s="240" t="s">
        <v>231</v>
      </c>
      <c r="BC76" s="240" t="s">
        <v>231</v>
      </c>
      <c r="BD76" s="240" t="s">
        <v>492</v>
      </c>
      <c r="BE76" s="240" t="s">
        <v>231</v>
      </c>
      <c r="BF76" s="240" t="s">
        <v>231</v>
      </c>
      <c r="BG76" s="240" t="s">
        <v>231</v>
      </c>
      <c r="BH76" s="240" t="s">
        <v>231</v>
      </c>
      <c r="BI76" s="240" t="s">
        <v>231</v>
      </c>
      <c r="BJ76" s="240" t="s">
        <v>231</v>
      </c>
      <c r="BK76" s="240" t="s">
        <v>231</v>
      </c>
      <c r="BL76" s="240" t="s">
        <v>492</v>
      </c>
      <c r="BM76" s="240" t="s">
        <v>231</v>
      </c>
      <c r="BN76" s="240" t="s">
        <v>231</v>
      </c>
      <c r="BO76" s="240" t="s">
        <v>231</v>
      </c>
      <c r="BP76" s="240" t="s">
        <v>231</v>
      </c>
      <c r="BQ76" s="240" t="s">
        <v>231</v>
      </c>
      <c r="BR76" s="240" t="s">
        <v>231</v>
      </c>
      <c r="BS76" s="240" t="s">
        <v>231</v>
      </c>
      <c r="BT76" s="240" t="s">
        <v>231</v>
      </c>
      <c r="BU76" s="240" t="s">
        <v>231</v>
      </c>
      <c r="BV76" s="240" t="s">
        <v>231</v>
      </c>
      <c r="BW76" s="240" t="s">
        <v>231</v>
      </c>
      <c r="BX76" s="240" t="s">
        <v>231</v>
      </c>
      <c r="BY76" s="240" t="s">
        <v>231</v>
      </c>
      <c r="BZ76" s="240" t="s">
        <v>231</v>
      </c>
      <c r="CA76" s="240" t="s">
        <v>231</v>
      </c>
      <c r="CB76" s="240" t="s">
        <v>231</v>
      </c>
      <c r="CC76" s="240" t="s">
        <v>231</v>
      </c>
      <c r="CD76" s="240" t="s">
        <v>231</v>
      </c>
      <c r="CE76" s="240" t="s">
        <v>231</v>
      </c>
      <c r="CF76" s="240" t="s">
        <v>231</v>
      </c>
      <c r="CG76" s="240" t="s">
        <v>231</v>
      </c>
      <c r="CH76" s="240" t="s">
        <v>231</v>
      </c>
      <c r="CI76" s="240" t="s">
        <v>231</v>
      </c>
      <c r="CJ76" s="240" t="s">
        <v>231</v>
      </c>
      <c r="CK76" s="240" t="s">
        <v>231</v>
      </c>
      <c r="CL76" s="240" t="s">
        <v>231</v>
      </c>
      <c r="CM76" s="240" t="s">
        <v>231</v>
      </c>
      <c r="CN76" s="240" t="s">
        <v>231</v>
      </c>
      <c r="CO76" s="240" t="s">
        <v>231</v>
      </c>
      <c r="CP76" s="240" t="s">
        <v>231</v>
      </c>
      <c r="CQ76" s="240" t="s">
        <v>231</v>
      </c>
      <c r="CR76" s="240" t="s">
        <v>231</v>
      </c>
      <c r="CS76" s="240" t="s">
        <v>231</v>
      </c>
      <c r="CT76" s="240" t="s">
        <v>492</v>
      </c>
      <c r="CU76" s="240" t="s">
        <v>492</v>
      </c>
      <c r="CV76" s="240" t="s">
        <v>492</v>
      </c>
      <c r="CW76" s="240" t="s">
        <v>231</v>
      </c>
      <c r="CX76" s="240" t="s">
        <v>231</v>
      </c>
      <c r="CY76" s="240" t="s">
        <v>231</v>
      </c>
      <c r="CZ76" s="240" t="s">
        <v>231</v>
      </c>
      <c r="DA76" s="240" t="s">
        <v>231</v>
      </c>
      <c r="DB76" s="240" t="s">
        <v>231</v>
      </c>
      <c r="DC76" s="240" t="s">
        <v>231</v>
      </c>
      <c r="DD76" s="240" t="s">
        <v>231</v>
      </c>
      <c r="DE76" s="240" t="s">
        <v>231</v>
      </c>
      <c r="DF76" s="240" t="s">
        <v>231</v>
      </c>
      <c r="DG76" s="240" t="s">
        <v>231</v>
      </c>
      <c r="DH76" s="240" t="s">
        <v>231</v>
      </c>
      <c r="DI76" s="240" t="s">
        <v>231</v>
      </c>
      <c r="DJ76" s="240" t="s">
        <v>231</v>
      </c>
      <c r="DK76" s="240" t="s">
        <v>231</v>
      </c>
      <c r="DL76" s="240" t="s">
        <v>231</v>
      </c>
      <c r="DM76" s="240" t="s">
        <v>231</v>
      </c>
      <c r="DN76" s="240" t="s">
        <v>231</v>
      </c>
      <c r="DO76" s="240" t="s">
        <v>231</v>
      </c>
      <c r="DP76" s="240" t="s">
        <v>231</v>
      </c>
      <c r="DQ76" s="240" t="s">
        <v>231</v>
      </c>
      <c r="DR76" s="240" t="s">
        <v>231</v>
      </c>
      <c r="DS76" s="240" t="s">
        <v>231</v>
      </c>
      <c r="DT76" s="240" t="s">
        <v>492</v>
      </c>
      <c r="DU76" s="240" t="s">
        <v>492</v>
      </c>
      <c r="DV76" s="240" t="s">
        <v>231</v>
      </c>
      <c r="DW76" s="240" t="s">
        <v>231</v>
      </c>
      <c r="DX76" s="240" t="s">
        <v>231</v>
      </c>
      <c r="DY76" s="240" t="s">
        <v>231</v>
      </c>
      <c r="DZ76" s="240" t="s">
        <v>231</v>
      </c>
      <c r="EA76" s="240" t="s">
        <v>231</v>
      </c>
      <c r="EB76" s="240" t="s">
        <v>231</v>
      </c>
      <c r="EC76" s="240" t="s">
        <v>231</v>
      </c>
      <c r="ED76" s="240" t="s">
        <v>231</v>
      </c>
      <c r="EE76" s="240" t="s">
        <v>231</v>
      </c>
      <c r="EF76" s="240" t="s">
        <v>231</v>
      </c>
      <c r="EG76" s="240" t="s">
        <v>231</v>
      </c>
      <c r="EH76" s="240" t="s">
        <v>492</v>
      </c>
      <c r="EI76" s="240" t="s">
        <v>231</v>
      </c>
      <c r="EJ76" s="240" t="s">
        <v>231</v>
      </c>
      <c r="EK76" s="240" t="s">
        <v>231</v>
      </c>
      <c r="EL76" s="240" t="s">
        <v>231</v>
      </c>
      <c r="EM76" s="240" t="s">
        <v>231</v>
      </c>
      <c r="EN76" s="240" t="s">
        <v>231</v>
      </c>
      <c r="EO76" s="240" t="s">
        <v>231</v>
      </c>
      <c r="EP76" s="240" t="s">
        <v>231</v>
      </c>
      <c r="EQ76" s="240" t="s">
        <v>231</v>
      </c>
      <c r="ER76" s="240" t="s">
        <v>231</v>
      </c>
      <c r="ES76" s="240" t="s">
        <v>231</v>
      </c>
      <c r="ET76" s="240" t="s">
        <v>231</v>
      </c>
      <c r="EU76" s="240" t="s">
        <v>231</v>
      </c>
      <c r="EV76" s="240" t="s">
        <v>231</v>
      </c>
      <c r="EW76" s="240" t="s">
        <v>231</v>
      </c>
      <c r="EX76" s="240" t="s">
        <v>231</v>
      </c>
      <c r="EY76" s="240" t="s">
        <v>231</v>
      </c>
      <c r="EZ76" s="240" t="s">
        <v>231</v>
      </c>
      <c r="FA76" s="240" t="s">
        <v>231</v>
      </c>
      <c r="FB76" s="240" t="s">
        <v>231</v>
      </c>
      <c r="FC76" s="240" t="s">
        <v>231</v>
      </c>
      <c r="FD76" s="240" t="s">
        <v>231</v>
      </c>
      <c r="FE76" s="240" t="s">
        <v>231</v>
      </c>
      <c r="FF76" s="240" t="s">
        <v>231</v>
      </c>
      <c r="FG76" s="240" t="s">
        <v>231</v>
      </c>
      <c r="FH76" s="240" t="s">
        <v>231</v>
      </c>
      <c r="FI76" s="240" t="s">
        <v>231</v>
      </c>
      <c r="FJ76" s="240" t="s">
        <v>231</v>
      </c>
      <c r="FK76" s="240" t="s">
        <v>231</v>
      </c>
      <c r="FL76" s="240" t="s">
        <v>231</v>
      </c>
      <c r="FM76" s="240" t="s">
        <v>231</v>
      </c>
      <c r="FN76" s="240" t="s">
        <v>231</v>
      </c>
      <c r="FO76" s="240" t="s">
        <v>231</v>
      </c>
      <c r="FP76" s="240" t="s">
        <v>231</v>
      </c>
      <c r="FQ76" s="240" t="s">
        <v>231</v>
      </c>
      <c r="FR76" s="240" t="s">
        <v>231</v>
      </c>
      <c r="FS76" s="240" t="s">
        <v>231</v>
      </c>
      <c r="FT76" s="240" t="s">
        <v>231</v>
      </c>
      <c r="FU76" s="240" t="s">
        <v>231</v>
      </c>
      <c r="FV76" s="240" t="s">
        <v>231</v>
      </c>
      <c r="FW76" s="240" t="s">
        <v>231</v>
      </c>
      <c r="FX76" s="240" t="s">
        <v>492</v>
      </c>
      <c r="FY76" s="240" t="s">
        <v>231</v>
      </c>
      <c r="FZ76" s="240" t="s">
        <v>231</v>
      </c>
      <c r="GA76" s="240" t="s">
        <v>231</v>
      </c>
      <c r="GB76" s="240" t="s">
        <v>231</v>
      </c>
      <c r="GC76" s="240" t="s">
        <v>231</v>
      </c>
      <c r="GD76" s="240" t="s">
        <v>231</v>
      </c>
      <c r="GE76" s="240" t="s">
        <v>231</v>
      </c>
      <c r="GF76" s="240" t="s">
        <v>231</v>
      </c>
      <c r="GG76" s="240" t="s">
        <v>231</v>
      </c>
      <c r="GH76" s="240" t="s">
        <v>231</v>
      </c>
      <c r="GI76" s="240" t="s">
        <v>231</v>
      </c>
      <c r="GJ76" s="240" t="s">
        <v>231</v>
      </c>
      <c r="GK76" s="240" t="s">
        <v>231</v>
      </c>
      <c r="GL76" s="240" t="s">
        <v>231</v>
      </c>
      <c r="GM76" s="240" t="s">
        <v>231</v>
      </c>
      <c r="GN76" s="240" t="s">
        <v>231</v>
      </c>
      <c r="GO76" s="240" t="s">
        <v>231</v>
      </c>
      <c r="GP76" s="240" t="s">
        <v>492</v>
      </c>
      <c r="GQ76" s="240" t="s">
        <v>231</v>
      </c>
      <c r="GR76" s="240" t="s">
        <v>231</v>
      </c>
      <c r="GS76" s="240" t="s">
        <v>231</v>
      </c>
      <c r="GT76" s="240" t="s">
        <v>231</v>
      </c>
      <c r="GU76" s="240" t="s">
        <v>231</v>
      </c>
      <c r="GV76" s="240" t="s">
        <v>231</v>
      </c>
      <c r="GW76" s="240" t="s">
        <v>231</v>
      </c>
      <c r="GX76" s="240" t="s">
        <v>231</v>
      </c>
      <c r="GY76" s="240" t="s">
        <v>231</v>
      </c>
      <c r="GZ76" s="240" t="s">
        <v>231</v>
      </c>
      <c r="HA76" s="240" t="s">
        <v>231</v>
      </c>
      <c r="HB76" s="240" t="s">
        <v>231</v>
      </c>
      <c r="HC76" s="240" t="s">
        <v>231</v>
      </c>
      <c r="HD76" s="240" t="s">
        <v>231</v>
      </c>
      <c r="HE76" s="240" t="s">
        <v>492</v>
      </c>
      <c r="HF76" s="240" t="s">
        <v>231</v>
      </c>
      <c r="HG76" s="240" t="s">
        <v>231</v>
      </c>
      <c r="HH76" s="240" t="s">
        <v>231</v>
      </c>
      <c r="HI76" s="240" t="s">
        <v>231</v>
      </c>
      <c r="HJ76" s="240" t="s">
        <v>231</v>
      </c>
      <c r="HK76" s="240" t="s">
        <v>231</v>
      </c>
      <c r="HL76" s="240" t="s">
        <v>231</v>
      </c>
      <c r="HM76" s="240" t="s">
        <v>231</v>
      </c>
      <c r="HN76" s="240" t="s">
        <v>492</v>
      </c>
      <c r="HO76" s="240" t="s">
        <v>231</v>
      </c>
      <c r="HP76" s="240" t="s">
        <v>231</v>
      </c>
      <c r="HQ76" s="240" t="s">
        <v>492</v>
      </c>
      <c r="HR76" s="240" t="s">
        <v>492</v>
      </c>
      <c r="HS76" s="240" t="s">
        <v>492</v>
      </c>
      <c r="HT76" s="240" t="s">
        <v>492</v>
      </c>
      <c r="HU76" s="240" t="s">
        <v>231</v>
      </c>
      <c r="HV76" s="240" t="s">
        <v>231</v>
      </c>
      <c r="HW76" s="240" t="s">
        <v>231</v>
      </c>
      <c r="HX76" s="240" t="s">
        <v>231</v>
      </c>
      <c r="HY76" s="240" t="s">
        <v>231</v>
      </c>
      <c r="HZ76" s="240" t="s">
        <v>231</v>
      </c>
      <c r="IA76" s="240" t="s">
        <v>231</v>
      </c>
      <c r="IB76" s="240" t="s">
        <v>231</v>
      </c>
      <c r="IC76" s="240" t="s">
        <v>231</v>
      </c>
      <c r="ID76" s="240" t="s">
        <v>231</v>
      </c>
      <c r="IE76" s="240" t="s">
        <v>231</v>
      </c>
      <c r="IF76" s="240" t="s">
        <v>231</v>
      </c>
      <c r="IG76" s="240" t="s">
        <v>231</v>
      </c>
      <c r="IH76" s="240" t="s">
        <v>231</v>
      </c>
      <c r="II76" s="240" t="s">
        <v>231</v>
      </c>
      <c r="IJ76" s="240" t="s">
        <v>231</v>
      </c>
      <c r="IK76" s="240" t="s">
        <v>231</v>
      </c>
      <c r="IL76" s="240" t="s">
        <v>231</v>
      </c>
      <c r="IM76" s="240" t="s">
        <v>231</v>
      </c>
      <c r="IN76" s="240" t="s">
        <v>231</v>
      </c>
      <c r="IO76" s="240" t="s">
        <v>220</v>
      </c>
      <c r="IP76" s="240" t="s">
        <v>493</v>
      </c>
      <c r="IQ76" s="240" t="s">
        <v>219</v>
      </c>
      <c r="IR76" s="240" t="s">
        <v>490</v>
      </c>
      <c r="IS76" s="240" t="s">
        <v>492</v>
      </c>
      <c r="IT76" s="240" t="s">
        <v>492</v>
      </c>
    </row>
    <row r="77" spans="1:254" ht="15" x14ac:dyDescent="0.25">
      <c r="A77" s="258" t="str">
        <f>HYPERLINK("http://www.ofsted.gov.uk/inspection-reports/find-inspection-report/provider/ELS/142068 ","Ofsted School Webpage")</f>
        <v>Ofsted School Webpage</v>
      </c>
      <c r="B77" s="237">
        <v>142068</v>
      </c>
      <c r="C77" s="237">
        <v>3836003</v>
      </c>
      <c r="D77" s="237" t="s">
        <v>701</v>
      </c>
      <c r="E77" s="237" t="s">
        <v>248</v>
      </c>
      <c r="F77" s="237" t="s">
        <v>501</v>
      </c>
      <c r="G77" s="237" t="s">
        <v>523</v>
      </c>
      <c r="H77" s="237" t="s">
        <v>524</v>
      </c>
      <c r="I77" s="237" t="s">
        <v>702</v>
      </c>
      <c r="J77" s="237" t="s">
        <v>703</v>
      </c>
      <c r="K77" s="237" t="s">
        <v>93</v>
      </c>
      <c r="L77" s="237" t="s">
        <v>93</v>
      </c>
      <c r="M77" s="237" t="s">
        <v>93</v>
      </c>
      <c r="N77" s="237" t="s">
        <v>90</v>
      </c>
      <c r="O77" s="237" t="s">
        <v>486</v>
      </c>
      <c r="P77" s="237" t="s">
        <v>487</v>
      </c>
      <c r="Q77" s="238">
        <v>10055382</v>
      </c>
      <c r="R77" s="239">
        <v>43411</v>
      </c>
      <c r="S77" s="239">
        <v>43412</v>
      </c>
      <c r="T77" s="239">
        <v>43438</v>
      </c>
      <c r="U77" s="237" t="s">
        <v>2930</v>
      </c>
      <c r="V77" s="237" t="s">
        <v>489</v>
      </c>
      <c r="W77" s="237">
        <v>1</v>
      </c>
      <c r="X77" s="237">
        <v>1</v>
      </c>
      <c r="Y77" s="237">
        <v>1</v>
      </c>
      <c r="Z77" s="237">
        <v>1</v>
      </c>
      <c r="AA77" s="237">
        <v>1</v>
      </c>
      <c r="AB77" s="237" t="s">
        <v>486</v>
      </c>
      <c r="AC77" s="237" t="s">
        <v>486</v>
      </c>
      <c r="AD77" s="237" t="s">
        <v>219</v>
      </c>
      <c r="AE77" s="237" t="s">
        <v>490</v>
      </c>
      <c r="AF77" s="237" t="s">
        <v>486</v>
      </c>
      <c r="AG77" s="237" t="s">
        <v>486</v>
      </c>
      <c r="AH77" s="237" t="s">
        <v>486</v>
      </c>
      <c r="AI77" s="237" t="s">
        <v>486</v>
      </c>
      <c r="AJ77" s="237" t="s">
        <v>486</v>
      </c>
      <c r="AK77" s="237" t="s">
        <v>486</v>
      </c>
      <c r="AL77" s="237" t="s">
        <v>486</v>
      </c>
      <c r="AM77" s="237" t="s">
        <v>491</v>
      </c>
      <c r="AN77" s="237" t="s">
        <v>231</v>
      </c>
      <c r="AO77" s="237" t="s">
        <v>231</v>
      </c>
      <c r="AP77" s="237" t="s">
        <v>231</v>
      </c>
      <c r="AQ77" s="237" t="s">
        <v>231</v>
      </c>
      <c r="AR77" s="237" t="s">
        <v>231</v>
      </c>
      <c r="AS77" s="237" t="s">
        <v>231</v>
      </c>
      <c r="AT77" s="237" t="s">
        <v>231</v>
      </c>
      <c r="AU77" s="237" t="s">
        <v>231</v>
      </c>
      <c r="AV77" s="237" t="s">
        <v>231</v>
      </c>
      <c r="AW77" s="237" t="s">
        <v>231</v>
      </c>
      <c r="AX77" s="237" t="s">
        <v>231</v>
      </c>
      <c r="AY77" s="237" t="s">
        <v>231</v>
      </c>
      <c r="AZ77" s="237" t="s">
        <v>231</v>
      </c>
      <c r="BA77" s="237" t="s">
        <v>231</v>
      </c>
      <c r="BB77" s="237" t="s">
        <v>231</v>
      </c>
      <c r="BC77" s="237" t="s">
        <v>231</v>
      </c>
      <c r="BD77" s="237" t="s">
        <v>492</v>
      </c>
      <c r="BE77" s="237" t="s">
        <v>231</v>
      </c>
      <c r="BF77" s="237" t="s">
        <v>231</v>
      </c>
      <c r="BG77" s="237" t="s">
        <v>231</v>
      </c>
      <c r="BH77" s="237" t="s">
        <v>492</v>
      </c>
      <c r="BI77" s="237" t="s">
        <v>492</v>
      </c>
      <c r="BJ77" s="237" t="s">
        <v>492</v>
      </c>
      <c r="BK77" s="237" t="s">
        <v>492</v>
      </c>
      <c r="BL77" s="237" t="s">
        <v>492</v>
      </c>
      <c r="BM77" s="237" t="s">
        <v>492</v>
      </c>
      <c r="BN77" s="237" t="s">
        <v>231</v>
      </c>
      <c r="BO77" s="237" t="s">
        <v>231</v>
      </c>
      <c r="BP77" s="237" t="s">
        <v>231</v>
      </c>
      <c r="BQ77" s="237" t="s">
        <v>231</v>
      </c>
      <c r="BR77" s="237" t="s">
        <v>231</v>
      </c>
      <c r="BS77" s="237" t="s">
        <v>231</v>
      </c>
      <c r="BT77" s="237" t="s">
        <v>231</v>
      </c>
      <c r="BU77" s="237" t="s">
        <v>231</v>
      </c>
      <c r="BV77" s="237" t="s">
        <v>231</v>
      </c>
      <c r="BW77" s="237" t="s">
        <v>231</v>
      </c>
      <c r="BX77" s="237" t="s">
        <v>231</v>
      </c>
      <c r="BY77" s="237" t="s">
        <v>231</v>
      </c>
      <c r="BZ77" s="237" t="s">
        <v>231</v>
      </c>
      <c r="CA77" s="237" t="s">
        <v>231</v>
      </c>
      <c r="CB77" s="237" t="s">
        <v>231</v>
      </c>
      <c r="CC77" s="237" t="s">
        <v>231</v>
      </c>
      <c r="CD77" s="237" t="s">
        <v>231</v>
      </c>
      <c r="CE77" s="237" t="s">
        <v>231</v>
      </c>
      <c r="CF77" s="237" t="s">
        <v>231</v>
      </c>
      <c r="CG77" s="237" t="s">
        <v>231</v>
      </c>
      <c r="CH77" s="237" t="s">
        <v>231</v>
      </c>
      <c r="CI77" s="237" t="s">
        <v>231</v>
      </c>
      <c r="CJ77" s="237" t="s">
        <v>231</v>
      </c>
      <c r="CK77" s="237" t="s">
        <v>231</v>
      </c>
      <c r="CL77" s="237" t="s">
        <v>231</v>
      </c>
      <c r="CM77" s="237" t="s">
        <v>231</v>
      </c>
      <c r="CN77" s="237" t="s">
        <v>231</v>
      </c>
      <c r="CO77" s="237" t="s">
        <v>231</v>
      </c>
      <c r="CP77" s="237" t="s">
        <v>231</v>
      </c>
      <c r="CQ77" s="237" t="s">
        <v>231</v>
      </c>
      <c r="CR77" s="237" t="s">
        <v>231</v>
      </c>
      <c r="CS77" s="237" t="s">
        <v>231</v>
      </c>
      <c r="CT77" s="237" t="s">
        <v>492</v>
      </c>
      <c r="CU77" s="237" t="s">
        <v>492</v>
      </c>
      <c r="CV77" s="237" t="s">
        <v>492</v>
      </c>
      <c r="CW77" s="237" t="s">
        <v>231</v>
      </c>
      <c r="CX77" s="237" t="s">
        <v>231</v>
      </c>
      <c r="CY77" s="237" t="s">
        <v>231</v>
      </c>
      <c r="CZ77" s="237" t="s">
        <v>231</v>
      </c>
      <c r="DA77" s="237" t="s">
        <v>231</v>
      </c>
      <c r="DB77" s="237" t="s">
        <v>231</v>
      </c>
      <c r="DC77" s="237" t="s">
        <v>231</v>
      </c>
      <c r="DD77" s="237" t="s">
        <v>231</v>
      </c>
      <c r="DE77" s="237" t="s">
        <v>231</v>
      </c>
      <c r="DF77" s="237" t="s">
        <v>231</v>
      </c>
      <c r="DG77" s="237" t="s">
        <v>231</v>
      </c>
      <c r="DH77" s="237" t="s">
        <v>231</v>
      </c>
      <c r="DI77" s="237" t="s">
        <v>231</v>
      </c>
      <c r="DJ77" s="237" t="s">
        <v>231</v>
      </c>
      <c r="DK77" s="237" t="s">
        <v>231</v>
      </c>
      <c r="DL77" s="237" t="s">
        <v>231</v>
      </c>
      <c r="DM77" s="237" t="s">
        <v>231</v>
      </c>
      <c r="DN77" s="237" t="s">
        <v>231</v>
      </c>
      <c r="DO77" s="237" t="s">
        <v>231</v>
      </c>
      <c r="DP77" s="237" t="s">
        <v>231</v>
      </c>
      <c r="DQ77" s="237" t="s">
        <v>231</v>
      </c>
      <c r="DR77" s="237" t="s">
        <v>231</v>
      </c>
      <c r="DS77" s="237" t="s">
        <v>231</v>
      </c>
      <c r="DT77" s="237" t="s">
        <v>492</v>
      </c>
      <c r="DU77" s="237" t="s">
        <v>231</v>
      </c>
      <c r="DV77" s="237" t="s">
        <v>231</v>
      </c>
      <c r="DW77" s="237" t="s">
        <v>231</v>
      </c>
      <c r="DX77" s="237" t="s">
        <v>231</v>
      </c>
      <c r="DY77" s="237" t="s">
        <v>231</v>
      </c>
      <c r="DZ77" s="237" t="s">
        <v>231</v>
      </c>
      <c r="EA77" s="237" t="s">
        <v>231</v>
      </c>
      <c r="EB77" s="237" t="s">
        <v>231</v>
      </c>
      <c r="EC77" s="237" t="s">
        <v>231</v>
      </c>
      <c r="ED77" s="237" t="s">
        <v>231</v>
      </c>
      <c r="EE77" s="237" t="s">
        <v>231</v>
      </c>
      <c r="EF77" s="237" t="s">
        <v>231</v>
      </c>
      <c r="EG77" s="237" t="s">
        <v>231</v>
      </c>
      <c r="EH77" s="237" t="s">
        <v>492</v>
      </c>
      <c r="EI77" s="237" t="s">
        <v>231</v>
      </c>
      <c r="EJ77" s="237" t="s">
        <v>231</v>
      </c>
      <c r="EK77" s="237" t="s">
        <v>231</v>
      </c>
      <c r="EL77" s="237" t="s">
        <v>231</v>
      </c>
      <c r="EM77" s="237" t="s">
        <v>231</v>
      </c>
      <c r="EN77" s="237" t="s">
        <v>231</v>
      </c>
      <c r="EO77" s="237" t="s">
        <v>231</v>
      </c>
      <c r="EP77" s="237" t="s">
        <v>231</v>
      </c>
      <c r="EQ77" s="237" t="s">
        <v>492</v>
      </c>
      <c r="ER77" s="237" t="s">
        <v>231</v>
      </c>
      <c r="ES77" s="237" t="s">
        <v>231</v>
      </c>
      <c r="ET77" s="237" t="s">
        <v>231</v>
      </c>
      <c r="EU77" s="237" t="s">
        <v>231</v>
      </c>
      <c r="EV77" s="237" t="s">
        <v>231</v>
      </c>
      <c r="EW77" s="237" t="s">
        <v>231</v>
      </c>
      <c r="EX77" s="237" t="s">
        <v>231</v>
      </c>
      <c r="EY77" s="237" t="s">
        <v>231</v>
      </c>
      <c r="EZ77" s="237" t="s">
        <v>231</v>
      </c>
      <c r="FA77" s="237" t="s">
        <v>231</v>
      </c>
      <c r="FB77" s="237" t="s">
        <v>231</v>
      </c>
      <c r="FC77" s="237" t="s">
        <v>231</v>
      </c>
      <c r="FD77" s="237" t="s">
        <v>231</v>
      </c>
      <c r="FE77" s="237" t="s">
        <v>231</v>
      </c>
      <c r="FF77" s="237" t="s">
        <v>492</v>
      </c>
      <c r="FG77" s="237" t="s">
        <v>231</v>
      </c>
      <c r="FH77" s="237" t="s">
        <v>231</v>
      </c>
      <c r="FI77" s="237" t="s">
        <v>231</v>
      </c>
      <c r="FJ77" s="237" t="s">
        <v>231</v>
      </c>
      <c r="FK77" s="237" t="s">
        <v>231</v>
      </c>
      <c r="FL77" s="237" t="s">
        <v>231</v>
      </c>
      <c r="FM77" s="237" t="s">
        <v>231</v>
      </c>
      <c r="FN77" s="237" t="s">
        <v>231</v>
      </c>
      <c r="FO77" s="237" t="s">
        <v>231</v>
      </c>
      <c r="FP77" s="237" t="s">
        <v>231</v>
      </c>
      <c r="FQ77" s="237" t="s">
        <v>231</v>
      </c>
      <c r="FR77" s="237" t="s">
        <v>231</v>
      </c>
      <c r="FS77" s="237" t="s">
        <v>231</v>
      </c>
      <c r="FT77" s="237" t="s">
        <v>231</v>
      </c>
      <c r="FU77" s="237" t="s">
        <v>231</v>
      </c>
      <c r="FV77" s="237" t="s">
        <v>231</v>
      </c>
      <c r="FW77" s="237" t="s">
        <v>231</v>
      </c>
      <c r="FX77" s="237" t="s">
        <v>492</v>
      </c>
      <c r="FY77" s="237" t="s">
        <v>231</v>
      </c>
      <c r="FZ77" s="237" t="s">
        <v>231</v>
      </c>
      <c r="GA77" s="237" t="s">
        <v>231</v>
      </c>
      <c r="GB77" s="237" t="s">
        <v>231</v>
      </c>
      <c r="GC77" s="237" t="s">
        <v>231</v>
      </c>
      <c r="GD77" s="237" t="s">
        <v>231</v>
      </c>
      <c r="GE77" s="237" t="s">
        <v>231</v>
      </c>
      <c r="GF77" s="237" t="s">
        <v>231</v>
      </c>
      <c r="GG77" s="237" t="s">
        <v>231</v>
      </c>
      <c r="GH77" s="237" t="s">
        <v>231</v>
      </c>
      <c r="GI77" s="237" t="s">
        <v>231</v>
      </c>
      <c r="GJ77" s="237" t="s">
        <v>231</v>
      </c>
      <c r="GK77" s="237" t="s">
        <v>231</v>
      </c>
      <c r="GL77" s="237" t="s">
        <v>231</v>
      </c>
      <c r="GM77" s="237" t="s">
        <v>231</v>
      </c>
      <c r="GN77" s="237" t="s">
        <v>231</v>
      </c>
      <c r="GO77" s="237" t="s">
        <v>231</v>
      </c>
      <c r="GP77" s="237" t="s">
        <v>492</v>
      </c>
      <c r="GQ77" s="237" t="s">
        <v>231</v>
      </c>
      <c r="GR77" s="237" t="s">
        <v>231</v>
      </c>
      <c r="GS77" s="237" t="s">
        <v>231</v>
      </c>
      <c r="GT77" s="237" t="s">
        <v>231</v>
      </c>
      <c r="GU77" s="237" t="s">
        <v>231</v>
      </c>
      <c r="GV77" s="237" t="s">
        <v>492</v>
      </c>
      <c r="GW77" s="237" t="s">
        <v>231</v>
      </c>
      <c r="GX77" s="237" t="s">
        <v>231</v>
      </c>
      <c r="GY77" s="237" t="s">
        <v>231</v>
      </c>
      <c r="GZ77" s="237" t="s">
        <v>231</v>
      </c>
      <c r="HA77" s="237" t="s">
        <v>231</v>
      </c>
      <c r="HB77" s="237" t="s">
        <v>231</v>
      </c>
      <c r="HC77" s="237" t="s">
        <v>231</v>
      </c>
      <c r="HD77" s="237" t="s">
        <v>231</v>
      </c>
      <c r="HE77" s="237" t="s">
        <v>492</v>
      </c>
      <c r="HF77" s="237" t="s">
        <v>231</v>
      </c>
      <c r="HG77" s="237" t="s">
        <v>492</v>
      </c>
      <c r="HH77" s="237" t="s">
        <v>231</v>
      </c>
      <c r="HI77" s="237" t="s">
        <v>231</v>
      </c>
      <c r="HJ77" s="237" t="s">
        <v>231</v>
      </c>
      <c r="HK77" s="237" t="s">
        <v>231</v>
      </c>
      <c r="HL77" s="237" t="s">
        <v>231</v>
      </c>
      <c r="HM77" s="237" t="s">
        <v>231</v>
      </c>
      <c r="HN77" s="237" t="s">
        <v>231</v>
      </c>
      <c r="HO77" s="237" t="s">
        <v>231</v>
      </c>
      <c r="HP77" s="237" t="s">
        <v>231</v>
      </c>
      <c r="HQ77" s="237" t="s">
        <v>231</v>
      </c>
      <c r="HR77" s="237" t="s">
        <v>231</v>
      </c>
      <c r="HS77" s="237" t="s">
        <v>231</v>
      </c>
      <c r="HT77" s="237" t="s">
        <v>231</v>
      </c>
      <c r="HU77" s="237" t="s">
        <v>231</v>
      </c>
      <c r="HV77" s="237" t="s">
        <v>231</v>
      </c>
      <c r="HW77" s="237" t="s">
        <v>231</v>
      </c>
      <c r="HX77" s="237" t="s">
        <v>231</v>
      </c>
      <c r="HY77" s="237" t="s">
        <v>231</v>
      </c>
      <c r="HZ77" s="237" t="s">
        <v>231</v>
      </c>
      <c r="IA77" s="237" t="s">
        <v>231</v>
      </c>
      <c r="IB77" s="237" t="s">
        <v>231</v>
      </c>
      <c r="IC77" s="237" t="s">
        <v>231</v>
      </c>
      <c r="ID77" s="237" t="s">
        <v>231</v>
      </c>
      <c r="IE77" s="237" t="s">
        <v>231</v>
      </c>
      <c r="IF77" s="237" t="s">
        <v>231</v>
      </c>
      <c r="IG77" s="237" t="s">
        <v>231</v>
      </c>
      <c r="IH77" s="237" t="s">
        <v>231</v>
      </c>
      <c r="II77" s="237" t="s">
        <v>231</v>
      </c>
      <c r="IJ77" s="237" t="s">
        <v>231</v>
      </c>
      <c r="IK77" s="237" t="s">
        <v>231</v>
      </c>
      <c r="IL77" s="237" t="s">
        <v>231</v>
      </c>
      <c r="IM77" s="237" t="s">
        <v>231</v>
      </c>
      <c r="IN77" s="237" t="s">
        <v>231</v>
      </c>
      <c r="IO77" s="237" t="s">
        <v>220</v>
      </c>
      <c r="IP77" s="237" t="s">
        <v>493</v>
      </c>
      <c r="IQ77" s="237" t="s">
        <v>219</v>
      </c>
      <c r="IR77" s="237" t="s">
        <v>490</v>
      </c>
      <c r="IS77" s="237" t="s">
        <v>231</v>
      </c>
      <c r="IT77" s="237" t="s">
        <v>231</v>
      </c>
    </row>
    <row r="78" spans="1:254" ht="15" x14ac:dyDescent="0.25">
      <c r="A78" s="259" t="str">
        <f>HYPERLINK("http://www.ofsted.gov.uk/inspection-reports/find-inspection-report/provider/ELS/100293 ","Ofsted School Webpage")</f>
        <v>Ofsted School Webpage</v>
      </c>
      <c r="B78" s="240">
        <v>100293</v>
      </c>
      <c r="C78" s="240">
        <v>2046296</v>
      </c>
      <c r="D78" s="240" t="s">
        <v>704</v>
      </c>
      <c r="E78" s="240" t="s">
        <v>247</v>
      </c>
      <c r="F78" s="240" t="s">
        <v>482</v>
      </c>
      <c r="G78" s="240" t="s">
        <v>506</v>
      </c>
      <c r="H78" s="240" t="s">
        <v>506</v>
      </c>
      <c r="I78" s="240" t="s">
        <v>617</v>
      </c>
      <c r="J78" s="240" t="s">
        <v>705</v>
      </c>
      <c r="K78" s="240" t="s">
        <v>81</v>
      </c>
      <c r="L78" s="240" t="s">
        <v>81</v>
      </c>
      <c r="M78" s="240" t="s">
        <v>81</v>
      </c>
      <c r="N78" s="240" t="s">
        <v>81</v>
      </c>
      <c r="O78" s="240" t="s">
        <v>486</v>
      </c>
      <c r="P78" s="240" t="s">
        <v>487</v>
      </c>
      <c r="Q78" s="241">
        <v>10034880</v>
      </c>
      <c r="R78" s="242">
        <v>43410</v>
      </c>
      <c r="S78" s="242">
        <v>43412</v>
      </c>
      <c r="T78" s="242">
        <v>43446</v>
      </c>
      <c r="U78" s="240" t="s">
        <v>488</v>
      </c>
      <c r="V78" s="240" t="s">
        <v>489</v>
      </c>
      <c r="W78" s="240">
        <v>3</v>
      </c>
      <c r="X78" s="240">
        <v>3</v>
      </c>
      <c r="Y78" s="240">
        <v>2</v>
      </c>
      <c r="Z78" s="240">
        <v>3</v>
      </c>
      <c r="AA78" s="240">
        <v>3</v>
      </c>
      <c r="AB78" s="240">
        <v>3</v>
      </c>
      <c r="AC78" s="240">
        <v>4</v>
      </c>
      <c r="AD78" s="240" t="s">
        <v>219</v>
      </c>
      <c r="AE78" s="240" t="s">
        <v>512</v>
      </c>
      <c r="AF78" s="240" t="s">
        <v>486</v>
      </c>
      <c r="AG78" s="240" t="s">
        <v>486</v>
      </c>
      <c r="AH78" s="240" t="s">
        <v>486</v>
      </c>
      <c r="AI78" s="240" t="s">
        <v>490</v>
      </c>
      <c r="AJ78" s="240" t="s">
        <v>490</v>
      </c>
      <c r="AK78" s="240" t="s">
        <v>486</v>
      </c>
      <c r="AL78" s="240" t="s">
        <v>486</v>
      </c>
      <c r="AM78" s="240" t="s">
        <v>545</v>
      </c>
      <c r="AN78" s="240" t="s">
        <v>546</v>
      </c>
      <c r="AO78" s="240" t="s">
        <v>231</v>
      </c>
      <c r="AP78" s="240" t="s">
        <v>231</v>
      </c>
      <c r="AQ78" s="240" t="s">
        <v>231</v>
      </c>
      <c r="AR78" s="240" t="s">
        <v>231</v>
      </c>
      <c r="AS78" s="240" t="s">
        <v>231</v>
      </c>
      <c r="AT78" s="240" t="s">
        <v>231</v>
      </c>
      <c r="AU78" s="240" t="s">
        <v>546</v>
      </c>
      <c r="AV78" s="240" t="s">
        <v>231</v>
      </c>
      <c r="AW78" s="240" t="s">
        <v>231</v>
      </c>
      <c r="AX78" s="240" t="s">
        <v>231</v>
      </c>
      <c r="AY78" s="240" t="s">
        <v>231</v>
      </c>
      <c r="AZ78" s="240" t="s">
        <v>231</v>
      </c>
      <c r="BA78" s="240" t="s">
        <v>232</v>
      </c>
      <c r="BB78" s="240" t="s">
        <v>231</v>
      </c>
      <c r="BC78" s="240" t="s">
        <v>231</v>
      </c>
      <c r="BD78" s="240" t="s">
        <v>231</v>
      </c>
      <c r="BE78" s="240" t="s">
        <v>231</v>
      </c>
      <c r="BF78" s="240" t="s">
        <v>231</v>
      </c>
      <c r="BG78" s="240" t="s">
        <v>231</v>
      </c>
      <c r="BH78" s="240" t="s">
        <v>232</v>
      </c>
      <c r="BI78" s="240" t="s">
        <v>232</v>
      </c>
      <c r="BJ78" s="240" t="s">
        <v>232</v>
      </c>
      <c r="BK78" s="240" t="s">
        <v>232</v>
      </c>
      <c r="BL78" s="240" t="s">
        <v>231</v>
      </c>
      <c r="BM78" s="240" t="s">
        <v>232</v>
      </c>
      <c r="BN78" s="240" t="s">
        <v>231</v>
      </c>
      <c r="BO78" s="240" t="s">
        <v>231</v>
      </c>
      <c r="BP78" s="240" t="s">
        <v>232</v>
      </c>
      <c r="BQ78" s="240" t="s">
        <v>231</v>
      </c>
      <c r="BR78" s="240" t="s">
        <v>231</v>
      </c>
      <c r="BS78" s="240" t="s">
        <v>231</v>
      </c>
      <c r="BT78" s="240" t="s">
        <v>231</v>
      </c>
      <c r="BU78" s="240" t="s">
        <v>231</v>
      </c>
      <c r="BV78" s="240" t="s">
        <v>231</v>
      </c>
      <c r="BW78" s="240" t="s">
        <v>231</v>
      </c>
      <c r="BX78" s="240" t="s">
        <v>231</v>
      </c>
      <c r="BY78" s="240" t="s">
        <v>231</v>
      </c>
      <c r="BZ78" s="240" t="s">
        <v>232</v>
      </c>
      <c r="CA78" s="240" t="s">
        <v>231</v>
      </c>
      <c r="CB78" s="240" t="s">
        <v>231</v>
      </c>
      <c r="CC78" s="240" t="s">
        <v>231</v>
      </c>
      <c r="CD78" s="240" t="s">
        <v>231</v>
      </c>
      <c r="CE78" s="240" t="s">
        <v>231</v>
      </c>
      <c r="CF78" s="240" t="s">
        <v>231</v>
      </c>
      <c r="CG78" s="240" t="s">
        <v>231</v>
      </c>
      <c r="CH78" s="240" t="s">
        <v>231</v>
      </c>
      <c r="CI78" s="240" t="s">
        <v>231</v>
      </c>
      <c r="CJ78" s="240" t="s">
        <v>231</v>
      </c>
      <c r="CK78" s="240" t="s">
        <v>231</v>
      </c>
      <c r="CL78" s="240" t="s">
        <v>231</v>
      </c>
      <c r="CM78" s="240" t="s">
        <v>231</v>
      </c>
      <c r="CN78" s="240" t="s">
        <v>231</v>
      </c>
      <c r="CO78" s="240" t="s">
        <v>231</v>
      </c>
      <c r="CP78" s="240" t="s">
        <v>231</v>
      </c>
      <c r="CQ78" s="240" t="s">
        <v>231</v>
      </c>
      <c r="CR78" s="240" t="s">
        <v>231</v>
      </c>
      <c r="CS78" s="240" t="s">
        <v>231</v>
      </c>
      <c r="CT78" s="240" t="s">
        <v>492</v>
      </c>
      <c r="CU78" s="240" t="s">
        <v>492</v>
      </c>
      <c r="CV78" s="240" t="s">
        <v>492</v>
      </c>
      <c r="CW78" s="240" t="s">
        <v>231</v>
      </c>
      <c r="CX78" s="240" t="s">
        <v>231</v>
      </c>
      <c r="CY78" s="240" t="s">
        <v>231</v>
      </c>
      <c r="CZ78" s="240" t="s">
        <v>231</v>
      </c>
      <c r="DA78" s="240" t="s">
        <v>231</v>
      </c>
      <c r="DB78" s="240" t="s">
        <v>231</v>
      </c>
      <c r="DC78" s="240" t="s">
        <v>231</v>
      </c>
      <c r="DD78" s="240" t="s">
        <v>231</v>
      </c>
      <c r="DE78" s="240" t="s">
        <v>231</v>
      </c>
      <c r="DF78" s="240" t="s">
        <v>231</v>
      </c>
      <c r="DG78" s="240" t="s">
        <v>231</v>
      </c>
      <c r="DH78" s="240" t="s">
        <v>231</v>
      </c>
      <c r="DI78" s="240" t="s">
        <v>231</v>
      </c>
      <c r="DJ78" s="240" t="s">
        <v>231</v>
      </c>
      <c r="DK78" s="240" t="s">
        <v>231</v>
      </c>
      <c r="DL78" s="240" t="s">
        <v>231</v>
      </c>
      <c r="DM78" s="240" t="s">
        <v>231</v>
      </c>
      <c r="DN78" s="240" t="s">
        <v>231</v>
      </c>
      <c r="DO78" s="240" t="s">
        <v>231</v>
      </c>
      <c r="DP78" s="240" t="s">
        <v>231</v>
      </c>
      <c r="DQ78" s="240" t="s">
        <v>231</v>
      </c>
      <c r="DR78" s="240" t="s">
        <v>231</v>
      </c>
      <c r="DS78" s="240" t="s">
        <v>231</v>
      </c>
      <c r="DT78" s="240" t="s">
        <v>492</v>
      </c>
      <c r="DU78" s="240" t="s">
        <v>231</v>
      </c>
      <c r="DV78" s="240" t="s">
        <v>231</v>
      </c>
      <c r="DW78" s="240" t="s">
        <v>231</v>
      </c>
      <c r="DX78" s="240" t="s">
        <v>231</v>
      </c>
      <c r="DY78" s="240" t="s">
        <v>231</v>
      </c>
      <c r="DZ78" s="240" t="s">
        <v>231</v>
      </c>
      <c r="EA78" s="240" t="s">
        <v>231</v>
      </c>
      <c r="EB78" s="240" t="s">
        <v>231</v>
      </c>
      <c r="EC78" s="240" t="s">
        <v>231</v>
      </c>
      <c r="ED78" s="240" t="s">
        <v>231</v>
      </c>
      <c r="EE78" s="240" t="s">
        <v>231</v>
      </c>
      <c r="EF78" s="240" t="s">
        <v>231</v>
      </c>
      <c r="EG78" s="240" t="s">
        <v>231</v>
      </c>
      <c r="EH78" s="240" t="s">
        <v>492</v>
      </c>
      <c r="EI78" s="240" t="s">
        <v>231</v>
      </c>
      <c r="EJ78" s="240" t="s">
        <v>231</v>
      </c>
      <c r="EK78" s="240" t="s">
        <v>231</v>
      </c>
      <c r="EL78" s="240" t="s">
        <v>231</v>
      </c>
      <c r="EM78" s="240" t="s">
        <v>231</v>
      </c>
      <c r="EN78" s="240" t="s">
        <v>231</v>
      </c>
      <c r="EO78" s="240" t="s">
        <v>231</v>
      </c>
      <c r="EP78" s="240" t="s">
        <v>231</v>
      </c>
      <c r="EQ78" s="240" t="s">
        <v>231</v>
      </c>
      <c r="ER78" s="240" t="s">
        <v>231</v>
      </c>
      <c r="ES78" s="240" t="s">
        <v>231</v>
      </c>
      <c r="ET78" s="240" t="s">
        <v>231</v>
      </c>
      <c r="EU78" s="240" t="s">
        <v>231</v>
      </c>
      <c r="EV78" s="240" t="s">
        <v>231</v>
      </c>
      <c r="EW78" s="240" t="s">
        <v>231</v>
      </c>
      <c r="EX78" s="240" t="s">
        <v>231</v>
      </c>
      <c r="EY78" s="240" t="s">
        <v>231</v>
      </c>
      <c r="EZ78" s="240" t="s">
        <v>231</v>
      </c>
      <c r="FA78" s="240" t="s">
        <v>231</v>
      </c>
      <c r="FB78" s="240" t="s">
        <v>231</v>
      </c>
      <c r="FC78" s="240" t="s">
        <v>231</v>
      </c>
      <c r="FD78" s="240" t="s">
        <v>231</v>
      </c>
      <c r="FE78" s="240" t="s">
        <v>231</v>
      </c>
      <c r="FF78" s="240" t="s">
        <v>231</v>
      </c>
      <c r="FG78" s="240" t="s">
        <v>231</v>
      </c>
      <c r="FH78" s="240" t="s">
        <v>231</v>
      </c>
      <c r="FI78" s="240" t="s">
        <v>231</v>
      </c>
      <c r="FJ78" s="240" t="s">
        <v>231</v>
      </c>
      <c r="FK78" s="240" t="s">
        <v>231</v>
      </c>
      <c r="FL78" s="240" t="s">
        <v>231</v>
      </c>
      <c r="FM78" s="240" t="s">
        <v>231</v>
      </c>
      <c r="FN78" s="240" t="s">
        <v>231</v>
      </c>
      <c r="FO78" s="240" t="s">
        <v>231</v>
      </c>
      <c r="FP78" s="240" t="s">
        <v>231</v>
      </c>
      <c r="FQ78" s="240" t="s">
        <v>231</v>
      </c>
      <c r="FR78" s="240" t="s">
        <v>231</v>
      </c>
      <c r="FS78" s="240" t="s">
        <v>231</v>
      </c>
      <c r="FT78" s="240" t="s">
        <v>231</v>
      </c>
      <c r="FU78" s="240" t="s">
        <v>231</v>
      </c>
      <c r="FV78" s="240" t="s">
        <v>231</v>
      </c>
      <c r="FW78" s="240" t="s">
        <v>231</v>
      </c>
      <c r="FX78" s="240" t="s">
        <v>492</v>
      </c>
      <c r="FY78" s="240" t="s">
        <v>231</v>
      </c>
      <c r="FZ78" s="240" t="s">
        <v>231</v>
      </c>
      <c r="GA78" s="240" t="s">
        <v>231</v>
      </c>
      <c r="GB78" s="240" t="s">
        <v>231</v>
      </c>
      <c r="GC78" s="240" t="s">
        <v>231</v>
      </c>
      <c r="GD78" s="240" t="s">
        <v>231</v>
      </c>
      <c r="GE78" s="240" t="s">
        <v>231</v>
      </c>
      <c r="GF78" s="240" t="s">
        <v>231</v>
      </c>
      <c r="GG78" s="240" t="s">
        <v>231</v>
      </c>
      <c r="GH78" s="240" t="s">
        <v>231</v>
      </c>
      <c r="GI78" s="240" t="s">
        <v>231</v>
      </c>
      <c r="GJ78" s="240" t="s">
        <v>231</v>
      </c>
      <c r="GK78" s="240" t="s">
        <v>231</v>
      </c>
      <c r="GL78" s="240" t="s">
        <v>231</v>
      </c>
      <c r="GM78" s="240" t="s">
        <v>231</v>
      </c>
      <c r="GN78" s="240" t="s">
        <v>231</v>
      </c>
      <c r="GO78" s="240" t="s">
        <v>231</v>
      </c>
      <c r="GP78" s="240" t="s">
        <v>492</v>
      </c>
      <c r="GQ78" s="240" t="s">
        <v>231</v>
      </c>
      <c r="GR78" s="240" t="s">
        <v>231</v>
      </c>
      <c r="GS78" s="240" t="s">
        <v>231</v>
      </c>
      <c r="GT78" s="240" t="s">
        <v>231</v>
      </c>
      <c r="GU78" s="240" t="s">
        <v>231</v>
      </c>
      <c r="GV78" s="240" t="s">
        <v>492</v>
      </c>
      <c r="GW78" s="240" t="s">
        <v>231</v>
      </c>
      <c r="GX78" s="240" t="s">
        <v>231</v>
      </c>
      <c r="GY78" s="240" t="s">
        <v>231</v>
      </c>
      <c r="GZ78" s="240" t="s">
        <v>231</v>
      </c>
      <c r="HA78" s="240" t="s">
        <v>231</v>
      </c>
      <c r="HB78" s="240" t="s">
        <v>231</v>
      </c>
      <c r="HC78" s="240" t="s">
        <v>231</v>
      </c>
      <c r="HD78" s="240" t="s">
        <v>231</v>
      </c>
      <c r="HE78" s="240" t="s">
        <v>231</v>
      </c>
      <c r="HF78" s="240" t="s">
        <v>231</v>
      </c>
      <c r="HG78" s="240" t="s">
        <v>231</v>
      </c>
      <c r="HH78" s="240" t="s">
        <v>231</v>
      </c>
      <c r="HI78" s="240" t="s">
        <v>231</v>
      </c>
      <c r="HJ78" s="240" t="s">
        <v>231</v>
      </c>
      <c r="HK78" s="240" t="s">
        <v>231</v>
      </c>
      <c r="HL78" s="240" t="s">
        <v>231</v>
      </c>
      <c r="HM78" s="240" t="s">
        <v>231</v>
      </c>
      <c r="HN78" s="240" t="s">
        <v>231</v>
      </c>
      <c r="HO78" s="240" t="s">
        <v>231</v>
      </c>
      <c r="HP78" s="240" t="s">
        <v>231</v>
      </c>
      <c r="HQ78" s="240" t="s">
        <v>231</v>
      </c>
      <c r="HR78" s="240" t="s">
        <v>231</v>
      </c>
      <c r="HS78" s="240" t="s">
        <v>231</v>
      </c>
      <c r="HT78" s="240" t="s">
        <v>231</v>
      </c>
      <c r="HU78" s="240" t="s">
        <v>231</v>
      </c>
      <c r="HV78" s="240" t="s">
        <v>231</v>
      </c>
      <c r="HW78" s="240" t="s">
        <v>231</v>
      </c>
      <c r="HX78" s="240" t="s">
        <v>231</v>
      </c>
      <c r="HY78" s="240" t="s">
        <v>231</v>
      </c>
      <c r="HZ78" s="240" t="s">
        <v>231</v>
      </c>
      <c r="IA78" s="240" t="s">
        <v>231</v>
      </c>
      <c r="IB78" s="240" t="s">
        <v>231</v>
      </c>
      <c r="IC78" s="240" t="s">
        <v>231</v>
      </c>
      <c r="ID78" s="240" t="s">
        <v>231</v>
      </c>
      <c r="IE78" s="240" t="s">
        <v>231</v>
      </c>
      <c r="IF78" s="240" t="s">
        <v>231</v>
      </c>
      <c r="IG78" s="240" t="s">
        <v>231</v>
      </c>
      <c r="IH78" s="240" t="s">
        <v>231</v>
      </c>
      <c r="II78" s="240" t="s">
        <v>231</v>
      </c>
      <c r="IJ78" s="240" t="s">
        <v>231</v>
      </c>
      <c r="IK78" s="240" t="s">
        <v>232</v>
      </c>
      <c r="IL78" s="240" t="s">
        <v>232</v>
      </c>
      <c r="IM78" s="240" t="s">
        <v>232</v>
      </c>
      <c r="IN78" s="240" t="s">
        <v>232</v>
      </c>
      <c r="IO78" s="240" t="s">
        <v>220</v>
      </c>
      <c r="IP78" s="240" t="s">
        <v>493</v>
      </c>
      <c r="IQ78" s="240" t="s">
        <v>219</v>
      </c>
      <c r="IR78" s="240" t="s">
        <v>490</v>
      </c>
      <c r="IS78" s="240" t="s">
        <v>231</v>
      </c>
      <c r="IT78" s="240" t="s">
        <v>231</v>
      </c>
    </row>
    <row r="79" spans="1:254" ht="15" x14ac:dyDescent="0.25">
      <c r="A79" s="258" t="str">
        <f>HYPERLINK("http://www.ofsted.gov.uk/inspection-reports/find-inspection-report/provider/ELS/145416 ","Ofsted School Webpage")</f>
        <v>Ofsted School Webpage</v>
      </c>
      <c r="B79" s="237">
        <v>145416</v>
      </c>
      <c r="C79" s="237">
        <v>8716004</v>
      </c>
      <c r="D79" s="237" t="s">
        <v>706</v>
      </c>
      <c r="E79" s="237" t="s">
        <v>247</v>
      </c>
      <c r="F79" s="237" t="s">
        <v>482</v>
      </c>
      <c r="G79" s="237" t="s">
        <v>581</v>
      </c>
      <c r="H79" s="237" t="s">
        <v>581</v>
      </c>
      <c r="I79" s="237" t="s">
        <v>707</v>
      </c>
      <c r="J79" s="237" t="s">
        <v>708</v>
      </c>
      <c r="K79" s="237" t="s">
        <v>93</v>
      </c>
      <c r="L79" s="237" t="s">
        <v>83</v>
      </c>
      <c r="M79" s="237" t="s">
        <v>83</v>
      </c>
      <c r="N79" s="237" t="s">
        <v>84</v>
      </c>
      <c r="O79" s="237" t="s">
        <v>486</v>
      </c>
      <c r="P79" s="237" t="s">
        <v>487</v>
      </c>
      <c r="Q79" s="238">
        <v>10077669</v>
      </c>
      <c r="R79" s="239">
        <v>43410</v>
      </c>
      <c r="S79" s="239">
        <v>43412</v>
      </c>
      <c r="T79" s="239">
        <v>43438</v>
      </c>
      <c r="U79" s="237" t="s">
        <v>499</v>
      </c>
      <c r="V79" s="237" t="s">
        <v>489</v>
      </c>
      <c r="W79" s="237">
        <v>2</v>
      </c>
      <c r="X79" s="237">
        <v>2</v>
      </c>
      <c r="Y79" s="237">
        <v>2</v>
      </c>
      <c r="Z79" s="237">
        <v>2</v>
      </c>
      <c r="AA79" s="237">
        <v>2</v>
      </c>
      <c r="AB79" s="237" t="s">
        <v>486</v>
      </c>
      <c r="AC79" s="237" t="s">
        <v>486</v>
      </c>
      <c r="AD79" s="237" t="s">
        <v>219</v>
      </c>
      <c r="AE79" s="237" t="s">
        <v>490</v>
      </c>
      <c r="AF79" s="237" t="s">
        <v>486</v>
      </c>
      <c r="AG79" s="237" t="s">
        <v>486</v>
      </c>
      <c r="AH79" s="237" t="s">
        <v>486</v>
      </c>
      <c r="AI79" s="237" t="s">
        <v>486</v>
      </c>
      <c r="AJ79" s="237" t="s">
        <v>486</v>
      </c>
      <c r="AK79" s="237" t="s">
        <v>486</v>
      </c>
      <c r="AL79" s="237" t="s">
        <v>486</v>
      </c>
      <c r="AM79" s="237" t="s">
        <v>491</v>
      </c>
      <c r="AN79" s="237" t="s">
        <v>231</v>
      </c>
      <c r="AO79" s="237" t="s">
        <v>231</v>
      </c>
      <c r="AP79" s="237" t="s">
        <v>231</v>
      </c>
      <c r="AQ79" s="237" t="s">
        <v>231</v>
      </c>
      <c r="AR79" s="237" t="s">
        <v>231</v>
      </c>
      <c r="AS79" s="237" t="s">
        <v>231</v>
      </c>
      <c r="AT79" s="237" t="s">
        <v>231</v>
      </c>
      <c r="AU79" s="237" t="s">
        <v>231</v>
      </c>
      <c r="AV79" s="237" t="s">
        <v>231</v>
      </c>
      <c r="AW79" s="237" t="s">
        <v>231</v>
      </c>
      <c r="AX79" s="237" t="s">
        <v>231</v>
      </c>
      <c r="AY79" s="237" t="s">
        <v>231</v>
      </c>
      <c r="AZ79" s="237" t="s">
        <v>231</v>
      </c>
      <c r="BA79" s="237" t="s">
        <v>231</v>
      </c>
      <c r="BB79" s="237" t="s">
        <v>231</v>
      </c>
      <c r="BC79" s="237" t="s">
        <v>231</v>
      </c>
      <c r="BD79" s="237" t="s">
        <v>492</v>
      </c>
      <c r="BE79" s="237" t="s">
        <v>231</v>
      </c>
      <c r="BF79" s="237" t="s">
        <v>231</v>
      </c>
      <c r="BG79" s="237" t="s">
        <v>231</v>
      </c>
      <c r="BH79" s="237" t="s">
        <v>231</v>
      </c>
      <c r="BI79" s="237" t="s">
        <v>231</v>
      </c>
      <c r="BJ79" s="237" t="s">
        <v>231</v>
      </c>
      <c r="BK79" s="237" t="s">
        <v>231</v>
      </c>
      <c r="BL79" s="237" t="s">
        <v>492</v>
      </c>
      <c r="BM79" s="237" t="s">
        <v>492</v>
      </c>
      <c r="BN79" s="237" t="s">
        <v>231</v>
      </c>
      <c r="BO79" s="237" t="s">
        <v>231</v>
      </c>
      <c r="BP79" s="237" t="s">
        <v>231</v>
      </c>
      <c r="BQ79" s="237" t="s">
        <v>231</v>
      </c>
      <c r="BR79" s="237" t="s">
        <v>231</v>
      </c>
      <c r="BS79" s="237" t="s">
        <v>231</v>
      </c>
      <c r="BT79" s="237" t="s">
        <v>231</v>
      </c>
      <c r="BU79" s="237" t="s">
        <v>231</v>
      </c>
      <c r="BV79" s="237" t="s">
        <v>231</v>
      </c>
      <c r="BW79" s="237" t="s">
        <v>231</v>
      </c>
      <c r="BX79" s="237" t="s">
        <v>231</v>
      </c>
      <c r="BY79" s="237" t="s">
        <v>231</v>
      </c>
      <c r="BZ79" s="237" t="s">
        <v>231</v>
      </c>
      <c r="CA79" s="237" t="s">
        <v>231</v>
      </c>
      <c r="CB79" s="237" t="s">
        <v>231</v>
      </c>
      <c r="CC79" s="237" t="s">
        <v>231</v>
      </c>
      <c r="CD79" s="237" t="s">
        <v>231</v>
      </c>
      <c r="CE79" s="237" t="s">
        <v>231</v>
      </c>
      <c r="CF79" s="237" t="s">
        <v>231</v>
      </c>
      <c r="CG79" s="237" t="s">
        <v>231</v>
      </c>
      <c r="CH79" s="237" t="s">
        <v>231</v>
      </c>
      <c r="CI79" s="237" t="s">
        <v>231</v>
      </c>
      <c r="CJ79" s="237" t="s">
        <v>231</v>
      </c>
      <c r="CK79" s="237" t="s">
        <v>231</v>
      </c>
      <c r="CL79" s="237" t="s">
        <v>231</v>
      </c>
      <c r="CM79" s="237" t="s">
        <v>231</v>
      </c>
      <c r="CN79" s="237" t="s">
        <v>231</v>
      </c>
      <c r="CO79" s="237" t="s">
        <v>231</v>
      </c>
      <c r="CP79" s="237" t="s">
        <v>231</v>
      </c>
      <c r="CQ79" s="237" t="s">
        <v>231</v>
      </c>
      <c r="CR79" s="237" t="s">
        <v>231</v>
      </c>
      <c r="CS79" s="237" t="s">
        <v>231</v>
      </c>
      <c r="CT79" s="237" t="s">
        <v>492</v>
      </c>
      <c r="CU79" s="237" t="s">
        <v>492</v>
      </c>
      <c r="CV79" s="237" t="s">
        <v>492</v>
      </c>
      <c r="CW79" s="237" t="s">
        <v>231</v>
      </c>
      <c r="CX79" s="237" t="s">
        <v>231</v>
      </c>
      <c r="CY79" s="237" t="s">
        <v>231</v>
      </c>
      <c r="CZ79" s="237" t="s">
        <v>231</v>
      </c>
      <c r="DA79" s="237" t="s">
        <v>231</v>
      </c>
      <c r="DB79" s="237" t="s">
        <v>231</v>
      </c>
      <c r="DC79" s="237" t="s">
        <v>231</v>
      </c>
      <c r="DD79" s="237" t="s">
        <v>231</v>
      </c>
      <c r="DE79" s="237" t="s">
        <v>231</v>
      </c>
      <c r="DF79" s="237" t="s">
        <v>231</v>
      </c>
      <c r="DG79" s="237" t="s">
        <v>231</v>
      </c>
      <c r="DH79" s="237" t="s">
        <v>231</v>
      </c>
      <c r="DI79" s="237" t="s">
        <v>231</v>
      </c>
      <c r="DJ79" s="237" t="s">
        <v>231</v>
      </c>
      <c r="DK79" s="237" t="s">
        <v>231</v>
      </c>
      <c r="DL79" s="237" t="s">
        <v>231</v>
      </c>
      <c r="DM79" s="237" t="s">
        <v>231</v>
      </c>
      <c r="DN79" s="237" t="s">
        <v>231</v>
      </c>
      <c r="DO79" s="237" t="s">
        <v>231</v>
      </c>
      <c r="DP79" s="237" t="s">
        <v>231</v>
      </c>
      <c r="DQ79" s="237" t="s">
        <v>231</v>
      </c>
      <c r="DR79" s="237" t="s">
        <v>231</v>
      </c>
      <c r="DS79" s="237" t="s">
        <v>231</v>
      </c>
      <c r="DT79" s="237" t="s">
        <v>492</v>
      </c>
      <c r="DU79" s="237" t="s">
        <v>231</v>
      </c>
      <c r="DV79" s="237" t="s">
        <v>492</v>
      </c>
      <c r="DW79" s="237" t="s">
        <v>492</v>
      </c>
      <c r="DX79" s="237" t="s">
        <v>492</v>
      </c>
      <c r="DY79" s="237" t="s">
        <v>492</v>
      </c>
      <c r="DZ79" s="237" t="s">
        <v>492</v>
      </c>
      <c r="EA79" s="237" t="s">
        <v>492</v>
      </c>
      <c r="EB79" s="237" t="s">
        <v>492</v>
      </c>
      <c r="EC79" s="237" t="s">
        <v>492</v>
      </c>
      <c r="ED79" s="237" t="s">
        <v>492</v>
      </c>
      <c r="EE79" s="237" t="s">
        <v>492</v>
      </c>
      <c r="EF79" s="237" t="s">
        <v>492</v>
      </c>
      <c r="EG79" s="237" t="s">
        <v>492</v>
      </c>
      <c r="EH79" s="237" t="s">
        <v>492</v>
      </c>
      <c r="EI79" s="237" t="s">
        <v>492</v>
      </c>
      <c r="EJ79" s="237" t="s">
        <v>231</v>
      </c>
      <c r="EK79" s="237" t="s">
        <v>231</v>
      </c>
      <c r="EL79" s="237" t="s">
        <v>231</v>
      </c>
      <c r="EM79" s="237" t="s">
        <v>231</v>
      </c>
      <c r="EN79" s="237" t="s">
        <v>231</v>
      </c>
      <c r="EO79" s="237" t="s">
        <v>231</v>
      </c>
      <c r="EP79" s="237" t="s">
        <v>231</v>
      </c>
      <c r="EQ79" s="237" t="s">
        <v>231</v>
      </c>
      <c r="ER79" s="237" t="s">
        <v>231</v>
      </c>
      <c r="ES79" s="237" t="s">
        <v>231</v>
      </c>
      <c r="ET79" s="237" t="s">
        <v>231</v>
      </c>
      <c r="EU79" s="237" t="s">
        <v>231</v>
      </c>
      <c r="EV79" s="237" t="s">
        <v>231</v>
      </c>
      <c r="EW79" s="237" t="s">
        <v>231</v>
      </c>
      <c r="EX79" s="237" t="s">
        <v>231</v>
      </c>
      <c r="EY79" s="237" t="s">
        <v>231</v>
      </c>
      <c r="EZ79" s="237" t="s">
        <v>231</v>
      </c>
      <c r="FA79" s="237" t="s">
        <v>231</v>
      </c>
      <c r="FB79" s="237" t="s">
        <v>231</v>
      </c>
      <c r="FC79" s="237" t="s">
        <v>231</v>
      </c>
      <c r="FD79" s="237" t="s">
        <v>231</v>
      </c>
      <c r="FE79" s="237" t="s">
        <v>231</v>
      </c>
      <c r="FF79" s="237" t="s">
        <v>492</v>
      </c>
      <c r="FG79" s="237" t="s">
        <v>492</v>
      </c>
      <c r="FH79" s="237" t="s">
        <v>492</v>
      </c>
      <c r="FI79" s="237" t="s">
        <v>492</v>
      </c>
      <c r="FJ79" s="237" t="s">
        <v>492</v>
      </c>
      <c r="FK79" s="237" t="s">
        <v>492</v>
      </c>
      <c r="FL79" s="237" t="s">
        <v>492</v>
      </c>
      <c r="FM79" s="237" t="s">
        <v>231</v>
      </c>
      <c r="FN79" s="237" t="s">
        <v>231</v>
      </c>
      <c r="FO79" s="237" t="s">
        <v>231</v>
      </c>
      <c r="FP79" s="237" t="s">
        <v>231</v>
      </c>
      <c r="FQ79" s="237" t="s">
        <v>231</v>
      </c>
      <c r="FR79" s="237" t="s">
        <v>231</v>
      </c>
      <c r="FS79" s="237" t="s">
        <v>231</v>
      </c>
      <c r="FT79" s="237" t="s">
        <v>231</v>
      </c>
      <c r="FU79" s="237" t="s">
        <v>231</v>
      </c>
      <c r="FV79" s="237" t="s">
        <v>231</v>
      </c>
      <c r="FW79" s="237" t="s">
        <v>231</v>
      </c>
      <c r="FX79" s="237" t="s">
        <v>492</v>
      </c>
      <c r="FY79" s="237" t="s">
        <v>231</v>
      </c>
      <c r="FZ79" s="237" t="s">
        <v>231</v>
      </c>
      <c r="GA79" s="237" t="s">
        <v>231</v>
      </c>
      <c r="GB79" s="237" t="s">
        <v>231</v>
      </c>
      <c r="GC79" s="237" t="s">
        <v>231</v>
      </c>
      <c r="GD79" s="237" t="s">
        <v>231</v>
      </c>
      <c r="GE79" s="237" t="s">
        <v>231</v>
      </c>
      <c r="GF79" s="237" t="s">
        <v>231</v>
      </c>
      <c r="GG79" s="237" t="s">
        <v>231</v>
      </c>
      <c r="GH79" s="237" t="s">
        <v>231</v>
      </c>
      <c r="GI79" s="237" t="s">
        <v>231</v>
      </c>
      <c r="GJ79" s="237" t="s">
        <v>231</v>
      </c>
      <c r="GK79" s="237" t="s">
        <v>231</v>
      </c>
      <c r="GL79" s="237" t="s">
        <v>231</v>
      </c>
      <c r="GM79" s="237" t="s">
        <v>231</v>
      </c>
      <c r="GN79" s="237" t="s">
        <v>231</v>
      </c>
      <c r="GO79" s="237" t="s">
        <v>231</v>
      </c>
      <c r="GP79" s="237" t="s">
        <v>492</v>
      </c>
      <c r="GQ79" s="237" t="s">
        <v>231</v>
      </c>
      <c r="GR79" s="237" t="s">
        <v>231</v>
      </c>
      <c r="GS79" s="237" t="s">
        <v>231</v>
      </c>
      <c r="GT79" s="237" t="s">
        <v>231</v>
      </c>
      <c r="GU79" s="237" t="s">
        <v>492</v>
      </c>
      <c r="GV79" s="237" t="s">
        <v>492</v>
      </c>
      <c r="GW79" s="237" t="s">
        <v>231</v>
      </c>
      <c r="GX79" s="237" t="s">
        <v>231</v>
      </c>
      <c r="GY79" s="237" t="s">
        <v>492</v>
      </c>
      <c r="GZ79" s="237" t="s">
        <v>492</v>
      </c>
      <c r="HA79" s="237" t="s">
        <v>231</v>
      </c>
      <c r="HB79" s="237" t="s">
        <v>231</v>
      </c>
      <c r="HC79" s="237" t="s">
        <v>231</v>
      </c>
      <c r="HD79" s="237" t="s">
        <v>231</v>
      </c>
      <c r="HE79" s="237" t="s">
        <v>231</v>
      </c>
      <c r="HF79" s="237" t="s">
        <v>492</v>
      </c>
      <c r="HG79" s="237" t="s">
        <v>231</v>
      </c>
      <c r="HH79" s="237" t="s">
        <v>231</v>
      </c>
      <c r="HI79" s="237" t="s">
        <v>231</v>
      </c>
      <c r="HJ79" s="237" t="s">
        <v>231</v>
      </c>
      <c r="HK79" s="237" t="s">
        <v>492</v>
      </c>
      <c r="HL79" s="237" t="s">
        <v>231</v>
      </c>
      <c r="HM79" s="237" t="s">
        <v>231</v>
      </c>
      <c r="HN79" s="237" t="s">
        <v>492</v>
      </c>
      <c r="HO79" s="237" t="s">
        <v>231</v>
      </c>
      <c r="HP79" s="237" t="s">
        <v>492</v>
      </c>
      <c r="HQ79" s="237" t="s">
        <v>492</v>
      </c>
      <c r="HR79" s="237" t="s">
        <v>492</v>
      </c>
      <c r="HS79" s="237" t="s">
        <v>492</v>
      </c>
      <c r="HT79" s="237" t="s">
        <v>492</v>
      </c>
      <c r="HU79" s="237" t="s">
        <v>231</v>
      </c>
      <c r="HV79" s="237" t="s">
        <v>231</v>
      </c>
      <c r="HW79" s="237" t="s">
        <v>231</v>
      </c>
      <c r="HX79" s="237" t="s">
        <v>231</v>
      </c>
      <c r="HY79" s="237" t="s">
        <v>231</v>
      </c>
      <c r="HZ79" s="237" t="s">
        <v>231</v>
      </c>
      <c r="IA79" s="237" t="s">
        <v>231</v>
      </c>
      <c r="IB79" s="237" t="s">
        <v>231</v>
      </c>
      <c r="IC79" s="237" t="s">
        <v>231</v>
      </c>
      <c r="ID79" s="237" t="s">
        <v>231</v>
      </c>
      <c r="IE79" s="237" t="s">
        <v>231</v>
      </c>
      <c r="IF79" s="237" t="s">
        <v>231</v>
      </c>
      <c r="IG79" s="237" t="s">
        <v>231</v>
      </c>
      <c r="IH79" s="237" t="s">
        <v>231</v>
      </c>
      <c r="II79" s="237" t="s">
        <v>231</v>
      </c>
      <c r="IJ79" s="237" t="s">
        <v>231</v>
      </c>
      <c r="IK79" s="237" t="s">
        <v>231</v>
      </c>
      <c r="IL79" s="237" t="s">
        <v>231</v>
      </c>
      <c r="IM79" s="237" t="s">
        <v>231</v>
      </c>
      <c r="IN79" s="237" t="s">
        <v>231</v>
      </c>
      <c r="IO79" s="237" t="s">
        <v>220</v>
      </c>
      <c r="IP79" s="237" t="s">
        <v>493</v>
      </c>
      <c r="IQ79" s="237" t="s">
        <v>219</v>
      </c>
      <c r="IR79" s="237" t="s">
        <v>490</v>
      </c>
      <c r="IS79" s="237" t="s">
        <v>492</v>
      </c>
      <c r="IT79" s="237" t="s">
        <v>492</v>
      </c>
    </row>
    <row r="80" spans="1:254" ht="15" x14ac:dyDescent="0.25">
      <c r="A80" s="259" t="str">
        <f>HYPERLINK("http://www.ofsted.gov.uk/inspection-reports/find-inspection-report/provider/ELS/100287 ","Ofsted School Webpage")</f>
        <v>Ofsted School Webpage</v>
      </c>
      <c r="B80" s="240">
        <v>100287</v>
      </c>
      <c r="C80" s="240">
        <v>2046072</v>
      </c>
      <c r="D80" s="240" t="s">
        <v>709</v>
      </c>
      <c r="E80" s="240" t="s">
        <v>247</v>
      </c>
      <c r="F80" s="240" t="s">
        <v>482</v>
      </c>
      <c r="G80" s="240" t="s">
        <v>506</v>
      </c>
      <c r="H80" s="240" t="s">
        <v>506</v>
      </c>
      <c r="I80" s="240" t="s">
        <v>617</v>
      </c>
      <c r="J80" s="240" t="s">
        <v>710</v>
      </c>
      <c r="K80" s="240" t="s">
        <v>93</v>
      </c>
      <c r="L80" s="240" t="s">
        <v>81</v>
      </c>
      <c r="M80" s="240" t="s">
        <v>81</v>
      </c>
      <c r="N80" s="240" t="s">
        <v>81</v>
      </c>
      <c r="O80" s="240" t="s">
        <v>486</v>
      </c>
      <c r="P80" s="240" t="s">
        <v>487</v>
      </c>
      <c r="Q80" s="241">
        <v>10055368</v>
      </c>
      <c r="R80" s="242">
        <v>43410</v>
      </c>
      <c r="S80" s="242">
        <v>43412</v>
      </c>
      <c r="T80" s="242">
        <v>43447</v>
      </c>
      <c r="U80" s="240" t="s">
        <v>488</v>
      </c>
      <c r="V80" s="240" t="s">
        <v>489</v>
      </c>
      <c r="W80" s="240">
        <v>3</v>
      </c>
      <c r="X80" s="240">
        <v>3</v>
      </c>
      <c r="Y80" s="240">
        <v>3</v>
      </c>
      <c r="Z80" s="240">
        <v>2</v>
      </c>
      <c r="AA80" s="240">
        <v>2</v>
      </c>
      <c r="AB80" s="240">
        <v>2</v>
      </c>
      <c r="AC80" s="240" t="s">
        <v>486</v>
      </c>
      <c r="AD80" s="240" t="s">
        <v>219</v>
      </c>
      <c r="AE80" s="240" t="s">
        <v>490</v>
      </c>
      <c r="AF80" s="240" t="s">
        <v>486</v>
      </c>
      <c r="AG80" s="240" t="s">
        <v>486</v>
      </c>
      <c r="AH80" s="240" t="s">
        <v>486</v>
      </c>
      <c r="AI80" s="240" t="s">
        <v>486</v>
      </c>
      <c r="AJ80" s="240" t="s">
        <v>486</v>
      </c>
      <c r="AK80" s="240" t="s">
        <v>486</v>
      </c>
      <c r="AL80" s="240" t="s">
        <v>486</v>
      </c>
      <c r="AM80" s="240" t="s">
        <v>545</v>
      </c>
      <c r="AN80" s="240" t="s">
        <v>546</v>
      </c>
      <c r="AO80" s="240" t="s">
        <v>546</v>
      </c>
      <c r="AP80" s="240" t="s">
        <v>231</v>
      </c>
      <c r="AQ80" s="240" t="s">
        <v>231</v>
      </c>
      <c r="AR80" s="240" t="s">
        <v>231</v>
      </c>
      <c r="AS80" s="240" t="s">
        <v>231</v>
      </c>
      <c r="AT80" s="240" t="s">
        <v>231</v>
      </c>
      <c r="AU80" s="240" t="s">
        <v>546</v>
      </c>
      <c r="AV80" s="240" t="s">
        <v>232</v>
      </c>
      <c r="AW80" s="240" t="s">
        <v>231</v>
      </c>
      <c r="AX80" s="240" t="s">
        <v>232</v>
      </c>
      <c r="AY80" s="240" t="s">
        <v>231</v>
      </c>
      <c r="AZ80" s="240" t="s">
        <v>232</v>
      </c>
      <c r="BA80" s="240" t="s">
        <v>232</v>
      </c>
      <c r="BB80" s="240" t="s">
        <v>231</v>
      </c>
      <c r="BC80" s="240" t="s">
        <v>231</v>
      </c>
      <c r="BD80" s="240" t="s">
        <v>492</v>
      </c>
      <c r="BE80" s="240" t="s">
        <v>232</v>
      </c>
      <c r="BF80" s="240" t="s">
        <v>231</v>
      </c>
      <c r="BG80" s="240" t="s">
        <v>232</v>
      </c>
      <c r="BH80" s="240" t="s">
        <v>231</v>
      </c>
      <c r="BI80" s="240" t="s">
        <v>231</v>
      </c>
      <c r="BJ80" s="240" t="s">
        <v>231</v>
      </c>
      <c r="BK80" s="240" t="s">
        <v>231</v>
      </c>
      <c r="BL80" s="240" t="s">
        <v>492</v>
      </c>
      <c r="BM80" s="240" t="s">
        <v>231</v>
      </c>
      <c r="BN80" s="240" t="s">
        <v>231</v>
      </c>
      <c r="BO80" s="240" t="s">
        <v>232</v>
      </c>
      <c r="BP80" s="240" t="s">
        <v>232</v>
      </c>
      <c r="BQ80" s="240" t="s">
        <v>231</v>
      </c>
      <c r="BR80" s="240" t="s">
        <v>231</v>
      </c>
      <c r="BS80" s="240" t="s">
        <v>231</v>
      </c>
      <c r="BT80" s="240" t="s">
        <v>231</v>
      </c>
      <c r="BU80" s="240" t="s">
        <v>231</v>
      </c>
      <c r="BV80" s="240" t="s">
        <v>231</v>
      </c>
      <c r="BW80" s="240" t="s">
        <v>231</v>
      </c>
      <c r="BX80" s="240" t="s">
        <v>231</v>
      </c>
      <c r="BY80" s="240" t="s">
        <v>232</v>
      </c>
      <c r="BZ80" s="240" t="s">
        <v>232</v>
      </c>
      <c r="CA80" s="240" t="s">
        <v>231</v>
      </c>
      <c r="CB80" s="240" t="s">
        <v>232</v>
      </c>
      <c r="CC80" s="240" t="s">
        <v>232</v>
      </c>
      <c r="CD80" s="240" t="s">
        <v>231</v>
      </c>
      <c r="CE80" s="240" t="s">
        <v>231</v>
      </c>
      <c r="CF80" s="240" t="s">
        <v>231</v>
      </c>
      <c r="CG80" s="240" t="s">
        <v>231</v>
      </c>
      <c r="CH80" s="240" t="s">
        <v>231</v>
      </c>
      <c r="CI80" s="240" t="s">
        <v>232</v>
      </c>
      <c r="CJ80" s="240" t="s">
        <v>232</v>
      </c>
      <c r="CK80" s="240" t="s">
        <v>231</v>
      </c>
      <c r="CL80" s="240" t="s">
        <v>231</v>
      </c>
      <c r="CM80" s="240" t="s">
        <v>231</v>
      </c>
      <c r="CN80" s="240" t="s">
        <v>231</v>
      </c>
      <c r="CO80" s="240" t="s">
        <v>231</v>
      </c>
      <c r="CP80" s="240" t="s">
        <v>231</v>
      </c>
      <c r="CQ80" s="240" t="s">
        <v>231</v>
      </c>
      <c r="CR80" s="240" t="s">
        <v>231</v>
      </c>
      <c r="CS80" s="240" t="s">
        <v>231</v>
      </c>
      <c r="CT80" s="240" t="s">
        <v>492</v>
      </c>
      <c r="CU80" s="240" t="s">
        <v>492</v>
      </c>
      <c r="CV80" s="240" t="s">
        <v>492</v>
      </c>
      <c r="CW80" s="240" t="s">
        <v>231</v>
      </c>
      <c r="CX80" s="240" t="s">
        <v>231</v>
      </c>
      <c r="CY80" s="240" t="s">
        <v>231</v>
      </c>
      <c r="CZ80" s="240" t="s">
        <v>231</v>
      </c>
      <c r="DA80" s="240" t="s">
        <v>231</v>
      </c>
      <c r="DB80" s="240" t="s">
        <v>231</v>
      </c>
      <c r="DC80" s="240" t="s">
        <v>231</v>
      </c>
      <c r="DD80" s="240" t="s">
        <v>231</v>
      </c>
      <c r="DE80" s="240" t="s">
        <v>231</v>
      </c>
      <c r="DF80" s="240" t="s">
        <v>231</v>
      </c>
      <c r="DG80" s="240" t="s">
        <v>231</v>
      </c>
      <c r="DH80" s="240" t="s">
        <v>231</v>
      </c>
      <c r="DI80" s="240" t="s">
        <v>231</v>
      </c>
      <c r="DJ80" s="240" t="s">
        <v>231</v>
      </c>
      <c r="DK80" s="240" t="s">
        <v>231</v>
      </c>
      <c r="DL80" s="240" t="s">
        <v>231</v>
      </c>
      <c r="DM80" s="240" t="s">
        <v>231</v>
      </c>
      <c r="DN80" s="240" t="s">
        <v>231</v>
      </c>
      <c r="DO80" s="240" t="s">
        <v>231</v>
      </c>
      <c r="DP80" s="240" t="s">
        <v>231</v>
      </c>
      <c r="DQ80" s="240" t="s">
        <v>231</v>
      </c>
      <c r="DR80" s="240" t="s">
        <v>231</v>
      </c>
      <c r="DS80" s="240" t="s">
        <v>231</v>
      </c>
      <c r="DT80" s="240" t="s">
        <v>492</v>
      </c>
      <c r="DU80" s="240" t="s">
        <v>231</v>
      </c>
      <c r="DV80" s="240" t="s">
        <v>231</v>
      </c>
      <c r="DW80" s="240" t="s">
        <v>231</v>
      </c>
      <c r="DX80" s="240" t="s">
        <v>231</v>
      </c>
      <c r="DY80" s="240" t="s">
        <v>231</v>
      </c>
      <c r="DZ80" s="240" t="s">
        <v>231</v>
      </c>
      <c r="EA80" s="240" t="s">
        <v>231</v>
      </c>
      <c r="EB80" s="240" t="s">
        <v>231</v>
      </c>
      <c r="EC80" s="240" t="s">
        <v>231</v>
      </c>
      <c r="ED80" s="240" t="s">
        <v>231</v>
      </c>
      <c r="EE80" s="240" t="s">
        <v>231</v>
      </c>
      <c r="EF80" s="240" t="s">
        <v>231</v>
      </c>
      <c r="EG80" s="240" t="s">
        <v>231</v>
      </c>
      <c r="EH80" s="240" t="s">
        <v>492</v>
      </c>
      <c r="EI80" s="240" t="s">
        <v>231</v>
      </c>
      <c r="EJ80" s="240" t="s">
        <v>231</v>
      </c>
      <c r="EK80" s="240" t="s">
        <v>231</v>
      </c>
      <c r="EL80" s="240" t="s">
        <v>231</v>
      </c>
      <c r="EM80" s="240" t="s">
        <v>231</v>
      </c>
      <c r="EN80" s="240" t="s">
        <v>231</v>
      </c>
      <c r="EO80" s="240" t="s">
        <v>231</v>
      </c>
      <c r="EP80" s="240" t="s">
        <v>231</v>
      </c>
      <c r="EQ80" s="240" t="s">
        <v>231</v>
      </c>
      <c r="ER80" s="240" t="s">
        <v>231</v>
      </c>
      <c r="ES80" s="240" t="s">
        <v>231</v>
      </c>
      <c r="ET80" s="240" t="s">
        <v>231</v>
      </c>
      <c r="EU80" s="240" t="s">
        <v>231</v>
      </c>
      <c r="EV80" s="240" t="s">
        <v>231</v>
      </c>
      <c r="EW80" s="240" t="s">
        <v>231</v>
      </c>
      <c r="EX80" s="240" t="s">
        <v>231</v>
      </c>
      <c r="EY80" s="240" t="s">
        <v>231</v>
      </c>
      <c r="EZ80" s="240" t="s">
        <v>231</v>
      </c>
      <c r="FA80" s="240" t="s">
        <v>231</v>
      </c>
      <c r="FB80" s="240" t="s">
        <v>231</v>
      </c>
      <c r="FC80" s="240" t="s">
        <v>231</v>
      </c>
      <c r="FD80" s="240" t="s">
        <v>231</v>
      </c>
      <c r="FE80" s="240" t="s">
        <v>231</v>
      </c>
      <c r="FF80" s="240" t="s">
        <v>231</v>
      </c>
      <c r="FG80" s="240" t="s">
        <v>231</v>
      </c>
      <c r="FH80" s="240" t="s">
        <v>231</v>
      </c>
      <c r="FI80" s="240" t="s">
        <v>231</v>
      </c>
      <c r="FJ80" s="240" t="s">
        <v>231</v>
      </c>
      <c r="FK80" s="240" t="s">
        <v>231</v>
      </c>
      <c r="FL80" s="240" t="s">
        <v>231</v>
      </c>
      <c r="FM80" s="240" t="s">
        <v>231</v>
      </c>
      <c r="FN80" s="240" t="s">
        <v>231</v>
      </c>
      <c r="FO80" s="240" t="s">
        <v>231</v>
      </c>
      <c r="FP80" s="240" t="s">
        <v>231</v>
      </c>
      <c r="FQ80" s="240" t="s">
        <v>231</v>
      </c>
      <c r="FR80" s="240" t="s">
        <v>231</v>
      </c>
      <c r="FS80" s="240" t="s">
        <v>231</v>
      </c>
      <c r="FT80" s="240" t="s">
        <v>231</v>
      </c>
      <c r="FU80" s="240" t="s">
        <v>231</v>
      </c>
      <c r="FV80" s="240" t="s">
        <v>231</v>
      </c>
      <c r="FW80" s="240" t="s">
        <v>231</v>
      </c>
      <c r="FX80" s="240" t="s">
        <v>231</v>
      </c>
      <c r="FY80" s="240" t="s">
        <v>231</v>
      </c>
      <c r="FZ80" s="240" t="s">
        <v>231</v>
      </c>
      <c r="GA80" s="240" t="s">
        <v>231</v>
      </c>
      <c r="GB80" s="240" t="s">
        <v>231</v>
      </c>
      <c r="GC80" s="240" t="s">
        <v>231</v>
      </c>
      <c r="GD80" s="240" t="s">
        <v>231</v>
      </c>
      <c r="GE80" s="240" t="s">
        <v>231</v>
      </c>
      <c r="GF80" s="240" t="s">
        <v>231</v>
      </c>
      <c r="GG80" s="240" t="s">
        <v>231</v>
      </c>
      <c r="GH80" s="240" t="s">
        <v>231</v>
      </c>
      <c r="GI80" s="240" t="s">
        <v>231</v>
      </c>
      <c r="GJ80" s="240" t="s">
        <v>231</v>
      </c>
      <c r="GK80" s="240" t="s">
        <v>231</v>
      </c>
      <c r="GL80" s="240" t="s">
        <v>231</v>
      </c>
      <c r="GM80" s="240" t="s">
        <v>231</v>
      </c>
      <c r="GN80" s="240" t="s">
        <v>231</v>
      </c>
      <c r="GO80" s="240" t="s">
        <v>231</v>
      </c>
      <c r="GP80" s="240" t="s">
        <v>492</v>
      </c>
      <c r="GQ80" s="240" t="s">
        <v>231</v>
      </c>
      <c r="GR80" s="240" t="s">
        <v>231</v>
      </c>
      <c r="GS80" s="240" t="s">
        <v>231</v>
      </c>
      <c r="GT80" s="240" t="s">
        <v>231</v>
      </c>
      <c r="GU80" s="240" t="s">
        <v>231</v>
      </c>
      <c r="GV80" s="240" t="s">
        <v>492</v>
      </c>
      <c r="GW80" s="240" t="s">
        <v>231</v>
      </c>
      <c r="GX80" s="240" t="s">
        <v>231</v>
      </c>
      <c r="GY80" s="240" t="s">
        <v>492</v>
      </c>
      <c r="GZ80" s="240" t="s">
        <v>231</v>
      </c>
      <c r="HA80" s="240" t="s">
        <v>231</v>
      </c>
      <c r="HB80" s="240" t="s">
        <v>231</v>
      </c>
      <c r="HC80" s="240" t="s">
        <v>231</v>
      </c>
      <c r="HD80" s="240" t="s">
        <v>231</v>
      </c>
      <c r="HE80" s="240" t="s">
        <v>231</v>
      </c>
      <c r="HF80" s="240" t="s">
        <v>492</v>
      </c>
      <c r="HG80" s="240" t="s">
        <v>231</v>
      </c>
      <c r="HH80" s="240" t="s">
        <v>231</v>
      </c>
      <c r="HI80" s="240" t="s">
        <v>231</v>
      </c>
      <c r="HJ80" s="240" t="s">
        <v>231</v>
      </c>
      <c r="HK80" s="240" t="s">
        <v>231</v>
      </c>
      <c r="HL80" s="240" t="s">
        <v>231</v>
      </c>
      <c r="HM80" s="240" t="s">
        <v>231</v>
      </c>
      <c r="HN80" s="240" t="s">
        <v>231</v>
      </c>
      <c r="HO80" s="240" t="s">
        <v>231</v>
      </c>
      <c r="HP80" s="240" t="s">
        <v>231</v>
      </c>
      <c r="HQ80" s="240" t="s">
        <v>492</v>
      </c>
      <c r="HR80" s="240" t="s">
        <v>492</v>
      </c>
      <c r="HS80" s="240" t="s">
        <v>492</v>
      </c>
      <c r="HT80" s="240" t="s">
        <v>492</v>
      </c>
      <c r="HU80" s="240" t="s">
        <v>231</v>
      </c>
      <c r="HV80" s="240" t="s">
        <v>231</v>
      </c>
      <c r="HW80" s="240" t="s">
        <v>231</v>
      </c>
      <c r="HX80" s="240" t="s">
        <v>231</v>
      </c>
      <c r="HY80" s="240" t="s">
        <v>231</v>
      </c>
      <c r="HZ80" s="240" t="s">
        <v>231</v>
      </c>
      <c r="IA80" s="240" t="s">
        <v>231</v>
      </c>
      <c r="IB80" s="240" t="s">
        <v>231</v>
      </c>
      <c r="IC80" s="240" t="s">
        <v>231</v>
      </c>
      <c r="ID80" s="240" t="s">
        <v>231</v>
      </c>
      <c r="IE80" s="240" t="s">
        <v>231</v>
      </c>
      <c r="IF80" s="240" t="s">
        <v>231</v>
      </c>
      <c r="IG80" s="240" t="s">
        <v>231</v>
      </c>
      <c r="IH80" s="240" t="s">
        <v>231</v>
      </c>
      <c r="II80" s="240" t="s">
        <v>231</v>
      </c>
      <c r="IJ80" s="240" t="s">
        <v>231</v>
      </c>
      <c r="IK80" s="240" t="s">
        <v>232</v>
      </c>
      <c r="IL80" s="240" t="s">
        <v>232</v>
      </c>
      <c r="IM80" s="240" t="s">
        <v>232</v>
      </c>
      <c r="IN80" s="240" t="s">
        <v>231</v>
      </c>
      <c r="IO80" s="240" t="s">
        <v>220</v>
      </c>
      <c r="IP80" s="240" t="s">
        <v>493</v>
      </c>
      <c r="IQ80" s="240" t="s">
        <v>219</v>
      </c>
      <c r="IR80" s="240" t="s">
        <v>490</v>
      </c>
      <c r="IS80" s="240" t="s">
        <v>231</v>
      </c>
      <c r="IT80" s="240" t="s">
        <v>231</v>
      </c>
    </row>
    <row r="81" spans="1:254" ht="15" x14ac:dyDescent="0.25">
      <c r="A81" s="258" t="str">
        <f>HYPERLINK("http://www.ofsted.gov.uk/inspection-reports/find-inspection-report/provider/ELS/135557 ","Ofsted School Webpage")</f>
        <v>Ofsted School Webpage</v>
      </c>
      <c r="B81" s="237">
        <v>135557</v>
      </c>
      <c r="C81" s="237">
        <v>3596009</v>
      </c>
      <c r="D81" s="237" t="s">
        <v>711</v>
      </c>
      <c r="E81" s="237" t="s">
        <v>248</v>
      </c>
      <c r="F81" s="237" t="s">
        <v>501</v>
      </c>
      <c r="G81" s="237" t="s">
        <v>495</v>
      </c>
      <c r="H81" s="237" t="s">
        <v>495</v>
      </c>
      <c r="I81" s="237" t="s">
        <v>496</v>
      </c>
      <c r="J81" s="237" t="s">
        <v>712</v>
      </c>
      <c r="K81" s="237" t="s">
        <v>93</v>
      </c>
      <c r="L81" s="237" t="s">
        <v>93</v>
      </c>
      <c r="M81" s="237" t="s">
        <v>93</v>
      </c>
      <c r="N81" s="237" t="s">
        <v>90</v>
      </c>
      <c r="O81" s="237" t="s">
        <v>486</v>
      </c>
      <c r="P81" s="237" t="s">
        <v>487</v>
      </c>
      <c r="Q81" s="238">
        <v>10053729</v>
      </c>
      <c r="R81" s="239">
        <v>43410</v>
      </c>
      <c r="S81" s="239">
        <v>43412</v>
      </c>
      <c r="T81" s="239">
        <v>43436</v>
      </c>
      <c r="U81" s="237" t="s">
        <v>488</v>
      </c>
      <c r="V81" s="237" t="s">
        <v>489</v>
      </c>
      <c r="W81" s="237">
        <v>2</v>
      </c>
      <c r="X81" s="237">
        <v>2</v>
      </c>
      <c r="Y81" s="237">
        <v>1</v>
      </c>
      <c r="Z81" s="237">
        <v>2</v>
      </c>
      <c r="AA81" s="237">
        <v>2</v>
      </c>
      <c r="AB81" s="237" t="s">
        <v>486</v>
      </c>
      <c r="AC81" s="237" t="s">
        <v>486</v>
      </c>
      <c r="AD81" s="237" t="s">
        <v>219</v>
      </c>
      <c r="AE81" s="237" t="s">
        <v>490</v>
      </c>
      <c r="AF81" s="237" t="s">
        <v>486</v>
      </c>
      <c r="AG81" s="237" t="s">
        <v>486</v>
      </c>
      <c r="AH81" s="237" t="s">
        <v>486</v>
      </c>
      <c r="AI81" s="237" t="s">
        <v>486</v>
      </c>
      <c r="AJ81" s="237" t="s">
        <v>486</v>
      </c>
      <c r="AK81" s="237" t="s">
        <v>486</v>
      </c>
      <c r="AL81" s="237" t="s">
        <v>486</v>
      </c>
      <c r="AM81" s="237" t="s">
        <v>491</v>
      </c>
      <c r="AN81" s="237" t="s">
        <v>231</v>
      </c>
      <c r="AO81" s="237" t="s">
        <v>231</v>
      </c>
      <c r="AP81" s="237" t="s">
        <v>231</v>
      </c>
      <c r="AQ81" s="237" t="s">
        <v>231</v>
      </c>
      <c r="AR81" s="237" t="s">
        <v>231</v>
      </c>
      <c r="AS81" s="237" t="s">
        <v>231</v>
      </c>
      <c r="AT81" s="237" t="s">
        <v>231</v>
      </c>
      <c r="AU81" s="237" t="s">
        <v>231</v>
      </c>
      <c r="AV81" s="237" t="s">
        <v>231</v>
      </c>
      <c r="AW81" s="237" t="s">
        <v>231</v>
      </c>
      <c r="AX81" s="237" t="s">
        <v>231</v>
      </c>
      <c r="AY81" s="237" t="s">
        <v>231</v>
      </c>
      <c r="AZ81" s="237" t="s">
        <v>231</v>
      </c>
      <c r="BA81" s="237" t="s">
        <v>231</v>
      </c>
      <c r="BB81" s="237" t="s">
        <v>231</v>
      </c>
      <c r="BC81" s="237" t="s">
        <v>231</v>
      </c>
      <c r="BD81" s="237" t="s">
        <v>231</v>
      </c>
      <c r="BE81" s="237" t="s">
        <v>231</v>
      </c>
      <c r="BF81" s="237" t="s">
        <v>231</v>
      </c>
      <c r="BG81" s="237" t="s">
        <v>231</v>
      </c>
      <c r="BH81" s="237" t="s">
        <v>231</v>
      </c>
      <c r="BI81" s="237" t="s">
        <v>231</v>
      </c>
      <c r="BJ81" s="237" t="s">
        <v>231</v>
      </c>
      <c r="BK81" s="237" t="s">
        <v>231</v>
      </c>
      <c r="BL81" s="237" t="s">
        <v>492</v>
      </c>
      <c r="BM81" s="237" t="s">
        <v>492</v>
      </c>
      <c r="BN81" s="237" t="s">
        <v>231</v>
      </c>
      <c r="BO81" s="237" t="s">
        <v>231</v>
      </c>
      <c r="BP81" s="237" t="s">
        <v>231</v>
      </c>
      <c r="BQ81" s="237" t="s">
        <v>231</v>
      </c>
      <c r="BR81" s="237" t="s">
        <v>231</v>
      </c>
      <c r="BS81" s="237" t="s">
        <v>231</v>
      </c>
      <c r="BT81" s="237" t="s">
        <v>231</v>
      </c>
      <c r="BU81" s="237" t="s">
        <v>231</v>
      </c>
      <c r="BV81" s="237" t="s">
        <v>231</v>
      </c>
      <c r="BW81" s="237" t="s">
        <v>231</v>
      </c>
      <c r="BX81" s="237" t="s">
        <v>231</v>
      </c>
      <c r="BY81" s="237" t="s">
        <v>231</v>
      </c>
      <c r="BZ81" s="237" t="s">
        <v>231</v>
      </c>
      <c r="CA81" s="237" t="s">
        <v>231</v>
      </c>
      <c r="CB81" s="237" t="s">
        <v>231</v>
      </c>
      <c r="CC81" s="237" t="s">
        <v>231</v>
      </c>
      <c r="CD81" s="237" t="s">
        <v>231</v>
      </c>
      <c r="CE81" s="237" t="s">
        <v>231</v>
      </c>
      <c r="CF81" s="237" t="s">
        <v>231</v>
      </c>
      <c r="CG81" s="237" t="s">
        <v>231</v>
      </c>
      <c r="CH81" s="237" t="s">
        <v>231</v>
      </c>
      <c r="CI81" s="237" t="s">
        <v>231</v>
      </c>
      <c r="CJ81" s="237" t="s">
        <v>231</v>
      </c>
      <c r="CK81" s="237" t="s">
        <v>231</v>
      </c>
      <c r="CL81" s="237" t="s">
        <v>231</v>
      </c>
      <c r="CM81" s="237" t="s">
        <v>231</v>
      </c>
      <c r="CN81" s="237" t="s">
        <v>231</v>
      </c>
      <c r="CO81" s="237" t="s">
        <v>231</v>
      </c>
      <c r="CP81" s="237" t="s">
        <v>231</v>
      </c>
      <c r="CQ81" s="237" t="s">
        <v>231</v>
      </c>
      <c r="CR81" s="237" t="s">
        <v>231</v>
      </c>
      <c r="CS81" s="237" t="s">
        <v>231</v>
      </c>
      <c r="CT81" s="237" t="s">
        <v>492</v>
      </c>
      <c r="CU81" s="237" t="s">
        <v>492</v>
      </c>
      <c r="CV81" s="237" t="s">
        <v>492</v>
      </c>
      <c r="CW81" s="237" t="s">
        <v>231</v>
      </c>
      <c r="CX81" s="237" t="s">
        <v>231</v>
      </c>
      <c r="CY81" s="237" t="s">
        <v>231</v>
      </c>
      <c r="CZ81" s="237" t="s">
        <v>231</v>
      </c>
      <c r="DA81" s="237" t="s">
        <v>231</v>
      </c>
      <c r="DB81" s="237" t="s">
        <v>231</v>
      </c>
      <c r="DC81" s="237" t="s">
        <v>231</v>
      </c>
      <c r="DD81" s="237" t="s">
        <v>231</v>
      </c>
      <c r="DE81" s="237" t="s">
        <v>231</v>
      </c>
      <c r="DF81" s="237" t="s">
        <v>231</v>
      </c>
      <c r="DG81" s="237" t="s">
        <v>231</v>
      </c>
      <c r="DH81" s="237" t="s">
        <v>231</v>
      </c>
      <c r="DI81" s="237" t="s">
        <v>231</v>
      </c>
      <c r="DJ81" s="237" t="s">
        <v>231</v>
      </c>
      <c r="DK81" s="237" t="s">
        <v>231</v>
      </c>
      <c r="DL81" s="237" t="s">
        <v>231</v>
      </c>
      <c r="DM81" s="237" t="s">
        <v>231</v>
      </c>
      <c r="DN81" s="237" t="s">
        <v>231</v>
      </c>
      <c r="DO81" s="237" t="s">
        <v>231</v>
      </c>
      <c r="DP81" s="237" t="s">
        <v>231</v>
      </c>
      <c r="DQ81" s="237" t="s">
        <v>231</v>
      </c>
      <c r="DR81" s="237" t="s">
        <v>231</v>
      </c>
      <c r="DS81" s="237" t="s">
        <v>231</v>
      </c>
      <c r="DT81" s="237" t="s">
        <v>492</v>
      </c>
      <c r="DU81" s="237" t="s">
        <v>231</v>
      </c>
      <c r="DV81" s="237" t="s">
        <v>231</v>
      </c>
      <c r="DW81" s="237" t="s">
        <v>231</v>
      </c>
      <c r="DX81" s="237" t="s">
        <v>231</v>
      </c>
      <c r="DY81" s="237" t="s">
        <v>231</v>
      </c>
      <c r="DZ81" s="237" t="s">
        <v>231</v>
      </c>
      <c r="EA81" s="237" t="s">
        <v>231</v>
      </c>
      <c r="EB81" s="237" t="s">
        <v>231</v>
      </c>
      <c r="EC81" s="237" t="s">
        <v>231</v>
      </c>
      <c r="ED81" s="237" t="s">
        <v>231</v>
      </c>
      <c r="EE81" s="237" t="s">
        <v>231</v>
      </c>
      <c r="EF81" s="237" t="s">
        <v>231</v>
      </c>
      <c r="EG81" s="237" t="s">
        <v>231</v>
      </c>
      <c r="EH81" s="237" t="s">
        <v>492</v>
      </c>
      <c r="EI81" s="237" t="s">
        <v>231</v>
      </c>
      <c r="EJ81" s="237" t="s">
        <v>231</v>
      </c>
      <c r="EK81" s="237" t="s">
        <v>231</v>
      </c>
      <c r="EL81" s="237" t="s">
        <v>231</v>
      </c>
      <c r="EM81" s="237" t="s">
        <v>231</v>
      </c>
      <c r="EN81" s="237" t="s">
        <v>231</v>
      </c>
      <c r="EO81" s="237" t="s">
        <v>231</v>
      </c>
      <c r="EP81" s="237" t="s">
        <v>231</v>
      </c>
      <c r="EQ81" s="237" t="s">
        <v>231</v>
      </c>
      <c r="ER81" s="237" t="s">
        <v>231</v>
      </c>
      <c r="ES81" s="237" t="s">
        <v>231</v>
      </c>
      <c r="ET81" s="237" t="s">
        <v>231</v>
      </c>
      <c r="EU81" s="237" t="s">
        <v>231</v>
      </c>
      <c r="EV81" s="237" t="s">
        <v>231</v>
      </c>
      <c r="EW81" s="237" t="s">
        <v>231</v>
      </c>
      <c r="EX81" s="237" t="s">
        <v>231</v>
      </c>
      <c r="EY81" s="237" t="s">
        <v>231</v>
      </c>
      <c r="EZ81" s="237" t="s">
        <v>231</v>
      </c>
      <c r="FA81" s="237" t="s">
        <v>231</v>
      </c>
      <c r="FB81" s="237" t="s">
        <v>231</v>
      </c>
      <c r="FC81" s="237" t="s">
        <v>231</v>
      </c>
      <c r="FD81" s="237" t="s">
        <v>231</v>
      </c>
      <c r="FE81" s="237" t="s">
        <v>231</v>
      </c>
      <c r="FF81" s="237" t="s">
        <v>231</v>
      </c>
      <c r="FG81" s="237" t="s">
        <v>231</v>
      </c>
      <c r="FH81" s="237" t="s">
        <v>231</v>
      </c>
      <c r="FI81" s="237" t="s">
        <v>231</v>
      </c>
      <c r="FJ81" s="237" t="s">
        <v>231</v>
      </c>
      <c r="FK81" s="237" t="s">
        <v>231</v>
      </c>
      <c r="FL81" s="237" t="s">
        <v>231</v>
      </c>
      <c r="FM81" s="237" t="s">
        <v>231</v>
      </c>
      <c r="FN81" s="237" t="s">
        <v>231</v>
      </c>
      <c r="FO81" s="237" t="s">
        <v>231</v>
      </c>
      <c r="FP81" s="237" t="s">
        <v>231</v>
      </c>
      <c r="FQ81" s="237" t="s">
        <v>231</v>
      </c>
      <c r="FR81" s="237" t="s">
        <v>231</v>
      </c>
      <c r="FS81" s="237" t="s">
        <v>231</v>
      </c>
      <c r="FT81" s="237" t="s">
        <v>231</v>
      </c>
      <c r="FU81" s="237" t="s">
        <v>231</v>
      </c>
      <c r="FV81" s="237" t="s">
        <v>231</v>
      </c>
      <c r="FW81" s="237" t="s">
        <v>231</v>
      </c>
      <c r="FX81" s="237" t="s">
        <v>492</v>
      </c>
      <c r="FY81" s="237" t="s">
        <v>492</v>
      </c>
      <c r="FZ81" s="237" t="s">
        <v>231</v>
      </c>
      <c r="GA81" s="237" t="s">
        <v>231</v>
      </c>
      <c r="GB81" s="237" t="s">
        <v>231</v>
      </c>
      <c r="GC81" s="237" t="s">
        <v>231</v>
      </c>
      <c r="GD81" s="237" t="s">
        <v>231</v>
      </c>
      <c r="GE81" s="237" t="s">
        <v>231</v>
      </c>
      <c r="GF81" s="237" t="s">
        <v>231</v>
      </c>
      <c r="GG81" s="237" t="s">
        <v>231</v>
      </c>
      <c r="GH81" s="237" t="s">
        <v>231</v>
      </c>
      <c r="GI81" s="237" t="s">
        <v>231</v>
      </c>
      <c r="GJ81" s="237" t="s">
        <v>231</v>
      </c>
      <c r="GK81" s="237" t="s">
        <v>231</v>
      </c>
      <c r="GL81" s="237" t="s">
        <v>231</v>
      </c>
      <c r="GM81" s="237" t="s">
        <v>231</v>
      </c>
      <c r="GN81" s="237" t="s">
        <v>231</v>
      </c>
      <c r="GO81" s="237" t="s">
        <v>231</v>
      </c>
      <c r="GP81" s="237" t="s">
        <v>231</v>
      </c>
      <c r="GQ81" s="237" t="s">
        <v>231</v>
      </c>
      <c r="GR81" s="237" t="s">
        <v>231</v>
      </c>
      <c r="GS81" s="237" t="s">
        <v>231</v>
      </c>
      <c r="GT81" s="237" t="s">
        <v>231</v>
      </c>
      <c r="GU81" s="237" t="s">
        <v>231</v>
      </c>
      <c r="GV81" s="237" t="s">
        <v>231</v>
      </c>
      <c r="GW81" s="237" t="s">
        <v>231</v>
      </c>
      <c r="GX81" s="237" t="s">
        <v>231</v>
      </c>
      <c r="GY81" s="237" t="s">
        <v>231</v>
      </c>
      <c r="GZ81" s="237" t="s">
        <v>231</v>
      </c>
      <c r="HA81" s="237" t="s">
        <v>231</v>
      </c>
      <c r="HB81" s="237" t="s">
        <v>231</v>
      </c>
      <c r="HC81" s="237" t="s">
        <v>231</v>
      </c>
      <c r="HD81" s="237" t="s">
        <v>231</v>
      </c>
      <c r="HE81" s="237" t="s">
        <v>492</v>
      </c>
      <c r="HF81" s="237" t="s">
        <v>231</v>
      </c>
      <c r="HG81" s="237" t="s">
        <v>231</v>
      </c>
      <c r="HH81" s="237" t="s">
        <v>231</v>
      </c>
      <c r="HI81" s="237" t="s">
        <v>231</v>
      </c>
      <c r="HJ81" s="237" t="s">
        <v>231</v>
      </c>
      <c r="HK81" s="237" t="s">
        <v>231</v>
      </c>
      <c r="HL81" s="237" t="s">
        <v>231</v>
      </c>
      <c r="HM81" s="237" t="s">
        <v>231</v>
      </c>
      <c r="HN81" s="237" t="s">
        <v>231</v>
      </c>
      <c r="HO81" s="237" t="s">
        <v>231</v>
      </c>
      <c r="HP81" s="237" t="s">
        <v>231</v>
      </c>
      <c r="HQ81" s="237" t="s">
        <v>492</v>
      </c>
      <c r="HR81" s="237" t="s">
        <v>492</v>
      </c>
      <c r="HS81" s="237" t="s">
        <v>492</v>
      </c>
      <c r="HT81" s="237" t="s">
        <v>492</v>
      </c>
      <c r="HU81" s="237" t="s">
        <v>231</v>
      </c>
      <c r="HV81" s="237" t="s">
        <v>231</v>
      </c>
      <c r="HW81" s="237" t="s">
        <v>231</v>
      </c>
      <c r="HX81" s="237" t="s">
        <v>231</v>
      </c>
      <c r="HY81" s="237" t="s">
        <v>231</v>
      </c>
      <c r="HZ81" s="237" t="s">
        <v>231</v>
      </c>
      <c r="IA81" s="237" t="s">
        <v>231</v>
      </c>
      <c r="IB81" s="237" t="s">
        <v>231</v>
      </c>
      <c r="IC81" s="237" t="s">
        <v>231</v>
      </c>
      <c r="ID81" s="237" t="s">
        <v>231</v>
      </c>
      <c r="IE81" s="237" t="s">
        <v>231</v>
      </c>
      <c r="IF81" s="237" t="s">
        <v>231</v>
      </c>
      <c r="IG81" s="237" t="s">
        <v>231</v>
      </c>
      <c r="IH81" s="237" t="s">
        <v>231</v>
      </c>
      <c r="II81" s="237" t="s">
        <v>231</v>
      </c>
      <c r="IJ81" s="237" t="s">
        <v>231</v>
      </c>
      <c r="IK81" s="237" t="s">
        <v>231</v>
      </c>
      <c r="IL81" s="237" t="s">
        <v>231</v>
      </c>
      <c r="IM81" s="237" t="s">
        <v>231</v>
      </c>
      <c r="IN81" s="237" t="s">
        <v>231</v>
      </c>
      <c r="IO81" s="237" t="s">
        <v>486</v>
      </c>
      <c r="IP81" s="237" t="s">
        <v>493</v>
      </c>
      <c r="IQ81" s="237" t="s">
        <v>219</v>
      </c>
      <c r="IR81" s="237" t="s">
        <v>490</v>
      </c>
      <c r="IS81" s="237" t="s">
        <v>492</v>
      </c>
      <c r="IT81" s="237" t="s">
        <v>492</v>
      </c>
    </row>
    <row r="82" spans="1:254" ht="15" x14ac:dyDescent="0.25">
      <c r="A82" s="259" t="str">
        <f>HYPERLINK("http://www.ofsted.gov.uk/inspection-reports/find-inspection-report/provider/ELS/145298 ","Ofsted School Webpage")</f>
        <v>Ofsted School Webpage</v>
      </c>
      <c r="B82" s="240">
        <v>145298</v>
      </c>
      <c r="C82" s="240">
        <v>8256048</v>
      </c>
      <c r="D82" s="240" t="s">
        <v>713</v>
      </c>
      <c r="E82" s="240" t="s">
        <v>248</v>
      </c>
      <c r="F82" s="240" t="s">
        <v>501</v>
      </c>
      <c r="G82" s="240" t="s">
        <v>581</v>
      </c>
      <c r="H82" s="240" t="s">
        <v>581</v>
      </c>
      <c r="I82" s="240" t="s">
        <v>714</v>
      </c>
      <c r="J82" s="240" t="s">
        <v>715</v>
      </c>
      <c r="K82" s="240" t="s">
        <v>93</v>
      </c>
      <c r="L82" s="240" t="s">
        <v>93</v>
      </c>
      <c r="M82" s="240" t="s">
        <v>93</v>
      </c>
      <c r="N82" s="240" t="s">
        <v>90</v>
      </c>
      <c r="O82" s="240" t="s">
        <v>486</v>
      </c>
      <c r="P82" s="240" t="s">
        <v>487</v>
      </c>
      <c r="Q82" s="241">
        <v>10054086</v>
      </c>
      <c r="R82" s="242">
        <v>43410</v>
      </c>
      <c r="S82" s="242">
        <v>43412</v>
      </c>
      <c r="T82" s="242">
        <v>43436</v>
      </c>
      <c r="U82" s="240" t="s">
        <v>499</v>
      </c>
      <c r="V82" s="240" t="s">
        <v>489</v>
      </c>
      <c r="W82" s="240">
        <v>2</v>
      </c>
      <c r="X82" s="240">
        <v>2</v>
      </c>
      <c r="Y82" s="240">
        <v>2</v>
      </c>
      <c r="Z82" s="240">
        <v>2</v>
      </c>
      <c r="AA82" s="240">
        <v>2</v>
      </c>
      <c r="AB82" s="240" t="s">
        <v>486</v>
      </c>
      <c r="AC82" s="240" t="s">
        <v>486</v>
      </c>
      <c r="AD82" s="240" t="s">
        <v>219</v>
      </c>
      <c r="AE82" s="240" t="s">
        <v>490</v>
      </c>
      <c r="AF82" s="240" t="s">
        <v>486</v>
      </c>
      <c r="AG82" s="240" t="s">
        <v>486</v>
      </c>
      <c r="AH82" s="240" t="s">
        <v>486</v>
      </c>
      <c r="AI82" s="240" t="s">
        <v>486</v>
      </c>
      <c r="AJ82" s="240" t="s">
        <v>486</v>
      </c>
      <c r="AK82" s="240" t="s">
        <v>486</v>
      </c>
      <c r="AL82" s="240" t="s">
        <v>486</v>
      </c>
      <c r="AM82" s="240" t="s">
        <v>491</v>
      </c>
      <c r="AN82" s="240" t="s">
        <v>231</v>
      </c>
      <c r="AO82" s="240" t="s">
        <v>231</v>
      </c>
      <c r="AP82" s="240" t="s">
        <v>231</v>
      </c>
      <c r="AQ82" s="240" t="s">
        <v>231</v>
      </c>
      <c r="AR82" s="240" t="s">
        <v>231</v>
      </c>
      <c r="AS82" s="240" t="s">
        <v>231</v>
      </c>
      <c r="AT82" s="240" t="s">
        <v>231</v>
      </c>
      <c r="AU82" s="240" t="s">
        <v>231</v>
      </c>
      <c r="AV82" s="240" t="s">
        <v>231</v>
      </c>
      <c r="AW82" s="240" t="s">
        <v>231</v>
      </c>
      <c r="AX82" s="240" t="s">
        <v>231</v>
      </c>
      <c r="AY82" s="240" t="s">
        <v>231</v>
      </c>
      <c r="AZ82" s="240" t="s">
        <v>231</v>
      </c>
      <c r="BA82" s="240" t="s">
        <v>231</v>
      </c>
      <c r="BB82" s="240" t="s">
        <v>231</v>
      </c>
      <c r="BC82" s="240" t="s">
        <v>231</v>
      </c>
      <c r="BD82" s="240" t="s">
        <v>492</v>
      </c>
      <c r="BE82" s="240" t="s">
        <v>231</v>
      </c>
      <c r="BF82" s="240" t="s">
        <v>231</v>
      </c>
      <c r="BG82" s="240" t="s">
        <v>231</v>
      </c>
      <c r="BH82" s="240" t="s">
        <v>231</v>
      </c>
      <c r="BI82" s="240" t="s">
        <v>231</v>
      </c>
      <c r="BJ82" s="240" t="s">
        <v>231</v>
      </c>
      <c r="BK82" s="240" t="s">
        <v>231</v>
      </c>
      <c r="BL82" s="240" t="s">
        <v>492</v>
      </c>
      <c r="BM82" s="240" t="s">
        <v>492</v>
      </c>
      <c r="BN82" s="240" t="s">
        <v>231</v>
      </c>
      <c r="BO82" s="240" t="s">
        <v>231</v>
      </c>
      <c r="BP82" s="240" t="s">
        <v>231</v>
      </c>
      <c r="BQ82" s="240" t="s">
        <v>231</v>
      </c>
      <c r="BR82" s="240" t="s">
        <v>231</v>
      </c>
      <c r="BS82" s="240" t="s">
        <v>231</v>
      </c>
      <c r="BT82" s="240" t="s">
        <v>231</v>
      </c>
      <c r="BU82" s="240" t="s">
        <v>231</v>
      </c>
      <c r="BV82" s="240" t="s">
        <v>231</v>
      </c>
      <c r="BW82" s="240" t="s">
        <v>231</v>
      </c>
      <c r="BX82" s="240" t="s">
        <v>231</v>
      </c>
      <c r="BY82" s="240" t="s">
        <v>231</v>
      </c>
      <c r="BZ82" s="240" t="s">
        <v>231</v>
      </c>
      <c r="CA82" s="240" t="s">
        <v>231</v>
      </c>
      <c r="CB82" s="240" t="s">
        <v>231</v>
      </c>
      <c r="CC82" s="240" t="s">
        <v>231</v>
      </c>
      <c r="CD82" s="240" t="s">
        <v>231</v>
      </c>
      <c r="CE82" s="240" t="s">
        <v>231</v>
      </c>
      <c r="CF82" s="240" t="s">
        <v>231</v>
      </c>
      <c r="CG82" s="240" t="s">
        <v>231</v>
      </c>
      <c r="CH82" s="240" t="s">
        <v>231</v>
      </c>
      <c r="CI82" s="240" t="s">
        <v>231</v>
      </c>
      <c r="CJ82" s="240" t="s">
        <v>231</v>
      </c>
      <c r="CK82" s="240" t="s">
        <v>231</v>
      </c>
      <c r="CL82" s="240" t="s">
        <v>231</v>
      </c>
      <c r="CM82" s="240" t="s">
        <v>231</v>
      </c>
      <c r="CN82" s="240" t="s">
        <v>231</v>
      </c>
      <c r="CO82" s="240" t="s">
        <v>231</v>
      </c>
      <c r="CP82" s="240" t="s">
        <v>231</v>
      </c>
      <c r="CQ82" s="240" t="s">
        <v>231</v>
      </c>
      <c r="CR82" s="240" t="s">
        <v>231</v>
      </c>
      <c r="CS82" s="240" t="s">
        <v>231</v>
      </c>
      <c r="CT82" s="240" t="s">
        <v>492</v>
      </c>
      <c r="CU82" s="240" t="s">
        <v>492</v>
      </c>
      <c r="CV82" s="240" t="s">
        <v>492</v>
      </c>
      <c r="CW82" s="240" t="s">
        <v>231</v>
      </c>
      <c r="CX82" s="240" t="s">
        <v>231</v>
      </c>
      <c r="CY82" s="240" t="s">
        <v>231</v>
      </c>
      <c r="CZ82" s="240" t="s">
        <v>231</v>
      </c>
      <c r="DA82" s="240" t="s">
        <v>231</v>
      </c>
      <c r="DB82" s="240" t="s">
        <v>231</v>
      </c>
      <c r="DC82" s="240" t="s">
        <v>231</v>
      </c>
      <c r="DD82" s="240" t="s">
        <v>231</v>
      </c>
      <c r="DE82" s="240" t="s">
        <v>231</v>
      </c>
      <c r="DF82" s="240" t="s">
        <v>231</v>
      </c>
      <c r="DG82" s="240" t="s">
        <v>231</v>
      </c>
      <c r="DH82" s="240" t="s">
        <v>231</v>
      </c>
      <c r="DI82" s="240" t="s">
        <v>231</v>
      </c>
      <c r="DJ82" s="240" t="s">
        <v>231</v>
      </c>
      <c r="DK82" s="240" t="s">
        <v>231</v>
      </c>
      <c r="DL82" s="240" t="s">
        <v>231</v>
      </c>
      <c r="DM82" s="240" t="s">
        <v>231</v>
      </c>
      <c r="DN82" s="240" t="s">
        <v>231</v>
      </c>
      <c r="DO82" s="240" t="s">
        <v>231</v>
      </c>
      <c r="DP82" s="240" t="s">
        <v>231</v>
      </c>
      <c r="DQ82" s="240" t="s">
        <v>231</v>
      </c>
      <c r="DR82" s="240" t="s">
        <v>231</v>
      </c>
      <c r="DS82" s="240" t="s">
        <v>231</v>
      </c>
      <c r="DT82" s="240" t="s">
        <v>492</v>
      </c>
      <c r="DU82" s="240" t="s">
        <v>231</v>
      </c>
      <c r="DV82" s="240" t="s">
        <v>231</v>
      </c>
      <c r="DW82" s="240" t="s">
        <v>231</v>
      </c>
      <c r="DX82" s="240" t="s">
        <v>231</v>
      </c>
      <c r="DY82" s="240" t="s">
        <v>231</v>
      </c>
      <c r="DZ82" s="240" t="s">
        <v>231</v>
      </c>
      <c r="EA82" s="240" t="s">
        <v>231</v>
      </c>
      <c r="EB82" s="240" t="s">
        <v>231</v>
      </c>
      <c r="EC82" s="240" t="s">
        <v>231</v>
      </c>
      <c r="ED82" s="240" t="s">
        <v>231</v>
      </c>
      <c r="EE82" s="240" t="s">
        <v>231</v>
      </c>
      <c r="EF82" s="240" t="s">
        <v>231</v>
      </c>
      <c r="EG82" s="240" t="s">
        <v>231</v>
      </c>
      <c r="EH82" s="240" t="s">
        <v>492</v>
      </c>
      <c r="EI82" s="240" t="s">
        <v>231</v>
      </c>
      <c r="EJ82" s="240" t="s">
        <v>231</v>
      </c>
      <c r="EK82" s="240" t="s">
        <v>231</v>
      </c>
      <c r="EL82" s="240" t="s">
        <v>231</v>
      </c>
      <c r="EM82" s="240" t="s">
        <v>231</v>
      </c>
      <c r="EN82" s="240" t="s">
        <v>231</v>
      </c>
      <c r="EO82" s="240" t="s">
        <v>231</v>
      </c>
      <c r="EP82" s="240" t="s">
        <v>231</v>
      </c>
      <c r="EQ82" s="240" t="s">
        <v>231</v>
      </c>
      <c r="ER82" s="240" t="s">
        <v>231</v>
      </c>
      <c r="ES82" s="240" t="s">
        <v>231</v>
      </c>
      <c r="ET82" s="240" t="s">
        <v>231</v>
      </c>
      <c r="EU82" s="240" t="s">
        <v>231</v>
      </c>
      <c r="EV82" s="240" t="s">
        <v>231</v>
      </c>
      <c r="EW82" s="240" t="s">
        <v>231</v>
      </c>
      <c r="EX82" s="240" t="s">
        <v>231</v>
      </c>
      <c r="EY82" s="240" t="s">
        <v>231</v>
      </c>
      <c r="EZ82" s="240" t="s">
        <v>231</v>
      </c>
      <c r="FA82" s="240" t="s">
        <v>231</v>
      </c>
      <c r="FB82" s="240" t="s">
        <v>231</v>
      </c>
      <c r="FC82" s="240" t="s">
        <v>231</v>
      </c>
      <c r="FD82" s="240" t="s">
        <v>231</v>
      </c>
      <c r="FE82" s="240" t="s">
        <v>231</v>
      </c>
      <c r="FF82" s="240" t="s">
        <v>231</v>
      </c>
      <c r="FG82" s="240" t="s">
        <v>231</v>
      </c>
      <c r="FH82" s="240" t="s">
        <v>231</v>
      </c>
      <c r="FI82" s="240" t="s">
        <v>231</v>
      </c>
      <c r="FJ82" s="240" t="s">
        <v>231</v>
      </c>
      <c r="FK82" s="240" t="s">
        <v>231</v>
      </c>
      <c r="FL82" s="240" t="s">
        <v>231</v>
      </c>
      <c r="FM82" s="240" t="s">
        <v>231</v>
      </c>
      <c r="FN82" s="240" t="s">
        <v>231</v>
      </c>
      <c r="FO82" s="240" t="s">
        <v>231</v>
      </c>
      <c r="FP82" s="240" t="s">
        <v>231</v>
      </c>
      <c r="FQ82" s="240" t="s">
        <v>231</v>
      </c>
      <c r="FR82" s="240" t="s">
        <v>231</v>
      </c>
      <c r="FS82" s="240" t="s">
        <v>231</v>
      </c>
      <c r="FT82" s="240" t="s">
        <v>231</v>
      </c>
      <c r="FU82" s="240" t="s">
        <v>231</v>
      </c>
      <c r="FV82" s="240" t="s">
        <v>231</v>
      </c>
      <c r="FW82" s="240" t="s">
        <v>231</v>
      </c>
      <c r="FX82" s="240" t="s">
        <v>492</v>
      </c>
      <c r="FY82" s="240" t="s">
        <v>231</v>
      </c>
      <c r="FZ82" s="240" t="s">
        <v>231</v>
      </c>
      <c r="GA82" s="240" t="s">
        <v>231</v>
      </c>
      <c r="GB82" s="240" t="s">
        <v>231</v>
      </c>
      <c r="GC82" s="240" t="s">
        <v>231</v>
      </c>
      <c r="GD82" s="240" t="s">
        <v>231</v>
      </c>
      <c r="GE82" s="240" t="s">
        <v>231</v>
      </c>
      <c r="GF82" s="240" t="s">
        <v>231</v>
      </c>
      <c r="GG82" s="240" t="s">
        <v>231</v>
      </c>
      <c r="GH82" s="240" t="s">
        <v>231</v>
      </c>
      <c r="GI82" s="240" t="s">
        <v>231</v>
      </c>
      <c r="GJ82" s="240" t="s">
        <v>231</v>
      </c>
      <c r="GK82" s="240" t="s">
        <v>231</v>
      </c>
      <c r="GL82" s="240" t="s">
        <v>231</v>
      </c>
      <c r="GM82" s="240" t="s">
        <v>231</v>
      </c>
      <c r="GN82" s="240" t="s">
        <v>231</v>
      </c>
      <c r="GO82" s="240" t="s">
        <v>231</v>
      </c>
      <c r="GP82" s="240" t="s">
        <v>492</v>
      </c>
      <c r="GQ82" s="240" t="s">
        <v>231</v>
      </c>
      <c r="GR82" s="240" t="s">
        <v>231</v>
      </c>
      <c r="GS82" s="240" t="s">
        <v>231</v>
      </c>
      <c r="GT82" s="240" t="s">
        <v>231</v>
      </c>
      <c r="GU82" s="240" t="s">
        <v>231</v>
      </c>
      <c r="GV82" s="240" t="s">
        <v>231</v>
      </c>
      <c r="GW82" s="240" t="s">
        <v>231</v>
      </c>
      <c r="GX82" s="240" t="s">
        <v>231</v>
      </c>
      <c r="GY82" s="240" t="s">
        <v>231</v>
      </c>
      <c r="GZ82" s="240" t="s">
        <v>231</v>
      </c>
      <c r="HA82" s="240" t="s">
        <v>231</v>
      </c>
      <c r="HB82" s="240" t="s">
        <v>231</v>
      </c>
      <c r="HC82" s="240" t="s">
        <v>231</v>
      </c>
      <c r="HD82" s="240" t="s">
        <v>231</v>
      </c>
      <c r="HE82" s="240" t="s">
        <v>231</v>
      </c>
      <c r="HF82" s="240" t="s">
        <v>231</v>
      </c>
      <c r="HG82" s="240" t="s">
        <v>231</v>
      </c>
      <c r="HH82" s="240" t="s">
        <v>231</v>
      </c>
      <c r="HI82" s="240" t="s">
        <v>231</v>
      </c>
      <c r="HJ82" s="240" t="s">
        <v>231</v>
      </c>
      <c r="HK82" s="240" t="s">
        <v>231</v>
      </c>
      <c r="HL82" s="240" t="s">
        <v>231</v>
      </c>
      <c r="HM82" s="240" t="s">
        <v>231</v>
      </c>
      <c r="HN82" s="240" t="s">
        <v>231</v>
      </c>
      <c r="HO82" s="240" t="s">
        <v>231</v>
      </c>
      <c r="HP82" s="240" t="s">
        <v>231</v>
      </c>
      <c r="HQ82" s="240" t="s">
        <v>231</v>
      </c>
      <c r="HR82" s="240" t="s">
        <v>231</v>
      </c>
      <c r="HS82" s="240" t="s">
        <v>231</v>
      </c>
      <c r="HT82" s="240" t="s">
        <v>231</v>
      </c>
      <c r="HU82" s="240" t="s">
        <v>231</v>
      </c>
      <c r="HV82" s="240" t="s">
        <v>231</v>
      </c>
      <c r="HW82" s="240" t="s">
        <v>231</v>
      </c>
      <c r="HX82" s="240" t="s">
        <v>231</v>
      </c>
      <c r="HY82" s="240" t="s">
        <v>231</v>
      </c>
      <c r="HZ82" s="240" t="s">
        <v>231</v>
      </c>
      <c r="IA82" s="240" t="s">
        <v>231</v>
      </c>
      <c r="IB82" s="240" t="s">
        <v>231</v>
      </c>
      <c r="IC82" s="240" t="s">
        <v>231</v>
      </c>
      <c r="ID82" s="240" t="s">
        <v>231</v>
      </c>
      <c r="IE82" s="240" t="s">
        <v>231</v>
      </c>
      <c r="IF82" s="240" t="s">
        <v>231</v>
      </c>
      <c r="IG82" s="240" t="s">
        <v>231</v>
      </c>
      <c r="IH82" s="240" t="s">
        <v>231</v>
      </c>
      <c r="II82" s="240" t="s">
        <v>231</v>
      </c>
      <c r="IJ82" s="240" t="s">
        <v>231</v>
      </c>
      <c r="IK82" s="240" t="s">
        <v>231</v>
      </c>
      <c r="IL82" s="240" t="s">
        <v>231</v>
      </c>
      <c r="IM82" s="240" t="s">
        <v>231</v>
      </c>
      <c r="IN82" s="240" t="s">
        <v>231</v>
      </c>
      <c r="IO82" s="240" t="s">
        <v>220</v>
      </c>
      <c r="IP82" s="240" t="s">
        <v>493</v>
      </c>
      <c r="IQ82" s="240" t="s">
        <v>219</v>
      </c>
      <c r="IR82" s="240" t="s">
        <v>490</v>
      </c>
      <c r="IS82" s="240" t="s">
        <v>492</v>
      </c>
      <c r="IT82" s="240" t="s">
        <v>492</v>
      </c>
    </row>
    <row r="83" spans="1:254" ht="15" x14ac:dyDescent="0.25">
      <c r="A83" s="258" t="str">
        <f>HYPERLINK("http://www.ofsted.gov.uk/inspection-reports/find-inspection-report/provider/ELS/145192 ","Ofsted School Webpage")</f>
        <v>Ofsted School Webpage</v>
      </c>
      <c r="B83" s="237">
        <v>145192</v>
      </c>
      <c r="C83" s="237">
        <v>3116002</v>
      </c>
      <c r="D83" s="237" t="s">
        <v>716</v>
      </c>
      <c r="E83" s="237" t="s">
        <v>247</v>
      </c>
      <c r="F83" s="237" t="s">
        <v>482</v>
      </c>
      <c r="G83" s="237" t="s">
        <v>506</v>
      </c>
      <c r="H83" s="237" t="s">
        <v>506</v>
      </c>
      <c r="I83" s="237" t="s">
        <v>717</v>
      </c>
      <c r="J83" s="237" t="s">
        <v>718</v>
      </c>
      <c r="K83" s="237" t="s">
        <v>93</v>
      </c>
      <c r="L83" s="237" t="s">
        <v>93</v>
      </c>
      <c r="M83" s="237" t="s">
        <v>93</v>
      </c>
      <c r="N83" s="237" t="s">
        <v>90</v>
      </c>
      <c r="O83" s="237" t="s">
        <v>486</v>
      </c>
      <c r="P83" s="237" t="s">
        <v>487</v>
      </c>
      <c r="Q83" s="238">
        <v>10054305</v>
      </c>
      <c r="R83" s="239">
        <v>43411</v>
      </c>
      <c r="S83" s="239">
        <v>43413</v>
      </c>
      <c r="T83" s="239">
        <v>43445</v>
      </c>
      <c r="U83" s="237" t="s">
        <v>499</v>
      </c>
      <c r="V83" s="237" t="s">
        <v>489</v>
      </c>
      <c r="W83" s="237">
        <v>2</v>
      </c>
      <c r="X83" s="237">
        <v>2</v>
      </c>
      <c r="Y83" s="237">
        <v>2</v>
      </c>
      <c r="Z83" s="237">
        <v>2</v>
      </c>
      <c r="AA83" s="237">
        <v>2</v>
      </c>
      <c r="AB83" s="237" t="s">
        <v>486</v>
      </c>
      <c r="AC83" s="237" t="s">
        <v>486</v>
      </c>
      <c r="AD83" s="237" t="s">
        <v>219</v>
      </c>
      <c r="AE83" s="237" t="s">
        <v>490</v>
      </c>
      <c r="AF83" s="237" t="s">
        <v>486</v>
      </c>
      <c r="AG83" s="237" t="s">
        <v>486</v>
      </c>
      <c r="AH83" s="237" t="s">
        <v>486</v>
      </c>
      <c r="AI83" s="237" t="s">
        <v>486</v>
      </c>
      <c r="AJ83" s="237" t="s">
        <v>486</v>
      </c>
      <c r="AK83" s="237" t="s">
        <v>486</v>
      </c>
      <c r="AL83" s="237" t="s">
        <v>486</v>
      </c>
      <c r="AM83" s="237" t="s">
        <v>491</v>
      </c>
      <c r="AN83" s="237" t="s">
        <v>231</v>
      </c>
      <c r="AO83" s="237" t="s">
        <v>231</v>
      </c>
      <c r="AP83" s="237" t="s">
        <v>231</v>
      </c>
      <c r="AQ83" s="237" t="s">
        <v>231</v>
      </c>
      <c r="AR83" s="237" t="s">
        <v>231</v>
      </c>
      <c r="AS83" s="237" t="s">
        <v>231</v>
      </c>
      <c r="AT83" s="237" t="s">
        <v>231</v>
      </c>
      <c r="AU83" s="237" t="s">
        <v>231</v>
      </c>
      <c r="AV83" s="237" t="s">
        <v>231</v>
      </c>
      <c r="AW83" s="237" t="s">
        <v>231</v>
      </c>
      <c r="AX83" s="237" t="s">
        <v>231</v>
      </c>
      <c r="AY83" s="237" t="s">
        <v>231</v>
      </c>
      <c r="AZ83" s="237" t="s">
        <v>231</v>
      </c>
      <c r="BA83" s="237" t="s">
        <v>231</v>
      </c>
      <c r="BB83" s="237" t="s">
        <v>231</v>
      </c>
      <c r="BC83" s="237" t="s">
        <v>231</v>
      </c>
      <c r="BD83" s="237" t="s">
        <v>492</v>
      </c>
      <c r="BE83" s="237" t="s">
        <v>231</v>
      </c>
      <c r="BF83" s="237" t="s">
        <v>231</v>
      </c>
      <c r="BG83" s="237" t="s">
        <v>231</v>
      </c>
      <c r="BH83" s="237" t="s">
        <v>231</v>
      </c>
      <c r="BI83" s="237" t="s">
        <v>231</v>
      </c>
      <c r="BJ83" s="237" t="s">
        <v>231</v>
      </c>
      <c r="BK83" s="237" t="s">
        <v>231</v>
      </c>
      <c r="BL83" s="237" t="s">
        <v>492</v>
      </c>
      <c r="BM83" s="237" t="s">
        <v>492</v>
      </c>
      <c r="BN83" s="237" t="s">
        <v>231</v>
      </c>
      <c r="BO83" s="237" t="s">
        <v>231</v>
      </c>
      <c r="BP83" s="237" t="s">
        <v>231</v>
      </c>
      <c r="BQ83" s="237" t="s">
        <v>231</v>
      </c>
      <c r="BR83" s="237" t="s">
        <v>231</v>
      </c>
      <c r="BS83" s="237" t="s">
        <v>231</v>
      </c>
      <c r="BT83" s="237" t="s">
        <v>231</v>
      </c>
      <c r="BU83" s="237" t="s">
        <v>231</v>
      </c>
      <c r="BV83" s="237" t="s">
        <v>231</v>
      </c>
      <c r="BW83" s="237" t="s">
        <v>231</v>
      </c>
      <c r="BX83" s="237" t="s">
        <v>231</v>
      </c>
      <c r="BY83" s="237" t="s">
        <v>231</v>
      </c>
      <c r="BZ83" s="237" t="s">
        <v>231</v>
      </c>
      <c r="CA83" s="237" t="s">
        <v>231</v>
      </c>
      <c r="CB83" s="237" t="s">
        <v>231</v>
      </c>
      <c r="CC83" s="237" t="s">
        <v>231</v>
      </c>
      <c r="CD83" s="237" t="s">
        <v>231</v>
      </c>
      <c r="CE83" s="237" t="s">
        <v>231</v>
      </c>
      <c r="CF83" s="237" t="s">
        <v>231</v>
      </c>
      <c r="CG83" s="237" t="s">
        <v>231</v>
      </c>
      <c r="CH83" s="237" t="s">
        <v>231</v>
      </c>
      <c r="CI83" s="237" t="s">
        <v>231</v>
      </c>
      <c r="CJ83" s="237" t="s">
        <v>231</v>
      </c>
      <c r="CK83" s="237" t="s">
        <v>231</v>
      </c>
      <c r="CL83" s="237" t="s">
        <v>231</v>
      </c>
      <c r="CM83" s="237" t="s">
        <v>231</v>
      </c>
      <c r="CN83" s="237" t="s">
        <v>231</v>
      </c>
      <c r="CO83" s="237" t="s">
        <v>231</v>
      </c>
      <c r="CP83" s="237" t="s">
        <v>231</v>
      </c>
      <c r="CQ83" s="237" t="s">
        <v>231</v>
      </c>
      <c r="CR83" s="237" t="s">
        <v>231</v>
      </c>
      <c r="CS83" s="237" t="s">
        <v>231</v>
      </c>
      <c r="CT83" s="237" t="s">
        <v>492</v>
      </c>
      <c r="CU83" s="237" t="s">
        <v>492</v>
      </c>
      <c r="CV83" s="237" t="s">
        <v>492</v>
      </c>
      <c r="CW83" s="237" t="s">
        <v>231</v>
      </c>
      <c r="CX83" s="237" t="s">
        <v>231</v>
      </c>
      <c r="CY83" s="237" t="s">
        <v>231</v>
      </c>
      <c r="CZ83" s="237" t="s">
        <v>231</v>
      </c>
      <c r="DA83" s="237" t="s">
        <v>231</v>
      </c>
      <c r="DB83" s="237" t="s">
        <v>231</v>
      </c>
      <c r="DC83" s="237" t="s">
        <v>231</v>
      </c>
      <c r="DD83" s="237" t="s">
        <v>231</v>
      </c>
      <c r="DE83" s="237" t="s">
        <v>231</v>
      </c>
      <c r="DF83" s="237" t="s">
        <v>231</v>
      </c>
      <c r="DG83" s="237" t="s">
        <v>231</v>
      </c>
      <c r="DH83" s="237" t="s">
        <v>231</v>
      </c>
      <c r="DI83" s="237" t="s">
        <v>231</v>
      </c>
      <c r="DJ83" s="237" t="s">
        <v>231</v>
      </c>
      <c r="DK83" s="237" t="s">
        <v>231</v>
      </c>
      <c r="DL83" s="237" t="s">
        <v>231</v>
      </c>
      <c r="DM83" s="237" t="s">
        <v>231</v>
      </c>
      <c r="DN83" s="237" t="s">
        <v>231</v>
      </c>
      <c r="DO83" s="237" t="s">
        <v>231</v>
      </c>
      <c r="DP83" s="237" t="s">
        <v>231</v>
      </c>
      <c r="DQ83" s="237" t="s">
        <v>231</v>
      </c>
      <c r="DR83" s="237" t="s">
        <v>231</v>
      </c>
      <c r="DS83" s="237" t="s">
        <v>231</v>
      </c>
      <c r="DT83" s="237" t="s">
        <v>492</v>
      </c>
      <c r="DU83" s="237" t="s">
        <v>231</v>
      </c>
      <c r="DV83" s="237" t="s">
        <v>231</v>
      </c>
      <c r="DW83" s="237" t="s">
        <v>231</v>
      </c>
      <c r="DX83" s="237" t="s">
        <v>231</v>
      </c>
      <c r="DY83" s="237" t="s">
        <v>231</v>
      </c>
      <c r="DZ83" s="237" t="s">
        <v>231</v>
      </c>
      <c r="EA83" s="237" t="s">
        <v>231</v>
      </c>
      <c r="EB83" s="237" t="s">
        <v>231</v>
      </c>
      <c r="EC83" s="237" t="s">
        <v>231</v>
      </c>
      <c r="ED83" s="237" t="s">
        <v>231</v>
      </c>
      <c r="EE83" s="237" t="s">
        <v>231</v>
      </c>
      <c r="EF83" s="237" t="s">
        <v>231</v>
      </c>
      <c r="EG83" s="237" t="s">
        <v>231</v>
      </c>
      <c r="EH83" s="237" t="s">
        <v>492</v>
      </c>
      <c r="EI83" s="237" t="s">
        <v>231</v>
      </c>
      <c r="EJ83" s="237" t="s">
        <v>231</v>
      </c>
      <c r="EK83" s="237" t="s">
        <v>231</v>
      </c>
      <c r="EL83" s="237" t="s">
        <v>231</v>
      </c>
      <c r="EM83" s="237" t="s">
        <v>231</v>
      </c>
      <c r="EN83" s="237" t="s">
        <v>231</v>
      </c>
      <c r="EO83" s="237" t="s">
        <v>231</v>
      </c>
      <c r="EP83" s="237" t="s">
        <v>231</v>
      </c>
      <c r="EQ83" s="237" t="s">
        <v>231</v>
      </c>
      <c r="ER83" s="237" t="s">
        <v>231</v>
      </c>
      <c r="ES83" s="237" t="s">
        <v>231</v>
      </c>
      <c r="ET83" s="237" t="s">
        <v>231</v>
      </c>
      <c r="EU83" s="237" t="s">
        <v>231</v>
      </c>
      <c r="EV83" s="237" t="s">
        <v>231</v>
      </c>
      <c r="EW83" s="237" t="s">
        <v>231</v>
      </c>
      <c r="EX83" s="237" t="s">
        <v>231</v>
      </c>
      <c r="EY83" s="237" t="s">
        <v>231</v>
      </c>
      <c r="EZ83" s="237" t="s">
        <v>231</v>
      </c>
      <c r="FA83" s="237" t="s">
        <v>231</v>
      </c>
      <c r="FB83" s="237" t="s">
        <v>231</v>
      </c>
      <c r="FC83" s="237" t="s">
        <v>231</v>
      </c>
      <c r="FD83" s="237" t="s">
        <v>231</v>
      </c>
      <c r="FE83" s="237" t="s">
        <v>231</v>
      </c>
      <c r="FF83" s="237" t="s">
        <v>231</v>
      </c>
      <c r="FG83" s="237" t="s">
        <v>231</v>
      </c>
      <c r="FH83" s="237" t="s">
        <v>231</v>
      </c>
      <c r="FI83" s="237" t="s">
        <v>231</v>
      </c>
      <c r="FJ83" s="237" t="s">
        <v>231</v>
      </c>
      <c r="FK83" s="237" t="s">
        <v>231</v>
      </c>
      <c r="FL83" s="237" t="s">
        <v>231</v>
      </c>
      <c r="FM83" s="237" t="s">
        <v>231</v>
      </c>
      <c r="FN83" s="237" t="s">
        <v>231</v>
      </c>
      <c r="FO83" s="237" t="s">
        <v>231</v>
      </c>
      <c r="FP83" s="237" t="s">
        <v>231</v>
      </c>
      <c r="FQ83" s="237" t="s">
        <v>231</v>
      </c>
      <c r="FR83" s="237" t="s">
        <v>231</v>
      </c>
      <c r="FS83" s="237" t="s">
        <v>231</v>
      </c>
      <c r="FT83" s="237" t="s">
        <v>231</v>
      </c>
      <c r="FU83" s="237" t="s">
        <v>231</v>
      </c>
      <c r="FV83" s="237" t="s">
        <v>231</v>
      </c>
      <c r="FW83" s="237" t="s">
        <v>231</v>
      </c>
      <c r="FX83" s="237" t="s">
        <v>492</v>
      </c>
      <c r="FY83" s="237" t="s">
        <v>231</v>
      </c>
      <c r="FZ83" s="237" t="s">
        <v>231</v>
      </c>
      <c r="GA83" s="237" t="s">
        <v>231</v>
      </c>
      <c r="GB83" s="237" t="s">
        <v>231</v>
      </c>
      <c r="GC83" s="237" t="s">
        <v>231</v>
      </c>
      <c r="GD83" s="237" t="s">
        <v>231</v>
      </c>
      <c r="GE83" s="237" t="s">
        <v>231</v>
      </c>
      <c r="GF83" s="237" t="s">
        <v>231</v>
      </c>
      <c r="GG83" s="237" t="s">
        <v>231</v>
      </c>
      <c r="GH83" s="237" t="s">
        <v>231</v>
      </c>
      <c r="GI83" s="237" t="s">
        <v>231</v>
      </c>
      <c r="GJ83" s="237" t="s">
        <v>231</v>
      </c>
      <c r="GK83" s="237" t="s">
        <v>231</v>
      </c>
      <c r="GL83" s="237" t="s">
        <v>231</v>
      </c>
      <c r="GM83" s="237" t="s">
        <v>231</v>
      </c>
      <c r="GN83" s="237" t="s">
        <v>231</v>
      </c>
      <c r="GO83" s="237" t="s">
        <v>231</v>
      </c>
      <c r="GP83" s="237" t="s">
        <v>492</v>
      </c>
      <c r="GQ83" s="237" t="s">
        <v>231</v>
      </c>
      <c r="GR83" s="237" t="s">
        <v>231</v>
      </c>
      <c r="GS83" s="237" t="s">
        <v>231</v>
      </c>
      <c r="GT83" s="237" t="s">
        <v>231</v>
      </c>
      <c r="GU83" s="237" t="s">
        <v>231</v>
      </c>
      <c r="GV83" s="237" t="s">
        <v>231</v>
      </c>
      <c r="GW83" s="237" t="s">
        <v>231</v>
      </c>
      <c r="GX83" s="237" t="s">
        <v>231</v>
      </c>
      <c r="GY83" s="237" t="s">
        <v>231</v>
      </c>
      <c r="GZ83" s="237" t="s">
        <v>231</v>
      </c>
      <c r="HA83" s="237" t="s">
        <v>231</v>
      </c>
      <c r="HB83" s="237" t="s">
        <v>231</v>
      </c>
      <c r="HC83" s="237" t="s">
        <v>231</v>
      </c>
      <c r="HD83" s="237" t="s">
        <v>231</v>
      </c>
      <c r="HE83" s="237" t="s">
        <v>492</v>
      </c>
      <c r="HF83" s="237" t="s">
        <v>231</v>
      </c>
      <c r="HG83" s="237" t="s">
        <v>231</v>
      </c>
      <c r="HH83" s="237" t="s">
        <v>231</v>
      </c>
      <c r="HI83" s="237" t="s">
        <v>231</v>
      </c>
      <c r="HJ83" s="237" t="s">
        <v>231</v>
      </c>
      <c r="HK83" s="237" t="s">
        <v>231</v>
      </c>
      <c r="HL83" s="237" t="s">
        <v>231</v>
      </c>
      <c r="HM83" s="237" t="s">
        <v>231</v>
      </c>
      <c r="HN83" s="237" t="s">
        <v>492</v>
      </c>
      <c r="HO83" s="237" t="s">
        <v>231</v>
      </c>
      <c r="HP83" s="237" t="s">
        <v>492</v>
      </c>
      <c r="HQ83" s="237" t="s">
        <v>492</v>
      </c>
      <c r="HR83" s="237" t="s">
        <v>492</v>
      </c>
      <c r="HS83" s="237" t="s">
        <v>492</v>
      </c>
      <c r="HT83" s="237" t="s">
        <v>492</v>
      </c>
      <c r="HU83" s="237" t="s">
        <v>231</v>
      </c>
      <c r="HV83" s="237" t="s">
        <v>231</v>
      </c>
      <c r="HW83" s="237" t="s">
        <v>231</v>
      </c>
      <c r="HX83" s="237" t="s">
        <v>231</v>
      </c>
      <c r="HY83" s="237" t="s">
        <v>231</v>
      </c>
      <c r="HZ83" s="237" t="s">
        <v>231</v>
      </c>
      <c r="IA83" s="237" t="s">
        <v>231</v>
      </c>
      <c r="IB83" s="237" t="s">
        <v>231</v>
      </c>
      <c r="IC83" s="237" t="s">
        <v>231</v>
      </c>
      <c r="ID83" s="237" t="s">
        <v>231</v>
      </c>
      <c r="IE83" s="237" t="s">
        <v>231</v>
      </c>
      <c r="IF83" s="237" t="s">
        <v>231</v>
      </c>
      <c r="IG83" s="237" t="s">
        <v>231</v>
      </c>
      <c r="IH83" s="237" t="s">
        <v>231</v>
      </c>
      <c r="II83" s="237" t="s">
        <v>231</v>
      </c>
      <c r="IJ83" s="237" t="s">
        <v>231</v>
      </c>
      <c r="IK83" s="237" t="s">
        <v>231</v>
      </c>
      <c r="IL83" s="237" t="s">
        <v>231</v>
      </c>
      <c r="IM83" s="237" t="s">
        <v>231</v>
      </c>
      <c r="IN83" s="237" t="s">
        <v>231</v>
      </c>
      <c r="IO83" s="237" t="s">
        <v>220</v>
      </c>
      <c r="IP83" s="237" t="s">
        <v>493</v>
      </c>
      <c r="IQ83" s="237" t="s">
        <v>219</v>
      </c>
      <c r="IR83" s="237" t="s">
        <v>490</v>
      </c>
      <c r="IS83" s="237" t="s">
        <v>231</v>
      </c>
      <c r="IT83" s="237" t="s">
        <v>231</v>
      </c>
    </row>
    <row r="84" spans="1:254" ht="15" x14ac:dyDescent="0.25">
      <c r="A84" s="259" t="str">
        <f>HYPERLINK("http://www.ofsted.gov.uk/inspection-reports/find-inspection-report/provider/ELS/141001 ","Ofsted School Webpage")</f>
        <v>Ofsted School Webpage</v>
      </c>
      <c r="B84" s="240">
        <v>141001</v>
      </c>
      <c r="C84" s="240">
        <v>3336006</v>
      </c>
      <c r="D84" s="240" t="s">
        <v>719</v>
      </c>
      <c r="E84" s="240" t="s">
        <v>247</v>
      </c>
      <c r="F84" s="240" t="s">
        <v>482</v>
      </c>
      <c r="G84" s="240" t="s">
        <v>502</v>
      </c>
      <c r="H84" s="240" t="s">
        <v>502</v>
      </c>
      <c r="I84" s="240" t="s">
        <v>720</v>
      </c>
      <c r="J84" s="240" t="s">
        <v>721</v>
      </c>
      <c r="K84" s="240" t="s">
        <v>93</v>
      </c>
      <c r="L84" s="240" t="s">
        <v>84</v>
      </c>
      <c r="M84" s="240" t="s">
        <v>84</v>
      </c>
      <c r="N84" s="240" t="s">
        <v>84</v>
      </c>
      <c r="O84" s="240" t="s">
        <v>486</v>
      </c>
      <c r="P84" s="240" t="s">
        <v>487</v>
      </c>
      <c r="Q84" s="241">
        <v>10047134</v>
      </c>
      <c r="R84" s="242">
        <v>43411</v>
      </c>
      <c r="S84" s="242">
        <v>43413</v>
      </c>
      <c r="T84" s="242">
        <v>43451</v>
      </c>
      <c r="U84" s="240" t="s">
        <v>488</v>
      </c>
      <c r="V84" s="240" t="s">
        <v>489</v>
      </c>
      <c r="W84" s="240">
        <v>4</v>
      </c>
      <c r="X84" s="240">
        <v>4</v>
      </c>
      <c r="Y84" s="240">
        <v>2</v>
      </c>
      <c r="Z84" s="240">
        <v>4</v>
      </c>
      <c r="AA84" s="240">
        <v>4</v>
      </c>
      <c r="AB84" s="240">
        <v>3</v>
      </c>
      <c r="AC84" s="240" t="s">
        <v>486</v>
      </c>
      <c r="AD84" s="240" t="s">
        <v>219</v>
      </c>
      <c r="AE84" s="240" t="s">
        <v>512</v>
      </c>
      <c r="AF84" s="240" t="s">
        <v>486</v>
      </c>
      <c r="AG84" s="240" t="s">
        <v>486</v>
      </c>
      <c r="AH84" s="240" t="s">
        <v>490</v>
      </c>
      <c r="AI84" s="240" t="s">
        <v>490</v>
      </c>
      <c r="AJ84" s="240" t="s">
        <v>486</v>
      </c>
      <c r="AK84" s="240" t="s">
        <v>486</v>
      </c>
      <c r="AL84" s="240" t="s">
        <v>486</v>
      </c>
      <c r="AM84" s="240" t="s">
        <v>545</v>
      </c>
      <c r="AN84" s="240" t="s">
        <v>546</v>
      </c>
      <c r="AO84" s="240" t="s">
        <v>231</v>
      </c>
      <c r="AP84" s="240" t="s">
        <v>231</v>
      </c>
      <c r="AQ84" s="240" t="s">
        <v>231</v>
      </c>
      <c r="AR84" s="240" t="s">
        <v>231</v>
      </c>
      <c r="AS84" s="240" t="s">
        <v>231</v>
      </c>
      <c r="AT84" s="240" t="s">
        <v>231</v>
      </c>
      <c r="AU84" s="240" t="s">
        <v>546</v>
      </c>
      <c r="AV84" s="240" t="s">
        <v>232</v>
      </c>
      <c r="AW84" s="240" t="s">
        <v>232</v>
      </c>
      <c r="AX84" s="240" t="s">
        <v>232</v>
      </c>
      <c r="AY84" s="240" t="s">
        <v>232</v>
      </c>
      <c r="AZ84" s="240" t="s">
        <v>231</v>
      </c>
      <c r="BA84" s="240" t="s">
        <v>231</v>
      </c>
      <c r="BB84" s="240" t="s">
        <v>231</v>
      </c>
      <c r="BC84" s="240" t="s">
        <v>231</v>
      </c>
      <c r="BD84" s="240" t="s">
        <v>492</v>
      </c>
      <c r="BE84" s="240" t="s">
        <v>231</v>
      </c>
      <c r="BF84" s="240" t="s">
        <v>231</v>
      </c>
      <c r="BG84" s="240" t="s">
        <v>231</v>
      </c>
      <c r="BH84" s="240" t="s">
        <v>492</v>
      </c>
      <c r="BI84" s="240" t="s">
        <v>492</v>
      </c>
      <c r="BJ84" s="240" t="s">
        <v>492</v>
      </c>
      <c r="BK84" s="240" t="s">
        <v>492</v>
      </c>
      <c r="BL84" s="240" t="s">
        <v>231</v>
      </c>
      <c r="BM84" s="240" t="s">
        <v>492</v>
      </c>
      <c r="BN84" s="240" t="s">
        <v>231</v>
      </c>
      <c r="BO84" s="240" t="s">
        <v>231</v>
      </c>
      <c r="BP84" s="240" t="s">
        <v>232</v>
      </c>
      <c r="BQ84" s="240" t="s">
        <v>232</v>
      </c>
      <c r="BR84" s="240" t="s">
        <v>232</v>
      </c>
      <c r="BS84" s="240" t="s">
        <v>232</v>
      </c>
      <c r="BT84" s="240" t="s">
        <v>232</v>
      </c>
      <c r="BU84" s="240" t="s">
        <v>232</v>
      </c>
      <c r="BV84" s="240" t="s">
        <v>232</v>
      </c>
      <c r="BW84" s="240" t="s">
        <v>232</v>
      </c>
      <c r="BX84" s="240" t="s">
        <v>231</v>
      </c>
      <c r="BY84" s="240" t="s">
        <v>231</v>
      </c>
      <c r="BZ84" s="240" t="s">
        <v>231</v>
      </c>
      <c r="CA84" s="240" t="s">
        <v>231</v>
      </c>
      <c r="CB84" s="240" t="s">
        <v>231</v>
      </c>
      <c r="CC84" s="240" t="s">
        <v>231</v>
      </c>
      <c r="CD84" s="240" t="s">
        <v>231</v>
      </c>
      <c r="CE84" s="240" t="s">
        <v>231</v>
      </c>
      <c r="CF84" s="240" t="s">
        <v>231</v>
      </c>
      <c r="CG84" s="240" t="s">
        <v>231</v>
      </c>
      <c r="CH84" s="240" t="s">
        <v>231</v>
      </c>
      <c r="CI84" s="240" t="s">
        <v>231</v>
      </c>
      <c r="CJ84" s="240" t="s">
        <v>231</v>
      </c>
      <c r="CK84" s="240" t="s">
        <v>231</v>
      </c>
      <c r="CL84" s="240" t="s">
        <v>231</v>
      </c>
      <c r="CM84" s="240" t="s">
        <v>231</v>
      </c>
      <c r="CN84" s="240" t="s">
        <v>231</v>
      </c>
      <c r="CO84" s="240" t="s">
        <v>231</v>
      </c>
      <c r="CP84" s="240" t="s">
        <v>231</v>
      </c>
      <c r="CQ84" s="240" t="s">
        <v>231</v>
      </c>
      <c r="CR84" s="240" t="s">
        <v>231</v>
      </c>
      <c r="CS84" s="240" t="s">
        <v>231</v>
      </c>
      <c r="CT84" s="240" t="s">
        <v>492</v>
      </c>
      <c r="CU84" s="240" t="s">
        <v>492</v>
      </c>
      <c r="CV84" s="240" t="s">
        <v>492</v>
      </c>
      <c r="CW84" s="240" t="s">
        <v>231</v>
      </c>
      <c r="CX84" s="240" t="s">
        <v>231</v>
      </c>
      <c r="CY84" s="240" t="s">
        <v>231</v>
      </c>
      <c r="CZ84" s="240" t="s">
        <v>231</v>
      </c>
      <c r="DA84" s="240" t="s">
        <v>231</v>
      </c>
      <c r="DB84" s="240" t="s">
        <v>231</v>
      </c>
      <c r="DC84" s="240" t="s">
        <v>231</v>
      </c>
      <c r="DD84" s="240" t="s">
        <v>231</v>
      </c>
      <c r="DE84" s="240" t="s">
        <v>231</v>
      </c>
      <c r="DF84" s="240" t="s">
        <v>231</v>
      </c>
      <c r="DG84" s="240" t="s">
        <v>231</v>
      </c>
      <c r="DH84" s="240" t="s">
        <v>231</v>
      </c>
      <c r="DI84" s="240" t="s">
        <v>231</v>
      </c>
      <c r="DJ84" s="240" t="s">
        <v>231</v>
      </c>
      <c r="DK84" s="240" t="s">
        <v>231</v>
      </c>
      <c r="DL84" s="240" t="s">
        <v>231</v>
      </c>
      <c r="DM84" s="240" t="s">
        <v>231</v>
      </c>
      <c r="DN84" s="240" t="s">
        <v>231</v>
      </c>
      <c r="DO84" s="240" t="s">
        <v>231</v>
      </c>
      <c r="DP84" s="240" t="s">
        <v>231</v>
      </c>
      <c r="DQ84" s="240" t="s">
        <v>231</v>
      </c>
      <c r="DR84" s="240" t="s">
        <v>231</v>
      </c>
      <c r="DS84" s="240" t="s">
        <v>231</v>
      </c>
      <c r="DT84" s="240" t="s">
        <v>492</v>
      </c>
      <c r="DU84" s="240" t="s">
        <v>231</v>
      </c>
      <c r="DV84" s="240" t="s">
        <v>492</v>
      </c>
      <c r="DW84" s="240" t="s">
        <v>492</v>
      </c>
      <c r="DX84" s="240" t="s">
        <v>492</v>
      </c>
      <c r="DY84" s="240" t="s">
        <v>492</v>
      </c>
      <c r="DZ84" s="240" t="s">
        <v>492</v>
      </c>
      <c r="EA84" s="240" t="s">
        <v>492</v>
      </c>
      <c r="EB84" s="240" t="s">
        <v>492</v>
      </c>
      <c r="EC84" s="240" t="s">
        <v>492</v>
      </c>
      <c r="ED84" s="240" t="s">
        <v>492</v>
      </c>
      <c r="EE84" s="240" t="s">
        <v>492</v>
      </c>
      <c r="EF84" s="240" t="s">
        <v>492</v>
      </c>
      <c r="EG84" s="240" t="s">
        <v>492</v>
      </c>
      <c r="EH84" s="240" t="s">
        <v>492</v>
      </c>
      <c r="EI84" s="240" t="s">
        <v>492</v>
      </c>
      <c r="EJ84" s="240" t="s">
        <v>492</v>
      </c>
      <c r="EK84" s="240" t="s">
        <v>492</v>
      </c>
      <c r="EL84" s="240" t="s">
        <v>492</v>
      </c>
      <c r="EM84" s="240" t="s">
        <v>492</v>
      </c>
      <c r="EN84" s="240" t="s">
        <v>492</v>
      </c>
      <c r="EO84" s="240" t="s">
        <v>492</v>
      </c>
      <c r="EP84" s="240" t="s">
        <v>492</v>
      </c>
      <c r="EQ84" s="240" t="s">
        <v>492</v>
      </c>
      <c r="ER84" s="240" t="s">
        <v>492</v>
      </c>
      <c r="ES84" s="240" t="s">
        <v>231</v>
      </c>
      <c r="ET84" s="240" t="s">
        <v>231</v>
      </c>
      <c r="EU84" s="240" t="s">
        <v>231</v>
      </c>
      <c r="EV84" s="240" t="s">
        <v>231</v>
      </c>
      <c r="EW84" s="240" t="s">
        <v>231</v>
      </c>
      <c r="EX84" s="240" t="s">
        <v>231</v>
      </c>
      <c r="EY84" s="240" t="s">
        <v>231</v>
      </c>
      <c r="EZ84" s="240" t="s">
        <v>231</v>
      </c>
      <c r="FA84" s="240" t="s">
        <v>231</v>
      </c>
      <c r="FB84" s="240" t="s">
        <v>231</v>
      </c>
      <c r="FC84" s="240" t="s">
        <v>231</v>
      </c>
      <c r="FD84" s="240" t="s">
        <v>231</v>
      </c>
      <c r="FE84" s="240" t="s">
        <v>231</v>
      </c>
      <c r="FF84" s="240" t="s">
        <v>231</v>
      </c>
      <c r="FG84" s="240" t="s">
        <v>492</v>
      </c>
      <c r="FH84" s="240" t="s">
        <v>492</v>
      </c>
      <c r="FI84" s="240" t="s">
        <v>492</v>
      </c>
      <c r="FJ84" s="240" t="s">
        <v>492</v>
      </c>
      <c r="FK84" s="240" t="s">
        <v>492</v>
      </c>
      <c r="FL84" s="240" t="s">
        <v>492</v>
      </c>
      <c r="FM84" s="240" t="s">
        <v>492</v>
      </c>
      <c r="FN84" s="240" t="s">
        <v>492</v>
      </c>
      <c r="FO84" s="240" t="s">
        <v>493</v>
      </c>
      <c r="FP84" s="240" t="s">
        <v>492</v>
      </c>
      <c r="FQ84" s="240" t="s">
        <v>231</v>
      </c>
      <c r="FR84" s="240" t="s">
        <v>231</v>
      </c>
      <c r="FS84" s="240" t="s">
        <v>231</v>
      </c>
      <c r="FT84" s="240" t="s">
        <v>492</v>
      </c>
      <c r="FU84" s="240" t="s">
        <v>231</v>
      </c>
      <c r="FV84" s="240" t="s">
        <v>231</v>
      </c>
      <c r="FW84" s="240" t="s">
        <v>231</v>
      </c>
      <c r="FX84" s="240" t="s">
        <v>492</v>
      </c>
      <c r="FY84" s="240" t="s">
        <v>231</v>
      </c>
      <c r="FZ84" s="240" t="s">
        <v>231</v>
      </c>
      <c r="GA84" s="240" t="s">
        <v>231</v>
      </c>
      <c r="GB84" s="240" t="s">
        <v>231</v>
      </c>
      <c r="GC84" s="240" t="s">
        <v>231</v>
      </c>
      <c r="GD84" s="240" t="s">
        <v>231</v>
      </c>
      <c r="GE84" s="240" t="s">
        <v>231</v>
      </c>
      <c r="GF84" s="240" t="s">
        <v>231</v>
      </c>
      <c r="GG84" s="240" t="s">
        <v>231</v>
      </c>
      <c r="GH84" s="240" t="s">
        <v>231</v>
      </c>
      <c r="GI84" s="240" t="s">
        <v>231</v>
      </c>
      <c r="GJ84" s="240" t="s">
        <v>231</v>
      </c>
      <c r="GK84" s="240" t="s">
        <v>231</v>
      </c>
      <c r="GL84" s="240" t="s">
        <v>231</v>
      </c>
      <c r="GM84" s="240" t="s">
        <v>231</v>
      </c>
      <c r="GN84" s="240" t="s">
        <v>231</v>
      </c>
      <c r="GO84" s="240" t="s">
        <v>231</v>
      </c>
      <c r="GP84" s="240" t="s">
        <v>492</v>
      </c>
      <c r="GQ84" s="240" t="s">
        <v>231</v>
      </c>
      <c r="GR84" s="240" t="s">
        <v>231</v>
      </c>
      <c r="GS84" s="240" t="s">
        <v>231</v>
      </c>
      <c r="GT84" s="240" t="s">
        <v>231</v>
      </c>
      <c r="GU84" s="240" t="s">
        <v>231</v>
      </c>
      <c r="GV84" s="240" t="s">
        <v>492</v>
      </c>
      <c r="GW84" s="240" t="s">
        <v>231</v>
      </c>
      <c r="GX84" s="240" t="s">
        <v>231</v>
      </c>
      <c r="GY84" s="240" t="s">
        <v>492</v>
      </c>
      <c r="GZ84" s="240" t="s">
        <v>492</v>
      </c>
      <c r="HA84" s="240" t="s">
        <v>492</v>
      </c>
      <c r="HB84" s="240" t="s">
        <v>231</v>
      </c>
      <c r="HC84" s="240" t="s">
        <v>231</v>
      </c>
      <c r="HD84" s="240" t="s">
        <v>231</v>
      </c>
      <c r="HE84" s="240" t="s">
        <v>231</v>
      </c>
      <c r="HF84" s="240" t="s">
        <v>492</v>
      </c>
      <c r="HG84" s="240" t="s">
        <v>492</v>
      </c>
      <c r="HH84" s="240" t="s">
        <v>231</v>
      </c>
      <c r="HI84" s="240" t="s">
        <v>231</v>
      </c>
      <c r="HJ84" s="240" t="s">
        <v>231</v>
      </c>
      <c r="HK84" s="240" t="s">
        <v>231</v>
      </c>
      <c r="HL84" s="240" t="s">
        <v>231</v>
      </c>
      <c r="HM84" s="240" t="s">
        <v>231</v>
      </c>
      <c r="HN84" s="240" t="s">
        <v>232</v>
      </c>
      <c r="HO84" s="240" t="s">
        <v>231</v>
      </c>
      <c r="HP84" s="240" t="s">
        <v>231</v>
      </c>
      <c r="HQ84" s="240" t="s">
        <v>492</v>
      </c>
      <c r="HR84" s="240" t="s">
        <v>492</v>
      </c>
      <c r="HS84" s="240" t="s">
        <v>492</v>
      </c>
      <c r="HT84" s="240" t="s">
        <v>492</v>
      </c>
      <c r="HU84" s="240" t="s">
        <v>231</v>
      </c>
      <c r="HV84" s="240" t="s">
        <v>231</v>
      </c>
      <c r="HW84" s="240" t="s">
        <v>231</v>
      </c>
      <c r="HX84" s="240" t="s">
        <v>231</v>
      </c>
      <c r="HY84" s="240" t="s">
        <v>231</v>
      </c>
      <c r="HZ84" s="240" t="s">
        <v>231</v>
      </c>
      <c r="IA84" s="240" t="s">
        <v>231</v>
      </c>
      <c r="IB84" s="240" t="s">
        <v>231</v>
      </c>
      <c r="IC84" s="240" t="s">
        <v>231</v>
      </c>
      <c r="ID84" s="240" t="s">
        <v>231</v>
      </c>
      <c r="IE84" s="240" t="s">
        <v>231</v>
      </c>
      <c r="IF84" s="240" t="s">
        <v>231</v>
      </c>
      <c r="IG84" s="240" t="s">
        <v>231</v>
      </c>
      <c r="IH84" s="240" t="s">
        <v>231</v>
      </c>
      <c r="II84" s="240" t="s">
        <v>231</v>
      </c>
      <c r="IJ84" s="240" t="s">
        <v>231</v>
      </c>
      <c r="IK84" s="240" t="s">
        <v>232</v>
      </c>
      <c r="IL84" s="240" t="s">
        <v>232</v>
      </c>
      <c r="IM84" s="240" t="s">
        <v>232</v>
      </c>
      <c r="IN84" s="240" t="s">
        <v>231</v>
      </c>
      <c r="IO84" s="240" t="s">
        <v>220</v>
      </c>
      <c r="IP84" s="240" t="s">
        <v>493</v>
      </c>
      <c r="IQ84" s="240" t="s">
        <v>219</v>
      </c>
      <c r="IR84" s="240" t="s">
        <v>490</v>
      </c>
      <c r="IS84" s="240" t="s">
        <v>231</v>
      </c>
      <c r="IT84" s="240" t="s">
        <v>231</v>
      </c>
    </row>
    <row r="85" spans="1:254" ht="15" x14ac:dyDescent="0.25">
      <c r="A85" s="258" t="str">
        <f>HYPERLINK("http://www.ofsted.gov.uk/inspection-reports/find-inspection-report/provider/ELS/142531 ","Ofsted School Webpage")</f>
        <v>Ofsted School Webpage</v>
      </c>
      <c r="B85" s="237">
        <v>142531</v>
      </c>
      <c r="C85" s="237">
        <v>8896014</v>
      </c>
      <c r="D85" s="237" t="s">
        <v>722</v>
      </c>
      <c r="E85" s="237" t="s">
        <v>248</v>
      </c>
      <c r="F85" s="237" t="s">
        <v>501</v>
      </c>
      <c r="G85" s="237" t="s">
        <v>495</v>
      </c>
      <c r="H85" s="237" t="s">
        <v>495</v>
      </c>
      <c r="I85" s="237" t="s">
        <v>609</v>
      </c>
      <c r="J85" s="237" t="s">
        <v>723</v>
      </c>
      <c r="K85" s="237" t="s">
        <v>93</v>
      </c>
      <c r="L85" s="237" t="s">
        <v>93</v>
      </c>
      <c r="M85" s="237" t="s">
        <v>93</v>
      </c>
      <c r="N85" s="237" t="s">
        <v>90</v>
      </c>
      <c r="O85" s="237" t="s">
        <v>486</v>
      </c>
      <c r="P85" s="237" t="s">
        <v>487</v>
      </c>
      <c r="Q85" s="238">
        <v>10053737</v>
      </c>
      <c r="R85" s="239">
        <v>43417</v>
      </c>
      <c r="S85" s="239">
        <v>43418</v>
      </c>
      <c r="T85" s="239">
        <v>43444</v>
      </c>
      <c r="U85" s="237" t="s">
        <v>488</v>
      </c>
      <c r="V85" s="237" t="s">
        <v>489</v>
      </c>
      <c r="W85" s="237">
        <v>2</v>
      </c>
      <c r="X85" s="237">
        <v>2</v>
      </c>
      <c r="Y85" s="237">
        <v>2</v>
      </c>
      <c r="Z85" s="237">
        <v>2</v>
      </c>
      <c r="AA85" s="237">
        <v>2</v>
      </c>
      <c r="AB85" s="237" t="s">
        <v>486</v>
      </c>
      <c r="AC85" s="237" t="s">
        <v>486</v>
      </c>
      <c r="AD85" s="237" t="s">
        <v>219</v>
      </c>
      <c r="AE85" s="237" t="s">
        <v>490</v>
      </c>
      <c r="AF85" s="237" t="s">
        <v>486</v>
      </c>
      <c r="AG85" s="237" t="s">
        <v>486</v>
      </c>
      <c r="AH85" s="237" t="s">
        <v>486</v>
      </c>
      <c r="AI85" s="237" t="s">
        <v>486</v>
      </c>
      <c r="AJ85" s="237" t="s">
        <v>486</v>
      </c>
      <c r="AK85" s="237" t="s">
        <v>486</v>
      </c>
      <c r="AL85" s="237" t="s">
        <v>486</v>
      </c>
      <c r="AM85" s="237" t="s">
        <v>491</v>
      </c>
      <c r="AN85" s="237" t="s">
        <v>231</v>
      </c>
      <c r="AO85" s="237" t="s">
        <v>231</v>
      </c>
      <c r="AP85" s="237" t="s">
        <v>231</v>
      </c>
      <c r="AQ85" s="237" t="s">
        <v>231</v>
      </c>
      <c r="AR85" s="237" t="s">
        <v>231</v>
      </c>
      <c r="AS85" s="237" t="s">
        <v>231</v>
      </c>
      <c r="AT85" s="237" t="s">
        <v>231</v>
      </c>
      <c r="AU85" s="237" t="s">
        <v>231</v>
      </c>
      <c r="AV85" s="237" t="s">
        <v>231</v>
      </c>
      <c r="AW85" s="237" t="s">
        <v>231</v>
      </c>
      <c r="AX85" s="237" t="s">
        <v>231</v>
      </c>
      <c r="AY85" s="237" t="s">
        <v>231</v>
      </c>
      <c r="AZ85" s="237" t="s">
        <v>231</v>
      </c>
      <c r="BA85" s="237" t="s">
        <v>231</v>
      </c>
      <c r="BB85" s="237" t="s">
        <v>231</v>
      </c>
      <c r="BC85" s="237" t="s">
        <v>231</v>
      </c>
      <c r="BD85" s="237" t="s">
        <v>492</v>
      </c>
      <c r="BE85" s="237" t="s">
        <v>231</v>
      </c>
      <c r="BF85" s="237" t="s">
        <v>231</v>
      </c>
      <c r="BG85" s="237" t="s">
        <v>231</v>
      </c>
      <c r="BH85" s="237" t="s">
        <v>231</v>
      </c>
      <c r="BI85" s="237" t="s">
        <v>231</v>
      </c>
      <c r="BJ85" s="237" t="s">
        <v>231</v>
      </c>
      <c r="BK85" s="237" t="s">
        <v>231</v>
      </c>
      <c r="BL85" s="237" t="s">
        <v>492</v>
      </c>
      <c r="BM85" s="237" t="s">
        <v>492</v>
      </c>
      <c r="BN85" s="237" t="s">
        <v>231</v>
      </c>
      <c r="BO85" s="237" t="s">
        <v>231</v>
      </c>
      <c r="BP85" s="237" t="s">
        <v>231</v>
      </c>
      <c r="BQ85" s="237" t="s">
        <v>231</v>
      </c>
      <c r="BR85" s="237" t="s">
        <v>231</v>
      </c>
      <c r="BS85" s="237" t="s">
        <v>231</v>
      </c>
      <c r="BT85" s="237" t="s">
        <v>231</v>
      </c>
      <c r="BU85" s="237" t="s">
        <v>231</v>
      </c>
      <c r="BV85" s="237" t="s">
        <v>231</v>
      </c>
      <c r="BW85" s="237" t="s">
        <v>231</v>
      </c>
      <c r="BX85" s="237" t="s">
        <v>231</v>
      </c>
      <c r="BY85" s="237" t="s">
        <v>231</v>
      </c>
      <c r="BZ85" s="237" t="s">
        <v>231</v>
      </c>
      <c r="CA85" s="237" t="s">
        <v>231</v>
      </c>
      <c r="CB85" s="237" t="s">
        <v>231</v>
      </c>
      <c r="CC85" s="237" t="s">
        <v>231</v>
      </c>
      <c r="CD85" s="237" t="s">
        <v>231</v>
      </c>
      <c r="CE85" s="237" t="s">
        <v>231</v>
      </c>
      <c r="CF85" s="237" t="s">
        <v>231</v>
      </c>
      <c r="CG85" s="237" t="s">
        <v>231</v>
      </c>
      <c r="CH85" s="237" t="s">
        <v>231</v>
      </c>
      <c r="CI85" s="237" t="s">
        <v>231</v>
      </c>
      <c r="CJ85" s="237" t="s">
        <v>231</v>
      </c>
      <c r="CK85" s="237" t="s">
        <v>231</v>
      </c>
      <c r="CL85" s="237" t="s">
        <v>231</v>
      </c>
      <c r="CM85" s="237" t="s">
        <v>231</v>
      </c>
      <c r="CN85" s="237" t="s">
        <v>231</v>
      </c>
      <c r="CO85" s="237" t="s">
        <v>231</v>
      </c>
      <c r="CP85" s="237" t="s">
        <v>231</v>
      </c>
      <c r="CQ85" s="237" t="s">
        <v>231</v>
      </c>
      <c r="CR85" s="237" t="s">
        <v>231</v>
      </c>
      <c r="CS85" s="237" t="s">
        <v>231</v>
      </c>
      <c r="CT85" s="237" t="s">
        <v>492</v>
      </c>
      <c r="CU85" s="237" t="s">
        <v>492</v>
      </c>
      <c r="CV85" s="237" t="s">
        <v>492</v>
      </c>
      <c r="CW85" s="237" t="s">
        <v>231</v>
      </c>
      <c r="CX85" s="237" t="s">
        <v>231</v>
      </c>
      <c r="CY85" s="237" t="s">
        <v>231</v>
      </c>
      <c r="CZ85" s="237" t="s">
        <v>231</v>
      </c>
      <c r="DA85" s="237" t="s">
        <v>231</v>
      </c>
      <c r="DB85" s="237" t="s">
        <v>231</v>
      </c>
      <c r="DC85" s="237" t="s">
        <v>231</v>
      </c>
      <c r="DD85" s="237" t="s">
        <v>231</v>
      </c>
      <c r="DE85" s="237" t="s">
        <v>231</v>
      </c>
      <c r="DF85" s="237" t="s">
        <v>231</v>
      </c>
      <c r="DG85" s="237" t="s">
        <v>231</v>
      </c>
      <c r="DH85" s="237" t="s">
        <v>231</v>
      </c>
      <c r="DI85" s="237" t="s">
        <v>231</v>
      </c>
      <c r="DJ85" s="237" t="s">
        <v>231</v>
      </c>
      <c r="DK85" s="237" t="s">
        <v>231</v>
      </c>
      <c r="DL85" s="237" t="s">
        <v>231</v>
      </c>
      <c r="DM85" s="237" t="s">
        <v>231</v>
      </c>
      <c r="DN85" s="237" t="s">
        <v>231</v>
      </c>
      <c r="DO85" s="237" t="s">
        <v>231</v>
      </c>
      <c r="DP85" s="237" t="s">
        <v>231</v>
      </c>
      <c r="DQ85" s="237" t="s">
        <v>231</v>
      </c>
      <c r="DR85" s="237" t="s">
        <v>231</v>
      </c>
      <c r="DS85" s="237" t="s">
        <v>492</v>
      </c>
      <c r="DT85" s="237" t="s">
        <v>492</v>
      </c>
      <c r="DU85" s="237" t="s">
        <v>231</v>
      </c>
      <c r="DV85" s="237" t="s">
        <v>492</v>
      </c>
      <c r="DW85" s="237" t="s">
        <v>492</v>
      </c>
      <c r="DX85" s="237" t="s">
        <v>492</v>
      </c>
      <c r="DY85" s="237" t="s">
        <v>492</v>
      </c>
      <c r="DZ85" s="237" t="s">
        <v>492</v>
      </c>
      <c r="EA85" s="237" t="s">
        <v>492</v>
      </c>
      <c r="EB85" s="237" t="s">
        <v>492</v>
      </c>
      <c r="EC85" s="237" t="s">
        <v>492</v>
      </c>
      <c r="ED85" s="237" t="s">
        <v>492</v>
      </c>
      <c r="EE85" s="237" t="s">
        <v>492</v>
      </c>
      <c r="EF85" s="237" t="s">
        <v>492</v>
      </c>
      <c r="EG85" s="237" t="s">
        <v>492</v>
      </c>
      <c r="EH85" s="237" t="s">
        <v>492</v>
      </c>
      <c r="EI85" s="237" t="s">
        <v>492</v>
      </c>
      <c r="EJ85" s="237" t="s">
        <v>492</v>
      </c>
      <c r="EK85" s="237" t="s">
        <v>492</v>
      </c>
      <c r="EL85" s="237" t="s">
        <v>492</v>
      </c>
      <c r="EM85" s="237" t="s">
        <v>492</v>
      </c>
      <c r="EN85" s="237" t="s">
        <v>492</v>
      </c>
      <c r="EO85" s="237" t="s">
        <v>492</v>
      </c>
      <c r="EP85" s="237" t="s">
        <v>492</v>
      </c>
      <c r="EQ85" s="237" t="s">
        <v>492</v>
      </c>
      <c r="ER85" s="237" t="s">
        <v>492</v>
      </c>
      <c r="ES85" s="237" t="s">
        <v>231</v>
      </c>
      <c r="ET85" s="237" t="s">
        <v>231</v>
      </c>
      <c r="EU85" s="237" t="s">
        <v>231</v>
      </c>
      <c r="EV85" s="237" t="s">
        <v>231</v>
      </c>
      <c r="EW85" s="237" t="s">
        <v>231</v>
      </c>
      <c r="EX85" s="237" t="s">
        <v>231</v>
      </c>
      <c r="EY85" s="237" t="s">
        <v>231</v>
      </c>
      <c r="EZ85" s="237" t="s">
        <v>231</v>
      </c>
      <c r="FA85" s="237" t="s">
        <v>231</v>
      </c>
      <c r="FB85" s="237" t="s">
        <v>231</v>
      </c>
      <c r="FC85" s="237" t="s">
        <v>231</v>
      </c>
      <c r="FD85" s="237" t="s">
        <v>231</v>
      </c>
      <c r="FE85" s="237" t="s">
        <v>231</v>
      </c>
      <c r="FF85" s="237" t="s">
        <v>492</v>
      </c>
      <c r="FG85" s="237" t="s">
        <v>492</v>
      </c>
      <c r="FH85" s="237" t="s">
        <v>492</v>
      </c>
      <c r="FI85" s="237" t="s">
        <v>492</v>
      </c>
      <c r="FJ85" s="237" t="s">
        <v>492</v>
      </c>
      <c r="FK85" s="237" t="s">
        <v>492</v>
      </c>
      <c r="FL85" s="237" t="s">
        <v>492</v>
      </c>
      <c r="FM85" s="237" t="s">
        <v>492</v>
      </c>
      <c r="FN85" s="237" t="s">
        <v>492</v>
      </c>
      <c r="FO85" s="237" t="s">
        <v>493</v>
      </c>
      <c r="FP85" s="237" t="s">
        <v>492</v>
      </c>
      <c r="FQ85" s="237" t="s">
        <v>231</v>
      </c>
      <c r="FR85" s="237" t="s">
        <v>231</v>
      </c>
      <c r="FS85" s="237" t="s">
        <v>231</v>
      </c>
      <c r="FT85" s="237" t="s">
        <v>231</v>
      </c>
      <c r="FU85" s="237" t="s">
        <v>231</v>
      </c>
      <c r="FV85" s="237" t="s">
        <v>231</v>
      </c>
      <c r="FW85" s="237" t="s">
        <v>231</v>
      </c>
      <c r="FX85" s="237" t="s">
        <v>492</v>
      </c>
      <c r="FY85" s="237" t="s">
        <v>231</v>
      </c>
      <c r="FZ85" s="237" t="s">
        <v>231</v>
      </c>
      <c r="GA85" s="237" t="s">
        <v>231</v>
      </c>
      <c r="GB85" s="237" t="s">
        <v>231</v>
      </c>
      <c r="GC85" s="237" t="s">
        <v>231</v>
      </c>
      <c r="GD85" s="237" t="s">
        <v>231</v>
      </c>
      <c r="GE85" s="237" t="s">
        <v>231</v>
      </c>
      <c r="GF85" s="237" t="s">
        <v>231</v>
      </c>
      <c r="GG85" s="237" t="s">
        <v>231</v>
      </c>
      <c r="GH85" s="237" t="s">
        <v>231</v>
      </c>
      <c r="GI85" s="237" t="s">
        <v>231</v>
      </c>
      <c r="GJ85" s="237" t="s">
        <v>231</v>
      </c>
      <c r="GK85" s="237" t="s">
        <v>231</v>
      </c>
      <c r="GL85" s="237" t="s">
        <v>231</v>
      </c>
      <c r="GM85" s="237" t="s">
        <v>231</v>
      </c>
      <c r="GN85" s="237" t="s">
        <v>231</v>
      </c>
      <c r="GO85" s="237" t="s">
        <v>231</v>
      </c>
      <c r="GP85" s="237" t="s">
        <v>492</v>
      </c>
      <c r="GQ85" s="237" t="s">
        <v>231</v>
      </c>
      <c r="GR85" s="237" t="s">
        <v>231</v>
      </c>
      <c r="GS85" s="237" t="s">
        <v>231</v>
      </c>
      <c r="GT85" s="237" t="s">
        <v>231</v>
      </c>
      <c r="GU85" s="237" t="s">
        <v>231</v>
      </c>
      <c r="GV85" s="237" t="s">
        <v>492</v>
      </c>
      <c r="GW85" s="237" t="s">
        <v>231</v>
      </c>
      <c r="GX85" s="237" t="s">
        <v>231</v>
      </c>
      <c r="GY85" s="237" t="s">
        <v>231</v>
      </c>
      <c r="GZ85" s="237" t="s">
        <v>231</v>
      </c>
      <c r="HA85" s="237" t="s">
        <v>492</v>
      </c>
      <c r="HB85" s="237" t="s">
        <v>231</v>
      </c>
      <c r="HC85" s="237" t="s">
        <v>231</v>
      </c>
      <c r="HD85" s="237" t="s">
        <v>231</v>
      </c>
      <c r="HE85" s="237" t="s">
        <v>231</v>
      </c>
      <c r="HF85" s="237" t="s">
        <v>492</v>
      </c>
      <c r="HG85" s="237" t="s">
        <v>492</v>
      </c>
      <c r="HH85" s="237" t="s">
        <v>231</v>
      </c>
      <c r="HI85" s="237" t="s">
        <v>231</v>
      </c>
      <c r="HJ85" s="237" t="s">
        <v>231</v>
      </c>
      <c r="HK85" s="237" t="s">
        <v>231</v>
      </c>
      <c r="HL85" s="237" t="s">
        <v>231</v>
      </c>
      <c r="HM85" s="237" t="s">
        <v>231</v>
      </c>
      <c r="HN85" s="237" t="s">
        <v>231</v>
      </c>
      <c r="HO85" s="237" t="s">
        <v>231</v>
      </c>
      <c r="HP85" s="237" t="s">
        <v>231</v>
      </c>
      <c r="HQ85" s="237" t="s">
        <v>492</v>
      </c>
      <c r="HR85" s="237" t="s">
        <v>492</v>
      </c>
      <c r="HS85" s="237" t="s">
        <v>492</v>
      </c>
      <c r="HT85" s="237" t="s">
        <v>492</v>
      </c>
      <c r="HU85" s="237" t="s">
        <v>231</v>
      </c>
      <c r="HV85" s="237" t="s">
        <v>231</v>
      </c>
      <c r="HW85" s="237" t="s">
        <v>231</v>
      </c>
      <c r="HX85" s="237" t="s">
        <v>231</v>
      </c>
      <c r="HY85" s="237" t="s">
        <v>231</v>
      </c>
      <c r="HZ85" s="237" t="s">
        <v>231</v>
      </c>
      <c r="IA85" s="237" t="s">
        <v>231</v>
      </c>
      <c r="IB85" s="237" t="s">
        <v>231</v>
      </c>
      <c r="IC85" s="237" t="s">
        <v>231</v>
      </c>
      <c r="ID85" s="237" t="s">
        <v>231</v>
      </c>
      <c r="IE85" s="237" t="s">
        <v>231</v>
      </c>
      <c r="IF85" s="237" t="s">
        <v>231</v>
      </c>
      <c r="IG85" s="237" t="s">
        <v>231</v>
      </c>
      <c r="IH85" s="237" t="s">
        <v>231</v>
      </c>
      <c r="II85" s="237" t="s">
        <v>231</v>
      </c>
      <c r="IJ85" s="237" t="s">
        <v>231</v>
      </c>
      <c r="IK85" s="237" t="s">
        <v>231</v>
      </c>
      <c r="IL85" s="237" t="s">
        <v>231</v>
      </c>
      <c r="IM85" s="237" t="s">
        <v>231</v>
      </c>
      <c r="IN85" s="237" t="s">
        <v>231</v>
      </c>
      <c r="IO85" s="237" t="s">
        <v>220</v>
      </c>
      <c r="IP85" s="237" t="s">
        <v>493</v>
      </c>
      <c r="IQ85" s="237" t="s">
        <v>219</v>
      </c>
      <c r="IR85" s="237" t="s">
        <v>490</v>
      </c>
      <c r="IS85" s="237" t="s">
        <v>492</v>
      </c>
      <c r="IT85" s="237" t="s">
        <v>492</v>
      </c>
    </row>
    <row r="86" spans="1:254" ht="15" x14ac:dyDescent="0.25">
      <c r="A86" s="259" t="str">
        <f>HYPERLINK("http://www.ofsted.gov.uk/inspection-reports/find-inspection-report/provider/ELS/138599 ","Ofsted School Webpage")</f>
        <v>Ofsted School Webpage</v>
      </c>
      <c r="B86" s="240">
        <v>138599</v>
      </c>
      <c r="C86" s="240">
        <v>2076001</v>
      </c>
      <c r="D86" s="240" t="s">
        <v>724</v>
      </c>
      <c r="E86" s="240" t="s">
        <v>247</v>
      </c>
      <c r="F86" s="240" t="s">
        <v>482</v>
      </c>
      <c r="G86" s="240" t="s">
        <v>506</v>
      </c>
      <c r="H86" s="240" t="s">
        <v>506</v>
      </c>
      <c r="I86" s="240" t="s">
        <v>640</v>
      </c>
      <c r="J86" s="240" t="s">
        <v>725</v>
      </c>
      <c r="K86" s="240" t="s">
        <v>93</v>
      </c>
      <c r="L86" s="240" t="s">
        <v>93</v>
      </c>
      <c r="M86" s="240" t="s">
        <v>93</v>
      </c>
      <c r="N86" s="240" t="s">
        <v>90</v>
      </c>
      <c r="O86" s="240" t="s">
        <v>486</v>
      </c>
      <c r="P86" s="240" t="s">
        <v>487</v>
      </c>
      <c r="Q86" s="241">
        <v>10055451</v>
      </c>
      <c r="R86" s="242">
        <v>43417</v>
      </c>
      <c r="S86" s="242">
        <v>43419</v>
      </c>
      <c r="T86" s="242">
        <v>43453</v>
      </c>
      <c r="U86" s="240" t="s">
        <v>488</v>
      </c>
      <c r="V86" s="240" t="s">
        <v>489</v>
      </c>
      <c r="W86" s="240">
        <v>3</v>
      </c>
      <c r="X86" s="240">
        <v>3</v>
      </c>
      <c r="Y86" s="240">
        <v>3</v>
      </c>
      <c r="Z86" s="240">
        <v>2</v>
      </c>
      <c r="AA86" s="240">
        <v>2</v>
      </c>
      <c r="AB86" s="240">
        <v>2</v>
      </c>
      <c r="AC86" s="240" t="s">
        <v>486</v>
      </c>
      <c r="AD86" s="240" t="s">
        <v>219</v>
      </c>
      <c r="AE86" s="240" t="s">
        <v>490</v>
      </c>
      <c r="AF86" s="240" t="s">
        <v>486</v>
      </c>
      <c r="AG86" s="240" t="s">
        <v>486</v>
      </c>
      <c r="AH86" s="240" t="s">
        <v>486</v>
      </c>
      <c r="AI86" s="240" t="s">
        <v>486</v>
      </c>
      <c r="AJ86" s="240" t="s">
        <v>486</v>
      </c>
      <c r="AK86" s="240" t="s">
        <v>486</v>
      </c>
      <c r="AL86" s="240" t="s">
        <v>486</v>
      </c>
      <c r="AM86" s="240" t="s">
        <v>545</v>
      </c>
      <c r="AN86" s="240" t="s">
        <v>231</v>
      </c>
      <c r="AO86" s="240" t="s">
        <v>231</v>
      </c>
      <c r="AP86" s="240" t="s">
        <v>546</v>
      </c>
      <c r="AQ86" s="240" t="s">
        <v>231</v>
      </c>
      <c r="AR86" s="240" t="s">
        <v>231</v>
      </c>
      <c r="AS86" s="240" t="s">
        <v>231</v>
      </c>
      <c r="AT86" s="240" t="s">
        <v>231</v>
      </c>
      <c r="AU86" s="240" t="s">
        <v>546</v>
      </c>
      <c r="AV86" s="240" t="s">
        <v>231</v>
      </c>
      <c r="AW86" s="240" t="s">
        <v>231</v>
      </c>
      <c r="AX86" s="240" t="s">
        <v>231</v>
      </c>
      <c r="AY86" s="240" t="s">
        <v>231</v>
      </c>
      <c r="AZ86" s="240" t="s">
        <v>231</v>
      </c>
      <c r="BA86" s="240" t="s">
        <v>231</v>
      </c>
      <c r="BB86" s="240" t="s">
        <v>231</v>
      </c>
      <c r="BC86" s="240" t="s">
        <v>231</v>
      </c>
      <c r="BD86" s="240" t="s">
        <v>231</v>
      </c>
      <c r="BE86" s="240" t="s">
        <v>231</v>
      </c>
      <c r="BF86" s="240" t="s">
        <v>231</v>
      </c>
      <c r="BG86" s="240" t="s">
        <v>231</v>
      </c>
      <c r="BH86" s="240" t="s">
        <v>492</v>
      </c>
      <c r="BI86" s="240" t="s">
        <v>492</v>
      </c>
      <c r="BJ86" s="240" t="s">
        <v>492</v>
      </c>
      <c r="BK86" s="240" t="s">
        <v>492</v>
      </c>
      <c r="BL86" s="240" t="s">
        <v>231</v>
      </c>
      <c r="BM86" s="240" t="s">
        <v>231</v>
      </c>
      <c r="BN86" s="240" t="s">
        <v>231</v>
      </c>
      <c r="BO86" s="240" t="s">
        <v>231</v>
      </c>
      <c r="BP86" s="240" t="s">
        <v>231</v>
      </c>
      <c r="BQ86" s="240" t="s">
        <v>231</v>
      </c>
      <c r="BR86" s="240" t="s">
        <v>231</v>
      </c>
      <c r="BS86" s="240" t="s">
        <v>231</v>
      </c>
      <c r="BT86" s="240" t="s">
        <v>231</v>
      </c>
      <c r="BU86" s="240" t="s">
        <v>231</v>
      </c>
      <c r="BV86" s="240" t="s">
        <v>231</v>
      </c>
      <c r="BW86" s="240" t="s">
        <v>231</v>
      </c>
      <c r="BX86" s="240" t="s">
        <v>231</v>
      </c>
      <c r="BY86" s="240" t="s">
        <v>231</v>
      </c>
      <c r="BZ86" s="240" t="s">
        <v>231</v>
      </c>
      <c r="CA86" s="240" t="s">
        <v>231</v>
      </c>
      <c r="CB86" s="240" t="s">
        <v>231</v>
      </c>
      <c r="CC86" s="240" t="s">
        <v>231</v>
      </c>
      <c r="CD86" s="240" t="s">
        <v>231</v>
      </c>
      <c r="CE86" s="240" t="s">
        <v>231</v>
      </c>
      <c r="CF86" s="240" t="s">
        <v>231</v>
      </c>
      <c r="CG86" s="240" t="s">
        <v>231</v>
      </c>
      <c r="CH86" s="240" t="s">
        <v>231</v>
      </c>
      <c r="CI86" s="240" t="s">
        <v>231</v>
      </c>
      <c r="CJ86" s="240" t="s">
        <v>231</v>
      </c>
      <c r="CK86" s="240" t="s">
        <v>231</v>
      </c>
      <c r="CL86" s="240" t="s">
        <v>231</v>
      </c>
      <c r="CM86" s="240" t="s">
        <v>231</v>
      </c>
      <c r="CN86" s="240" t="s">
        <v>231</v>
      </c>
      <c r="CO86" s="240" t="s">
        <v>231</v>
      </c>
      <c r="CP86" s="240" t="s">
        <v>231</v>
      </c>
      <c r="CQ86" s="240" t="s">
        <v>232</v>
      </c>
      <c r="CR86" s="240" t="s">
        <v>231</v>
      </c>
      <c r="CS86" s="240" t="s">
        <v>232</v>
      </c>
      <c r="CT86" s="240" t="s">
        <v>492</v>
      </c>
      <c r="CU86" s="240" t="s">
        <v>492</v>
      </c>
      <c r="CV86" s="240" t="s">
        <v>492</v>
      </c>
      <c r="CW86" s="240" t="s">
        <v>231</v>
      </c>
      <c r="CX86" s="240" t="s">
        <v>231</v>
      </c>
      <c r="CY86" s="240" t="s">
        <v>231</v>
      </c>
      <c r="CZ86" s="240" t="s">
        <v>231</v>
      </c>
      <c r="DA86" s="240" t="s">
        <v>231</v>
      </c>
      <c r="DB86" s="240" t="s">
        <v>231</v>
      </c>
      <c r="DC86" s="240" t="s">
        <v>231</v>
      </c>
      <c r="DD86" s="240" t="s">
        <v>231</v>
      </c>
      <c r="DE86" s="240" t="s">
        <v>231</v>
      </c>
      <c r="DF86" s="240" t="s">
        <v>231</v>
      </c>
      <c r="DG86" s="240" t="s">
        <v>231</v>
      </c>
      <c r="DH86" s="240" t="s">
        <v>231</v>
      </c>
      <c r="DI86" s="240" t="s">
        <v>231</v>
      </c>
      <c r="DJ86" s="240" t="s">
        <v>231</v>
      </c>
      <c r="DK86" s="240" t="s">
        <v>231</v>
      </c>
      <c r="DL86" s="240" t="s">
        <v>231</v>
      </c>
      <c r="DM86" s="240" t="s">
        <v>231</v>
      </c>
      <c r="DN86" s="240" t="s">
        <v>231</v>
      </c>
      <c r="DO86" s="240" t="s">
        <v>231</v>
      </c>
      <c r="DP86" s="240" t="s">
        <v>231</v>
      </c>
      <c r="DQ86" s="240" t="s">
        <v>231</v>
      </c>
      <c r="DR86" s="240" t="s">
        <v>231</v>
      </c>
      <c r="DS86" s="240" t="s">
        <v>231</v>
      </c>
      <c r="DT86" s="240" t="s">
        <v>492</v>
      </c>
      <c r="DU86" s="240" t="s">
        <v>492</v>
      </c>
      <c r="DV86" s="240" t="s">
        <v>492</v>
      </c>
      <c r="DW86" s="240" t="s">
        <v>492</v>
      </c>
      <c r="DX86" s="240" t="s">
        <v>492</v>
      </c>
      <c r="DY86" s="240" t="s">
        <v>492</v>
      </c>
      <c r="DZ86" s="240" t="s">
        <v>492</v>
      </c>
      <c r="EA86" s="240" t="s">
        <v>492</v>
      </c>
      <c r="EB86" s="240" t="s">
        <v>492</v>
      </c>
      <c r="EC86" s="240" t="s">
        <v>492</v>
      </c>
      <c r="ED86" s="240" t="s">
        <v>492</v>
      </c>
      <c r="EE86" s="240" t="s">
        <v>492</v>
      </c>
      <c r="EF86" s="240" t="s">
        <v>492</v>
      </c>
      <c r="EG86" s="240" t="s">
        <v>492</v>
      </c>
      <c r="EH86" s="240" t="s">
        <v>492</v>
      </c>
      <c r="EI86" s="240" t="s">
        <v>492</v>
      </c>
      <c r="EJ86" s="240" t="s">
        <v>231</v>
      </c>
      <c r="EK86" s="240" t="s">
        <v>231</v>
      </c>
      <c r="EL86" s="240" t="s">
        <v>231</v>
      </c>
      <c r="EM86" s="240" t="s">
        <v>231</v>
      </c>
      <c r="EN86" s="240" t="s">
        <v>492</v>
      </c>
      <c r="EO86" s="240" t="s">
        <v>492</v>
      </c>
      <c r="EP86" s="240" t="s">
        <v>492</v>
      </c>
      <c r="EQ86" s="240" t="s">
        <v>492</v>
      </c>
      <c r="ER86" s="240" t="s">
        <v>492</v>
      </c>
      <c r="ES86" s="240" t="s">
        <v>231</v>
      </c>
      <c r="ET86" s="240" t="s">
        <v>231</v>
      </c>
      <c r="EU86" s="240" t="s">
        <v>231</v>
      </c>
      <c r="EV86" s="240" t="s">
        <v>231</v>
      </c>
      <c r="EW86" s="240" t="s">
        <v>231</v>
      </c>
      <c r="EX86" s="240" t="s">
        <v>231</v>
      </c>
      <c r="EY86" s="240" t="s">
        <v>231</v>
      </c>
      <c r="EZ86" s="240" t="s">
        <v>231</v>
      </c>
      <c r="FA86" s="240" t="s">
        <v>231</v>
      </c>
      <c r="FB86" s="240" t="s">
        <v>231</v>
      </c>
      <c r="FC86" s="240" t="s">
        <v>231</v>
      </c>
      <c r="FD86" s="240" t="s">
        <v>231</v>
      </c>
      <c r="FE86" s="240" t="s">
        <v>231</v>
      </c>
      <c r="FF86" s="240" t="s">
        <v>231</v>
      </c>
      <c r="FG86" s="240" t="s">
        <v>492</v>
      </c>
      <c r="FH86" s="240" t="s">
        <v>492</v>
      </c>
      <c r="FI86" s="240" t="s">
        <v>492</v>
      </c>
      <c r="FJ86" s="240" t="s">
        <v>492</v>
      </c>
      <c r="FK86" s="240" t="s">
        <v>492</v>
      </c>
      <c r="FL86" s="240" t="s">
        <v>492</v>
      </c>
      <c r="FM86" s="240" t="s">
        <v>231</v>
      </c>
      <c r="FN86" s="240" t="s">
        <v>492</v>
      </c>
      <c r="FO86" s="240" t="s">
        <v>493</v>
      </c>
      <c r="FP86" s="240" t="s">
        <v>492</v>
      </c>
      <c r="FQ86" s="240" t="s">
        <v>231</v>
      </c>
      <c r="FR86" s="240" t="s">
        <v>231</v>
      </c>
      <c r="FS86" s="240" t="s">
        <v>231</v>
      </c>
      <c r="FT86" s="240" t="s">
        <v>492</v>
      </c>
      <c r="FU86" s="240" t="s">
        <v>492</v>
      </c>
      <c r="FV86" s="240" t="s">
        <v>231</v>
      </c>
      <c r="FW86" s="240" t="s">
        <v>231</v>
      </c>
      <c r="FX86" s="240" t="s">
        <v>492</v>
      </c>
      <c r="FY86" s="240" t="s">
        <v>231</v>
      </c>
      <c r="FZ86" s="240" t="s">
        <v>231</v>
      </c>
      <c r="GA86" s="240" t="s">
        <v>231</v>
      </c>
      <c r="GB86" s="240" t="s">
        <v>231</v>
      </c>
      <c r="GC86" s="240" t="s">
        <v>231</v>
      </c>
      <c r="GD86" s="240" t="s">
        <v>231</v>
      </c>
      <c r="GE86" s="240" t="s">
        <v>231</v>
      </c>
      <c r="GF86" s="240" t="s">
        <v>231</v>
      </c>
      <c r="GG86" s="240" t="s">
        <v>231</v>
      </c>
      <c r="GH86" s="240" t="s">
        <v>231</v>
      </c>
      <c r="GI86" s="240" t="s">
        <v>231</v>
      </c>
      <c r="GJ86" s="240" t="s">
        <v>231</v>
      </c>
      <c r="GK86" s="240" t="s">
        <v>231</v>
      </c>
      <c r="GL86" s="240" t="s">
        <v>231</v>
      </c>
      <c r="GM86" s="240" t="s">
        <v>231</v>
      </c>
      <c r="GN86" s="240" t="s">
        <v>231</v>
      </c>
      <c r="GO86" s="240" t="s">
        <v>231</v>
      </c>
      <c r="GP86" s="240" t="s">
        <v>492</v>
      </c>
      <c r="GQ86" s="240" t="s">
        <v>231</v>
      </c>
      <c r="GR86" s="240" t="s">
        <v>231</v>
      </c>
      <c r="GS86" s="240" t="s">
        <v>231</v>
      </c>
      <c r="GT86" s="240" t="s">
        <v>231</v>
      </c>
      <c r="GU86" s="240" t="s">
        <v>231</v>
      </c>
      <c r="GV86" s="240" t="s">
        <v>492</v>
      </c>
      <c r="GW86" s="240" t="s">
        <v>231</v>
      </c>
      <c r="GX86" s="240" t="s">
        <v>231</v>
      </c>
      <c r="GY86" s="240" t="s">
        <v>492</v>
      </c>
      <c r="GZ86" s="240" t="s">
        <v>231</v>
      </c>
      <c r="HA86" s="240" t="s">
        <v>231</v>
      </c>
      <c r="HB86" s="240" t="s">
        <v>231</v>
      </c>
      <c r="HC86" s="240" t="s">
        <v>231</v>
      </c>
      <c r="HD86" s="240" t="s">
        <v>231</v>
      </c>
      <c r="HE86" s="240" t="s">
        <v>231</v>
      </c>
      <c r="HF86" s="240" t="s">
        <v>492</v>
      </c>
      <c r="HG86" s="240" t="s">
        <v>492</v>
      </c>
      <c r="HH86" s="240" t="s">
        <v>231</v>
      </c>
      <c r="HI86" s="240" t="s">
        <v>231</v>
      </c>
      <c r="HJ86" s="240" t="s">
        <v>231</v>
      </c>
      <c r="HK86" s="240" t="s">
        <v>231</v>
      </c>
      <c r="HL86" s="240" t="s">
        <v>231</v>
      </c>
      <c r="HM86" s="240" t="s">
        <v>231</v>
      </c>
      <c r="HN86" s="240" t="s">
        <v>231</v>
      </c>
      <c r="HO86" s="240" t="s">
        <v>231</v>
      </c>
      <c r="HP86" s="240" t="s">
        <v>231</v>
      </c>
      <c r="HQ86" s="240" t="s">
        <v>231</v>
      </c>
      <c r="HR86" s="240" t="s">
        <v>492</v>
      </c>
      <c r="HS86" s="240" t="s">
        <v>492</v>
      </c>
      <c r="HT86" s="240" t="s">
        <v>492</v>
      </c>
      <c r="HU86" s="240" t="s">
        <v>231</v>
      </c>
      <c r="HV86" s="240" t="s">
        <v>231</v>
      </c>
      <c r="HW86" s="240" t="s">
        <v>231</v>
      </c>
      <c r="HX86" s="240" t="s">
        <v>231</v>
      </c>
      <c r="HY86" s="240" t="s">
        <v>231</v>
      </c>
      <c r="HZ86" s="240" t="s">
        <v>231</v>
      </c>
      <c r="IA86" s="240" t="s">
        <v>231</v>
      </c>
      <c r="IB86" s="240" t="s">
        <v>231</v>
      </c>
      <c r="IC86" s="240" t="s">
        <v>231</v>
      </c>
      <c r="ID86" s="240" t="s">
        <v>231</v>
      </c>
      <c r="IE86" s="240" t="s">
        <v>231</v>
      </c>
      <c r="IF86" s="240" t="s">
        <v>231</v>
      </c>
      <c r="IG86" s="240" t="s">
        <v>231</v>
      </c>
      <c r="IH86" s="240" t="s">
        <v>231</v>
      </c>
      <c r="II86" s="240" t="s">
        <v>231</v>
      </c>
      <c r="IJ86" s="240" t="s">
        <v>231</v>
      </c>
      <c r="IK86" s="240" t="s">
        <v>232</v>
      </c>
      <c r="IL86" s="240" t="s">
        <v>232</v>
      </c>
      <c r="IM86" s="240" t="s">
        <v>232</v>
      </c>
      <c r="IN86" s="240" t="s">
        <v>231</v>
      </c>
      <c r="IO86" s="240" t="s">
        <v>220</v>
      </c>
      <c r="IP86" s="240" t="s">
        <v>493</v>
      </c>
      <c r="IQ86" s="240" t="s">
        <v>220</v>
      </c>
      <c r="IR86" s="240" t="s">
        <v>490</v>
      </c>
      <c r="IS86" s="240" t="s">
        <v>231</v>
      </c>
      <c r="IT86" s="240" t="s">
        <v>231</v>
      </c>
    </row>
    <row r="87" spans="1:254" ht="15" x14ac:dyDescent="0.25">
      <c r="A87" s="258" t="str">
        <f>HYPERLINK("http://www.ofsted.gov.uk/inspection-reports/find-inspection-report/provider/ELS/131355 ","Ofsted School Webpage")</f>
        <v>Ofsted School Webpage</v>
      </c>
      <c r="B87" s="237">
        <v>131355</v>
      </c>
      <c r="C87" s="237">
        <v>8886034</v>
      </c>
      <c r="D87" s="237" t="s">
        <v>726</v>
      </c>
      <c r="E87" s="237" t="s">
        <v>247</v>
      </c>
      <c r="F87" s="237" t="s">
        <v>482</v>
      </c>
      <c r="G87" s="237" t="s">
        <v>495</v>
      </c>
      <c r="H87" s="237" t="s">
        <v>495</v>
      </c>
      <c r="I87" s="237" t="s">
        <v>534</v>
      </c>
      <c r="J87" s="237" t="s">
        <v>727</v>
      </c>
      <c r="K87" s="237" t="s">
        <v>93</v>
      </c>
      <c r="L87" s="237" t="s">
        <v>84</v>
      </c>
      <c r="M87" s="237" t="s">
        <v>84</v>
      </c>
      <c r="N87" s="237" t="s">
        <v>84</v>
      </c>
      <c r="O87" s="237" t="s">
        <v>486</v>
      </c>
      <c r="P87" s="237" t="s">
        <v>487</v>
      </c>
      <c r="Q87" s="238">
        <v>10067890</v>
      </c>
      <c r="R87" s="239">
        <v>43417</v>
      </c>
      <c r="S87" s="239">
        <v>43419</v>
      </c>
      <c r="T87" s="239">
        <v>43444</v>
      </c>
      <c r="U87" s="237" t="s">
        <v>624</v>
      </c>
      <c r="V87" s="237" t="s">
        <v>489</v>
      </c>
      <c r="W87" s="237">
        <v>2</v>
      </c>
      <c r="X87" s="237">
        <v>2</v>
      </c>
      <c r="Y87" s="237">
        <v>1</v>
      </c>
      <c r="Z87" s="237">
        <v>2</v>
      </c>
      <c r="AA87" s="237">
        <v>2</v>
      </c>
      <c r="AB87" s="237" t="s">
        <v>486</v>
      </c>
      <c r="AC87" s="237">
        <v>2</v>
      </c>
      <c r="AD87" s="237" t="s">
        <v>219</v>
      </c>
      <c r="AE87" s="237" t="s">
        <v>512</v>
      </c>
      <c r="AF87" s="237" t="s">
        <v>486</v>
      </c>
      <c r="AG87" s="237" t="s">
        <v>486</v>
      </c>
      <c r="AH87" s="237" t="s">
        <v>490</v>
      </c>
      <c r="AI87" s="237" t="s">
        <v>486</v>
      </c>
      <c r="AJ87" s="237" t="s">
        <v>486</v>
      </c>
      <c r="AK87" s="237" t="s">
        <v>486</v>
      </c>
      <c r="AL87" s="237" t="s">
        <v>486</v>
      </c>
      <c r="AM87" s="237" t="s">
        <v>491</v>
      </c>
      <c r="AN87" s="237" t="s">
        <v>231</v>
      </c>
      <c r="AO87" s="237" t="s">
        <v>231</v>
      </c>
      <c r="AP87" s="237" t="s">
        <v>231</v>
      </c>
      <c r="AQ87" s="237" t="s">
        <v>231</v>
      </c>
      <c r="AR87" s="237" t="s">
        <v>231</v>
      </c>
      <c r="AS87" s="237" t="s">
        <v>231</v>
      </c>
      <c r="AT87" s="237" t="s">
        <v>231</v>
      </c>
      <c r="AU87" s="237" t="s">
        <v>231</v>
      </c>
      <c r="AV87" s="237" t="s">
        <v>231</v>
      </c>
      <c r="AW87" s="237" t="s">
        <v>231</v>
      </c>
      <c r="AX87" s="237" t="s">
        <v>231</v>
      </c>
      <c r="AY87" s="237" t="s">
        <v>231</v>
      </c>
      <c r="AZ87" s="237" t="s">
        <v>231</v>
      </c>
      <c r="BA87" s="237" t="s">
        <v>231</v>
      </c>
      <c r="BB87" s="237" t="s">
        <v>231</v>
      </c>
      <c r="BC87" s="237" t="s">
        <v>231</v>
      </c>
      <c r="BD87" s="237" t="s">
        <v>492</v>
      </c>
      <c r="BE87" s="237" t="s">
        <v>231</v>
      </c>
      <c r="BF87" s="237" t="s">
        <v>231</v>
      </c>
      <c r="BG87" s="237" t="s">
        <v>231</v>
      </c>
      <c r="BH87" s="237" t="s">
        <v>231</v>
      </c>
      <c r="BI87" s="237" t="s">
        <v>231</v>
      </c>
      <c r="BJ87" s="237" t="s">
        <v>231</v>
      </c>
      <c r="BK87" s="237" t="s">
        <v>231</v>
      </c>
      <c r="BL87" s="237" t="s">
        <v>492</v>
      </c>
      <c r="BM87" s="237" t="s">
        <v>231</v>
      </c>
      <c r="BN87" s="237" t="s">
        <v>231</v>
      </c>
      <c r="BO87" s="237" t="s">
        <v>231</v>
      </c>
      <c r="BP87" s="237" t="s">
        <v>231</v>
      </c>
      <c r="BQ87" s="237" t="s">
        <v>231</v>
      </c>
      <c r="BR87" s="237" t="s">
        <v>231</v>
      </c>
      <c r="BS87" s="237" t="s">
        <v>231</v>
      </c>
      <c r="BT87" s="237" t="s">
        <v>231</v>
      </c>
      <c r="BU87" s="237" t="s">
        <v>231</v>
      </c>
      <c r="BV87" s="237" t="s">
        <v>231</v>
      </c>
      <c r="BW87" s="237" t="s">
        <v>231</v>
      </c>
      <c r="BX87" s="237" t="s">
        <v>231</v>
      </c>
      <c r="BY87" s="237" t="s">
        <v>231</v>
      </c>
      <c r="BZ87" s="237" t="s">
        <v>231</v>
      </c>
      <c r="CA87" s="237" t="s">
        <v>231</v>
      </c>
      <c r="CB87" s="237" t="s">
        <v>231</v>
      </c>
      <c r="CC87" s="237" t="s">
        <v>231</v>
      </c>
      <c r="CD87" s="237" t="s">
        <v>231</v>
      </c>
      <c r="CE87" s="237" t="s">
        <v>231</v>
      </c>
      <c r="CF87" s="237" t="s">
        <v>231</v>
      </c>
      <c r="CG87" s="237" t="s">
        <v>231</v>
      </c>
      <c r="CH87" s="237" t="s">
        <v>231</v>
      </c>
      <c r="CI87" s="237" t="s">
        <v>231</v>
      </c>
      <c r="CJ87" s="237" t="s">
        <v>231</v>
      </c>
      <c r="CK87" s="237" t="s">
        <v>231</v>
      </c>
      <c r="CL87" s="237" t="s">
        <v>231</v>
      </c>
      <c r="CM87" s="237" t="s">
        <v>231</v>
      </c>
      <c r="CN87" s="237" t="s">
        <v>231</v>
      </c>
      <c r="CO87" s="237" t="s">
        <v>231</v>
      </c>
      <c r="CP87" s="237" t="s">
        <v>231</v>
      </c>
      <c r="CQ87" s="237" t="s">
        <v>231</v>
      </c>
      <c r="CR87" s="237" t="s">
        <v>231</v>
      </c>
      <c r="CS87" s="237" t="s">
        <v>231</v>
      </c>
      <c r="CT87" s="237" t="s">
        <v>231</v>
      </c>
      <c r="CU87" s="237" t="s">
        <v>231</v>
      </c>
      <c r="CV87" s="237" t="s">
        <v>231</v>
      </c>
      <c r="CW87" s="237" t="s">
        <v>231</v>
      </c>
      <c r="CX87" s="237" t="s">
        <v>231</v>
      </c>
      <c r="CY87" s="237" t="s">
        <v>231</v>
      </c>
      <c r="CZ87" s="237" t="s">
        <v>231</v>
      </c>
      <c r="DA87" s="237" t="s">
        <v>231</v>
      </c>
      <c r="DB87" s="237" t="s">
        <v>231</v>
      </c>
      <c r="DC87" s="237" t="s">
        <v>231</v>
      </c>
      <c r="DD87" s="237" t="s">
        <v>231</v>
      </c>
      <c r="DE87" s="237" t="s">
        <v>231</v>
      </c>
      <c r="DF87" s="237" t="s">
        <v>231</v>
      </c>
      <c r="DG87" s="237" t="s">
        <v>231</v>
      </c>
      <c r="DH87" s="237" t="s">
        <v>231</v>
      </c>
      <c r="DI87" s="237" t="s">
        <v>231</v>
      </c>
      <c r="DJ87" s="237" t="s">
        <v>231</v>
      </c>
      <c r="DK87" s="237" t="s">
        <v>231</v>
      </c>
      <c r="DL87" s="237" t="s">
        <v>231</v>
      </c>
      <c r="DM87" s="237" t="s">
        <v>231</v>
      </c>
      <c r="DN87" s="237" t="s">
        <v>231</v>
      </c>
      <c r="DO87" s="237" t="s">
        <v>231</v>
      </c>
      <c r="DP87" s="237" t="s">
        <v>231</v>
      </c>
      <c r="DQ87" s="237" t="s">
        <v>231</v>
      </c>
      <c r="DR87" s="237" t="s">
        <v>231</v>
      </c>
      <c r="DS87" s="237" t="s">
        <v>231</v>
      </c>
      <c r="DT87" s="237" t="s">
        <v>231</v>
      </c>
      <c r="DU87" s="237" t="s">
        <v>231</v>
      </c>
      <c r="DV87" s="237" t="s">
        <v>492</v>
      </c>
      <c r="DW87" s="237" t="s">
        <v>492</v>
      </c>
      <c r="DX87" s="237" t="s">
        <v>492</v>
      </c>
      <c r="DY87" s="237" t="s">
        <v>492</v>
      </c>
      <c r="DZ87" s="237" t="s">
        <v>492</v>
      </c>
      <c r="EA87" s="237" t="s">
        <v>492</v>
      </c>
      <c r="EB87" s="237" t="s">
        <v>492</v>
      </c>
      <c r="EC87" s="237" t="s">
        <v>492</v>
      </c>
      <c r="ED87" s="237" t="s">
        <v>492</v>
      </c>
      <c r="EE87" s="237" t="s">
        <v>492</v>
      </c>
      <c r="EF87" s="237" t="s">
        <v>492</v>
      </c>
      <c r="EG87" s="237" t="s">
        <v>492</v>
      </c>
      <c r="EH87" s="237" t="s">
        <v>492</v>
      </c>
      <c r="EI87" s="237" t="s">
        <v>492</v>
      </c>
      <c r="EJ87" s="237" t="s">
        <v>492</v>
      </c>
      <c r="EK87" s="237" t="s">
        <v>492</v>
      </c>
      <c r="EL87" s="237" t="s">
        <v>492</v>
      </c>
      <c r="EM87" s="237" t="s">
        <v>492</v>
      </c>
      <c r="EN87" s="237" t="s">
        <v>492</v>
      </c>
      <c r="EO87" s="237" t="s">
        <v>492</v>
      </c>
      <c r="EP87" s="237" t="s">
        <v>492</v>
      </c>
      <c r="EQ87" s="237" t="s">
        <v>492</v>
      </c>
      <c r="ER87" s="237" t="s">
        <v>492</v>
      </c>
      <c r="ES87" s="237" t="s">
        <v>231</v>
      </c>
      <c r="ET87" s="237" t="s">
        <v>231</v>
      </c>
      <c r="EU87" s="237" t="s">
        <v>231</v>
      </c>
      <c r="EV87" s="237" t="s">
        <v>231</v>
      </c>
      <c r="EW87" s="237" t="s">
        <v>231</v>
      </c>
      <c r="EX87" s="237" t="s">
        <v>231</v>
      </c>
      <c r="EY87" s="237" t="s">
        <v>231</v>
      </c>
      <c r="EZ87" s="237" t="s">
        <v>231</v>
      </c>
      <c r="FA87" s="237" t="s">
        <v>231</v>
      </c>
      <c r="FB87" s="237" t="s">
        <v>231</v>
      </c>
      <c r="FC87" s="237" t="s">
        <v>231</v>
      </c>
      <c r="FD87" s="237" t="s">
        <v>231</v>
      </c>
      <c r="FE87" s="237" t="s">
        <v>231</v>
      </c>
      <c r="FF87" s="237" t="s">
        <v>231</v>
      </c>
      <c r="FG87" s="237" t="s">
        <v>492</v>
      </c>
      <c r="FH87" s="237" t="s">
        <v>492</v>
      </c>
      <c r="FI87" s="237" t="s">
        <v>492</v>
      </c>
      <c r="FJ87" s="237" t="s">
        <v>492</v>
      </c>
      <c r="FK87" s="237" t="s">
        <v>492</v>
      </c>
      <c r="FL87" s="237" t="s">
        <v>492</v>
      </c>
      <c r="FM87" s="237" t="s">
        <v>492</v>
      </c>
      <c r="FN87" s="237" t="s">
        <v>492</v>
      </c>
      <c r="FO87" s="237" t="s">
        <v>493</v>
      </c>
      <c r="FP87" s="237" t="s">
        <v>492</v>
      </c>
      <c r="FQ87" s="237" t="s">
        <v>231</v>
      </c>
      <c r="FR87" s="237" t="s">
        <v>231</v>
      </c>
      <c r="FS87" s="237" t="s">
        <v>492</v>
      </c>
      <c r="FT87" s="237" t="s">
        <v>231</v>
      </c>
      <c r="FU87" s="237" t="s">
        <v>231</v>
      </c>
      <c r="FV87" s="237" t="s">
        <v>231</v>
      </c>
      <c r="FW87" s="237" t="s">
        <v>231</v>
      </c>
      <c r="FX87" s="237" t="s">
        <v>492</v>
      </c>
      <c r="FY87" s="237" t="s">
        <v>231</v>
      </c>
      <c r="FZ87" s="237" t="s">
        <v>231</v>
      </c>
      <c r="GA87" s="237" t="s">
        <v>231</v>
      </c>
      <c r="GB87" s="237" t="s">
        <v>231</v>
      </c>
      <c r="GC87" s="237" t="s">
        <v>231</v>
      </c>
      <c r="GD87" s="237" t="s">
        <v>231</v>
      </c>
      <c r="GE87" s="237" t="s">
        <v>231</v>
      </c>
      <c r="GF87" s="237" t="s">
        <v>231</v>
      </c>
      <c r="GG87" s="237" t="s">
        <v>231</v>
      </c>
      <c r="GH87" s="237" t="s">
        <v>231</v>
      </c>
      <c r="GI87" s="237" t="s">
        <v>231</v>
      </c>
      <c r="GJ87" s="237" t="s">
        <v>231</v>
      </c>
      <c r="GK87" s="237" t="s">
        <v>231</v>
      </c>
      <c r="GL87" s="237" t="s">
        <v>231</v>
      </c>
      <c r="GM87" s="237" t="s">
        <v>231</v>
      </c>
      <c r="GN87" s="237" t="s">
        <v>231</v>
      </c>
      <c r="GO87" s="237" t="s">
        <v>231</v>
      </c>
      <c r="GP87" s="237" t="s">
        <v>231</v>
      </c>
      <c r="GQ87" s="237" t="s">
        <v>231</v>
      </c>
      <c r="GR87" s="237" t="s">
        <v>231</v>
      </c>
      <c r="GS87" s="237" t="s">
        <v>231</v>
      </c>
      <c r="GT87" s="237" t="s">
        <v>231</v>
      </c>
      <c r="GU87" s="237" t="s">
        <v>231</v>
      </c>
      <c r="GV87" s="237" t="s">
        <v>231</v>
      </c>
      <c r="GW87" s="237" t="s">
        <v>231</v>
      </c>
      <c r="GX87" s="237" t="s">
        <v>231</v>
      </c>
      <c r="GY87" s="237" t="s">
        <v>492</v>
      </c>
      <c r="GZ87" s="237" t="s">
        <v>492</v>
      </c>
      <c r="HA87" s="237" t="s">
        <v>492</v>
      </c>
      <c r="HB87" s="237" t="s">
        <v>231</v>
      </c>
      <c r="HC87" s="237" t="s">
        <v>231</v>
      </c>
      <c r="HD87" s="237" t="s">
        <v>231</v>
      </c>
      <c r="HE87" s="237" t="s">
        <v>231</v>
      </c>
      <c r="HF87" s="237" t="s">
        <v>231</v>
      </c>
      <c r="HG87" s="237" t="s">
        <v>231</v>
      </c>
      <c r="HH87" s="237" t="s">
        <v>231</v>
      </c>
      <c r="HI87" s="237" t="s">
        <v>231</v>
      </c>
      <c r="HJ87" s="237" t="s">
        <v>231</v>
      </c>
      <c r="HK87" s="237" t="s">
        <v>231</v>
      </c>
      <c r="HL87" s="237" t="s">
        <v>231</v>
      </c>
      <c r="HM87" s="237" t="s">
        <v>231</v>
      </c>
      <c r="HN87" s="237" t="s">
        <v>231</v>
      </c>
      <c r="HO87" s="237" t="s">
        <v>231</v>
      </c>
      <c r="HP87" s="237" t="s">
        <v>231</v>
      </c>
      <c r="HQ87" s="237" t="s">
        <v>492</v>
      </c>
      <c r="HR87" s="237" t="s">
        <v>492</v>
      </c>
      <c r="HS87" s="237" t="s">
        <v>492</v>
      </c>
      <c r="HT87" s="237" t="s">
        <v>492</v>
      </c>
      <c r="HU87" s="237" t="s">
        <v>231</v>
      </c>
      <c r="HV87" s="237" t="s">
        <v>231</v>
      </c>
      <c r="HW87" s="237" t="s">
        <v>231</v>
      </c>
      <c r="HX87" s="237" t="s">
        <v>231</v>
      </c>
      <c r="HY87" s="237" t="s">
        <v>231</v>
      </c>
      <c r="HZ87" s="237" t="s">
        <v>231</v>
      </c>
      <c r="IA87" s="237" t="s">
        <v>231</v>
      </c>
      <c r="IB87" s="237" t="s">
        <v>231</v>
      </c>
      <c r="IC87" s="237" t="s">
        <v>231</v>
      </c>
      <c r="ID87" s="237" t="s">
        <v>231</v>
      </c>
      <c r="IE87" s="237" t="s">
        <v>231</v>
      </c>
      <c r="IF87" s="237" t="s">
        <v>231</v>
      </c>
      <c r="IG87" s="237" t="s">
        <v>231</v>
      </c>
      <c r="IH87" s="237" t="s">
        <v>231</v>
      </c>
      <c r="II87" s="237" t="s">
        <v>231</v>
      </c>
      <c r="IJ87" s="237" t="s">
        <v>231</v>
      </c>
      <c r="IK87" s="237" t="s">
        <v>231</v>
      </c>
      <c r="IL87" s="237" t="s">
        <v>231</v>
      </c>
      <c r="IM87" s="237" t="s">
        <v>231</v>
      </c>
      <c r="IN87" s="237" t="s">
        <v>231</v>
      </c>
      <c r="IO87" s="237" t="s">
        <v>220</v>
      </c>
      <c r="IP87" s="237" t="s">
        <v>493</v>
      </c>
      <c r="IQ87" s="237" t="s">
        <v>219</v>
      </c>
      <c r="IR87" s="237" t="s">
        <v>490</v>
      </c>
      <c r="IS87" s="237" t="s">
        <v>492</v>
      </c>
      <c r="IT87" s="237" t="s">
        <v>492</v>
      </c>
    </row>
    <row r="88" spans="1:254" ht="15" x14ac:dyDescent="0.25">
      <c r="A88" s="259" t="str">
        <f>HYPERLINK("http://www.ofsted.gov.uk/inspection-reports/find-inspection-report/provider/ELS/141954 ","Ofsted School Webpage")</f>
        <v>Ofsted School Webpage</v>
      </c>
      <c r="B88" s="240">
        <v>141954</v>
      </c>
      <c r="C88" s="240">
        <v>8416007</v>
      </c>
      <c r="D88" s="240" t="s">
        <v>728</v>
      </c>
      <c r="E88" s="240" t="s">
        <v>248</v>
      </c>
      <c r="F88" s="240" t="s">
        <v>501</v>
      </c>
      <c r="G88" s="240" t="s">
        <v>523</v>
      </c>
      <c r="H88" s="240" t="s">
        <v>539</v>
      </c>
      <c r="I88" s="240" t="s">
        <v>540</v>
      </c>
      <c r="J88" s="240" t="s">
        <v>729</v>
      </c>
      <c r="K88" s="240" t="s">
        <v>93</v>
      </c>
      <c r="L88" s="240" t="s">
        <v>93</v>
      </c>
      <c r="M88" s="240" t="s">
        <v>93</v>
      </c>
      <c r="N88" s="240" t="s">
        <v>90</v>
      </c>
      <c r="O88" s="240" t="s">
        <v>486</v>
      </c>
      <c r="P88" s="240" t="s">
        <v>487</v>
      </c>
      <c r="Q88" s="241">
        <v>10055381</v>
      </c>
      <c r="R88" s="242">
        <v>43417</v>
      </c>
      <c r="S88" s="242">
        <v>43419</v>
      </c>
      <c r="T88" s="242">
        <v>43453</v>
      </c>
      <c r="U88" s="240" t="s">
        <v>2930</v>
      </c>
      <c r="V88" s="240" t="s">
        <v>489</v>
      </c>
      <c r="W88" s="240">
        <v>1</v>
      </c>
      <c r="X88" s="240">
        <v>1</v>
      </c>
      <c r="Y88" s="240">
        <v>1</v>
      </c>
      <c r="Z88" s="240">
        <v>1</v>
      </c>
      <c r="AA88" s="240">
        <v>1</v>
      </c>
      <c r="AB88" s="240" t="s">
        <v>486</v>
      </c>
      <c r="AC88" s="240" t="s">
        <v>486</v>
      </c>
      <c r="AD88" s="240" t="s">
        <v>219</v>
      </c>
      <c r="AE88" s="240" t="s">
        <v>490</v>
      </c>
      <c r="AF88" s="240" t="s">
        <v>486</v>
      </c>
      <c r="AG88" s="240" t="s">
        <v>486</v>
      </c>
      <c r="AH88" s="240" t="s">
        <v>486</v>
      </c>
      <c r="AI88" s="240" t="s">
        <v>486</v>
      </c>
      <c r="AJ88" s="240" t="s">
        <v>486</v>
      </c>
      <c r="AK88" s="240" t="s">
        <v>486</v>
      </c>
      <c r="AL88" s="240" t="s">
        <v>486</v>
      </c>
      <c r="AM88" s="240" t="s">
        <v>491</v>
      </c>
      <c r="AN88" s="240" t="s">
        <v>231</v>
      </c>
      <c r="AO88" s="240" t="s">
        <v>231</v>
      </c>
      <c r="AP88" s="240" t="s">
        <v>231</v>
      </c>
      <c r="AQ88" s="240" t="s">
        <v>231</v>
      </c>
      <c r="AR88" s="240" t="s">
        <v>231</v>
      </c>
      <c r="AS88" s="240" t="s">
        <v>231</v>
      </c>
      <c r="AT88" s="240" t="s">
        <v>231</v>
      </c>
      <c r="AU88" s="240" t="s">
        <v>231</v>
      </c>
      <c r="AV88" s="240" t="s">
        <v>231</v>
      </c>
      <c r="AW88" s="240" t="s">
        <v>231</v>
      </c>
      <c r="AX88" s="240" t="s">
        <v>231</v>
      </c>
      <c r="AY88" s="240" t="s">
        <v>231</v>
      </c>
      <c r="AZ88" s="240" t="s">
        <v>231</v>
      </c>
      <c r="BA88" s="240" t="s">
        <v>231</v>
      </c>
      <c r="BB88" s="240" t="s">
        <v>231</v>
      </c>
      <c r="BC88" s="240" t="s">
        <v>231</v>
      </c>
      <c r="BD88" s="240" t="s">
        <v>492</v>
      </c>
      <c r="BE88" s="240" t="s">
        <v>231</v>
      </c>
      <c r="BF88" s="240" t="s">
        <v>231</v>
      </c>
      <c r="BG88" s="240" t="s">
        <v>231</v>
      </c>
      <c r="BH88" s="240" t="s">
        <v>231</v>
      </c>
      <c r="BI88" s="240" t="s">
        <v>231</v>
      </c>
      <c r="BJ88" s="240" t="s">
        <v>231</v>
      </c>
      <c r="BK88" s="240" t="s">
        <v>231</v>
      </c>
      <c r="BL88" s="240" t="s">
        <v>492</v>
      </c>
      <c r="BM88" s="240" t="s">
        <v>231</v>
      </c>
      <c r="BN88" s="240" t="s">
        <v>231</v>
      </c>
      <c r="BO88" s="240" t="s">
        <v>231</v>
      </c>
      <c r="BP88" s="240" t="s">
        <v>231</v>
      </c>
      <c r="BQ88" s="240" t="s">
        <v>231</v>
      </c>
      <c r="BR88" s="240" t="s">
        <v>231</v>
      </c>
      <c r="BS88" s="240" t="s">
        <v>231</v>
      </c>
      <c r="BT88" s="240" t="s">
        <v>231</v>
      </c>
      <c r="BU88" s="240" t="s">
        <v>231</v>
      </c>
      <c r="BV88" s="240" t="s">
        <v>231</v>
      </c>
      <c r="BW88" s="240" t="s">
        <v>231</v>
      </c>
      <c r="BX88" s="240" t="s">
        <v>231</v>
      </c>
      <c r="BY88" s="240" t="s">
        <v>231</v>
      </c>
      <c r="BZ88" s="240" t="s">
        <v>231</v>
      </c>
      <c r="CA88" s="240" t="s">
        <v>231</v>
      </c>
      <c r="CB88" s="240" t="s">
        <v>231</v>
      </c>
      <c r="CC88" s="240" t="s">
        <v>231</v>
      </c>
      <c r="CD88" s="240" t="s">
        <v>231</v>
      </c>
      <c r="CE88" s="240" t="s">
        <v>231</v>
      </c>
      <c r="CF88" s="240" t="s">
        <v>231</v>
      </c>
      <c r="CG88" s="240" t="s">
        <v>231</v>
      </c>
      <c r="CH88" s="240" t="s">
        <v>231</v>
      </c>
      <c r="CI88" s="240" t="s">
        <v>231</v>
      </c>
      <c r="CJ88" s="240" t="s">
        <v>231</v>
      </c>
      <c r="CK88" s="240" t="s">
        <v>231</v>
      </c>
      <c r="CL88" s="240" t="s">
        <v>231</v>
      </c>
      <c r="CM88" s="240" t="s">
        <v>231</v>
      </c>
      <c r="CN88" s="240" t="s">
        <v>231</v>
      </c>
      <c r="CO88" s="240" t="s">
        <v>231</v>
      </c>
      <c r="CP88" s="240" t="s">
        <v>231</v>
      </c>
      <c r="CQ88" s="240" t="s">
        <v>231</v>
      </c>
      <c r="CR88" s="240" t="s">
        <v>231</v>
      </c>
      <c r="CS88" s="240" t="s">
        <v>231</v>
      </c>
      <c r="CT88" s="240" t="s">
        <v>492</v>
      </c>
      <c r="CU88" s="240" t="s">
        <v>492</v>
      </c>
      <c r="CV88" s="240" t="s">
        <v>492</v>
      </c>
      <c r="CW88" s="240" t="s">
        <v>231</v>
      </c>
      <c r="CX88" s="240" t="s">
        <v>231</v>
      </c>
      <c r="CY88" s="240" t="s">
        <v>231</v>
      </c>
      <c r="CZ88" s="240" t="s">
        <v>231</v>
      </c>
      <c r="DA88" s="240" t="s">
        <v>231</v>
      </c>
      <c r="DB88" s="240" t="s">
        <v>231</v>
      </c>
      <c r="DC88" s="240" t="s">
        <v>231</v>
      </c>
      <c r="DD88" s="240" t="s">
        <v>231</v>
      </c>
      <c r="DE88" s="240" t="s">
        <v>231</v>
      </c>
      <c r="DF88" s="240" t="s">
        <v>231</v>
      </c>
      <c r="DG88" s="240" t="s">
        <v>231</v>
      </c>
      <c r="DH88" s="240" t="s">
        <v>231</v>
      </c>
      <c r="DI88" s="240" t="s">
        <v>231</v>
      </c>
      <c r="DJ88" s="240" t="s">
        <v>231</v>
      </c>
      <c r="DK88" s="240" t="s">
        <v>231</v>
      </c>
      <c r="DL88" s="240" t="s">
        <v>231</v>
      </c>
      <c r="DM88" s="240" t="s">
        <v>231</v>
      </c>
      <c r="DN88" s="240" t="s">
        <v>231</v>
      </c>
      <c r="DO88" s="240" t="s">
        <v>231</v>
      </c>
      <c r="DP88" s="240" t="s">
        <v>231</v>
      </c>
      <c r="DQ88" s="240" t="s">
        <v>231</v>
      </c>
      <c r="DR88" s="240" t="s">
        <v>231</v>
      </c>
      <c r="DS88" s="240" t="s">
        <v>231</v>
      </c>
      <c r="DT88" s="240" t="s">
        <v>492</v>
      </c>
      <c r="DU88" s="240" t="s">
        <v>231</v>
      </c>
      <c r="DV88" s="240" t="s">
        <v>492</v>
      </c>
      <c r="DW88" s="240" t="s">
        <v>492</v>
      </c>
      <c r="DX88" s="240" t="s">
        <v>492</v>
      </c>
      <c r="DY88" s="240" t="s">
        <v>492</v>
      </c>
      <c r="DZ88" s="240" t="s">
        <v>492</v>
      </c>
      <c r="EA88" s="240" t="s">
        <v>492</v>
      </c>
      <c r="EB88" s="240" t="s">
        <v>492</v>
      </c>
      <c r="EC88" s="240" t="s">
        <v>492</v>
      </c>
      <c r="ED88" s="240" t="s">
        <v>492</v>
      </c>
      <c r="EE88" s="240" t="s">
        <v>492</v>
      </c>
      <c r="EF88" s="240" t="s">
        <v>492</v>
      </c>
      <c r="EG88" s="240" t="s">
        <v>492</v>
      </c>
      <c r="EH88" s="240" t="s">
        <v>492</v>
      </c>
      <c r="EI88" s="240" t="s">
        <v>492</v>
      </c>
      <c r="EJ88" s="240" t="s">
        <v>231</v>
      </c>
      <c r="EK88" s="240" t="s">
        <v>231</v>
      </c>
      <c r="EL88" s="240" t="s">
        <v>231</v>
      </c>
      <c r="EM88" s="240" t="s">
        <v>231</v>
      </c>
      <c r="EN88" s="240" t="s">
        <v>231</v>
      </c>
      <c r="EO88" s="240" t="s">
        <v>231</v>
      </c>
      <c r="EP88" s="240" t="s">
        <v>231</v>
      </c>
      <c r="EQ88" s="240" t="s">
        <v>231</v>
      </c>
      <c r="ER88" s="240" t="s">
        <v>231</v>
      </c>
      <c r="ES88" s="240" t="s">
        <v>231</v>
      </c>
      <c r="ET88" s="240" t="s">
        <v>231</v>
      </c>
      <c r="EU88" s="240" t="s">
        <v>231</v>
      </c>
      <c r="EV88" s="240" t="s">
        <v>231</v>
      </c>
      <c r="EW88" s="240" t="s">
        <v>231</v>
      </c>
      <c r="EX88" s="240" t="s">
        <v>231</v>
      </c>
      <c r="EY88" s="240" t="s">
        <v>231</v>
      </c>
      <c r="EZ88" s="240" t="s">
        <v>231</v>
      </c>
      <c r="FA88" s="240" t="s">
        <v>231</v>
      </c>
      <c r="FB88" s="240" t="s">
        <v>231</v>
      </c>
      <c r="FC88" s="240" t="s">
        <v>231</v>
      </c>
      <c r="FD88" s="240" t="s">
        <v>231</v>
      </c>
      <c r="FE88" s="240" t="s">
        <v>231</v>
      </c>
      <c r="FF88" s="240" t="s">
        <v>492</v>
      </c>
      <c r="FG88" s="240" t="s">
        <v>492</v>
      </c>
      <c r="FH88" s="240" t="s">
        <v>492</v>
      </c>
      <c r="FI88" s="240" t="s">
        <v>492</v>
      </c>
      <c r="FJ88" s="240" t="s">
        <v>492</v>
      </c>
      <c r="FK88" s="240" t="s">
        <v>492</v>
      </c>
      <c r="FL88" s="240" t="s">
        <v>492</v>
      </c>
      <c r="FM88" s="240" t="s">
        <v>231</v>
      </c>
      <c r="FN88" s="240" t="s">
        <v>492</v>
      </c>
      <c r="FO88" s="240" t="s">
        <v>493</v>
      </c>
      <c r="FP88" s="240" t="s">
        <v>492</v>
      </c>
      <c r="FQ88" s="240" t="s">
        <v>231</v>
      </c>
      <c r="FR88" s="240" t="s">
        <v>231</v>
      </c>
      <c r="FS88" s="240" t="s">
        <v>231</v>
      </c>
      <c r="FT88" s="240" t="s">
        <v>231</v>
      </c>
      <c r="FU88" s="240" t="s">
        <v>231</v>
      </c>
      <c r="FV88" s="240" t="s">
        <v>231</v>
      </c>
      <c r="FW88" s="240" t="s">
        <v>231</v>
      </c>
      <c r="FX88" s="240" t="s">
        <v>492</v>
      </c>
      <c r="FY88" s="240" t="s">
        <v>231</v>
      </c>
      <c r="FZ88" s="240" t="s">
        <v>231</v>
      </c>
      <c r="GA88" s="240" t="s">
        <v>231</v>
      </c>
      <c r="GB88" s="240" t="s">
        <v>231</v>
      </c>
      <c r="GC88" s="240" t="s">
        <v>231</v>
      </c>
      <c r="GD88" s="240" t="s">
        <v>231</v>
      </c>
      <c r="GE88" s="240" t="s">
        <v>231</v>
      </c>
      <c r="GF88" s="240" t="s">
        <v>231</v>
      </c>
      <c r="GG88" s="240" t="s">
        <v>231</v>
      </c>
      <c r="GH88" s="240" t="s">
        <v>231</v>
      </c>
      <c r="GI88" s="240" t="s">
        <v>231</v>
      </c>
      <c r="GJ88" s="240" t="s">
        <v>231</v>
      </c>
      <c r="GK88" s="240" t="s">
        <v>231</v>
      </c>
      <c r="GL88" s="240" t="s">
        <v>231</v>
      </c>
      <c r="GM88" s="240" t="s">
        <v>231</v>
      </c>
      <c r="GN88" s="240" t="s">
        <v>231</v>
      </c>
      <c r="GO88" s="240" t="s">
        <v>231</v>
      </c>
      <c r="GP88" s="240" t="s">
        <v>492</v>
      </c>
      <c r="GQ88" s="240" t="s">
        <v>231</v>
      </c>
      <c r="GR88" s="240" t="s">
        <v>231</v>
      </c>
      <c r="GS88" s="240" t="s">
        <v>231</v>
      </c>
      <c r="GT88" s="240" t="s">
        <v>231</v>
      </c>
      <c r="GU88" s="240" t="s">
        <v>231</v>
      </c>
      <c r="GV88" s="240" t="s">
        <v>492</v>
      </c>
      <c r="GW88" s="240" t="s">
        <v>231</v>
      </c>
      <c r="GX88" s="240" t="s">
        <v>231</v>
      </c>
      <c r="GY88" s="240" t="s">
        <v>231</v>
      </c>
      <c r="GZ88" s="240" t="s">
        <v>231</v>
      </c>
      <c r="HA88" s="240" t="s">
        <v>492</v>
      </c>
      <c r="HB88" s="240" t="s">
        <v>231</v>
      </c>
      <c r="HC88" s="240" t="s">
        <v>231</v>
      </c>
      <c r="HD88" s="240" t="s">
        <v>231</v>
      </c>
      <c r="HE88" s="240" t="s">
        <v>231</v>
      </c>
      <c r="HF88" s="240" t="s">
        <v>231</v>
      </c>
      <c r="HG88" s="240" t="s">
        <v>231</v>
      </c>
      <c r="HH88" s="240" t="s">
        <v>231</v>
      </c>
      <c r="HI88" s="240" t="s">
        <v>231</v>
      </c>
      <c r="HJ88" s="240" t="s">
        <v>231</v>
      </c>
      <c r="HK88" s="240" t="s">
        <v>231</v>
      </c>
      <c r="HL88" s="240" t="s">
        <v>231</v>
      </c>
      <c r="HM88" s="240" t="s">
        <v>231</v>
      </c>
      <c r="HN88" s="240" t="s">
        <v>231</v>
      </c>
      <c r="HO88" s="240" t="s">
        <v>231</v>
      </c>
      <c r="HP88" s="240" t="s">
        <v>231</v>
      </c>
      <c r="HQ88" s="240" t="s">
        <v>231</v>
      </c>
      <c r="HR88" s="240" t="s">
        <v>492</v>
      </c>
      <c r="HS88" s="240" t="s">
        <v>492</v>
      </c>
      <c r="HT88" s="240" t="s">
        <v>492</v>
      </c>
      <c r="HU88" s="240" t="s">
        <v>231</v>
      </c>
      <c r="HV88" s="240" t="s">
        <v>231</v>
      </c>
      <c r="HW88" s="240" t="s">
        <v>231</v>
      </c>
      <c r="HX88" s="240" t="s">
        <v>231</v>
      </c>
      <c r="HY88" s="240" t="s">
        <v>231</v>
      </c>
      <c r="HZ88" s="240" t="s">
        <v>231</v>
      </c>
      <c r="IA88" s="240" t="s">
        <v>231</v>
      </c>
      <c r="IB88" s="240" t="s">
        <v>231</v>
      </c>
      <c r="IC88" s="240" t="s">
        <v>231</v>
      </c>
      <c r="ID88" s="240" t="s">
        <v>231</v>
      </c>
      <c r="IE88" s="240" t="s">
        <v>231</v>
      </c>
      <c r="IF88" s="240" t="s">
        <v>231</v>
      </c>
      <c r="IG88" s="240" t="s">
        <v>231</v>
      </c>
      <c r="IH88" s="240" t="s">
        <v>231</v>
      </c>
      <c r="II88" s="240" t="s">
        <v>231</v>
      </c>
      <c r="IJ88" s="240" t="s">
        <v>231</v>
      </c>
      <c r="IK88" s="240" t="s">
        <v>231</v>
      </c>
      <c r="IL88" s="240" t="s">
        <v>231</v>
      </c>
      <c r="IM88" s="240" t="s">
        <v>231</v>
      </c>
      <c r="IN88" s="240" t="s">
        <v>231</v>
      </c>
      <c r="IO88" s="240" t="s">
        <v>220</v>
      </c>
      <c r="IP88" s="240" t="s">
        <v>493</v>
      </c>
      <c r="IQ88" s="240" t="s">
        <v>219</v>
      </c>
      <c r="IR88" s="240" t="s">
        <v>490</v>
      </c>
      <c r="IS88" s="240" t="s">
        <v>492</v>
      </c>
      <c r="IT88" s="240" t="s">
        <v>492</v>
      </c>
    </row>
    <row r="89" spans="1:254" ht="15" x14ac:dyDescent="0.25">
      <c r="A89" s="258" t="str">
        <f>HYPERLINK("http://www.ofsted.gov.uk/inspection-reports/find-inspection-report/provider/ELS/145552 ","Ofsted School Webpage")</f>
        <v>Ofsted School Webpage</v>
      </c>
      <c r="B89" s="237">
        <v>145552</v>
      </c>
      <c r="C89" s="237">
        <v>3176011</v>
      </c>
      <c r="D89" s="237" t="s">
        <v>730</v>
      </c>
      <c r="E89" s="237" t="s">
        <v>247</v>
      </c>
      <c r="F89" s="237" t="s">
        <v>482</v>
      </c>
      <c r="G89" s="237" t="s">
        <v>506</v>
      </c>
      <c r="H89" s="237" t="s">
        <v>506</v>
      </c>
      <c r="I89" s="237" t="s">
        <v>731</v>
      </c>
      <c r="J89" s="237" t="s">
        <v>732</v>
      </c>
      <c r="K89" s="237" t="s">
        <v>93</v>
      </c>
      <c r="L89" s="237" t="s">
        <v>71</v>
      </c>
      <c r="M89" s="237" t="s">
        <v>71</v>
      </c>
      <c r="N89" s="237" t="s">
        <v>71</v>
      </c>
      <c r="O89" s="237" t="s">
        <v>486</v>
      </c>
      <c r="P89" s="237" t="s">
        <v>487</v>
      </c>
      <c r="Q89" s="238">
        <v>10078330</v>
      </c>
      <c r="R89" s="239">
        <v>43417</v>
      </c>
      <c r="S89" s="239">
        <v>43419</v>
      </c>
      <c r="T89" s="239">
        <v>43452</v>
      </c>
      <c r="U89" s="237" t="s">
        <v>499</v>
      </c>
      <c r="V89" s="237" t="s">
        <v>489</v>
      </c>
      <c r="W89" s="237">
        <v>3</v>
      </c>
      <c r="X89" s="237">
        <v>3</v>
      </c>
      <c r="Y89" s="237">
        <v>3</v>
      </c>
      <c r="Z89" s="237">
        <v>3</v>
      </c>
      <c r="AA89" s="237">
        <v>3</v>
      </c>
      <c r="AB89" s="237" t="s">
        <v>486</v>
      </c>
      <c r="AC89" s="237" t="s">
        <v>486</v>
      </c>
      <c r="AD89" s="237" t="s">
        <v>219</v>
      </c>
      <c r="AE89" s="237" t="s">
        <v>490</v>
      </c>
      <c r="AF89" s="237" t="s">
        <v>486</v>
      </c>
      <c r="AG89" s="237" t="s">
        <v>486</v>
      </c>
      <c r="AH89" s="237" t="s">
        <v>486</v>
      </c>
      <c r="AI89" s="237" t="s">
        <v>486</v>
      </c>
      <c r="AJ89" s="237" t="s">
        <v>486</v>
      </c>
      <c r="AK89" s="237" t="s">
        <v>486</v>
      </c>
      <c r="AL89" s="237" t="s">
        <v>486</v>
      </c>
      <c r="AM89" s="237" t="s">
        <v>491</v>
      </c>
      <c r="AN89" s="237" t="s">
        <v>231</v>
      </c>
      <c r="AO89" s="237" t="s">
        <v>231</v>
      </c>
      <c r="AP89" s="237" t="s">
        <v>231</v>
      </c>
      <c r="AQ89" s="237" t="s">
        <v>231</v>
      </c>
      <c r="AR89" s="237" t="s">
        <v>231</v>
      </c>
      <c r="AS89" s="237" t="s">
        <v>231</v>
      </c>
      <c r="AT89" s="237" t="s">
        <v>231</v>
      </c>
      <c r="AU89" s="237" t="s">
        <v>231</v>
      </c>
      <c r="AV89" s="237" t="s">
        <v>231</v>
      </c>
      <c r="AW89" s="237" t="s">
        <v>231</v>
      </c>
      <c r="AX89" s="237" t="s">
        <v>231</v>
      </c>
      <c r="AY89" s="237" t="s">
        <v>231</v>
      </c>
      <c r="AZ89" s="237" t="s">
        <v>231</v>
      </c>
      <c r="BA89" s="237" t="s">
        <v>231</v>
      </c>
      <c r="BB89" s="237" t="s">
        <v>231</v>
      </c>
      <c r="BC89" s="237" t="s">
        <v>231</v>
      </c>
      <c r="BD89" s="237" t="s">
        <v>492</v>
      </c>
      <c r="BE89" s="237" t="s">
        <v>231</v>
      </c>
      <c r="BF89" s="237" t="s">
        <v>231</v>
      </c>
      <c r="BG89" s="237" t="s">
        <v>231</v>
      </c>
      <c r="BH89" s="237" t="s">
        <v>231</v>
      </c>
      <c r="BI89" s="237" t="s">
        <v>231</v>
      </c>
      <c r="BJ89" s="237" t="s">
        <v>231</v>
      </c>
      <c r="BK89" s="237" t="s">
        <v>231</v>
      </c>
      <c r="BL89" s="237" t="s">
        <v>231</v>
      </c>
      <c r="BM89" s="237" t="s">
        <v>492</v>
      </c>
      <c r="BN89" s="237" t="s">
        <v>231</v>
      </c>
      <c r="BO89" s="237" t="s">
        <v>231</v>
      </c>
      <c r="BP89" s="237" t="s">
        <v>231</v>
      </c>
      <c r="BQ89" s="237" t="s">
        <v>231</v>
      </c>
      <c r="BR89" s="237" t="s">
        <v>231</v>
      </c>
      <c r="BS89" s="237" t="s">
        <v>231</v>
      </c>
      <c r="BT89" s="237" t="s">
        <v>231</v>
      </c>
      <c r="BU89" s="237" t="s">
        <v>231</v>
      </c>
      <c r="BV89" s="237" t="s">
        <v>231</v>
      </c>
      <c r="BW89" s="237" t="s">
        <v>231</v>
      </c>
      <c r="BX89" s="237" t="s">
        <v>231</v>
      </c>
      <c r="BY89" s="237" t="s">
        <v>231</v>
      </c>
      <c r="BZ89" s="237" t="s">
        <v>231</v>
      </c>
      <c r="CA89" s="237" t="s">
        <v>231</v>
      </c>
      <c r="CB89" s="237" t="s">
        <v>231</v>
      </c>
      <c r="CC89" s="237" t="s">
        <v>231</v>
      </c>
      <c r="CD89" s="237" t="s">
        <v>231</v>
      </c>
      <c r="CE89" s="237" t="s">
        <v>231</v>
      </c>
      <c r="CF89" s="237" t="s">
        <v>231</v>
      </c>
      <c r="CG89" s="237" t="s">
        <v>231</v>
      </c>
      <c r="CH89" s="237" t="s">
        <v>231</v>
      </c>
      <c r="CI89" s="237" t="s">
        <v>231</v>
      </c>
      <c r="CJ89" s="237" t="s">
        <v>231</v>
      </c>
      <c r="CK89" s="237" t="s">
        <v>231</v>
      </c>
      <c r="CL89" s="237" t="s">
        <v>231</v>
      </c>
      <c r="CM89" s="237" t="s">
        <v>231</v>
      </c>
      <c r="CN89" s="237" t="s">
        <v>231</v>
      </c>
      <c r="CO89" s="237" t="s">
        <v>231</v>
      </c>
      <c r="CP89" s="237" t="s">
        <v>231</v>
      </c>
      <c r="CQ89" s="237" t="s">
        <v>231</v>
      </c>
      <c r="CR89" s="237" t="s">
        <v>231</v>
      </c>
      <c r="CS89" s="237" t="s">
        <v>231</v>
      </c>
      <c r="CT89" s="237" t="s">
        <v>492</v>
      </c>
      <c r="CU89" s="237" t="s">
        <v>492</v>
      </c>
      <c r="CV89" s="237" t="s">
        <v>492</v>
      </c>
      <c r="CW89" s="237" t="s">
        <v>231</v>
      </c>
      <c r="CX89" s="237" t="s">
        <v>231</v>
      </c>
      <c r="CY89" s="237" t="s">
        <v>231</v>
      </c>
      <c r="CZ89" s="237" t="s">
        <v>231</v>
      </c>
      <c r="DA89" s="237" t="s">
        <v>231</v>
      </c>
      <c r="DB89" s="237" t="s">
        <v>231</v>
      </c>
      <c r="DC89" s="237" t="s">
        <v>231</v>
      </c>
      <c r="DD89" s="237" t="s">
        <v>231</v>
      </c>
      <c r="DE89" s="237" t="s">
        <v>231</v>
      </c>
      <c r="DF89" s="237" t="s">
        <v>231</v>
      </c>
      <c r="DG89" s="237" t="s">
        <v>231</v>
      </c>
      <c r="DH89" s="237" t="s">
        <v>231</v>
      </c>
      <c r="DI89" s="237" t="s">
        <v>231</v>
      </c>
      <c r="DJ89" s="237" t="s">
        <v>231</v>
      </c>
      <c r="DK89" s="237" t="s">
        <v>231</v>
      </c>
      <c r="DL89" s="237" t="s">
        <v>231</v>
      </c>
      <c r="DM89" s="237" t="s">
        <v>231</v>
      </c>
      <c r="DN89" s="237" t="s">
        <v>231</v>
      </c>
      <c r="DO89" s="237" t="s">
        <v>231</v>
      </c>
      <c r="DP89" s="237" t="s">
        <v>231</v>
      </c>
      <c r="DQ89" s="237" t="s">
        <v>231</v>
      </c>
      <c r="DR89" s="237" t="s">
        <v>231</v>
      </c>
      <c r="DS89" s="237" t="s">
        <v>231</v>
      </c>
      <c r="DT89" s="237" t="s">
        <v>492</v>
      </c>
      <c r="DU89" s="237" t="s">
        <v>231</v>
      </c>
      <c r="DV89" s="237" t="s">
        <v>231</v>
      </c>
      <c r="DW89" s="237" t="s">
        <v>231</v>
      </c>
      <c r="DX89" s="237" t="s">
        <v>231</v>
      </c>
      <c r="DY89" s="237" t="s">
        <v>231</v>
      </c>
      <c r="DZ89" s="237" t="s">
        <v>231</v>
      </c>
      <c r="EA89" s="237" t="s">
        <v>231</v>
      </c>
      <c r="EB89" s="237" t="s">
        <v>231</v>
      </c>
      <c r="EC89" s="237" t="s">
        <v>231</v>
      </c>
      <c r="ED89" s="237" t="s">
        <v>231</v>
      </c>
      <c r="EE89" s="237" t="s">
        <v>231</v>
      </c>
      <c r="EF89" s="237" t="s">
        <v>231</v>
      </c>
      <c r="EG89" s="237" t="s">
        <v>231</v>
      </c>
      <c r="EH89" s="237" t="s">
        <v>231</v>
      </c>
      <c r="EI89" s="237" t="s">
        <v>231</v>
      </c>
      <c r="EJ89" s="237" t="s">
        <v>231</v>
      </c>
      <c r="EK89" s="237" t="s">
        <v>231</v>
      </c>
      <c r="EL89" s="237" t="s">
        <v>231</v>
      </c>
      <c r="EM89" s="237" t="s">
        <v>231</v>
      </c>
      <c r="EN89" s="237" t="s">
        <v>231</v>
      </c>
      <c r="EO89" s="237" t="s">
        <v>231</v>
      </c>
      <c r="EP89" s="237" t="s">
        <v>231</v>
      </c>
      <c r="EQ89" s="237" t="s">
        <v>231</v>
      </c>
      <c r="ER89" s="237" t="s">
        <v>231</v>
      </c>
      <c r="ES89" s="237" t="s">
        <v>231</v>
      </c>
      <c r="ET89" s="237" t="s">
        <v>231</v>
      </c>
      <c r="EU89" s="237" t="s">
        <v>231</v>
      </c>
      <c r="EV89" s="237" t="s">
        <v>231</v>
      </c>
      <c r="EW89" s="237" t="s">
        <v>231</v>
      </c>
      <c r="EX89" s="237" t="s">
        <v>231</v>
      </c>
      <c r="EY89" s="237" t="s">
        <v>231</v>
      </c>
      <c r="EZ89" s="237" t="s">
        <v>231</v>
      </c>
      <c r="FA89" s="237" t="s">
        <v>231</v>
      </c>
      <c r="FB89" s="237" t="s">
        <v>231</v>
      </c>
      <c r="FC89" s="237" t="s">
        <v>231</v>
      </c>
      <c r="FD89" s="237" t="s">
        <v>231</v>
      </c>
      <c r="FE89" s="237" t="s">
        <v>231</v>
      </c>
      <c r="FF89" s="237" t="s">
        <v>231</v>
      </c>
      <c r="FG89" s="237" t="s">
        <v>231</v>
      </c>
      <c r="FH89" s="237" t="s">
        <v>231</v>
      </c>
      <c r="FI89" s="237" t="s">
        <v>231</v>
      </c>
      <c r="FJ89" s="237" t="s">
        <v>231</v>
      </c>
      <c r="FK89" s="237" t="s">
        <v>231</v>
      </c>
      <c r="FL89" s="237" t="s">
        <v>231</v>
      </c>
      <c r="FM89" s="237" t="s">
        <v>231</v>
      </c>
      <c r="FN89" s="237" t="s">
        <v>231</v>
      </c>
      <c r="FO89" s="237" t="s">
        <v>231</v>
      </c>
      <c r="FP89" s="237" t="s">
        <v>231</v>
      </c>
      <c r="FQ89" s="237" t="s">
        <v>231</v>
      </c>
      <c r="FR89" s="237" t="s">
        <v>231</v>
      </c>
      <c r="FS89" s="237" t="s">
        <v>231</v>
      </c>
      <c r="FT89" s="237" t="s">
        <v>231</v>
      </c>
      <c r="FU89" s="237" t="s">
        <v>231</v>
      </c>
      <c r="FV89" s="237" t="s">
        <v>231</v>
      </c>
      <c r="FW89" s="237" t="s">
        <v>231</v>
      </c>
      <c r="FX89" s="237" t="s">
        <v>492</v>
      </c>
      <c r="FY89" s="237" t="s">
        <v>231</v>
      </c>
      <c r="FZ89" s="237" t="s">
        <v>231</v>
      </c>
      <c r="GA89" s="237" t="s">
        <v>231</v>
      </c>
      <c r="GB89" s="237" t="s">
        <v>231</v>
      </c>
      <c r="GC89" s="237" t="s">
        <v>231</v>
      </c>
      <c r="GD89" s="237" t="s">
        <v>231</v>
      </c>
      <c r="GE89" s="237" t="s">
        <v>231</v>
      </c>
      <c r="GF89" s="237" t="s">
        <v>231</v>
      </c>
      <c r="GG89" s="237" t="s">
        <v>231</v>
      </c>
      <c r="GH89" s="237" t="s">
        <v>231</v>
      </c>
      <c r="GI89" s="237" t="s">
        <v>231</v>
      </c>
      <c r="GJ89" s="237" t="s">
        <v>231</v>
      </c>
      <c r="GK89" s="237" t="s">
        <v>231</v>
      </c>
      <c r="GL89" s="237" t="s">
        <v>231</v>
      </c>
      <c r="GM89" s="237" t="s">
        <v>231</v>
      </c>
      <c r="GN89" s="237" t="s">
        <v>231</v>
      </c>
      <c r="GO89" s="237" t="s">
        <v>231</v>
      </c>
      <c r="GP89" s="237" t="s">
        <v>492</v>
      </c>
      <c r="GQ89" s="237" t="s">
        <v>231</v>
      </c>
      <c r="GR89" s="237" t="s">
        <v>231</v>
      </c>
      <c r="GS89" s="237" t="s">
        <v>231</v>
      </c>
      <c r="GT89" s="237" t="s">
        <v>231</v>
      </c>
      <c r="GU89" s="237" t="s">
        <v>231</v>
      </c>
      <c r="GV89" s="237" t="s">
        <v>231</v>
      </c>
      <c r="GW89" s="237" t="s">
        <v>231</v>
      </c>
      <c r="GX89" s="237" t="s">
        <v>231</v>
      </c>
      <c r="GY89" s="237" t="s">
        <v>492</v>
      </c>
      <c r="GZ89" s="237" t="s">
        <v>492</v>
      </c>
      <c r="HA89" s="237" t="s">
        <v>231</v>
      </c>
      <c r="HB89" s="237" t="s">
        <v>231</v>
      </c>
      <c r="HC89" s="237" t="s">
        <v>231</v>
      </c>
      <c r="HD89" s="237" t="s">
        <v>231</v>
      </c>
      <c r="HE89" s="237" t="s">
        <v>492</v>
      </c>
      <c r="HF89" s="237" t="s">
        <v>231</v>
      </c>
      <c r="HG89" s="237" t="s">
        <v>231</v>
      </c>
      <c r="HH89" s="237" t="s">
        <v>231</v>
      </c>
      <c r="HI89" s="237" t="s">
        <v>231</v>
      </c>
      <c r="HJ89" s="237" t="s">
        <v>231</v>
      </c>
      <c r="HK89" s="237" t="s">
        <v>492</v>
      </c>
      <c r="HL89" s="237" t="s">
        <v>231</v>
      </c>
      <c r="HM89" s="237" t="s">
        <v>231</v>
      </c>
      <c r="HN89" s="237" t="s">
        <v>231</v>
      </c>
      <c r="HO89" s="237" t="s">
        <v>231</v>
      </c>
      <c r="HP89" s="237" t="s">
        <v>231</v>
      </c>
      <c r="HQ89" s="237" t="s">
        <v>231</v>
      </c>
      <c r="HR89" s="237" t="s">
        <v>231</v>
      </c>
      <c r="HS89" s="237" t="s">
        <v>231</v>
      </c>
      <c r="HT89" s="237" t="s">
        <v>231</v>
      </c>
      <c r="HU89" s="237" t="s">
        <v>231</v>
      </c>
      <c r="HV89" s="237" t="s">
        <v>231</v>
      </c>
      <c r="HW89" s="237" t="s">
        <v>231</v>
      </c>
      <c r="HX89" s="237" t="s">
        <v>231</v>
      </c>
      <c r="HY89" s="237" t="s">
        <v>231</v>
      </c>
      <c r="HZ89" s="237" t="s">
        <v>231</v>
      </c>
      <c r="IA89" s="237" t="s">
        <v>231</v>
      </c>
      <c r="IB89" s="237" t="s">
        <v>231</v>
      </c>
      <c r="IC89" s="237" t="s">
        <v>231</v>
      </c>
      <c r="ID89" s="237" t="s">
        <v>231</v>
      </c>
      <c r="IE89" s="237" t="s">
        <v>231</v>
      </c>
      <c r="IF89" s="237" t="s">
        <v>231</v>
      </c>
      <c r="IG89" s="237" t="s">
        <v>231</v>
      </c>
      <c r="IH89" s="237" t="s">
        <v>231</v>
      </c>
      <c r="II89" s="237" t="s">
        <v>231</v>
      </c>
      <c r="IJ89" s="237" t="s">
        <v>231</v>
      </c>
      <c r="IK89" s="237" t="s">
        <v>231</v>
      </c>
      <c r="IL89" s="237" t="s">
        <v>231</v>
      </c>
      <c r="IM89" s="237" t="s">
        <v>231</v>
      </c>
      <c r="IN89" s="237" t="s">
        <v>231</v>
      </c>
      <c r="IO89" s="237" t="s">
        <v>220</v>
      </c>
      <c r="IP89" s="237" t="s">
        <v>493</v>
      </c>
      <c r="IQ89" s="237" t="s">
        <v>219</v>
      </c>
      <c r="IR89" s="237" t="s">
        <v>490</v>
      </c>
      <c r="IS89" s="237" t="s">
        <v>231</v>
      </c>
      <c r="IT89" s="237" t="s">
        <v>231</v>
      </c>
    </row>
    <row r="90" spans="1:254" ht="15" x14ac:dyDescent="0.25">
      <c r="A90" s="259" t="str">
        <f>HYPERLINK("http://www.ofsted.gov.uk/inspection-reports/find-inspection-report/provider/ELS/145194 ","Ofsted School Webpage")</f>
        <v>Ofsted School Webpage</v>
      </c>
      <c r="B90" s="240">
        <v>145194</v>
      </c>
      <c r="C90" s="240">
        <v>8886074</v>
      </c>
      <c r="D90" s="240" t="s">
        <v>733</v>
      </c>
      <c r="E90" s="240" t="s">
        <v>248</v>
      </c>
      <c r="F90" s="240" t="s">
        <v>501</v>
      </c>
      <c r="G90" s="240" t="s">
        <v>495</v>
      </c>
      <c r="H90" s="240" t="s">
        <v>495</v>
      </c>
      <c r="I90" s="240" t="s">
        <v>534</v>
      </c>
      <c r="J90" s="240" t="s">
        <v>734</v>
      </c>
      <c r="K90" s="240" t="s">
        <v>93</v>
      </c>
      <c r="L90" s="240" t="s">
        <v>93</v>
      </c>
      <c r="M90" s="240" t="s">
        <v>93</v>
      </c>
      <c r="N90" s="240" t="s">
        <v>90</v>
      </c>
      <c r="O90" s="240" t="s">
        <v>486</v>
      </c>
      <c r="P90" s="240" t="s">
        <v>487</v>
      </c>
      <c r="Q90" s="241">
        <v>10053741</v>
      </c>
      <c r="R90" s="242">
        <v>43417</v>
      </c>
      <c r="S90" s="242">
        <v>43419</v>
      </c>
      <c r="T90" s="242">
        <v>43450</v>
      </c>
      <c r="U90" s="240" t="s">
        <v>499</v>
      </c>
      <c r="V90" s="240" t="s">
        <v>489</v>
      </c>
      <c r="W90" s="240">
        <v>2</v>
      </c>
      <c r="X90" s="240">
        <v>2</v>
      </c>
      <c r="Y90" s="240">
        <v>2</v>
      </c>
      <c r="Z90" s="240">
        <v>2</v>
      </c>
      <c r="AA90" s="240">
        <v>2</v>
      </c>
      <c r="AB90" s="240" t="s">
        <v>486</v>
      </c>
      <c r="AC90" s="240" t="s">
        <v>486</v>
      </c>
      <c r="AD90" s="240" t="s">
        <v>219</v>
      </c>
      <c r="AE90" s="240" t="s">
        <v>490</v>
      </c>
      <c r="AF90" s="240" t="s">
        <v>486</v>
      </c>
      <c r="AG90" s="240" t="s">
        <v>486</v>
      </c>
      <c r="AH90" s="240" t="s">
        <v>486</v>
      </c>
      <c r="AI90" s="240" t="s">
        <v>486</v>
      </c>
      <c r="AJ90" s="240" t="s">
        <v>486</v>
      </c>
      <c r="AK90" s="240" t="s">
        <v>486</v>
      </c>
      <c r="AL90" s="240" t="s">
        <v>486</v>
      </c>
      <c r="AM90" s="240" t="s">
        <v>491</v>
      </c>
      <c r="AN90" s="240" t="s">
        <v>231</v>
      </c>
      <c r="AO90" s="240" t="s">
        <v>231</v>
      </c>
      <c r="AP90" s="240" t="s">
        <v>231</v>
      </c>
      <c r="AQ90" s="240" t="s">
        <v>231</v>
      </c>
      <c r="AR90" s="240" t="s">
        <v>231</v>
      </c>
      <c r="AS90" s="240" t="s">
        <v>231</v>
      </c>
      <c r="AT90" s="240" t="s">
        <v>231</v>
      </c>
      <c r="AU90" s="240" t="s">
        <v>231</v>
      </c>
      <c r="AV90" s="240" t="s">
        <v>231</v>
      </c>
      <c r="AW90" s="240" t="s">
        <v>231</v>
      </c>
      <c r="AX90" s="240" t="s">
        <v>231</v>
      </c>
      <c r="AY90" s="240" t="s">
        <v>231</v>
      </c>
      <c r="AZ90" s="240" t="s">
        <v>231</v>
      </c>
      <c r="BA90" s="240" t="s">
        <v>231</v>
      </c>
      <c r="BB90" s="240" t="s">
        <v>231</v>
      </c>
      <c r="BC90" s="240" t="s">
        <v>231</v>
      </c>
      <c r="BD90" s="240" t="s">
        <v>492</v>
      </c>
      <c r="BE90" s="240" t="s">
        <v>231</v>
      </c>
      <c r="BF90" s="240" t="s">
        <v>231</v>
      </c>
      <c r="BG90" s="240" t="s">
        <v>231</v>
      </c>
      <c r="BH90" s="240" t="s">
        <v>492</v>
      </c>
      <c r="BI90" s="240" t="s">
        <v>492</v>
      </c>
      <c r="BJ90" s="240" t="s">
        <v>492</v>
      </c>
      <c r="BK90" s="240" t="s">
        <v>492</v>
      </c>
      <c r="BL90" s="240" t="s">
        <v>231</v>
      </c>
      <c r="BM90" s="240" t="s">
        <v>231</v>
      </c>
      <c r="BN90" s="240" t="s">
        <v>231</v>
      </c>
      <c r="BO90" s="240" t="s">
        <v>231</v>
      </c>
      <c r="BP90" s="240" t="s">
        <v>231</v>
      </c>
      <c r="BQ90" s="240" t="s">
        <v>231</v>
      </c>
      <c r="BR90" s="240" t="s">
        <v>231</v>
      </c>
      <c r="BS90" s="240" t="s">
        <v>231</v>
      </c>
      <c r="BT90" s="240" t="s">
        <v>231</v>
      </c>
      <c r="BU90" s="240" t="s">
        <v>231</v>
      </c>
      <c r="BV90" s="240" t="s">
        <v>231</v>
      </c>
      <c r="BW90" s="240" t="s">
        <v>231</v>
      </c>
      <c r="BX90" s="240" t="s">
        <v>231</v>
      </c>
      <c r="BY90" s="240" t="s">
        <v>231</v>
      </c>
      <c r="BZ90" s="240" t="s">
        <v>231</v>
      </c>
      <c r="CA90" s="240" t="s">
        <v>231</v>
      </c>
      <c r="CB90" s="240" t="s">
        <v>231</v>
      </c>
      <c r="CC90" s="240" t="s">
        <v>231</v>
      </c>
      <c r="CD90" s="240" t="s">
        <v>231</v>
      </c>
      <c r="CE90" s="240" t="s">
        <v>231</v>
      </c>
      <c r="CF90" s="240" t="s">
        <v>231</v>
      </c>
      <c r="CG90" s="240" t="s">
        <v>231</v>
      </c>
      <c r="CH90" s="240" t="s">
        <v>231</v>
      </c>
      <c r="CI90" s="240" t="s">
        <v>231</v>
      </c>
      <c r="CJ90" s="240" t="s">
        <v>231</v>
      </c>
      <c r="CK90" s="240" t="s">
        <v>231</v>
      </c>
      <c r="CL90" s="240" t="s">
        <v>231</v>
      </c>
      <c r="CM90" s="240" t="s">
        <v>231</v>
      </c>
      <c r="CN90" s="240" t="s">
        <v>231</v>
      </c>
      <c r="CO90" s="240" t="s">
        <v>231</v>
      </c>
      <c r="CP90" s="240" t="s">
        <v>231</v>
      </c>
      <c r="CQ90" s="240" t="s">
        <v>231</v>
      </c>
      <c r="CR90" s="240" t="s">
        <v>231</v>
      </c>
      <c r="CS90" s="240" t="s">
        <v>231</v>
      </c>
      <c r="CT90" s="240" t="s">
        <v>492</v>
      </c>
      <c r="CU90" s="240" t="s">
        <v>492</v>
      </c>
      <c r="CV90" s="240" t="s">
        <v>492</v>
      </c>
      <c r="CW90" s="240" t="s">
        <v>231</v>
      </c>
      <c r="CX90" s="240" t="s">
        <v>231</v>
      </c>
      <c r="CY90" s="240" t="s">
        <v>231</v>
      </c>
      <c r="CZ90" s="240" t="s">
        <v>231</v>
      </c>
      <c r="DA90" s="240" t="s">
        <v>231</v>
      </c>
      <c r="DB90" s="240" t="s">
        <v>231</v>
      </c>
      <c r="DC90" s="240" t="s">
        <v>231</v>
      </c>
      <c r="DD90" s="240" t="s">
        <v>231</v>
      </c>
      <c r="DE90" s="240" t="s">
        <v>231</v>
      </c>
      <c r="DF90" s="240" t="s">
        <v>231</v>
      </c>
      <c r="DG90" s="240" t="s">
        <v>231</v>
      </c>
      <c r="DH90" s="240" t="s">
        <v>231</v>
      </c>
      <c r="DI90" s="240" t="s">
        <v>231</v>
      </c>
      <c r="DJ90" s="240" t="s">
        <v>231</v>
      </c>
      <c r="DK90" s="240" t="s">
        <v>231</v>
      </c>
      <c r="DL90" s="240" t="s">
        <v>231</v>
      </c>
      <c r="DM90" s="240" t="s">
        <v>231</v>
      </c>
      <c r="DN90" s="240" t="s">
        <v>231</v>
      </c>
      <c r="DO90" s="240" t="s">
        <v>231</v>
      </c>
      <c r="DP90" s="240" t="s">
        <v>231</v>
      </c>
      <c r="DQ90" s="240" t="s">
        <v>231</v>
      </c>
      <c r="DR90" s="240" t="s">
        <v>231</v>
      </c>
      <c r="DS90" s="240" t="s">
        <v>231</v>
      </c>
      <c r="DT90" s="240" t="s">
        <v>492</v>
      </c>
      <c r="DU90" s="240" t="s">
        <v>231</v>
      </c>
      <c r="DV90" s="240" t="s">
        <v>231</v>
      </c>
      <c r="DW90" s="240" t="s">
        <v>231</v>
      </c>
      <c r="DX90" s="240" t="s">
        <v>231</v>
      </c>
      <c r="DY90" s="240" t="s">
        <v>231</v>
      </c>
      <c r="DZ90" s="240" t="s">
        <v>231</v>
      </c>
      <c r="EA90" s="240" t="s">
        <v>231</v>
      </c>
      <c r="EB90" s="240" t="s">
        <v>231</v>
      </c>
      <c r="EC90" s="240" t="s">
        <v>231</v>
      </c>
      <c r="ED90" s="240" t="s">
        <v>231</v>
      </c>
      <c r="EE90" s="240" t="s">
        <v>231</v>
      </c>
      <c r="EF90" s="240" t="s">
        <v>231</v>
      </c>
      <c r="EG90" s="240" t="s">
        <v>231</v>
      </c>
      <c r="EH90" s="240" t="s">
        <v>492</v>
      </c>
      <c r="EI90" s="240" t="s">
        <v>231</v>
      </c>
      <c r="EJ90" s="240" t="s">
        <v>231</v>
      </c>
      <c r="EK90" s="240" t="s">
        <v>231</v>
      </c>
      <c r="EL90" s="240" t="s">
        <v>231</v>
      </c>
      <c r="EM90" s="240" t="s">
        <v>231</v>
      </c>
      <c r="EN90" s="240" t="s">
        <v>231</v>
      </c>
      <c r="EO90" s="240" t="s">
        <v>231</v>
      </c>
      <c r="EP90" s="240" t="s">
        <v>231</v>
      </c>
      <c r="EQ90" s="240" t="s">
        <v>492</v>
      </c>
      <c r="ER90" s="240" t="s">
        <v>231</v>
      </c>
      <c r="ES90" s="240" t="s">
        <v>231</v>
      </c>
      <c r="ET90" s="240" t="s">
        <v>231</v>
      </c>
      <c r="EU90" s="240" t="s">
        <v>231</v>
      </c>
      <c r="EV90" s="240" t="s">
        <v>231</v>
      </c>
      <c r="EW90" s="240" t="s">
        <v>231</v>
      </c>
      <c r="EX90" s="240" t="s">
        <v>231</v>
      </c>
      <c r="EY90" s="240" t="s">
        <v>231</v>
      </c>
      <c r="EZ90" s="240" t="s">
        <v>231</v>
      </c>
      <c r="FA90" s="240" t="s">
        <v>231</v>
      </c>
      <c r="FB90" s="240" t="s">
        <v>231</v>
      </c>
      <c r="FC90" s="240" t="s">
        <v>231</v>
      </c>
      <c r="FD90" s="240" t="s">
        <v>231</v>
      </c>
      <c r="FE90" s="240" t="s">
        <v>231</v>
      </c>
      <c r="FF90" s="240" t="s">
        <v>231</v>
      </c>
      <c r="FG90" s="240" t="s">
        <v>231</v>
      </c>
      <c r="FH90" s="240" t="s">
        <v>231</v>
      </c>
      <c r="FI90" s="240" t="s">
        <v>231</v>
      </c>
      <c r="FJ90" s="240" t="s">
        <v>231</v>
      </c>
      <c r="FK90" s="240" t="s">
        <v>231</v>
      </c>
      <c r="FL90" s="240" t="s">
        <v>231</v>
      </c>
      <c r="FM90" s="240" t="s">
        <v>231</v>
      </c>
      <c r="FN90" s="240" t="s">
        <v>231</v>
      </c>
      <c r="FO90" s="240" t="s">
        <v>231</v>
      </c>
      <c r="FP90" s="240" t="s">
        <v>231</v>
      </c>
      <c r="FQ90" s="240" t="s">
        <v>231</v>
      </c>
      <c r="FR90" s="240" t="s">
        <v>231</v>
      </c>
      <c r="FS90" s="240" t="s">
        <v>231</v>
      </c>
      <c r="FT90" s="240" t="s">
        <v>492</v>
      </c>
      <c r="FU90" s="240" t="s">
        <v>231</v>
      </c>
      <c r="FV90" s="240" t="s">
        <v>231</v>
      </c>
      <c r="FW90" s="240" t="s">
        <v>231</v>
      </c>
      <c r="FX90" s="240" t="s">
        <v>231</v>
      </c>
      <c r="FY90" s="240" t="s">
        <v>231</v>
      </c>
      <c r="FZ90" s="240" t="s">
        <v>231</v>
      </c>
      <c r="GA90" s="240" t="s">
        <v>231</v>
      </c>
      <c r="GB90" s="240" t="s">
        <v>231</v>
      </c>
      <c r="GC90" s="240" t="s">
        <v>231</v>
      </c>
      <c r="GD90" s="240" t="s">
        <v>231</v>
      </c>
      <c r="GE90" s="240" t="s">
        <v>231</v>
      </c>
      <c r="GF90" s="240" t="s">
        <v>231</v>
      </c>
      <c r="GG90" s="240" t="s">
        <v>231</v>
      </c>
      <c r="GH90" s="240" t="s">
        <v>231</v>
      </c>
      <c r="GI90" s="240" t="s">
        <v>231</v>
      </c>
      <c r="GJ90" s="240" t="s">
        <v>231</v>
      </c>
      <c r="GK90" s="240" t="s">
        <v>231</v>
      </c>
      <c r="GL90" s="240" t="s">
        <v>231</v>
      </c>
      <c r="GM90" s="240" t="s">
        <v>231</v>
      </c>
      <c r="GN90" s="240" t="s">
        <v>231</v>
      </c>
      <c r="GO90" s="240" t="s">
        <v>231</v>
      </c>
      <c r="GP90" s="240" t="s">
        <v>492</v>
      </c>
      <c r="GQ90" s="240" t="s">
        <v>231</v>
      </c>
      <c r="GR90" s="240" t="s">
        <v>231</v>
      </c>
      <c r="GS90" s="240" t="s">
        <v>231</v>
      </c>
      <c r="GT90" s="240" t="s">
        <v>231</v>
      </c>
      <c r="GU90" s="240" t="s">
        <v>231</v>
      </c>
      <c r="GV90" s="240" t="s">
        <v>231</v>
      </c>
      <c r="GW90" s="240" t="s">
        <v>231</v>
      </c>
      <c r="GX90" s="240" t="s">
        <v>231</v>
      </c>
      <c r="GY90" s="240" t="s">
        <v>231</v>
      </c>
      <c r="GZ90" s="240" t="s">
        <v>231</v>
      </c>
      <c r="HA90" s="240" t="s">
        <v>231</v>
      </c>
      <c r="HB90" s="240" t="s">
        <v>231</v>
      </c>
      <c r="HC90" s="240" t="s">
        <v>231</v>
      </c>
      <c r="HD90" s="240" t="s">
        <v>231</v>
      </c>
      <c r="HE90" s="240" t="s">
        <v>492</v>
      </c>
      <c r="HF90" s="240" t="s">
        <v>231</v>
      </c>
      <c r="HG90" s="240" t="s">
        <v>231</v>
      </c>
      <c r="HH90" s="240" t="s">
        <v>231</v>
      </c>
      <c r="HI90" s="240" t="s">
        <v>231</v>
      </c>
      <c r="HJ90" s="240" t="s">
        <v>231</v>
      </c>
      <c r="HK90" s="240" t="s">
        <v>231</v>
      </c>
      <c r="HL90" s="240" t="s">
        <v>231</v>
      </c>
      <c r="HM90" s="240" t="s">
        <v>231</v>
      </c>
      <c r="HN90" s="240" t="s">
        <v>231</v>
      </c>
      <c r="HO90" s="240" t="s">
        <v>231</v>
      </c>
      <c r="HP90" s="240" t="s">
        <v>231</v>
      </c>
      <c r="HQ90" s="240" t="s">
        <v>492</v>
      </c>
      <c r="HR90" s="240" t="s">
        <v>492</v>
      </c>
      <c r="HS90" s="240" t="s">
        <v>492</v>
      </c>
      <c r="HT90" s="240" t="s">
        <v>492</v>
      </c>
      <c r="HU90" s="240" t="s">
        <v>231</v>
      </c>
      <c r="HV90" s="240" t="s">
        <v>231</v>
      </c>
      <c r="HW90" s="240" t="s">
        <v>231</v>
      </c>
      <c r="HX90" s="240" t="s">
        <v>231</v>
      </c>
      <c r="HY90" s="240" t="s">
        <v>231</v>
      </c>
      <c r="HZ90" s="240" t="s">
        <v>231</v>
      </c>
      <c r="IA90" s="240" t="s">
        <v>231</v>
      </c>
      <c r="IB90" s="240" t="s">
        <v>231</v>
      </c>
      <c r="IC90" s="240" t="s">
        <v>231</v>
      </c>
      <c r="ID90" s="240" t="s">
        <v>231</v>
      </c>
      <c r="IE90" s="240" t="s">
        <v>231</v>
      </c>
      <c r="IF90" s="240" t="s">
        <v>231</v>
      </c>
      <c r="IG90" s="240" t="s">
        <v>231</v>
      </c>
      <c r="IH90" s="240" t="s">
        <v>231</v>
      </c>
      <c r="II90" s="240" t="s">
        <v>231</v>
      </c>
      <c r="IJ90" s="240" t="s">
        <v>231</v>
      </c>
      <c r="IK90" s="240" t="s">
        <v>231</v>
      </c>
      <c r="IL90" s="240" t="s">
        <v>231</v>
      </c>
      <c r="IM90" s="240" t="s">
        <v>231</v>
      </c>
      <c r="IN90" s="240" t="s">
        <v>231</v>
      </c>
      <c r="IO90" s="240" t="s">
        <v>220</v>
      </c>
      <c r="IP90" s="240" t="s">
        <v>493</v>
      </c>
      <c r="IQ90" s="240" t="s">
        <v>219</v>
      </c>
      <c r="IR90" s="240" t="s">
        <v>490</v>
      </c>
      <c r="IS90" s="240" t="s">
        <v>231</v>
      </c>
      <c r="IT90" s="240" t="s">
        <v>231</v>
      </c>
    </row>
    <row r="91" spans="1:254" ht="15" x14ac:dyDescent="0.25">
      <c r="A91" s="258" t="str">
        <f>HYPERLINK("http://www.ofsted.gov.uk/inspection-reports/find-inspection-report/provider/ELS/145182 ","Ofsted School Webpage")</f>
        <v>Ofsted School Webpage</v>
      </c>
      <c r="B91" s="237">
        <v>145182</v>
      </c>
      <c r="C91" s="237">
        <v>3416011</v>
      </c>
      <c r="D91" s="237" t="s">
        <v>735</v>
      </c>
      <c r="E91" s="237" t="s">
        <v>248</v>
      </c>
      <c r="F91" s="237" t="s">
        <v>501</v>
      </c>
      <c r="G91" s="237" t="s">
        <v>495</v>
      </c>
      <c r="H91" s="237" t="s">
        <v>495</v>
      </c>
      <c r="I91" s="237" t="s">
        <v>736</v>
      </c>
      <c r="J91" s="237" t="s">
        <v>737</v>
      </c>
      <c r="K91" s="237" t="s">
        <v>93</v>
      </c>
      <c r="L91" s="237" t="s">
        <v>93</v>
      </c>
      <c r="M91" s="237" t="s">
        <v>93</v>
      </c>
      <c r="N91" s="237" t="s">
        <v>90</v>
      </c>
      <c r="O91" s="237" t="s">
        <v>486</v>
      </c>
      <c r="P91" s="237" t="s">
        <v>487</v>
      </c>
      <c r="Q91" s="238">
        <v>10053742</v>
      </c>
      <c r="R91" s="239">
        <v>43417</v>
      </c>
      <c r="S91" s="239">
        <v>43419</v>
      </c>
      <c r="T91" s="239">
        <v>43452</v>
      </c>
      <c r="U91" s="237" t="s">
        <v>499</v>
      </c>
      <c r="V91" s="237" t="s">
        <v>489</v>
      </c>
      <c r="W91" s="237">
        <v>2</v>
      </c>
      <c r="X91" s="237">
        <v>2</v>
      </c>
      <c r="Y91" s="237">
        <v>2</v>
      </c>
      <c r="Z91" s="237">
        <v>2</v>
      </c>
      <c r="AA91" s="237">
        <v>2</v>
      </c>
      <c r="AB91" s="237">
        <v>2</v>
      </c>
      <c r="AC91" s="237">
        <v>2</v>
      </c>
      <c r="AD91" s="237" t="s">
        <v>219</v>
      </c>
      <c r="AE91" s="237" t="s">
        <v>490</v>
      </c>
      <c r="AF91" s="237" t="s">
        <v>486</v>
      </c>
      <c r="AG91" s="237" t="s">
        <v>486</v>
      </c>
      <c r="AH91" s="237" t="s">
        <v>486</v>
      </c>
      <c r="AI91" s="237" t="s">
        <v>486</v>
      </c>
      <c r="AJ91" s="237" t="s">
        <v>486</v>
      </c>
      <c r="AK91" s="237" t="s">
        <v>486</v>
      </c>
      <c r="AL91" s="237" t="s">
        <v>486</v>
      </c>
      <c r="AM91" s="237" t="s">
        <v>491</v>
      </c>
      <c r="AN91" s="237" t="s">
        <v>231</v>
      </c>
      <c r="AO91" s="237" t="s">
        <v>231</v>
      </c>
      <c r="AP91" s="237" t="s">
        <v>231</v>
      </c>
      <c r="AQ91" s="237" t="s">
        <v>231</v>
      </c>
      <c r="AR91" s="237" t="s">
        <v>231</v>
      </c>
      <c r="AS91" s="237" t="s">
        <v>231</v>
      </c>
      <c r="AT91" s="237" t="s">
        <v>231</v>
      </c>
      <c r="AU91" s="237" t="s">
        <v>231</v>
      </c>
      <c r="AV91" s="237" t="s">
        <v>231</v>
      </c>
      <c r="AW91" s="237" t="s">
        <v>231</v>
      </c>
      <c r="AX91" s="237" t="s">
        <v>231</v>
      </c>
      <c r="AY91" s="237" t="s">
        <v>231</v>
      </c>
      <c r="AZ91" s="237" t="s">
        <v>231</v>
      </c>
      <c r="BA91" s="237" t="s">
        <v>231</v>
      </c>
      <c r="BB91" s="237" t="s">
        <v>231</v>
      </c>
      <c r="BC91" s="237" t="s">
        <v>231</v>
      </c>
      <c r="BD91" s="237" t="s">
        <v>492</v>
      </c>
      <c r="BE91" s="237" t="s">
        <v>231</v>
      </c>
      <c r="BF91" s="237" t="s">
        <v>231</v>
      </c>
      <c r="BG91" s="237" t="s">
        <v>231</v>
      </c>
      <c r="BH91" s="237" t="s">
        <v>231</v>
      </c>
      <c r="BI91" s="237" t="s">
        <v>231</v>
      </c>
      <c r="BJ91" s="237" t="s">
        <v>231</v>
      </c>
      <c r="BK91" s="237" t="s">
        <v>231</v>
      </c>
      <c r="BL91" s="237" t="s">
        <v>231</v>
      </c>
      <c r="BM91" s="237" t="s">
        <v>231</v>
      </c>
      <c r="BN91" s="237" t="s">
        <v>231</v>
      </c>
      <c r="BO91" s="237" t="s">
        <v>231</v>
      </c>
      <c r="BP91" s="237" t="s">
        <v>231</v>
      </c>
      <c r="BQ91" s="237" t="s">
        <v>231</v>
      </c>
      <c r="BR91" s="237" t="s">
        <v>231</v>
      </c>
      <c r="BS91" s="237" t="s">
        <v>231</v>
      </c>
      <c r="BT91" s="237" t="s">
        <v>231</v>
      </c>
      <c r="BU91" s="237" t="s">
        <v>231</v>
      </c>
      <c r="BV91" s="237" t="s">
        <v>231</v>
      </c>
      <c r="BW91" s="237" t="s">
        <v>231</v>
      </c>
      <c r="BX91" s="237" t="s">
        <v>231</v>
      </c>
      <c r="BY91" s="237" t="s">
        <v>231</v>
      </c>
      <c r="BZ91" s="237" t="s">
        <v>231</v>
      </c>
      <c r="CA91" s="237" t="s">
        <v>231</v>
      </c>
      <c r="CB91" s="237" t="s">
        <v>231</v>
      </c>
      <c r="CC91" s="237" t="s">
        <v>231</v>
      </c>
      <c r="CD91" s="237" t="s">
        <v>231</v>
      </c>
      <c r="CE91" s="237" t="s">
        <v>231</v>
      </c>
      <c r="CF91" s="237" t="s">
        <v>231</v>
      </c>
      <c r="CG91" s="237" t="s">
        <v>231</v>
      </c>
      <c r="CH91" s="237" t="s">
        <v>231</v>
      </c>
      <c r="CI91" s="237" t="s">
        <v>231</v>
      </c>
      <c r="CJ91" s="237" t="s">
        <v>231</v>
      </c>
      <c r="CK91" s="237" t="s">
        <v>231</v>
      </c>
      <c r="CL91" s="237" t="s">
        <v>231</v>
      </c>
      <c r="CM91" s="237" t="s">
        <v>231</v>
      </c>
      <c r="CN91" s="237" t="s">
        <v>231</v>
      </c>
      <c r="CO91" s="237" t="s">
        <v>231</v>
      </c>
      <c r="CP91" s="237" t="s">
        <v>231</v>
      </c>
      <c r="CQ91" s="237" t="s">
        <v>231</v>
      </c>
      <c r="CR91" s="237" t="s">
        <v>231</v>
      </c>
      <c r="CS91" s="237" t="s">
        <v>231</v>
      </c>
      <c r="CT91" s="237" t="s">
        <v>492</v>
      </c>
      <c r="CU91" s="237" t="s">
        <v>492</v>
      </c>
      <c r="CV91" s="237" t="s">
        <v>492</v>
      </c>
      <c r="CW91" s="237" t="s">
        <v>231</v>
      </c>
      <c r="CX91" s="237" t="s">
        <v>231</v>
      </c>
      <c r="CY91" s="237" t="s">
        <v>231</v>
      </c>
      <c r="CZ91" s="237" t="s">
        <v>231</v>
      </c>
      <c r="DA91" s="237" t="s">
        <v>231</v>
      </c>
      <c r="DB91" s="237" t="s">
        <v>231</v>
      </c>
      <c r="DC91" s="237" t="s">
        <v>231</v>
      </c>
      <c r="DD91" s="237" t="s">
        <v>231</v>
      </c>
      <c r="DE91" s="237" t="s">
        <v>231</v>
      </c>
      <c r="DF91" s="237" t="s">
        <v>231</v>
      </c>
      <c r="DG91" s="237" t="s">
        <v>231</v>
      </c>
      <c r="DH91" s="237" t="s">
        <v>231</v>
      </c>
      <c r="DI91" s="237" t="s">
        <v>231</v>
      </c>
      <c r="DJ91" s="237" t="s">
        <v>231</v>
      </c>
      <c r="DK91" s="237" t="s">
        <v>231</v>
      </c>
      <c r="DL91" s="237" t="s">
        <v>231</v>
      </c>
      <c r="DM91" s="237" t="s">
        <v>231</v>
      </c>
      <c r="DN91" s="237" t="s">
        <v>231</v>
      </c>
      <c r="DO91" s="237" t="s">
        <v>231</v>
      </c>
      <c r="DP91" s="237" t="s">
        <v>231</v>
      </c>
      <c r="DQ91" s="237" t="s">
        <v>231</v>
      </c>
      <c r="DR91" s="237" t="s">
        <v>231</v>
      </c>
      <c r="DS91" s="237" t="s">
        <v>231</v>
      </c>
      <c r="DT91" s="237" t="s">
        <v>492</v>
      </c>
      <c r="DU91" s="237" t="s">
        <v>231</v>
      </c>
      <c r="DV91" s="237" t="s">
        <v>231</v>
      </c>
      <c r="DW91" s="237" t="s">
        <v>231</v>
      </c>
      <c r="DX91" s="237" t="s">
        <v>231</v>
      </c>
      <c r="DY91" s="237" t="s">
        <v>231</v>
      </c>
      <c r="DZ91" s="237" t="s">
        <v>231</v>
      </c>
      <c r="EA91" s="237" t="s">
        <v>231</v>
      </c>
      <c r="EB91" s="237" t="s">
        <v>231</v>
      </c>
      <c r="EC91" s="237" t="s">
        <v>231</v>
      </c>
      <c r="ED91" s="237" t="s">
        <v>231</v>
      </c>
      <c r="EE91" s="237" t="s">
        <v>231</v>
      </c>
      <c r="EF91" s="237" t="s">
        <v>231</v>
      </c>
      <c r="EG91" s="237" t="s">
        <v>231</v>
      </c>
      <c r="EH91" s="237" t="s">
        <v>231</v>
      </c>
      <c r="EI91" s="237" t="s">
        <v>231</v>
      </c>
      <c r="EJ91" s="237" t="s">
        <v>231</v>
      </c>
      <c r="EK91" s="237" t="s">
        <v>231</v>
      </c>
      <c r="EL91" s="237" t="s">
        <v>231</v>
      </c>
      <c r="EM91" s="237" t="s">
        <v>231</v>
      </c>
      <c r="EN91" s="237" t="s">
        <v>231</v>
      </c>
      <c r="EO91" s="237" t="s">
        <v>231</v>
      </c>
      <c r="EP91" s="237" t="s">
        <v>231</v>
      </c>
      <c r="EQ91" s="237" t="s">
        <v>231</v>
      </c>
      <c r="ER91" s="237" t="s">
        <v>231</v>
      </c>
      <c r="ES91" s="237" t="s">
        <v>231</v>
      </c>
      <c r="ET91" s="237" t="s">
        <v>231</v>
      </c>
      <c r="EU91" s="237" t="s">
        <v>231</v>
      </c>
      <c r="EV91" s="237" t="s">
        <v>231</v>
      </c>
      <c r="EW91" s="237" t="s">
        <v>231</v>
      </c>
      <c r="EX91" s="237" t="s">
        <v>231</v>
      </c>
      <c r="EY91" s="237" t="s">
        <v>231</v>
      </c>
      <c r="EZ91" s="237" t="s">
        <v>231</v>
      </c>
      <c r="FA91" s="237" t="s">
        <v>231</v>
      </c>
      <c r="FB91" s="237" t="s">
        <v>231</v>
      </c>
      <c r="FC91" s="237" t="s">
        <v>231</v>
      </c>
      <c r="FD91" s="237" t="s">
        <v>231</v>
      </c>
      <c r="FE91" s="237" t="s">
        <v>231</v>
      </c>
      <c r="FF91" s="237" t="s">
        <v>231</v>
      </c>
      <c r="FG91" s="237" t="s">
        <v>231</v>
      </c>
      <c r="FH91" s="237" t="s">
        <v>231</v>
      </c>
      <c r="FI91" s="237" t="s">
        <v>231</v>
      </c>
      <c r="FJ91" s="237" t="s">
        <v>231</v>
      </c>
      <c r="FK91" s="237" t="s">
        <v>231</v>
      </c>
      <c r="FL91" s="237" t="s">
        <v>231</v>
      </c>
      <c r="FM91" s="237" t="s">
        <v>231</v>
      </c>
      <c r="FN91" s="237" t="s">
        <v>231</v>
      </c>
      <c r="FO91" s="237" t="s">
        <v>231</v>
      </c>
      <c r="FP91" s="237" t="s">
        <v>231</v>
      </c>
      <c r="FQ91" s="237" t="s">
        <v>231</v>
      </c>
      <c r="FR91" s="237" t="s">
        <v>231</v>
      </c>
      <c r="FS91" s="237" t="s">
        <v>231</v>
      </c>
      <c r="FT91" s="237" t="s">
        <v>231</v>
      </c>
      <c r="FU91" s="237" t="s">
        <v>231</v>
      </c>
      <c r="FV91" s="237" t="s">
        <v>231</v>
      </c>
      <c r="FW91" s="237" t="s">
        <v>231</v>
      </c>
      <c r="FX91" s="237" t="s">
        <v>231</v>
      </c>
      <c r="FY91" s="237" t="s">
        <v>231</v>
      </c>
      <c r="FZ91" s="237" t="s">
        <v>231</v>
      </c>
      <c r="GA91" s="237" t="s">
        <v>231</v>
      </c>
      <c r="GB91" s="237" t="s">
        <v>231</v>
      </c>
      <c r="GC91" s="237" t="s">
        <v>231</v>
      </c>
      <c r="GD91" s="237" t="s">
        <v>231</v>
      </c>
      <c r="GE91" s="237" t="s">
        <v>231</v>
      </c>
      <c r="GF91" s="237" t="s">
        <v>231</v>
      </c>
      <c r="GG91" s="237" t="s">
        <v>231</v>
      </c>
      <c r="GH91" s="237" t="s">
        <v>231</v>
      </c>
      <c r="GI91" s="237" t="s">
        <v>231</v>
      </c>
      <c r="GJ91" s="237" t="s">
        <v>231</v>
      </c>
      <c r="GK91" s="237" t="s">
        <v>231</v>
      </c>
      <c r="GL91" s="237" t="s">
        <v>231</v>
      </c>
      <c r="GM91" s="237" t="s">
        <v>231</v>
      </c>
      <c r="GN91" s="237" t="s">
        <v>231</v>
      </c>
      <c r="GO91" s="237" t="s">
        <v>231</v>
      </c>
      <c r="GP91" s="237" t="s">
        <v>492</v>
      </c>
      <c r="GQ91" s="237" t="s">
        <v>231</v>
      </c>
      <c r="GR91" s="237" t="s">
        <v>231</v>
      </c>
      <c r="GS91" s="237" t="s">
        <v>231</v>
      </c>
      <c r="GT91" s="237" t="s">
        <v>231</v>
      </c>
      <c r="GU91" s="237" t="s">
        <v>231</v>
      </c>
      <c r="GV91" s="237" t="s">
        <v>231</v>
      </c>
      <c r="GW91" s="237" t="s">
        <v>231</v>
      </c>
      <c r="GX91" s="237" t="s">
        <v>231</v>
      </c>
      <c r="GY91" s="237" t="s">
        <v>231</v>
      </c>
      <c r="GZ91" s="237" t="s">
        <v>231</v>
      </c>
      <c r="HA91" s="237" t="s">
        <v>231</v>
      </c>
      <c r="HB91" s="237" t="s">
        <v>231</v>
      </c>
      <c r="HC91" s="237" t="s">
        <v>231</v>
      </c>
      <c r="HD91" s="237" t="s">
        <v>231</v>
      </c>
      <c r="HE91" s="237" t="s">
        <v>231</v>
      </c>
      <c r="HF91" s="237" t="s">
        <v>231</v>
      </c>
      <c r="HG91" s="237" t="s">
        <v>231</v>
      </c>
      <c r="HH91" s="237" t="s">
        <v>231</v>
      </c>
      <c r="HI91" s="237" t="s">
        <v>231</v>
      </c>
      <c r="HJ91" s="237" t="s">
        <v>231</v>
      </c>
      <c r="HK91" s="237" t="s">
        <v>231</v>
      </c>
      <c r="HL91" s="237" t="s">
        <v>231</v>
      </c>
      <c r="HM91" s="237" t="s">
        <v>231</v>
      </c>
      <c r="HN91" s="237" t="s">
        <v>231</v>
      </c>
      <c r="HO91" s="237" t="s">
        <v>231</v>
      </c>
      <c r="HP91" s="237" t="s">
        <v>231</v>
      </c>
      <c r="HQ91" s="237" t="s">
        <v>231</v>
      </c>
      <c r="HR91" s="237" t="s">
        <v>231</v>
      </c>
      <c r="HS91" s="237" t="s">
        <v>231</v>
      </c>
      <c r="HT91" s="237" t="s">
        <v>231</v>
      </c>
      <c r="HU91" s="237" t="s">
        <v>231</v>
      </c>
      <c r="HV91" s="237" t="s">
        <v>231</v>
      </c>
      <c r="HW91" s="237" t="s">
        <v>231</v>
      </c>
      <c r="HX91" s="237" t="s">
        <v>231</v>
      </c>
      <c r="HY91" s="237" t="s">
        <v>231</v>
      </c>
      <c r="HZ91" s="237" t="s">
        <v>231</v>
      </c>
      <c r="IA91" s="237" t="s">
        <v>231</v>
      </c>
      <c r="IB91" s="237" t="s">
        <v>231</v>
      </c>
      <c r="IC91" s="237" t="s">
        <v>231</v>
      </c>
      <c r="ID91" s="237" t="s">
        <v>231</v>
      </c>
      <c r="IE91" s="237" t="s">
        <v>231</v>
      </c>
      <c r="IF91" s="237" t="s">
        <v>231</v>
      </c>
      <c r="IG91" s="237" t="s">
        <v>231</v>
      </c>
      <c r="IH91" s="237" t="s">
        <v>231</v>
      </c>
      <c r="II91" s="237" t="s">
        <v>231</v>
      </c>
      <c r="IJ91" s="237" t="s">
        <v>231</v>
      </c>
      <c r="IK91" s="237" t="s">
        <v>231</v>
      </c>
      <c r="IL91" s="237" t="s">
        <v>231</v>
      </c>
      <c r="IM91" s="237" t="s">
        <v>231</v>
      </c>
      <c r="IN91" s="237" t="s">
        <v>231</v>
      </c>
      <c r="IO91" s="237" t="s">
        <v>220</v>
      </c>
      <c r="IP91" s="237" t="s">
        <v>493</v>
      </c>
      <c r="IQ91" s="237" t="s">
        <v>219</v>
      </c>
      <c r="IR91" s="237" t="s">
        <v>490</v>
      </c>
      <c r="IS91" s="237" t="s">
        <v>231</v>
      </c>
      <c r="IT91" s="237" t="s">
        <v>231</v>
      </c>
    </row>
    <row r="92" spans="1:254" ht="15" x14ac:dyDescent="0.25">
      <c r="A92" s="259" t="str">
        <f>HYPERLINK("http://www.ofsted.gov.uk/inspection-reports/find-inspection-report/provider/ELS/133447 ","Ofsted School Webpage")</f>
        <v>Ofsted School Webpage</v>
      </c>
      <c r="B92" s="240">
        <v>133447</v>
      </c>
      <c r="C92" s="240">
        <v>2096361</v>
      </c>
      <c r="D92" s="240" t="s">
        <v>738</v>
      </c>
      <c r="E92" s="240" t="s">
        <v>247</v>
      </c>
      <c r="F92" s="240" t="s">
        <v>482</v>
      </c>
      <c r="G92" s="240" t="s">
        <v>506</v>
      </c>
      <c r="H92" s="240" t="s">
        <v>506</v>
      </c>
      <c r="I92" s="240" t="s">
        <v>739</v>
      </c>
      <c r="J92" s="240" t="s">
        <v>740</v>
      </c>
      <c r="K92" s="240" t="s">
        <v>93</v>
      </c>
      <c r="L92" s="240" t="s">
        <v>71</v>
      </c>
      <c r="M92" s="240" t="s">
        <v>71</v>
      </c>
      <c r="N92" s="240" t="s">
        <v>71</v>
      </c>
      <c r="O92" s="240" t="s">
        <v>486</v>
      </c>
      <c r="P92" s="240" t="s">
        <v>487</v>
      </c>
      <c r="Q92" s="241">
        <v>10055402</v>
      </c>
      <c r="R92" s="242">
        <v>43417</v>
      </c>
      <c r="S92" s="242">
        <v>43419</v>
      </c>
      <c r="T92" s="242">
        <v>43444</v>
      </c>
      <c r="U92" s="240" t="s">
        <v>488</v>
      </c>
      <c r="V92" s="240" t="s">
        <v>489</v>
      </c>
      <c r="W92" s="240">
        <v>2</v>
      </c>
      <c r="X92" s="240">
        <v>2</v>
      </c>
      <c r="Y92" s="240">
        <v>2</v>
      </c>
      <c r="Z92" s="240">
        <v>2</v>
      </c>
      <c r="AA92" s="240">
        <v>2</v>
      </c>
      <c r="AB92" s="240">
        <v>2</v>
      </c>
      <c r="AC92" s="240" t="s">
        <v>486</v>
      </c>
      <c r="AD92" s="240" t="s">
        <v>219</v>
      </c>
      <c r="AE92" s="240" t="s">
        <v>490</v>
      </c>
      <c r="AF92" s="240" t="s">
        <v>486</v>
      </c>
      <c r="AG92" s="240" t="s">
        <v>486</v>
      </c>
      <c r="AH92" s="240" t="s">
        <v>486</v>
      </c>
      <c r="AI92" s="240" t="s">
        <v>486</v>
      </c>
      <c r="AJ92" s="240" t="s">
        <v>486</v>
      </c>
      <c r="AK92" s="240" t="s">
        <v>486</v>
      </c>
      <c r="AL92" s="240" t="s">
        <v>486</v>
      </c>
      <c r="AM92" s="240" t="s">
        <v>491</v>
      </c>
      <c r="AN92" s="240" t="s">
        <v>231</v>
      </c>
      <c r="AO92" s="240" t="s">
        <v>231</v>
      </c>
      <c r="AP92" s="240" t="s">
        <v>231</v>
      </c>
      <c r="AQ92" s="240" t="s">
        <v>231</v>
      </c>
      <c r="AR92" s="240" t="s">
        <v>231</v>
      </c>
      <c r="AS92" s="240" t="s">
        <v>231</v>
      </c>
      <c r="AT92" s="240" t="s">
        <v>231</v>
      </c>
      <c r="AU92" s="240" t="s">
        <v>231</v>
      </c>
      <c r="AV92" s="240" t="s">
        <v>231</v>
      </c>
      <c r="AW92" s="240" t="s">
        <v>231</v>
      </c>
      <c r="AX92" s="240" t="s">
        <v>231</v>
      </c>
      <c r="AY92" s="240" t="s">
        <v>231</v>
      </c>
      <c r="AZ92" s="240" t="s">
        <v>231</v>
      </c>
      <c r="BA92" s="240" t="s">
        <v>492</v>
      </c>
      <c r="BB92" s="240" t="s">
        <v>492</v>
      </c>
      <c r="BC92" s="240" t="s">
        <v>231</v>
      </c>
      <c r="BD92" s="240" t="s">
        <v>492</v>
      </c>
      <c r="BE92" s="240" t="s">
        <v>231</v>
      </c>
      <c r="BF92" s="240" t="s">
        <v>231</v>
      </c>
      <c r="BG92" s="240" t="s">
        <v>231</v>
      </c>
      <c r="BH92" s="240" t="s">
        <v>492</v>
      </c>
      <c r="BI92" s="240" t="s">
        <v>492</v>
      </c>
      <c r="BJ92" s="240" t="s">
        <v>492</v>
      </c>
      <c r="BK92" s="240" t="s">
        <v>492</v>
      </c>
      <c r="BL92" s="240" t="s">
        <v>231</v>
      </c>
      <c r="BM92" s="240" t="s">
        <v>231</v>
      </c>
      <c r="BN92" s="240" t="s">
        <v>231</v>
      </c>
      <c r="BO92" s="240" t="s">
        <v>231</v>
      </c>
      <c r="BP92" s="240" t="s">
        <v>231</v>
      </c>
      <c r="BQ92" s="240" t="s">
        <v>231</v>
      </c>
      <c r="BR92" s="240" t="s">
        <v>231</v>
      </c>
      <c r="BS92" s="240" t="s">
        <v>231</v>
      </c>
      <c r="BT92" s="240" t="s">
        <v>231</v>
      </c>
      <c r="BU92" s="240" t="s">
        <v>231</v>
      </c>
      <c r="BV92" s="240" t="s">
        <v>231</v>
      </c>
      <c r="BW92" s="240" t="s">
        <v>231</v>
      </c>
      <c r="BX92" s="240" t="s">
        <v>231</v>
      </c>
      <c r="BY92" s="240" t="s">
        <v>231</v>
      </c>
      <c r="BZ92" s="240" t="s">
        <v>231</v>
      </c>
      <c r="CA92" s="240" t="s">
        <v>231</v>
      </c>
      <c r="CB92" s="240" t="s">
        <v>231</v>
      </c>
      <c r="CC92" s="240" t="s">
        <v>231</v>
      </c>
      <c r="CD92" s="240" t="s">
        <v>231</v>
      </c>
      <c r="CE92" s="240" t="s">
        <v>231</v>
      </c>
      <c r="CF92" s="240" t="s">
        <v>231</v>
      </c>
      <c r="CG92" s="240" t="s">
        <v>231</v>
      </c>
      <c r="CH92" s="240" t="s">
        <v>231</v>
      </c>
      <c r="CI92" s="240" t="s">
        <v>231</v>
      </c>
      <c r="CJ92" s="240" t="s">
        <v>231</v>
      </c>
      <c r="CK92" s="240" t="s">
        <v>231</v>
      </c>
      <c r="CL92" s="240" t="s">
        <v>231</v>
      </c>
      <c r="CM92" s="240" t="s">
        <v>231</v>
      </c>
      <c r="CN92" s="240" t="s">
        <v>231</v>
      </c>
      <c r="CO92" s="240" t="s">
        <v>231</v>
      </c>
      <c r="CP92" s="240" t="s">
        <v>231</v>
      </c>
      <c r="CQ92" s="240" t="s">
        <v>231</v>
      </c>
      <c r="CR92" s="240" t="s">
        <v>231</v>
      </c>
      <c r="CS92" s="240" t="s">
        <v>231</v>
      </c>
      <c r="CT92" s="240" t="s">
        <v>492</v>
      </c>
      <c r="CU92" s="240" t="s">
        <v>492</v>
      </c>
      <c r="CV92" s="240" t="s">
        <v>492</v>
      </c>
      <c r="CW92" s="240" t="s">
        <v>231</v>
      </c>
      <c r="CX92" s="240" t="s">
        <v>231</v>
      </c>
      <c r="CY92" s="240" t="s">
        <v>231</v>
      </c>
      <c r="CZ92" s="240" t="s">
        <v>231</v>
      </c>
      <c r="DA92" s="240" t="s">
        <v>231</v>
      </c>
      <c r="DB92" s="240" t="s">
        <v>231</v>
      </c>
      <c r="DC92" s="240" t="s">
        <v>231</v>
      </c>
      <c r="DD92" s="240" t="s">
        <v>231</v>
      </c>
      <c r="DE92" s="240" t="s">
        <v>231</v>
      </c>
      <c r="DF92" s="240" t="s">
        <v>231</v>
      </c>
      <c r="DG92" s="240" t="s">
        <v>231</v>
      </c>
      <c r="DH92" s="240" t="s">
        <v>231</v>
      </c>
      <c r="DI92" s="240" t="s">
        <v>231</v>
      </c>
      <c r="DJ92" s="240" t="s">
        <v>231</v>
      </c>
      <c r="DK92" s="240" t="s">
        <v>231</v>
      </c>
      <c r="DL92" s="240" t="s">
        <v>231</v>
      </c>
      <c r="DM92" s="240" t="s">
        <v>231</v>
      </c>
      <c r="DN92" s="240" t="s">
        <v>231</v>
      </c>
      <c r="DO92" s="240" t="s">
        <v>231</v>
      </c>
      <c r="DP92" s="240" t="s">
        <v>231</v>
      </c>
      <c r="DQ92" s="240" t="s">
        <v>231</v>
      </c>
      <c r="DR92" s="240" t="s">
        <v>231</v>
      </c>
      <c r="DS92" s="240" t="s">
        <v>231</v>
      </c>
      <c r="DT92" s="240" t="s">
        <v>492</v>
      </c>
      <c r="DU92" s="240" t="s">
        <v>231</v>
      </c>
      <c r="DV92" s="240" t="s">
        <v>231</v>
      </c>
      <c r="DW92" s="240" t="s">
        <v>231</v>
      </c>
      <c r="DX92" s="240" t="s">
        <v>231</v>
      </c>
      <c r="DY92" s="240" t="s">
        <v>231</v>
      </c>
      <c r="DZ92" s="240" t="s">
        <v>231</v>
      </c>
      <c r="EA92" s="240" t="s">
        <v>231</v>
      </c>
      <c r="EB92" s="240" t="s">
        <v>231</v>
      </c>
      <c r="EC92" s="240" t="s">
        <v>231</v>
      </c>
      <c r="ED92" s="240" t="s">
        <v>231</v>
      </c>
      <c r="EE92" s="240" t="s">
        <v>231</v>
      </c>
      <c r="EF92" s="240" t="s">
        <v>231</v>
      </c>
      <c r="EG92" s="240" t="s">
        <v>231</v>
      </c>
      <c r="EH92" s="240" t="s">
        <v>492</v>
      </c>
      <c r="EI92" s="240" t="s">
        <v>492</v>
      </c>
      <c r="EJ92" s="240" t="s">
        <v>231</v>
      </c>
      <c r="EK92" s="240" t="s">
        <v>231</v>
      </c>
      <c r="EL92" s="240" t="s">
        <v>231</v>
      </c>
      <c r="EM92" s="240" t="s">
        <v>231</v>
      </c>
      <c r="EN92" s="240" t="s">
        <v>231</v>
      </c>
      <c r="EO92" s="240" t="s">
        <v>231</v>
      </c>
      <c r="EP92" s="240" t="s">
        <v>231</v>
      </c>
      <c r="EQ92" s="240" t="s">
        <v>231</v>
      </c>
      <c r="ER92" s="240" t="s">
        <v>231</v>
      </c>
      <c r="ES92" s="240" t="s">
        <v>231</v>
      </c>
      <c r="ET92" s="240" t="s">
        <v>231</v>
      </c>
      <c r="EU92" s="240" t="s">
        <v>231</v>
      </c>
      <c r="EV92" s="240" t="s">
        <v>231</v>
      </c>
      <c r="EW92" s="240" t="s">
        <v>231</v>
      </c>
      <c r="EX92" s="240" t="s">
        <v>231</v>
      </c>
      <c r="EY92" s="240" t="s">
        <v>231</v>
      </c>
      <c r="EZ92" s="240" t="s">
        <v>231</v>
      </c>
      <c r="FA92" s="240" t="s">
        <v>231</v>
      </c>
      <c r="FB92" s="240" t="s">
        <v>231</v>
      </c>
      <c r="FC92" s="240" t="s">
        <v>231</v>
      </c>
      <c r="FD92" s="240" t="s">
        <v>231</v>
      </c>
      <c r="FE92" s="240" t="s">
        <v>231</v>
      </c>
      <c r="FF92" s="240" t="s">
        <v>231</v>
      </c>
      <c r="FG92" s="240" t="s">
        <v>231</v>
      </c>
      <c r="FH92" s="240" t="s">
        <v>231</v>
      </c>
      <c r="FI92" s="240" t="s">
        <v>231</v>
      </c>
      <c r="FJ92" s="240" t="s">
        <v>231</v>
      </c>
      <c r="FK92" s="240" t="s">
        <v>231</v>
      </c>
      <c r="FL92" s="240" t="s">
        <v>231</v>
      </c>
      <c r="FM92" s="240" t="s">
        <v>231</v>
      </c>
      <c r="FN92" s="240" t="s">
        <v>231</v>
      </c>
      <c r="FO92" s="240" t="s">
        <v>231</v>
      </c>
      <c r="FP92" s="240" t="s">
        <v>231</v>
      </c>
      <c r="FQ92" s="240" t="s">
        <v>231</v>
      </c>
      <c r="FR92" s="240" t="s">
        <v>231</v>
      </c>
      <c r="FS92" s="240" t="s">
        <v>231</v>
      </c>
      <c r="FT92" s="240" t="s">
        <v>492</v>
      </c>
      <c r="FU92" s="240" t="s">
        <v>231</v>
      </c>
      <c r="FV92" s="240" t="s">
        <v>231</v>
      </c>
      <c r="FW92" s="240" t="s">
        <v>231</v>
      </c>
      <c r="FX92" s="240" t="s">
        <v>492</v>
      </c>
      <c r="FY92" s="240" t="s">
        <v>231</v>
      </c>
      <c r="FZ92" s="240" t="s">
        <v>231</v>
      </c>
      <c r="GA92" s="240" t="s">
        <v>231</v>
      </c>
      <c r="GB92" s="240" t="s">
        <v>231</v>
      </c>
      <c r="GC92" s="240" t="s">
        <v>231</v>
      </c>
      <c r="GD92" s="240" t="s">
        <v>231</v>
      </c>
      <c r="GE92" s="240" t="s">
        <v>231</v>
      </c>
      <c r="GF92" s="240" t="s">
        <v>231</v>
      </c>
      <c r="GG92" s="240" t="s">
        <v>231</v>
      </c>
      <c r="GH92" s="240" t="s">
        <v>231</v>
      </c>
      <c r="GI92" s="240" t="s">
        <v>231</v>
      </c>
      <c r="GJ92" s="240" t="s">
        <v>231</v>
      </c>
      <c r="GK92" s="240" t="s">
        <v>231</v>
      </c>
      <c r="GL92" s="240" t="s">
        <v>231</v>
      </c>
      <c r="GM92" s="240" t="s">
        <v>231</v>
      </c>
      <c r="GN92" s="240" t="s">
        <v>231</v>
      </c>
      <c r="GO92" s="240" t="s">
        <v>231</v>
      </c>
      <c r="GP92" s="240" t="s">
        <v>492</v>
      </c>
      <c r="GQ92" s="240" t="s">
        <v>231</v>
      </c>
      <c r="GR92" s="240" t="s">
        <v>231</v>
      </c>
      <c r="GS92" s="240" t="s">
        <v>231</v>
      </c>
      <c r="GT92" s="240" t="s">
        <v>231</v>
      </c>
      <c r="GU92" s="240" t="s">
        <v>231</v>
      </c>
      <c r="GV92" s="240" t="s">
        <v>231</v>
      </c>
      <c r="GW92" s="240" t="s">
        <v>231</v>
      </c>
      <c r="GX92" s="240" t="s">
        <v>231</v>
      </c>
      <c r="GY92" s="240" t="s">
        <v>231</v>
      </c>
      <c r="GZ92" s="240" t="s">
        <v>231</v>
      </c>
      <c r="HA92" s="240" t="s">
        <v>231</v>
      </c>
      <c r="HB92" s="240" t="s">
        <v>231</v>
      </c>
      <c r="HC92" s="240" t="s">
        <v>231</v>
      </c>
      <c r="HD92" s="240" t="s">
        <v>231</v>
      </c>
      <c r="HE92" s="240" t="s">
        <v>231</v>
      </c>
      <c r="HF92" s="240" t="s">
        <v>492</v>
      </c>
      <c r="HG92" s="240" t="s">
        <v>231</v>
      </c>
      <c r="HH92" s="240" t="s">
        <v>231</v>
      </c>
      <c r="HI92" s="240" t="s">
        <v>231</v>
      </c>
      <c r="HJ92" s="240" t="s">
        <v>231</v>
      </c>
      <c r="HK92" s="240" t="s">
        <v>231</v>
      </c>
      <c r="HL92" s="240" t="s">
        <v>231</v>
      </c>
      <c r="HM92" s="240" t="s">
        <v>231</v>
      </c>
      <c r="HN92" s="240" t="s">
        <v>231</v>
      </c>
      <c r="HO92" s="240" t="s">
        <v>231</v>
      </c>
      <c r="HP92" s="240" t="s">
        <v>231</v>
      </c>
      <c r="HQ92" s="240" t="s">
        <v>231</v>
      </c>
      <c r="HR92" s="240" t="s">
        <v>492</v>
      </c>
      <c r="HS92" s="240" t="s">
        <v>492</v>
      </c>
      <c r="HT92" s="240" t="s">
        <v>492</v>
      </c>
      <c r="HU92" s="240" t="s">
        <v>231</v>
      </c>
      <c r="HV92" s="240" t="s">
        <v>231</v>
      </c>
      <c r="HW92" s="240" t="s">
        <v>231</v>
      </c>
      <c r="HX92" s="240" t="s">
        <v>231</v>
      </c>
      <c r="HY92" s="240" t="s">
        <v>231</v>
      </c>
      <c r="HZ92" s="240" t="s">
        <v>231</v>
      </c>
      <c r="IA92" s="240" t="s">
        <v>231</v>
      </c>
      <c r="IB92" s="240" t="s">
        <v>231</v>
      </c>
      <c r="IC92" s="240" t="s">
        <v>231</v>
      </c>
      <c r="ID92" s="240" t="s">
        <v>231</v>
      </c>
      <c r="IE92" s="240" t="s">
        <v>231</v>
      </c>
      <c r="IF92" s="240" t="s">
        <v>231</v>
      </c>
      <c r="IG92" s="240" t="s">
        <v>231</v>
      </c>
      <c r="IH92" s="240" t="s">
        <v>231</v>
      </c>
      <c r="II92" s="240" t="s">
        <v>231</v>
      </c>
      <c r="IJ92" s="240" t="s">
        <v>231</v>
      </c>
      <c r="IK92" s="240" t="s">
        <v>231</v>
      </c>
      <c r="IL92" s="240" t="s">
        <v>231</v>
      </c>
      <c r="IM92" s="240" t="s">
        <v>231</v>
      </c>
      <c r="IN92" s="240" t="s">
        <v>231</v>
      </c>
      <c r="IO92" s="240" t="s">
        <v>220</v>
      </c>
      <c r="IP92" s="240" t="s">
        <v>493</v>
      </c>
      <c r="IQ92" s="240" t="s">
        <v>219</v>
      </c>
      <c r="IR92" s="240" t="s">
        <v>490</v>
      </c>
      <c r="IS92" s="240" t="s">
        <v>231</v>
      </c>
      <c r="IT92" s="240" t="s">
        <v>231</v>
      </c>
    </row>
    <row r="93" spans="1:254" ht="15" x14ac:dyDescent="0.25">
      <c r="A93" s="258" t="str">
        <f>HYPERLINK("http://www.ofsted.gov.uk/inspection-reports/find-inspection-report/provider/ELS/132774 ","Ofsted School Webpage")</f>
        <v>Ofsted School Webpage</v>
      </c>
      <c r="B93" s="237">
        <v>132774</v>
      </c>
      <c r="C93" s="237">
        <v>8016021</v>
      </c>
      <c r="D93" s="237" t="s">
        <v>741</v>
      </c>
      <c r="E93" s="237" t="s">
        <v>247</v>
      </c>
      <c r="F93" s="237" t="s">
        <v>482</v>
      </c>
      <c r="G93" s="237" t="s">
        <v>483</v>
      </c>
      <c r="H93" s="237" t="s">
        <v>483</v>
      </c>
      <c r="I93" s="237" t="s">
        <v>564</v>
      </c>
      <c r="J93" s="237" t="s">
        <v>742</v>
      </c>
      <c r="K93" s="237" t="s">
        <v>93</v>
      </c>
      <c r="L93" s="237" t="s">
        <v>71</v>
      </c>
      <c r="M93" s="237" t="s">
        <v>71</v>
      </c>
      <c r="N93" s="237" t="s">
        <v>71</v>
      </c>
      <c r="O93" s="237" t="s">
        <v>486</v>
      </c>
      <c r="P93" s="237" t="s">
        <v>487</v>
      </c>
      <c r="Q93" s="238">
        <v>10053775</v>
      </c>
      <c r="R93" s="239">
        <v>43417</v>
      </c>
      <c r="S93" s="239">
        <v>43419</v>
      </c>
      <c r="T93" s="239">
        <v>43475</v>
      </c>
      <c r="U93" s="237" t="s">
        <v>488</v>
      </c>
      <c r="V93" s="237" t="s">
        <v>489</v>
      </c>
      <c r="W93" s="237">
        <v>4</v>
      </c>
      <c r="X93" s="237">
        <v>4</v>
      </c>
      <c r="Y93" s="237">
        <v>4</v>
      </c>
      <c r="Z93" s="237">
        <v>3</v>
      </c>
      <c r="AA93" s="237">
        <v>3</v>
      </c>
      <c r="AB93" s="237" t="s">
        <v>486</v>
      </c>
      <c r="AC93" s="237" t="s">
        <v>486</v>
      </c>
      <c r="AD93" s="237" t="s">
        <v>220</v>
      </c>
      <c r="AE93" s="237" t="s">
        <v>490</v>
      </c>
      <c r="AF93" s="237" t="s">
        <v>486</v>
      </c>
      <c r="AG93" s="237" t="s">
        <v>486</v>
      </c>
      <c r="AH93" s="237" t="s">
        <v>486</v>
      </c>
      <c r="AI93" s="237" t="s">
        <v>486</v>
      </c>
      <c r="AJ93" s="237" t="s">
        <v>486</v>
      </c>
      <c r="AK93" s="237" t="s">
        <v>486</v>
      </c>
      <c r="AL93" s="237" t="s">
        <v>486</v>
      </c>
      <c r="AM93" s="237" t="s">
        <v>545</v>
      </c>
      <c r="AN93" s="237" t="s">
        <v>546</v>
      </c>
      <c r="AO93" s="237" t="s">
        <v>231</v>
      </c>
      <c r="AP93" s="237" t="s">
        <v>546</v>
      </c>
      <c r="AQ93" s="237" t="s">
        <v>231</v>
      </c>
      <c r="AR93" s="237" t="s">
        <v>231</v>
      </c>
      <c r="AS93" s="237" t="s">
        <v>231</v>
      </c>
      <c r="AT93" s="237" t="s">
        <v>231</v>
      </c>
      <c r="AU93" s="237" t="s">
        <v>546</v>
      </c>
      <c r="AV93" s="237" t="s">
        <v>232</v>
      </c>
      <c r="AW93" s="237" t="s">
        <v>232</v>
      </c>
      <c r="AX93" s="237" t="s">
        <v>232</v>
      </c>
      <c r="AY93" s="237" t="s">
        <v>232</v>
      </c>
      <c r="AZ93" s="237" t="s">
        <v>231</v>
      </c>
      <c r="BA93" s="237" t="s">
        <v>232</v>
      </c>
      <c r="BB93" s="237" t="s">
        <v>231</v>
      </c>
      <c r="BC93" s="237" t="s">
        <v>231</v>
      </c>
      <c r="BD93" s="237" t="s">
        <v>492</v>
      </c>
      <c r="BE93" s="237" t="s">
        <v>231</v>
      </c>
      <c r="BF93" s="237" t="s">
        <v>231</v>
      </c>
      <c r="BG93" s="237" t="s">
        <v>231</v>
      </c>
      <c r="BH93" s="237" t="s">
        <v>231</v>
      </c>
      <c r="BI93" s="237" t="s">
        <v>231</v>
      </c>
      <c r="BJ93" s="237" t="s">
        <v>231</v>
      </c>
      <c r="BK93" s="237" t="s">
        <v>231</v>
      </c>
      <c r="BL93" s="237" t="s">
        <v>232</v>
      </c>
      <c r="BM93" s="237" t="s">
        <v>231</v>
      </c>
      <c r="BN93" s="237" t="s">
        <v>231</v>
      </c>
      <c r="BO93" s="237" t="s">
        <v>231</v>
      </c>
      <c r="BP93" s="237" t="s">
        <v>232</v>
      </c>
      <c r="BQ93" s="237" t="s">
        <v>232</v>
      </c>
      <c r="BR93" s="237" t="s">
        <v>231</v>
      </c>
      <c r="BS93" s="237" t="s">
        <v>232</v>
      </c>
      <c r="BT93" s="237" t="s">
        <v>232</v>
      </c>
      <c r="BU93" s="237" t="s">
        <v>231</v>
      </c>
      <c r="BV93" s="237" t="s">
        <v>232</v>
      </c>
      <c r="BW93" s="237" t="s">
        <v>232</v>
      </c>
      <c r="BX93" s="237" t="s">
        <v>231</v>
      </c>
      <c r="BY93" s="237" t="s">
        <v>231</v>
      </c>
      <c r="BZ93" s="237" t="s">
        <v>231</v>
      </c>
      <c r="CA93" s="237" t="s">
        <v>231</v>
      </c>
      <c r="CB93" s="237" t="s">
        <v>231</v>
      </c>
      <c r="CC93" s="237" t="s">
        <v>231</v>
      </c>
      <c r="CD93" s="237" t="s">
        <v>231</v>
      </c>
      <c r="CE93" s="237" t="s">
        <v>231</v>
      </c>
      <c r="CF93" s="237" t="s">
        <v>231</v>
      </c>
      <c r="CG93" s="237" t="s">
        <v>231</v>
      </c>
      <c r="CH93" s="237" t="s">
        <v>231</v>
      </c>
      <c r="CI93" s="237" t="s">
        <v>231</v>
      </c>
      <c r="CJ93" s="237" t="s">
        <v>231</v>
      </c>
      <c r="CK93" s="237" t="s">
        <v>231</v>
      </c>
      <c r="CL93" s="237" t="s">
        <v>231</v>
      </c>
      <c r="CM93" s="237" t="s">
        <v>231</v>
      </c>
      <c r="CN93" s="237" t="s">
        <v>231</v>
      </c>
      <c r="CO93" s="237" t="s">
        <v>231</v>
      </c>
      <c r="CP93" s="237" t="s">
        <v>231</v>
      </c>
      <c r="CQ93" s="237" t="s">
        <v>232</v>
      </c>
      <c r="CR93" s="237" t="s">
        <v>232</v>
      </c>
      <c r="CS93" s="237" t="s">
        <v>232</v>
      </c>
      <c r="CT93" s="237" t="s">
        <v>492</v>
      </c>
      <c r="CU93" s="237" t="s">
        <v>492</v>
      </c>
      <c r="CV93" s="237" t="s">
        <v>492</v>
      </c>
      <c r="CW93" s="237" t="s">
        <v>231</v>
      </c>
      <c r="CX93" s="237" t="s">
        <v>231</v>
      </c>
      <c r="CY93" s="237" t="s">
        <v>231</v>
      </c>
      <c r="CZ93" s="237" t="s">
        <v>231</v>
      </c>
      <c r="DA93" s="237" t="s">
        <v>231</v>
      </c>
      <c r="DB93" s="237" t="s">
        <v>231</v>
      </c>
      <c r="DC93" s="237" t="s">
        <v>232</v>
      </c>
      <c r="DD93" s="237" t="s">
        <v>231</v>
      </c>
      <c r="DE93" s="237" t="s">
        <v>231</v>
      </c>
      <c r="DF93" s="237" t="s">
        <v>231</v>
      </c>
      <c r="DG93" s="237" t="s">
        <v>232</v>
      </c>
      <c r="DH93" s="237" t="s">
        <v>232</v>
      </c>
      <c r="DI93" s="237" t="s">
        <v>232</v>
      </c>
      <c r="DJ93" s="237" t="s">
        <v>231</v>
      </c>
      <c r="DK93" s="237" t="s">
        <v>231</v>
      </c>
      <c r="DL93" s="237" t="s">
        <v>231</v>
      </c>
      <c r="DM93" s="237" t="s">
        <v>231</v>
      </c>
      <c r="DN93" s="237" t="s">
        <v>231</v>
      </c>
      <c r="DO93" s="237" t="s">
        <v>231</v>
      </c>
      <c r="DP93" s="237" t="s">
        <v>231</v>
      </c>
      <c r="DQ93" s="237" t="s">
        <v>231</v>
      </c>
      <c r="DR93" s="237" t="s">
        <v>231</v>
      </c>
      <c r="DS93" s="237" t="s">
        <v>231</v>
      </c>
      <c r="DT93" s="237" t="s">
        <v>231</v>
      </c>
      <c r="DU93" s="237" t="s">
        <v>231</v>
      </c>
      <c r="DV93" s="237" t="s">
        <v>231</v>
      </c>
      <c r="DW93" s="237" t="s">
        <v>231</v>
      </c>
      <c r="DX93" s="237" t="s">
        <v>231</v>
      </c>
      <c r="DY93" s="237" t="s">
        <v>231</v>
      </c>
      <c r="DZ93" s="237" t="s">
        <v>231</v>
      </c>
      <c r="EA93" s="237" t="s">
        <v>231</v>
      </c>
      <c r="EB93" s="237" t="s">
        <v>231</v>
      </c>
      <c r="EC93" s="237" t="s">
        <v>231</v>
      </c>
      <c r="ED93" s="237" t="s">
        <v>231</v>
      </c>
      <c r="EE93" s="237" t="s">
        <v>231</v>
      </c>
      <c r="EF93" s="237" t="s">
        <v>231</v>
      </c>
      <c r="EG93" s="237" t="s">
        <v>231</v>
      </c>
      <c r="EH93" s="237" t="s">
        <v>231</v>
      </c>
      <c r="EI93" s="237" t="s">
        <v>231</v>
      </c>
      <c r="EJ93" s="237" t="s">
        <v>231</v>
      </c>
      <c r="EK93" s="237" t="s">
        <v>231</v>
      </c>
      <c r="EL93" s="237" t="s">
        <v>231</v>
      </c>
      <c r="EM93" s="237" t="s">
        <v>231</v>
      </c>
      <c r="EN93" s="237" t="s">
        <v>231</v>
      </c>
      <c r="EO93" s="237" t="s">
        <v>231</v>
      </c>
      <c r="EP93" s="237" t="s">
        <v>231</v>
      </c>
      <c r="EQ93" s="237" t="s">
        <v>231</v>
      </c>
      <c r="ER93" s="237" t="s">
        <v>231</v>
      </c>
      <c r="ES93" s="237" t="s">
        <v>231</v>
      </c>
      <c r="ET93" s="237" t="s">
        <v>231</v>
      </c>
      <c r="EU93" s="237" t="s">
        <v>231</v>
      </c>
      <c r="EV93" s="237" t="s">
        <v>231</v>
      </c>
      <c r="EW93" s="237" t="s">
        <v>231</v>
      </c>
      <c r="EX93" s="237" t="s">
        <v>231</v>
      </c>
      <c r="EY93" s="237" t="s">
        <v>231</v>
      </c>
      <c r="EZ93" s="237" t="s">
        <v>231</v>
      </c>
      <c r="FA93" s="237" t="s">
        <v>231</v>
      </c>
      <c r="FB93" s="237" t="s">
        <v>231</v>
      </c>
      <c r="FC93" s="237" t="s">
        <v>231</v>
      </c>
      <c r="FD93" s="237" t="s">
        <v>231</v>
      </c>
      <c r="FE93" s="237" t="s">
        <v>231</v>
      </c>
      <c r="FF93" s="237" t="s">
        <v>231</v>
      </c>
      <c r="FG93" s="237" t="s">
        <v>231</v>
      </c>
      <c r="FH93" s="237" t="s">
        <v>231</v>
      </c>
      <c r="FI93" s="237" t="s">
        <v>231</v>
      </c>
      <c r="FJ93" s="237" t="s">
        <v>231</v>
      </c>
      <c r="FK93" s="237" t="s">
        <v>231</v>
      </c>
      <c r="FL93" s="237" t="s">
        <v>231</v>
      </c>
      <c r="FM93" s="237" t="s">
        <v>231</v>
      </c>
      <c r="FN93" s="237" t="s">
        <v>231</v>
      </c>
      <c r="FO93" s="237" t="s">
        <v>231</v>
      </c>
      <c r="FP93" s="237" t="s">
        <v>231</v>
      </c>
      <c r="FQ93" s="237" t="s">
        <v>231</v>
      </c>
      <c r="FR93" s="237" t="s">
        <v>231</v>
      </c>
      <c r="FS93" s="237" t="s">
        <v>231</v>
      </c>
      <c r="FT93" s="237" t="s">
        <v>231</v>
      </c>
      <c r="FU93" s="237" t="s">
        <v>231</v>
      </c>
      <c r="FV93" s="237" t="s">
        <v>231</v>
      </c>
      <c r="FW93" s="237" t="s">
        <v>231</v>
      </c>
      <c r="FX93" s="237" t="s">
        <v>231</v>
      </c>
      <c r="FY93" s="237" t="s">
        <v>231</v>
      </c>
      <c r="FZ93" s="237" t="s">
        <v>231</v>
      </c>
      <c r="GA93" s="237" t="s">
        <v>231</v>
      </c>
      <c r="GB93" s="237" t="s">
        <v>231</v>
      </c>
      <c r="GC93" s="237" t="s">
        <v>231</v>
      </c>
      <c r="GD93" s="237" t="s">
        <v>231</v>
      </c>
      <c r="GE93" s="237" t="s">
        <v>231</v>
      </c>
      <c r="GF93" s="237" t="s">
        <v>231</v>
      </c>
      <c r="GG93" s="237" t="s">
        <v>231</v>
      </c>
      <c r="GH93" s="237" t="s">
        <v>231</v>
      </c>
      <c r="GI93" s="237" t="s">
        <v>231</v>
      </c>
      <c r="GJ93" s="237" t="s">
        <v>231</v>
      </c>
      <c r="GK93" s="237" t="s">
        <v>231</v>
      </c>
      <c r="GL93" s="237" t="s">
        <v>231</v>
      </c>
      <c r="GM93" s="237" t="s">
        <v>231</v>
      </c>
      <c r="GN93" s="237" t="s">
        <v>231</v>
      </c>
      <c r="GO93" s="237" t="s">
        <v>231</v>
      </c>
      <c r="GP93" s="237" t="s">
        <v>492</v>
      </c>
      <c r="GQ93" s="237" t="s">
        <v>231</v>
      </c>
      <c r="GR93" s="237" t="s">
        <v>231</v>
      </c>
      <c r="GS93" s="237" t="s">
        <v>231</v>
      </c>
      <c r="GT93" s="237" t="s">
        <v>231</v>
      </c>
      <c r="GU93" s="237" t="s">
        <v>231</v>
      </c>
      <c r="GV93" s="237" t="s">
        <v>231</v>
      </c>
      <c r="GW93" s="237" t="s">
        <v>231</v>
      </c>
      <c r="GX93" s="237" t="s">
        <v>231</v>
      </c>
      <c r="GY93" s="237" t="s">
        <v>492</v>
      </c>
      <c r="GZ93" s="237" t="s">
        <v>492</v>
      </c>
      <c r="HA93" s="237" t="s">
        <v>231</v>
      </c>
      <c r="HB93" s="237" t="s">
        <v>231</v>
      </c>
      <c r="HC93" s="237" t="s">
        <v>231</v>
      </c>
      <c r="HD93" s="237" t="s">
        <v>231</v>
      </c>
      <c r="HE93" s="237" t="s">
        <v>231</v>
      </c>
      <c r="HF93" s="237" t="s">
        <v>231</v>
      </c>
      <c r="HG93" s="237" t="s">
        <v>231</v>
      </c>
      <c r="HH93" s="237" t="s">
        <v>231</v>
      </c>
      <c r="HI93" s="237" t="s">
        <v>231</v>
      </c>
      <c r="HJ93" s="237" t="s">
        <v>231</v>
      </c>
      <c r="HK93" s="237" t="s">
        <v>231</v>
      </c>
      <c r="HL93" s="237" t="s">
        <v>231</v>
      </c>
      <c r="HM93" s="237" t="s">
        <v>231</v>
      </c>
      <c r="HN93" s="237" t="s">
        <v>231</v>
      </c>
      <c r="HO93" s="237" t="s">
        <v>231</v>
      </c>
      <c r="HP93" s="237" t="s">
        <v>231</v>
      </c>
      <c r="HQ93" s="237" t="s">
        <v>492</v>
      </c>
      <c r="HR93" s="237" t="s">
        <v>492</v>
      </c>
      <c r="HS93" s="237" t="s">
        <v>492</v>
      </c>
      <c r="HT93" s="237" t="s">
        <v>492</v>
      </c>
      <c r="HU93" s="237" t="s">
        <v>231</v>
      </c>
      <c r="HV93" s="237" t="s">
        <v>231</v>
      </c>
      <c r="HW93" s="237" t="s">
        <v>231</v>
      </c>
      <c r="HX93" s="237" t="s">
        <v>231</v>
      </c>
      <c r="HY93" s="237" t="s">
        <v>231</v>
      </c>
      <c r="HZ93" s="237" t="s">
        <v>231</v>
      </c>
      <c r="IA93" s="237" t="s">
        <v>231</v>
      </c>
      <c r="IB93" s="237" t="s">
        <v>231</v>
      </c>
      <c r="IC93" s="237" t="s">
        <v>231</v>
      </c>
      <c r="ID93" s="237" t="s">
        <v>231</v>
      </c>
      <c r="IE93" s="237" t="s">
        <v>231</v>
      </c>
      <c r="IF93" s="237" t="s">
        <v>231</v>
      </c>
      <c r="IG93" s="237" t="s">
        <v>231</v>
      </c>
      <c r="IH93" s="237" t="s">
        <v>231</v>
      </c>
      <c r="II93" s="237" t="s">
        <v>231</v>
      </c>
      <c r="IJ93" s="237" t="s">
        <v>231</v>
      </c>
      <c r="IK93" s="237" t="s">
        <v>232</v>
      </c>
      <c r="IL93" s="237" t="s">
        <v>232</v>
      </c>
      <c r="IM93" s="237" t="s">
        <v>232</v>
      </c>
      <c r="IN93" s="237" t="s">
        <v>232</v>
      </c>
      <c r="IO93" s="237" t="s">
        <v>220</v>
      </c>
      <c r="IP93" s="237" t="s">
        <v>493</v>
      </c>
      <c r="IQ93" s="237" t="s">
        <v>219</v>
      </c>
      <c r="IR93" s="237" t="s">
        <v>490</v>
      </c>
      <c r="IS93" s="237" t="s">
        <v>232</v>
      </c>
      <c r="IT93" s="237" t="s">
        <v>232</v>
      </c>
    </row>
    <row r="94" spans="1:254" ht="15" x14ac:dyDescent="0.25">
      <c r="A94" s="259" t="str">
        <f>HYPERLINK("http://www.ofsted.gov.uk/inspection-reports/find-inspection-report/provider/ELS/141680 ","Ofsted School Webpage")</f>
        <v>Ofsted School Webpage</v>
      </c>
      <c r="B94" s="240">
        <v>141680</v>
      </c>
      <c r="C94" s="240">
        <v>3526010</v>
      </c>
      <c r="D94" s="240" t="s">
        <v>743</v>
      </c>
      <c r="E94" s="240" t="s">
        <v>247</v>
      </c>
      <c r="F94" s="240" t="s">
        <v>482</v>
      </c>
      <c r="G94" s="240" t="s">
        <v>495</v>
      </c>
      <c r="H94" s="240" t="s">
        <v>495</v>
      </c>
      <c r="I94" s="240" t="s">
        <v>744</v>
      </c>
      <c r="J94" s="240" t="s">
        <v>745</v>
      </c>
      <c r="K94" s="240" t="s">
        <v>93</v>
      </c>
      <c r="L94" s="240" t="s">
        <v>93</v>
      </c>
      <c r="M94" s="240" t="s">
        <v>93</v>
      </c>
      <c r="N94" s="240" t="s">
        <v>90</v>
      </c>
      <c r="O94" s="240" t="s">
        <v>486</v>
      </c>
      <c r="P94" s="240" t="s">
        <v>487</v>
      </c>
      <c r="Q94" s="241">
        <v>10053736</v>
      </c>
      <c r="R94" s="242">
        <v>43417</v>
      </c>
      <c r="S94" s="242">
        <v>43419</v>
      </c>
      <c r="T94" s="242">
        <v>43451</v>
      </c>
      <c r="U94" s="240" t="s">
        <v>488</v>
      </c>
      <c r="V94" s="240" t="s">
        <v>489</v>
      </c>
      <c r="W94" s="240">
        <v>3</v>
      </c>
      <c r="X94" s="240">
        <v>3</v>
      </c>
      <c r="Y94" s="240">
        <v>3</v>
      </c>
      <c r="Z94" s="240">
        <v>3</v>
      </c>
      <c r="AA94" s="240">
        <v>3</v>
      </c>
      <c r="AB94" s="240" t="s">
        <v>486</v>
      </c>
      <c r="AC94" s="240" t="s">
        <v>486</v>
      </c>
      <c r="AD94" s="240" t="s">
        <v>219</v>
      </c>
      <c r="AE94" s="240" t="s">
        <v>490</v>
      </c>
      <c r="AF94" s="240" t="s">
        <v>486</v>
      </c>
      <c r="AG94" s="240" t="s">
        <v>486</v>
      </c>
      <c r="AH94" s="240" t="s">
        <v>486</v>
      </c>
      <c r="AI94" s="240" t="s">
        <v>486</v>
      </c>
      <c r="AJ94" s="240" t="s">
        <v>486</v>
      </c>
      <c r="AK94" s="240" t="s">
        <v>486</v>
      </c>
      <c r="AL94" s="240" t="s">
        <v>486</v>
      </c>
      <c r="AM94" s="240" t="s">
        <v>545</v>
      </c>
      <c r="AN94" s="240" t="s">
        <v>231</v>
      </c>
      <c r="AO94" s="240" t="s">
        <v>231</v>
      </c>
      <c r="AP94" s="240" t="s">
        <v>546</v>
      </c>
      <c r="AQ94" s="240" t="s">
        <v>231</v>
      </c>
      <c r="AR94" s="240" t="s">
        <v>231</v>
      </c>
      <c r="AS94" s="240" t="s">
        <v>231</v>
      </c>
      <c r="AT94" s="240" t="s">
        <v>231</v>
      </c>
      <c r="AU94" s="240" t="s">
        <v>231</v>
      </c>
      <c r="AV94" s="240" t="s">
        <v>231</v>
      </c>
      <c r="AW94" s="240" t="s">
        <v>231</v>
      </c>
      <c r="AX94" s="240" t="s">
        <v>231</v>
      </c>
      <c r="AY94" s="240" t="s">
        <v>231</v>
      </c>
      <c r="AZ94" s="240" t="s">
        <v>231</v>
      </c>
      <c r="BA94" s="240" t="s">
        <v>231</v>
      </c>
      <c r="BB94" s="240" t="s">
        <v>231</v>
      </c>
      <c r="BC94" s="240" t="s">
        <v>231</v>
      </c>
      <c r="BD94" s="240" t="s">
        <v>492</v>
      </c>
      <c r="BE94" s="240" t="s">
        <v>231</v>
      </c>
      <c r="BF94" s="240" t="s">
        <v>231</v>
      </c>
      <c r="BG94" s="240" t="s">
        <v>231</v>
      </c>
      <c r="BH94" s="240" t="s">
        <v>231</v>
      </c>
      <c r="BI94" s="240" t="s">
        <v>231</v>
      </c>
      <c r="BJ94" s="240" t="s">
        <v>231</v>
      </c>
      <c r="BK94" s="240" t="s">
        <v>231</v>
      </c>
      <c r="BL94" s="240" t="s">
        <v>492</v>
      </c>
      <c r="BM94" s="240" t="s">
        <v>492</v>
      </c>
      <c r="BN94" s="240" t="s">
        <v>231</v>
      </c>
      <c r="BO94" s="240" t="s">
        <v>231</v>
      </c>
      <c r="BP94" s="240" t="s">
        <v>231</v>
      </c>
      <c r="BQ94" s="240" t="s">
        <v>231</v>
      </c>
      <c r="BR94" s="240" t="s">
        <v>231</v>
      </c>
      <c r="BS94" s="240" t="s">
        <v>231</v>
      </c>
      <c r="BT94" s="240" t="s">
        <v>231</v>
      </c>
      <c r="BU94" s="240" t="s">
        <v>231</v>
      </c>
      <c r="BV94" s="240" t="s">
        <v>231</v>
      </c>
      <c r="BW94" s="240" t="s">
        <v>231</v>
      </c>
      <c r="BX94" s="240" t="s">
        <v>231</v>
      </c>
      <c r="BY94" s="240" t="s">
        <v>231</v>
      </c>
      <c r="BZ94" s="240" t="s">
        <v>231</v>
      </c>
      <c r="CA94" s="240" t="s">
        <v>231</v>
      </c>
      <c r="CB94" s="240" t="s">
        <v>231</v>
      </c>
      <c r="CC94" s="240" t="s">
        <v>231</v>
      </c>
      <c r="CD94" s="240" t="s">
        <v>231</v>
      </c>
      <c r="CE94" s="240" t="s">
        <v>231</v>
      </c>
      <c r="CF94" s="240" t="s">
        <v>231</v>
      </c>
      <c r="CG94" s="240" t="s">
        <v>231</v>
      </c>
      <c r="CH94" s="240" t="s">
        <v>231</v>
      </c>
      <c r="CI94" s="240" t="s">
        <v>231</v>
      </c>
      <c r="CJ94" s="240" t="s">
        <v>231</v>
      </c>
      <c r="CK94" s="240" t="s">
        <v>231</v>
      </c>
      <c r="CL94" s="240" t="s">
        <v>231</v>
      </c>
      <c r="CM94" s="240" t="s">
        <v>231</v>
      </c>
      <c r="CN94" s="240" t="s">
        <v>231</v>
      </c>
      <c r="CO94" s="240" t="s">
        <v>231</v>
      </c>
      <c r="CP94" s="240" t="s">
        <v>231</v>
      </c>
      <c r="CQ94" s="240" t="s">
        <v>232</v>
      </c>
      <c r="CR94" s="240" t="s">
        <v>231</v>
      </c>
      <c r="CS94" s="240" t="s">
        <v>231</v>
      </c>
      <c r="CT94" s="240" t="s">
        <v>231</v>
      </c>
      <c r="CU94" s="240" t="s">
        <v>492</v>
      </c>
      <c r="CV94" s="240" t="s">
        <v>492</v>
      </c>
      <c r="CW94" s="240" t="s">
        <v>231</v>
      </c>
      <c r="CX94" s="240" t="s">
        <v>231</v>
      </c>
      <c r="CY94" s="240" t="s">
        <v>231</v>
      </c>
      <c r="CZ94" s="240" t="s">
        <v>231</v>
      </c>
      <c r="DA94" s="240" t="s">
        <v>231</v>
      </c>
      <c r="DB94" s="240" t="s">
        <v>231</v>
      </c>
      <c r="DC94" s="240" t="s">
        <v>231</v>
      </c>
      <c r="DD94" s="240" t="s">
        <v>231</v>
      </c>
      <c r="DE94" s="240" t="s">
        <v>231</v>
      </c>
      <c r="DF94" s="240" t="s">
        <v>231</v>
      </c>
      <c r="DG94" s="240" t="s">
        <v>231</v>
      </c>
      <c r="DH94" s="240" t="s">
        <v>231</v>
      </c>
      <c r="DI94" s="240" t="s">
        <v>231</v>
      </c>
      <c r="DJ94" s="240" t="s">
        <v>231</v>
      </c>
      <c r="DK94" s="240" t="s">
        <v>231</v>
      </c>
      <c r="DL94" s="240" t="s">
        <v>231</v>
      </c>
      <c r="DM94" s="240" t="s">
        <v>231</v>
      </c>
      <c r="DN94" s="240" t="s">
        <v>231</v>
      </c>
      <c r="DO94" s="240" t="s">
        <v>231</v>
      </c>
      <c r="DP94" s="240" t="s">
        <v>231</v>
      </c>
      <c r="DQ94" s="240" t="s">
        <v>231</v>
      </c>
      <c r="DR94" s="240" t="s">
        <v>231</v>
      </c>
      <c r="DS94" s="240" t="s">
        <v>231</v>
      </c>
      <c r="DT94" s="240" t="s">
        <v>492</v>
      </c>
      <c r="DU94" s="240" t="s">
        <v>231</v>
      </c>
      <c r="DV94" s="240" t="s">
        <v>231</v>
      </c>
      <c r="DW94" s="240" t="s">
        <v>231</v>
      </c>
      <c r="DX94" s="240" t="s">
        <v>231</v>
      </c>
      <c r="DY94" s="240" t="s">
        <v>231</v>
      </c>
      <c r="DZ94" s="240" t="s">
        <v>231</v>
      </c>
      <c r="EA94" s="240" t="s">
        <v>231</v>
      </c>
      <c r="EB94" s="240" t="s">
        <v>231</v>
      </c>
      <c r="EC94" s="240" t="s">
        <v>231</v>
      </c>
      <c r="ED94" s="240" t="s">
        <v>231</v>
      </c>
      <c r="EE94" s="240" t="s">
        <v>231</v>
      </c>
      <c r="EF94" s="240" t="s">
        <v>231</v>
      </c>
      <c r="EG94" s="240" t="s">
        <v>231</v>
      </c>
      <c r="EH94" s="240" t="s">
        <v>231</v>
      </c>
      <c r="EI94" s="240" t="s">
        <v>231</v>
      </c>
      <c r="EJ94" s="240" t="s">
        <v>231</v>
      </c>
      <c r="EK94" s="240" t="s">
        <v>231</v>
      </c>
      <c r="EL94" s="240" t="s">
        <v>231</v>
      </c>
      <c r="EM94" s="240" t="s">
        <v>231</v>
      </c>
      <c r="EN94" s="240" t="s">
        <v>231</v>
      </c>
      <c r="EO94" s="240" t="s">
        <v>231</v>
      </c>
      <c r="EP94" s="240" t="s">
        <v>231</v>
      </c>
      <c r="EQ94" s="240" t="s">
        <v>231</v>
      </c>
      <c r="ER94" s="240" t="s">
        <v>231</v>
      </c>
      <c r="ES94" s="240" t="s">
        <v>231</v>
      </c>
      <c r="ET94" s="240" t="s">
        <v>231</v>
      </c>
      <c r="EU94" s="240" t="s">
        <v>231</v>
      </c>
      <c r="EV94" s="240" t="s">
        <v>231</v>
      </c>
      <c r="EW94" s="240" t="s">
        <v>231</v>
      </c>
      <c r="EX94" s="240" t="s">
        <v>231</v>
      </c>
      <c r="EY94" s="240" t="s">
        <v>231</v>
      </c>
      <c r="EZ94" s="240" t="s">
        <v>231</v>
      </c>
      <c r="FA94" s="240" t="s">
        <v>231</v>
      </c>
      <c r="FB94" s="240" t="s">
        <v>231</v>
      </c>
      <c r="FC94" s="240" t="s">
        <v>231</v>
      </c>
      <c r="FD94" s="240" t="s">
        <v>231</v>
      </c>
      <c r="FE94" s="240" t="s">
        <v>231</v>
      </c>
      <c r="FF94" s="240" t="s">
        <v>231</v>
      </c>
      <c r="FG94" s="240" t="s">
        <v>231</v>
      </c>
      <c r="FH94" s="240" t="s">
        <v>231</v>
      </c>
      <c r="FI94" s="240" t="s">
        <v>231</v>
      </c>
      <c r="FJ94" s="240" t="s">
        <v>231</v>
      </c>
      <c r="FK94" s="240" t="s">
        <v>231</v>
      </c>
      <c r="FL94" s="240" t="s">
        <v>231</v>
      </c>
      <c r="FM94" s="240" t="s">
        <v>231</v>
      </c>
      <c r="FN94" s="240" t="s">
        <v>231</v>
      </c>
      <c r="FO94" s="240" t="s">
        <v>231</v>
      </c>
      <c r="FP94" s="240" t="s">
        <v>231</v>
      </c>
      <c r="FQ94" s="240" t="s">
        <v>231</v>
      </c>
      <c r="FR94" s="240" t="s">
        <v>231</v>
      </c>
      <c r="FS94" s="240" t="s">
        <v>231</v>
      </c>
      <c r="FT94" s="240" t="s">
        <v>231</v>
      </c>
      <c r="FU94" s="240" t="s">
        <v>231</v>
      </c>
      <c r="FV94" s="240" t="s">
        <v>231</v>
      </c>
      <c r="FW94" s="240" t="s">
        <v>231</v>
      </c>
      <c r="FX94" s="240" t="s">
        <v>492</v>
      </c>
      <c r="FY94" s="240" t="s">
        <v>231</v>
      </c>
      <c r="FZ94" s="240" t="s">
        <v>231</v>
      </c>
      <c r="GA94" s="240" t="s">
        <v>231</v>
      </c>
      <c r="GB94" s="240" t="s">
        <v>231</v>
      </c>
      <c r="GC94" s="240" t="s">
        <v>231</v>
      </c>
      <c r="GD94" s="240" t="s">
        <v>231</v>
      </c>
      <c r="GE94" s="240" t="s">
        <v>231</v>
      </c>
      <c r="GF94" s="240" t="s">
        <v>231</v>
      </c>
      <c r="GG94" s="240" t="s">
        <v>231</v>
      </c>
      <c r="GH94" s="240" t="s">
        <v>231</v>
      </c>
      <c r="GI94" s="240" t="s">
        <v>231</v>
      </c>
      <c r="GJ94" s="240" t="s">
        <v>231</v>
      </c>
      <c r="GK94" s="240" t="s">
        <v>231</v>
      </c>
      <c r="GL94" s="240" t="s">
        <v>231</v>
      </c>
      <c r="GM94" s="240" t="s">
        <v>231</v>
      </c>
      <c r="GN94" s="240" t="s">
        <v>231</v>
      </c>
      <c r="GO94" s="240" t="s">
        <v>231</v>
      </c>
      <c r="GP94" s="240" t="s">
        <v>492</v>
      </c>
      <c r="GQ94" s="240" t="s">
        <v>231</v>
      </c>
      <c r="GR94" s="240" t="s">
        <v>231</v>
      </c>
      <c r="GS94" s="240" t="s">
        <v>231</v>
      </c>
      <c r="GT94" s="240" t="s">
        <v>231</v>
      </c>
      <c r="GU94" s="240" t="s">
        <v>231</v>
      </c>
      <c r="GV94" s="240" t="s">
        <v>231</v>
      </c>
      <c r="GW94" s="240" t="s">
        <v>231</v>
      </c>
      <c r="GX94" s="240" t="s">
        <v>231</v>
      </c>
      <c r="GY94" s="240" t="s">
        <v>231</v>
      </c>
      <c r="GZ94" s="240" t="s">
        <v>231</v>
      </c>
      <c r="HA94" s="240" t="s">
        <v>231</v>
      </c>
      <c r="HB94" s="240" t="s">
        <v>231</v>
      </c>
      <c r="HC94" s="240" t="s">
        <v>231</v>
      </c>
      <c r="HD94" s="240" t="s">
        <v>231</v>
      </c>
      <c r="HE94" s="240" t="s">
        <v>231</v>
      </c>
      <c r="HF94" s="240" t="s">
        <v>231</v>
      </c>
      <c r="HG94" s="240" t="s">
        <v>231</v>
      </c>
      <c r="HH94" s="240" t="s">
        <v>231</v>
      </c>
      <c r="HI94" s="240" t="s">
        <v>231</v>
      </c>
      <c r="HJ94" s="240" t="s">
        <v>231</v>
      </c>
      <c r="HK94" s="240" t="s">
        <v>231</v>
      </c>
      <c r="HL94" s="240" t="s">
        <v>231</v>
      </c>
      <c r="HM94" s="240" t="s">
        <v>231</v>
      </c>
      <c r="HN94" s="240" t="s">
        <v>231</v>
      </c>
      <c r="HO94" s="240" t="s">
        <v>231</v>
      </c>
      <c r="HP94" s="240" t="s">
        <v>231</v>
      </c>
      <c r="HQ94" s="240" t="s">
        <v>231</v>
      </c>
      <c r="HR94" s="240" t="s">
        <v>231</v>
      </c>
      <c r="HS94" s="240" t="s">
        <v>231</v>
      </c>
      <c r="HT94" s="240" t="s">
        <v>231</v>
      </c>
      <c r="HU94" s="240" t="s">
        <v>231</v>
      </c>
      <c r="HV94" s="240" t="s">
        <v>231</v>
      </c>
      <c r="HW94" s="240" t="s">
        <v>231</v>
      </c>
      <c r="HX94" s="240" t="s">
        <v>231</v>
      </c>
      <c r="HY94" s="240" t="s">
        <v>231</v>
      </c>
      <c r="HZ94" s="240" t="s">
        <v>231</v>
      </c>
      <c r="IA94" s="240" t="s">
        <v>231</v>
      </c>
      <c r="IB94" s="240" t="s">
        <v>231</v>
      </c>
      <c r="IC94" s="240" t="s">
        <v>231</v>
      </c>
      <c r="ID94" s="240" t="s">
        <v>231</v>
      </c>
      <c r="IE94" s="240" t="s">
        <v>231</v>
      </c>
      <c r="IF94" s="240" t="s">
        <v>231</v>
      </c>
      <c r="IG94" s="240" t="s">
        <v>231</v>
      </c>
      <c r="IH94" s="240" t="s">
        <v>231</v>
      </c>
      <c r="II94" s="240" t="s">
        <v>231</v>
      </c>
      <c r="IJ94" s="240" t="s">
        <v>231</v>
      </c>
      <c r="IK94" s="240" t="s">
        <v>231</v>
      </c>
      <c r="IL94" s="240" t="s">
        <v>231</v>
      </c>
      <c r="IM94" s="240" t="s">
        <v>231</v>
      </c>
      <c r="IN94" s="240" t="s">
        <v>231</v>
      </c>
      <c r="IO94" s="240" t="s">
        <v>220</v>
      </c>
      <c r="IP94" s="240" t="s">
        <v>493</v>
      </c>
      <c r="IQ94" s="240" t="s">
        <v>219</v>
      </c>
      <c r="IR94" s="240" t="s">
        <v>490</v>
      </c>
      <c r="IS94" s="240" t="s">
        <v>492</v>
      </c>
      <c r="IT94" s="240" t="s">
        <v>492</v>
      </c>
    </row>
    <row r="95" spans="1:254" ht="15" x14ac:dyDescent="0.25">
      <c r="A95" s="258" t="str">
        <f>HYPERLINK("http://www.ofsted.gov.uk/inspection-reports/find-inspection-report/provider/ELS/133392 ","Ofsted School Webpage")</f>
        <v>Ofsted School Webpage</v>
      </c>
      <c r="B95" s="237">
        <v>133392</v>
      </c>
      <c r="C95" s="237">
        <v>8786202</v>
      </c>
      <c r="D95" s="237" t="s">
        <v>746</v>
      </c>
      <c r="E95" s="237" t="s">
        <v>248</v>
      </c>
      <c r="F95" s="237" t="s">
        <v>501</v>
      </c>
      <c r="G95" s="237" t="s">
        <v>483</v>
      </c>
      <c r="H95" s="237" t="s">
        <v>483</v>
      </c>
      <c r="I95" s="237" t="s">
        <v>747</v>
      </c>
      <c r="J95" s="237" t="s">
        <v>748</v>
      </c>
      <c r="K95" s="237" t="s">
        <v>93</v>
      </c>
      <c r="L95" s="237" t="s">
        <v>93</v>
      </c>
      <c r="M95" s="237" t="s">
        <v>93</v>
      </c>
      <c r="N95" s="237" t="s">
        <v>90</v>
      </c>
      <c r="O95" s="237" t="s">
        <v>486</v>
      </c>
      <c r="P95" s="237" t="s">
        <v>487</v>
      </c>
      <c r="Q95" s="238">
        <v>10056310</v>
      </c>
      <c r="R95" s="239">
        <v>43417</v>
      </c>
      <c r="S95" s="239">
        <v>43419</v>
      </c>
      <c r="T95" s="239">
        <v>43447</v>
      </c>
      <c r="U95" s="237" t="s">
        <v>2930</v>
      </c>
      <c r="V95" s="237" t="s">
        <v>489</v>
      </c>
      <c r="W95" s="237">
        <v>2</v>
      </c>
      <c r="X95" s="237">
        <v>2</v>
      </c>
      <c r="Y95" s="237">
        <v>2</v>
      </c>
      <c r="Z95" s="237">
        <v>2</v>
      </c>
      <c r="AA95" s="237">
        <v>2</v>
      </c>
      <c r="AB95" s="237" t="s">
        <v>486</v>
      </c>
      <c r="AC95" s="237" t="s">
        <v>486</v>
      </c>
      <c r="AD95" s="237" t="s">
        <v>219</v>
      </c>
      <c r="AE95" s="237" t="s">
        <v>490</v>
      </c>
      <c r="AF95" s="237" t="s">
        <v>486</v>
      </c>
      <c r="AG95" s="237" t="s">
        <v>486</v>
      </c>
      <c r="AH95" s="237" t="s">
        <v>486</v>
      </c>
      <c r="AI95" s="237" t="s">
        <v>486</v>
      </c>
      <c r="AJ95" s="237" t="s">
        <v>486</v>
      </c>
      <c r="AK95" s="237" t="s">
        <v>486</v>
      </c>
      <c r="AL95" s="237" t="s">
        <v>486</v>
      </c>
      <c r="AM95" s="237" t="s">
        <v>491</v>
      </c>
      <c r="AN95" s="237" t="s">
        <v>231</v>
      </c>
      <c r="AO95" s="237" t="s">
        <v>231</v>
      </c>
      <c r="AP95" s="237" t="s">
        <v>231</v>
      </c>
      <c r="AQ95" s="237" t="s">
        <v>231</v>
      </c>
      <c r="AR95" s="237" t="s">
        <v>231</v>
      </c>
      <c r="AS95" s="237" t="s">
        <v>231</v>
      </c>
      <c r="AT95" s="237" t="s">
        <v>231</v>
      </c>
      <c r="AU95" s="237" t="s">
        <v>231</v>
      </c>
      <c r="AV95" s="237" t="s">
        <v>231</v>
      </c>
      <c r="AW95" s="237" t="s">
        <v>231</v>
      </c>
      <c r="AX95" s="237" t="s">
        <v>231</v>
      </c>
      <c r="AY95" s="237" t="s">
        <v>231</v>
      </c>
      <c r="AZ95" s="237" t="s">
        <v>231</v>
      </c>
      <c r="BA95" s="237" t="s">
        <v>231</v>
      </c>
      <c r="BB95" s="237" t="s">
        <v>231</v>
      </c>
      <c r="BC95" s="237" t="s">
        <v>231</v>
      </c>
      <c r="BD95" s="237" t="s">
        <v>492</v>
      </c>
      <c r="BE95" s="237" t="s">
        <v>231</v>
      </c>
      <c r="BF95" s="237" t="s">
        <v>231</v>
      </c>
      <c r="BG95" s="237" t="s">
        <v>231</v>
      </c>
      <c r="BH95" s="237" t="s">
        <v>231</v>
      </c>
      <c r="BI95" s="237" t="s">
        <v>231</v>
      </c>
      <c r="BJ95" s="237" t="s">
        <v>231</v>
      </c>
      <c r="BK95" s="237" t="s">
        <v>231</v>
      </c>
      <c r="BL95" s="237" t="s">
        <v>492</v>
      </c>
      <c r="BM95" s="237" t="s">
        <v>492</v>
      </c>
      <c r="BN95" s="237" t="s">
        <v>231</v>
      </c>
      <c r="BO95" s="237" t="s">
        <v>231</v>
      </c>
      <c r="BP95" s="237" t="s">
        <v>231</v>
      </c>
      <c r="BQ95" s="237" t="s">
        <v>231</v>
      </c>
      <c r="BR95" s="237" t="s">
        <v>231</v>
      </c>
      <c r="BS95" s="237" t="s">
        <v>231</v>
      </c>
      <c r="BT95" s="237" t="s">
        <v>231</v>
      </c>
      <c r="BU95" s="237" t="s">
        <v>231</v>
      </c>
      <c r="BV95" s="237" t="s">
        <v>231</v>
      </c>
      <c r="BW95" s="237" t="s">
        <v>231</v>
      </c>
      <c r="BX95" s="237" t="s">
        <v>231</v>
      </c>
      <c r="BY95" s="237" t="s">
        <v>231</v>
      </c>
      <c r="BZ95" s="237" t="s">
        <v>231</v>
      </c>
      <c r="CA95" s="237" t="s">
        <v>231</v>
      </c>
      <c r="CB95" s="237" t="s">
        <v>231</v>
      </c>
      <c r="CC95" s="237" t="s">
        <v>231</v>
      </c>
      <c r="CD95" s="237" t="s">
        <v>231</v>
      </c>
      <c r="CE95" s="237" t="s">
        <v>231</v>
      </c>
      <c r="CF95" s="237" t="s">
        <v>231</v>
      </c>
      <c r="CG95" s="237" t="s">
        <v>231</v>
      </c>
      <c r="CH95" s="237" t="s">
        <v>231</v>
      </c>
      <c r="CI95" s="237" t="s">
        <v>231</v>
      </c>
      <c r="CJ95" s="237" t="s">
        <v>231</v>
      </c>
      <c r="CK95" s="237" t="s">
        <v>231</v>
      </c>
      <c r="CL95" s="237" t="s">
        <v>231</v>
      </c>
      <c r="CM95" s="237" t="s">
        <v>231</v>
      </c>
      <c r="CN95" s="237" t="s">
        <v>231</v>
      </c>
      <c r="CO95" s="237" t="s">
        <v>231</v>
      </c>
      <c r="CP95" s="237" t="s">
        <v>231</v>
      </c>
      <c r="CQ95" s="237" t="s">
        <v>231</v>
      </c>
      <c r="CR95" s="237" t="s">
        <v>231</v>
      </c>
      <c r="CS95" s="237" t="s">
        <v>231</v>
      </c>
      <c r="CT95" s="237" t="s">
        <v>492</v>
      </c>
      <c r="CU95" s="237" t="s">
        <v>492</v>
      </c>
      <c r="CV95" s="237" t="s">
        <v>492</v>
      </c>
      <c r="CW95" s="237" t="s">
        <v>231</v>
      </c>
      <c r="CX95" s="237" t="s">
        <v>231</v>
      </c>
      <c r="CY95" s="237" t="s">
        <v>231</v>
      </c>
      <c r="CZ95" s="237" t="s">
        <v>231</v>
      </c>
      <c r="DA95" s="237" t="s">
        <v>231</v>
      </c>
      <c r="DB95" s="237" t="s">
        <v>231</v>
      </c>
      <c r="DC95" s="237" t="s">
        <v>231</v>
      </c>
      <c r="DD95" s="237" t="s">
        <v>231</v>
      </c>
      <c r="DE95" s="237" t="s">
        <v>231</v>
      </c>
      <c r="DF95" s="237" t="s">
        <v>231</v>
      </c>
      <c r="DG95" s="237" t="s">
        <v>231</v>
      </c>
      <c r="DH95" s="237" t="s">
        <v>231</v>
      </c>
      <c r="DI95" s="237" t="s">
        <v>231</v>
      </c>
      <c r="DJ95" s="237" t="s">
        <v>231</v>
      </c>
      <c r="DK95" s="237" t="s">
        <v>231</v>
      </c>
      <c r="DL95" s="237" t="s">
        <v>231</v>
      </c>
      <c r="DM95" s="237" t="s">
        <v>231</v>
      </c>
      <c r="DN95" s="237" t="s">
        <v>231</v>
      </c>
      <c r="DO95" s="237" t="s">
        <v>231</v>
      </c>
      <c r="DP95" s="237" t="s">
        <v>231</v>
      </c>
      <c r="DQ95" s="237" t="s">
        <v>231</v>
      </c>
      <c r="DR95" s="237" t="s">
        <v>231</v>
      </c>
      <c r="DS95" s="237" t="s">
        <v>231</v>
      </c>
      <c r="DT95" s="237" t="s">
        <v>492</v>
      </c>
      <c r="DU95" s="237" t="s">
        <v>231</v>
      </c>
      <c r="DV95" s="237" t="s">
        <v>492</v>
      </c>
      <c r="DW95" s="237" t="s">
        <v>492</v>
      </c>
      <c r="DX95" s="237" t="s">
        <v>492</v>
      </c>
      <c r="DY95" s="237" t="s">
        <v>492</v>
      </c>
      <c r="DZ95" s="237" t="s">
        <v>492</v>
      </c>
      <c r="EA95" s="237" t="s">
        <v>492</v>
      </c>
      <c r="EB95" s="237" t="s">
        <v>492</v>
      </c>
      <c r="EC95" s="237" t="s">
        <v>492</v>
      </c>
      <c r="ED95" s="237" t="s">
        <v>492</v>
      </c>
      <c r="EE95" s="237" t="s">
        <v>492</v>
      </c>
      <c r="EF95" s="237" t="s">
        <v>492</v>
      </c>
      <c r="EG95" s="237" t="s">
        <v>492</v>
      </c>
      <c r="EH95" s="237" t="s">
        <v>492</v>
      </c>
      <c r="EI95" s="237" t="s">
        <v>492</v>
      </c>
      <c r="EJ95" s="237" t="s">
        <v>231</v>
      </c>
      <c r="EK95" s="237" t="s">
        <v>231</v>
      </c>
      <c r="EL95" s="237" t="s">
        <v>231</v>
      </c>
      <c r="EM95" s="237" t="s">
        <v>231</v>
      </c>
      <c r="EN95" s="237" t="s">
        <v>231</v>
      </c>
      <c r="EO95" s="237" t="s">
        <v>231</v>
      </c>
      <c r="EP95" s="237" t="s">
        <v>231</v>
      </c>
      <c r="EQ95" s="237" t="s">
        <v>231</v>
      </c>
      <c r="ER95" s="237" t="s">
        <v>231</v>
      </c>
      <c r="ES95" s="237" t="s">
        <v>231</v>
      </c>
      <c r="ET95" s="237" t="s">
        <v>231</v>
      </c>
      <c r="EU95" s="237" t="s">
        <v>231</v>
      </c>
      <c r="EV95" s="237" t="s">
        <v>231</v>
      </c>
      <c r="EW95" s="237" t="s">
        <v>231</v>
      </c>
      <c r="EX95" s="237" t="s">
        <v>231</v>
      </c>
      <c r="EY95" s="237" t="s">
        <v>231</v>
      </c>
      <c r="EZ95" s="237" t="s">
        <v>231</v>
      </c>
      <c r="FA95" s="237" t="s">
        <v>231</v>
      </c>
      <c r="FB95" s="237" t="s">
        <v>231</v>
      </c>
      <c r="FC95" s="237" t="s">
        <v>231</v>
      </c>
      <c r="FD95" s="237" t="s">
        <v>231</v>
      </c>
      <c r="FE95" s="237" t="s">
        <v>231</v>
      </c>
      <c r="FF95" s="237" t="s">
        <v>231</v>
      </c>
      <c r="FG95" s="237" t="s">
        <v>492</v>
      </c>
      <c r="FH95" s="237" t="s">
        <v>492</v>
      </c>
      <c r="FI95" s="237" t="s">
        <v>492</v>
      </c>
      <c r="FJ95" s="237" t="s">
        <v>492</v>
      </c>
      <c r="FK95" s="237" t="s">
        <v>492</v>
      </c>
      <c r="FL95" s="237" t="s">
        <v>492</v>
      </c>
      <c r="FM95" s="237" t="s">
        <v>231</v>
      </c>
      <c r="FN95" s="237" t="s">
        <v>231</v>
      </c>
      <c r="FO95" s="237" t="s">
        <v>231</v>
      </c>
      <c r="FP95" s="237" t="s">
        <v>231</v>
      </c>
      <c r="FQ95" s="237" t="s">
        <v>231</v>
      </c>
      <c r="FR95" s="237" t="s">
        <v>231</v>
      </c>
      <c r="FS95" s="237" t="s">
        <v>231</v>
      </c>
      <c r="FT95" s="237" t="s">
        <v>231</v>
      </c>
      <c r="FU95" s="237" t="s">
        <v>231</v>
      </c>
      <c r="FV95" s="237" t="s">
        <v>231</v>
      </c>
      <c r="FW95" s="237" t="s">
        <v>231</v>
      </c>
      <c r="FX95" s="237" t="s">
        <v>492</v>
      </c>
      <c r="FY95" s="237" t="s">
        <v>231</v>
      </c>
      <c r="FZ95" s="237" t="s">
        <v>231</v>
      </c>
      <c r="GA95" s="237" t="s">
        <v>231</v>
      </c>
      <c r="GB95" s="237" t="s">
        <v>231</v>
      </c>
      <c r="GC95" s="237" t="s">
        <v>231</v>
      </c>
      <c r="GD95" s="237" t="s">
        <v>231</v>
      </c>
      <c r="GE95" s="237" t="s">
        <v>231</v>
      </c>
      <c r="GF95" s="237" t="s">
        <v>231</v>
      </c>
      <c r="GG95" s="237" t="s">
        <v>231</v>
      </c>
      <c r="GH95" s="237" t="s">
        <v>231</v>
      </c>
      <c r="GI95" s="237" t="s">
        <v>231</v>
      </c>
      <c r="GJ95" s="237" t="s">
        <v>231</v>
      </c>
      <c r="GK95" s="237" t="s">
        <v>231</v>
      </c>
      <c r="GL95" s="237" t="s">
        <v>231</v>
      </c>
      <c r="GM95" s="237" t="s">
        <v>231</v>
      </c>
      <c r="GN95" s="237" t="s">
        <v>231</v>
      </c>
      <c r="GO95" s="237" t="s">
        <v>231</v>
      </c>
      <c r="GP95" s="237" t="s">
        <v>492</v>
      </c>
      <c r="GQ95" s="237" t="s">
        <v>231</v>
      </c>
      <c r="GR95" s="237" t="s">
        <v>231</v>
      </c>
      <c r="GS95" s="237" t="s">
        <v>231</v>
      </c>
      <c r="GT95" s="237" t="s">
        <v>231</v>
      </c>
      <c r="GU95" s="237" t="s">
        <v>231</v>
      </c>
      <c r="GV95" s="237" t="s">
        <v>492</v>
      </c>
      <c r="GW95" s="237" t="s">
        <v>231</v>
      </c>
      <c r="GX95" s="237" t="s">
        <v>231</v>
      </c>
      <c r="GY95" s="237" t="s">
        <v>231</v>
      </c>
      <c r="GZ95" s="237" t="s">
        <v>231</v>
      </c>
      <c r="HA95" s="237" t="s">
        <v>231</v>
      </c>
      <c r="HB95" s="237" t="s">
        <v>231</v>
      </c>
      <c r="HC95" s="237" t="s">
        <v>231</v>
      </c>
      <c r="HD95" s="237" t="s">
        <v>231</v>
      </c>
      <c r="HE95" s="237" t="s">
        <v>492</v>
      </c>
      <c r="HF95" s="237" t="s">
        <v>231</v>
      </c>
      <c r="HG95" s="237" t="s">
        <v>492</v>
      </c>
      <c r="HH95" s="237" t="s">
        <v>231</v>
      </c>
      <c r="HI95" s="237" t="s">
        <v>231</v>
      </c>
      <c r="HJ95" s="237" t="s">
        <v>231</v>
      </c>
      <c r="HK95" s="237" t="s">
        <v>231</v>
      </c>
      <c r="HL95" s="237" t="s">
        <v>231</v>
      </c>
      <c r="HM95" s="237" t="s">
        <v>231</v>
      </c>
      <c r="HN95" s="237" t="s">
        <v>232</v>
      </c>
      <c r="HO95" s="237" t="s">
        <v>231</v>
      </c>
      <c r="HP95" s="237" t="s">
        <v>231</v>
      </c>
      <c r="HQ95" s="237" t="s">
        <v>231</v>
      </c>
      <c r="HR95" s="237" t="s">
        <v>492</v>
      </c>
      <c r="HS95" s="237" t="s">
        <v>492</v>
      </c>
      <c r="HT95" s="237" t="s">
        <v>492</v>
      </c>
      <c r="HU95" s="237" t="s">
        <v>231</v>
      </c>
      <c r="HV95" s="237" t="s">
        <v>231</v>
      </c>
      <c r="HW95" s="237" t="s">
        <v>231</v>
      </c>
      <c r="HX95" s="237" t="s">
        <v>231</v>
      </c>
      <c r="HY95" s="237" t="s">
        <v>231</v>
      </c>
      <c r="HZ95" s="237" t="s">
        <v>231</v>
      </c>
      <c r="IA95" s="237" t="s">
        <v>231</v>
      </c>
      <c r="IB95" s="237" t="s">
        <v>231</v>
      </c>
      <c r="IC95" s="237" t="s">
        <v>231</v>
      </c>
      <c r="ID95" s="237" t="s">
        <v>231</v>
      </c>
      <c r="IE95" s="237" t="s">
        <v>231</v>
      </c>
      <c r="IF95" s="237" t="s">
        <v>231</v>
      </c>
      <c r="IG95" s="237" t="s">
        <v>231</v>
      </c>
      <c r="IH95" s="237" t="s">
        <v>231</v>
      </c>
      <c r="II95" s="237" t="s">
        <v>231</v>
      </c>
      <c r="IJ95" s="237" t="s">
        <v>231</v>
      </c>
      <c r="IK95" s="237" t="s">
        <v>231</v>
      </c>
      <c r="IL95" s="237" t="s">
        <v>231</v>
      </c>
      <c r="IM95" s="237" t="s">
        <v>231</v>
      </c>
      <c r="IN95" s="237" t="s">
        <v>231</v>
      </c>
      <c r="IO95" s="237" t="s">
        <v>220</v>
      </c>
      <c r="IP95" s="237" t="s">
        <v>493</v>
      </c>
      <c r="IQ95" s="237" t="s">
        <v>219</v>
      </c>
      <c r="IR95" s="237" t="s">
        <v>490</v>
      </c>
      <c r="IS95" s="237" t="s">
        <v>492</v>
      </c>
      <c r="IT95" s="237" t="s">
        <v>492</v>
      </c>
    </row>
    <row r="96" spans="1:254" ht="15" x14ac:dyDescent="0.25">
      <c r="A96" s="259" t="str">
        <f>HYPERLINK("http://www.ofsted.gov.uk/inspection-reports/find-inspection-report/provider/ELS/108877 ","Ofsted School Webpage")</f>
        <v>Ofsted School Webpage</v>
      </c>
      <c r="B96" s="240">
        <v>108877</v>
      </c>
      <c r="C96" s="240">
        <v>3946015</v>
      </c>
      <c r="D96" s="240" t="s">
        <v>749</v>
      </c>
      <c r="E96" s="240" t="s">
        <v>248</v>
      </c>
      <c r="F96" s="240" t="s">
        <v>501</v>
      </c>
      <c r="G96" s="240" t="s">
        <v>523</v>
      </c>
      <c r="H96" s="240" t="s">
        <v>539</v>
      </c>
      <c r="I96" s="240" t="s">
        <v>750</v>
      </c>
      <c r="J96" s="240" t="s">
        <v>751</v>
      </c>
      <c r="K96" s="240" t="s">
        <v>93</v>
      </c>
      <c r="L96" s="240" t="s">
        <v>93</v>
      </c>
      <c r="M96" s="240" t="s">
        <v>93</v>
      </c>
      <c r="N96" s="240" t="s">
        <v>90</v>
      </c>
      <c r="O96" s="240" t="s">
        <v>486</v>
      </c>
      <c r="P96" s="240" t="s">
        <v>487</v>
      </c>
      <c r="Q96" s="241">
        <v>10053828</v>
      </c>
      <c r="R96" s="242">
        <v>43417</v>
      </c>
      <c r="S96" s="242">
        <v>43419</v>
      </c>
      <c r="T96" s="242">
        <v>43443</v>
      </c>
      <c r="U96" s="240" t="s">
        <v>488</v>
      </c>
      <c r="V96" s="240" t="s">
        <v>489</v>
      </c>
      <c r="W96" s="240">
        <v>2</v>
      </c>
      <c r="X96" s="240">
        <v>2</v>
      </c>
      <c r="Y96" s="240">
        <v>2</v>
      </c>
      <c r="Z96" s="240">
        <v>2</v>
      </c>
      <c r="AA96" s="240">
        <v>2</v>
      </c>
      <c r="AB96" s="240" t="s">
        <v>486</v>
      </c>
      <c r="AC96" s="240">
        <v>2</v>
      </c>
      <c r="AD96" s="240" t="s">
        <v>219</v>
      </c>
      <c r="AE96" s="240" t="s">
        <v>490</v>
      </c>
      <c r="AF96" s="240" t="s">
        <v>486</v>
      </c>
      <c r="AG96" s="240" t="s">
        <v>486</v>
      </c>
      <c r="AH96" s="240" t="s">
        <v>486</v>
      </c>
      <c r="AI96" s="240" t="s">
        <v>486</v>
      </c>
      <c r="AJ96" s="240" t="s">
        <v>486</v>
      </c>
      <c r="AK96" s="240" t="s">
        <v>486</v>
      </c>
      <c r="AL96" s="240" t="s">
        <v>486</v>
      </c>
      <c r="AM96" s="240" t="s">
        <v>491</v>
      </c>
      <c r="AN96" s="240" t="s">
        <v>231</v>
      </c>
      <c r="AO96" s="240" t="s">
        <v>231</v>
      </c>
      <c r="AP96" s="240" t="s">
        <v>231</v>
      </c>
      <c r="AQ96" s="240" t="s">
        <v>231</v>
      </c>
      <c r="AR96" s="240" t="s">
        <v>231</v>
      </c>
      <c r="AS96" s="240" t="s">
        <v>231</v>
      </c>
      <c r="AT96" s="240" t="s">
        <v>231</v>
      </c>
      <c r="AU96" s="240" t="s">
        <v>231</v>
      </c>
      <c r="AV96" s="240" t="s">
        <v>231</v>
      </c>
      <c r="AW96" s="240" t="s">
        <v>231</v>
      </c>
      <c r="AX96" s="240" t="s">
        <v>231</v>
      </c>
      <c r="AY96" s="240" t="s">
        <v>231</v>
      </c>
      <c r="AZ96" s="240" t="s">
        <v>231</v>
      </c>
      <c r="BA96" s="240" t="s">
        <v>231</v>
      </c>
      <c r="BB96" s="240" t="s">
        <v>231</v>
      </c>
      <c r="BC96" s="240" t="s">
        <v>231</v>
      </c>
      <c r="BD96" s="240" t="s">
        <v>492</v>
      </c>
      <c r="BE96" s="240" t="s">
        <v>231</v>
      </c>
      <c r="BF96" s="240" t="s">
        <v>231</v>
      </c>
      <c r="BG96" s="240" t="s">
        <v>231</v>
      </c>
      <c r="BH96" s="240" t="s">
        <v>231</v>
      </c>
      <c r="BI96" s="240" t="s">
        <v>231</v>
      </c>
      <c r="BJ96" s="240" t="s">
        <v>231</v>
      </c>
      <c r="BK96" s="240" t="s">
        <v>231</v>
      </c>
      <c r="BL96" s="240" t="s">
        <v>231</v>
      </c>
      <c r="BM96" s="240" t="s">
        <v>231</v>
      </c>
      <c r="BN96" s="240" t="s">
        <v>231</v>
      </c>
      <c r="BO96" s="240" t="s">
        <v>231</v>
      </c>
      <c r="BP96" s="240" t="s">
        <v>231</v>
      </c>
      <c r="BQ96" s="240" t="s">
        <v>231</v>
      </c>
      <c r="BR96" s="240" t="s">
        <v>231</v>
      </c>
      <c r="BS96" s="240" t="s">
        <v>231</v>
      </c>
      <c r="BT96" s="240" t="s">
        <v>231</v>
      </c>
      <c r="BU96" s="240" t="s">
        <v>231</v>
      </c>
      <c r="BV96" s="240" t="s">
        <v>231</v>
      </c>
      <c r="BW96" s="240" t="s">
        <v>231</v>
      </c>
      <c r="BX96" s="240" t="s">
        <v>231</v>
      </c>
      <c r="BY96" s="240" t="s">
        <v>231</v>
      </c>
      <c r="BZ96" s="240" t="s">
        <v>231</v>
      </c>
      <c r="CA96" s="240" t="s">
        <v>231</v>
      </c>
      <c r="CB96" s="240" t="s">
        <v>231</v>
      </c>
      <c r="CC96" s="240" t="s">
        <v>231</v>
      </c>
      <c r="CD96" s="240" t="s">
        <v>231</v>
      </c>
      <c r="CE96" s="240" t="s">
        <v>231</v>
      </c>
      <c r="CF96" s="240" t="s">
        <v>231</v>
      </c>
      <c r="CG96" s="240" t="s">
        <v>231</v>
      </c>
      <c r="CH96" s="240" t="s">
        <v>231</v>
      </c>
      <c r="CI96" s="240" t="s">
        <v>231</v>
      </c>
      <c r="CJ96" s="240" t="s">
        <v>231</v>
      </c>
      <c r="CK96" s="240" t="s">
        <v>231</v>
      </c>
      <c r="CL96" s="240" t="s">
        <v>231</v>
      </c>
      <c r="CM96" s="240" t="s">
        <v>231</v>
      </c>
      <c r="CN96" s="240" t="s">
        <v>231</v>
      </c>
      <c r="CO96" s="240" t="s">
        <v>231</v>
      </c>
      <c r="CP96" s="240" t="s">
        <v>231</v>
      </c>
      <c r="CQ96" s="240" t="s">
        <v>231</v>
      </c>
      <c r="CR96" s="240" t="s">
        <v>231</v>
      </c>
      <c r="CS96" s="240" t="s">
        <v>231</v>
      </c>
      <c r="CT96" s="240" t="s">
        <v>492</v>
      </c>
      <c r="CU96" s="240" t="s">
        <v>492</v>
      </c>
      <c r="CV96" s="240" t="s">
        <v>492</v>
      </c>
      <c r="CW96" s="240" t="s">
        <v>231</v>
      </c>
      <c r="CX96" s="240" t="s">
        <v>231</v>
      </c>
      <c r="CY96" s="240" t="s">
        <v>231</v>
      </c>
      <c r="CZ96" s="240" t="s">
        <v>231</v>
      </c>
      <c r="DA96" s="240" t="s">
        <v>231</v>
      </c>
      <c r="DB96" s="240" t="s">
        <v>231</v>
      </c>
      <c r="DC96" s="240" t="s">
        <v>231</v>
      </c>
      <c r="DD96" s="240" t="s">
        <v>231</v>
      </c>
      <c r="DE96" s="240" t="s">
        <v>231</v>
      </c>
      <c r="DF96" s="240" t="s">
        <v>231</v>
      </c>
      <c r="DG96" s="240" t="s">
        <v>231</v>
      </c>
      <c r="DH96" s="240" t="s">
        <v>231</v>
      </c>
      <c r="DI96" s="240" t="s">
        <v>231</v>
      </c>
      <c r="DJ96" s="240" t="s">
        <v>231</v>
      </c>
      <c r="DK96" s="240" t="s">
        <v>231</v>
      </c>
      <c r="DL96" s="240" t="s">
        <v>231</v>
      </c>
      <c r="DM96" s="240" t="s">
        <v>231</v>
      </c>
      <c r="DN96" s="240" t="s">
        <v>231</v>
      </c>
      <c r="DO96" s="240" t="s">
        <v>231</v>
      </c>
      <c r="DP96" s="240" t="s">
        <v>231</v>
      </c>
      <c r="DQ96" s="240" t="s">
        <v>231</v>
      </c>
      <c r="DR96" s="240" t="s">
        <v>231</v>
      </c>
      <c r="DS96" s="240" t="s">
        <v>231</v>
      </c>
      <c r="DT96" s="240" t="s">
        <v>492</v>
      </c>
      <c r="DU96" s="240" t="s">
        <v>231</v>
      </c>
      <c r="DV96" s="240" t="s">
        <v>231</v>
      </c>
      <c r="DW96" s="240" t="s">
        <v>231</v>
      </c>
      <c r="DX96" s="240" t="s">
        <v>231</v>
      </c>
      <c r="DY96" s="240" t="s">
        <v>231</v>
      </c>
      <c r="DZ96" s="240" t="s">
        <v>231</v>
      </c>
      <c r="EA96" s="240" t="s">
        <v>231</v>
      </c>
      <c r="EB96" s="240" t="s">
        <v>231</v>
      </c>
      <c r="EC96" s="240" t="s">
        <v>231</v>
      </c>
      <c r="ED96" s="240" t="s">
        <v>231</v>
      </c>
      <c r="EE96" s="240" t="s">
        <v>231</v>
      </c>
      <c r="EF96" s="240" t="s">
        <v>231</v>
      </c>
      <c r="EG96" s="240" t="s">
        <v>231</v>
      </c>
      <c r="EH96" s="240" t="s">
        <v>492</v>
      </c>
      <c r="EI96" s="240" t="s">
        <v>231</v>
      </c>
      <c r="EJ96" s="240" t="s">
        <v>231</v>
      </c>
      <c r="EK96" s="240" t="s">
        <v>231</v>
      </c>
      <c r="EL96" s="240" t="s">
        <v>231</v>
      </c>
      <c r="EM96" s="240" t="s">
        <v>231</v>
      </c>
      <c r="EN96" s="240" t="s">
        <v>231</v>
      </c>
      <c r="EO96" s="240" t="s">
        <v>231</v>
      </c>
      <c r="EP96" s="240" t="s">
        <v>231</v>
      </c>
      <c r="EQ96" s="240" t="s">
        <v>231</v>
      </c>
      <c r="ER96" s="240" t="s">
        <v>231</v>
      </c>
      <c r="ES96" s="240" t="s">
        <v>231</v>
      </c>
      <c r="ET96" s="240" t="s">
        <v>231</v>
      </c>
      <c r="EU96" s="240" t="s">
        <v>231</v>
      </c>
      <c r="EV96" s="240" t="s">
        <v>231</v>
      </c>
      <c r="EW96" s="240" t="s">
        <v>231</v>
      </c>
      <c r="EX96" s="240" t="s">
        <v>231</v>
      </c>
      <c r="EY96" s="240" t="s">
        <v>231</v>
      </c>
      <c r="EZ96" s="240" t="s">
        <v>231</v>
      </c>
      <c r="FA96" s="240" t="s">
        <v>231</v>
      </c>
      <c r="FB96" s="240" t="s">
        <v>231</v>
      </c>
      <c r="FC96" s="240" t="s">
        <v>231</v>
      </c>
      <c r="FD96" s="240" t="s">
        <v>231</v>
      </c>
      <c r="FE96" s="240" t="s">
        <v>231</v>
      </c>
      <c r="FF96" s="240" t="s">
        <v>231</v>
      </c>
      <c r="FG96" s="240" t="s">
        <v>231</v>
      </c>
      <c r="FH96" s="240" t="s">
        <v>231</v>
      </c>
      <c r="FI96" s="240" t="s">
        <v>231</v>
      </c>
      <c r="FJ96" s="240" t="s">
        <v>231</v>
      </c>
      <c r="FK96" s="240" t="s">
        <v>231</v>
      </c>
      <c r="FL96" s="240" t="s">
        <v>231</v>
      </c>
      <c r="FM96" s="240" t="s">
        <v>231</v>
      </c>
      <c r="FN96" s="240" t="s">
        <v>231</v>
      </c>
      <c r="FO96" s="240" t="s">
        <v>231</v>
      </c>
      <c r="FP96" s="240" t="s">
        <v>231</v>
      </c>
      <c r="FQ96" s="240" t="s">
        <v>231</v>
      </c>
      <c r="FR96" s="240" t="s">
        <v>231</v>
      </c>
      <c r="FS96" s="240" t="s">
        <v>231</v>
      </c>
      <c r="FT96" s="240" t="s">
        <v>231</v>
      </c>
      <c r="FU96" s="240" t="s">
        <v>231</v>
      </c>
      <c r="FV96" s="240" t="s">
        <v>231</v>
      </c>
      <c r="FW96" s="240" t="s">
        <v>231</v>
      </c>
      <c r="FX96" s="240" t="s">
        <v>492</v>
      </c>
      <c r="FY96" s="240" t="s">
        <v>231</v>
      </c>
      <c r="FZ96" s="240" t="s">
        <v>231</v>
      </c>
      <c r="GA96" s="240" t="s">
        <v>231</v>
      </c>
      <c r="GB96" s="240" t="s">
        <v>231</v>
      </c>
      <c r="GC96" s="240" t="s">
        <v>231</v>
      </c>
      <c r="GD96" s="240" t="s">
        <v>231</v>
      </c>
      <c r="GE96" s="240" t="s">
        <v>231</v>
      </c>
      <c r="GF96" s="240" t="s">
        <v>231</v>
      </c>
      <c r="GG96" s="240" t="s">
        <v>231</v>
      </c>
      <c r="GH96" s="240" t="s">
        <v>231</v>
      </c>
      <c r="GI96" s="240" t="s">
        <v>231</v>
      </c>
      <c r="GJ96" s="240" t="s">
        <v>231</v>
      </c>
      <c r="GK96" s="240" t="s">
        <v>231</v>
      </c>
      <c r="GL96" s="240" t="s">
        <v>231</v>
      </c>
      <c r="GM96" s="240" t="s">
        <v>231</v>
      </c>
      <c r="GN96" s="240" t="s">
        <v>231</v>
      </c>
      <c r="GO96" s="240" t="s">
        <v>231</v>
      </c>
      <c r="GP96" s="240" t="s">
        <v>492</v>
      </c>
      <c r="GQ96" s="240" t="s">
        <v>231</v>
      </c>
      <c r="GR96" s="240" t="s">
        <v>231</v>
      </c>
      <c r="GS96" s="240" t="s">
        <v>231</v>
      </c>
      <c r="GT96" s="240" t="s">
        <v>231</v>
      </c>
      <c r="GU96" s="240" t="s">
        <v>231</v>
      </c>
      <c r="GV96" s="240" t="s">
        <v>492</v>
      </c>
      <c r="GW96" s="240" t="s">
        <v>231</v>
      </c>
      <c r="GX96" s="240" t="s">
        <v>231</v>
      </c>
      <c r="GY96" s="240" t="s">
        <v>231</v>
      </c>
      <c r="GZ96" s="240" t="s">
        <v>231</v>
      </c>
      <c r="HA96" s="240" t="s">
        <v>231</v>
      </c>
      <c r="HB96" s="240" t="s">
        <v>231</v>
      </c>
      <c r="HC96" s="240" t="s">
        <v>231</v>
      </c>
      <c r="HD96" s="240" t="s">
        <v>231</v>
      </c>
      <c r="HE96" s="240" t="s">
        <v>492</v>
      </c>
      <c r="HF96" s="240" t="s">
        <v>231</v>
      </c>
      <c r="HG96" s="240" t="s">
        <v>231</v>
      </c>
      <c r="HH96" s="240" t="s">
        <v>231</v>
      </c>
      <c r="HI96" s="240" t="s">
        <v>231</v>
      </c>
      <c r="HJ96" s="240" t="s">
        <v>231</v>
      </c>
      <c r="HK96" s="240" t="s">
        <v>231</v>
      </c>
      <c r="HL96" s="240" t="s">
        <v>231</v>
      </c>
      <c r="HM96" s="240" t="s">
        <v>231</v>
      </c>
      <c r="HN96" s="240" t="s">
        <v>231</v>
      </c>
      <c r="HO96" s="240" t="s">
        <v>231</v>
      </c>
      <c r="HP96" s="240" t="s">
        <v>231</v>
      </c>
      <c r="HQ96" s="240" t="s">
        <v>492</v>
      </c>
      <c r="HR96" s="240" t="s">
        <v>492</v>
      </c>
      <c r="HS96" s="240" t="s">
        <v>492</v>
      </c>
      <c r="HT96" s="240" t="s">
        <v>492</v>
      </c>
      <c r="HU96" s="240" t="s">
        <v>231</v>
      </c>
      <c r="HV96" s="240" t="s">
        <v>231</v>
      </c>
      <c r="HW96" s="240" t="s">
        <v>231</v>
      </c>
      <c r="HX96" s="240" t="s">
        <v>231</v>
      </c>
      <c r="HY96" s="240" t="s">
        <v>231</v>
      </c>
      <c r="HZ96" s="240" t="s">
        <v>231</v>
      </c>
      <c r="IA96" s="240" t="s">
        <v>231</v>
      </c>
      <c r="IB96" s="240" t="s">
        <v>231</v>
      </c>
      <c r="IC96" s="240" t="s">
        <v>231</v>
      </c>
      <c r="ID96" s="240" t="s">
        <v>231</v>
      </c>
      <c r="IE96" s="240" t="s">
        <v>231</v>
      </c>
      <c r="IF96" s="240" t="s">
        <v>231</v>
      </c>
      <c r="IG96" s="240" t="s">
        <v>231</v>
      </c>
      <c r="IH96" s="240" t="s">
        <v>231</v>
      </c>
      <c r="II96" s="240" t="s">
        <v>231</v>
      </c>
      <c r="IJ96" s="240" t="s">
        <v>231</v>
      </c>
      <c r="IK96" s="240" t="s">
        <v>231</v>
      </c>
      <c r="IL96" s="240" t="s">
        <v>231</v>
      </c>
      <c r="IM96" s="240" t="s">
        <v>231</v>
      </c>
      <c r="IN96" s="240" t="s">
        <v>231</v>
      </c>
      <c r="IO96" s="240" t="s">
        <v>220</v>
      </c>
      <c r="IP96" s="240" t="s">
        <v>493</v>
      </c>
      <c r="IQ96" s="240" t="s">
        <v>219</v>
      </c>
      <c r="IR96" s="240" t="s">
        <v>490</v>
      </c>
      <c r="IS96" s="240" t="s">
        <v>231</v>
      </c>
      <c r="IT96" s="240" t="s">
        <v>231</v>
      </c>
    </row>
    <row r="97" spans="1:254" ht="15" x14ac:dyDescent="0.25">
      <c r="A97" s="258" t="str">
        <f>HYPERLINK("http://www.ofsted.gov.uk/inspection-reports/find-inspection-report/provider/ELS/145165 ","Ofsted School Webpage")</f>
        <v>Ofsted School Webpage</v>
      </c>
      <c r="B97" s="237">
        <v>145165</v>
      </c>
      <c r="C97" s="237">
        <v>2066003</v>
      </c>
      <c r="D97" s="237" t="s">
        <v>752</v>
      </c>
      <c r="E97" s="237" t="s">
        <v>247</v>
      </c>
      <c r="F97" s="237" t="s">
        <v>482</v>
      </c>
      <c r="G97" s="237" t="s">
        <v>506</v>
      </c>
      <c r="H97" s="237" t="s">
        <v>506</v>
      </c>
      <c r="I97" s="237" t="s">
        <v>753</v>
      </c>
      <c r="J97" s="237" t="s">
        <v>754</v>
      </c>
      <c r="K97" s="237" t="s">
        <v>93</v>
      </c>
      <c r="L97" s="237" t="s">
        <v>93</v>
      </c>
      <c r="M97" s="237" t="s">
        <v>93</v>
      </c>
      <c r="N97" s="237" t="s">
        <v>90</v>
      </c>
      <c r="O97" s="237" t="s">
        <v>486</v>
      </c>
      <c r="P97" s="237" t="s">
        <v>487</v>
      </c>
      <c r="Q97" s="238">
        <v>10054304</v>
      </c>
      <c r="R97" s="239">
        <v>43417</v>
      </c>
      <c r="S97" s="239">
        <v>43419</v>
      </c>
      <c r="T97" s="239">
        <v>43444</v>
      </c>
      <c r="U97" s="237" t="s">
        <v>499</v>
      </c>
      <c r="V97" s="237" t="s">
        <v>489</v>
      </c>
      <c r="W97" s="237">
        <v>2</v>
      </c>
      <c r="X97" s="237">
        <v>2</v>
      </c>
      <c r="Y97" s="237">
        <v>2</v>
      </c>
      <c r="Z97" s="237">
        <v>2</v>
      </c>
      <c r="AA97" s="237">
        <v>2</v>
      </c>
      <c r="AB97" s="237" t="s">
        <v>486</v>
      </c>
      <c r="AC97" s="237" t="s">
        <v>486</v>
      </c>
      <c r="AD97" s="237" t="s">
        <v>219</v>
      </c>
      <c r="AE97" s="237" t="s">
        <v>490</v>
      </c>
      <c r="AF97" s="237" t="s">
        <v>486</v>
      </c>
      <c r="AG97" s="237" t="s">
        <v>486</v>
      </c>
      <c r="AH97" s="237" t="s">
        <v>486</v>
      </c>
      <c r="AI97" s="237" t="s">
        <v>486</v>
      </c>
      <c r="AJ97" s="237" t="s">
        <v>486</v>
      </c>
      <c r="AK97" s="237" t="s">
        <v>486</v>
      </c>
      <c r="AL97" s="237" t="s">
        <v>486</v>
      </c>
      <c r="AM97" s="237" t="s">
        <v>491</v>
      </c>
      <c r="AN97" s="237" t="s">
        <v>231</v>
      </c>
      <c r="AO97" s="237" t="s">
        <v>231</v>
      </c>
      <c r="AP97" s="237" t="s">
        <v>231</v>
      </c>
      <c r="AQ97" s="237" t="s">
        <v>231</v>
      </c>
      <c r="AR97" s="237" t="s">
        <v>231</v>
      </c>
      <c r="AS97" s="237" t="s">
        <v>231</v>
      </c>
      <c r="AT97" s="237" t="s">
        <v>231</v>
      </c>
      <c r="AU97" s="237" t="s">
        <v>231</v>
      </c>
      <c r="AV97" s="237" t="s">
        <v>231</v>
      </c>
      <c r="AW97" s="237" t="s">
        <v>231</v>
      </c>
      <c r="AX97" s="237" t="s">
        <v>231</v>
      </c>
      <c r="AY97" s="237" t="s">
        <v>231</v>
      </c>
      <c r="AZ97" s="237" t="s">
        <v>231</v>
      </c>
      <c r="BA97" s="237" t="s">
        <v>231</v>
      </c>
      <c r="BB97" s="237" t="s">
        <v>231</v>
      </c>
      <c r="BC97" s="237" t="s">
        <v>231</v>
      </c>
      <c r="BD97" s="237" t="s">
        <v>492</v>
      </c>
      <c r="BE97" s="237" t="s">
        <v>231</v>
      </c>
      <c r="BF97" s="237" t="s">
        <v>231</v>
      </c>
      <c r="BG97" s="237" t="s">
        <v>231</v>
      </c>
      <c r="BH97" s="237" t="s">
        <v>231</v>
      </c>
      <c r="BI97" s="237" t="s">
        <v>231</v>
      </c>
      <c r="BJ97" s="237" t="s">
        <v>231</v>
      </c>
      <c r="BK97" s="237" t="s">
        <v>231</v>
      </c>
      <c r="BL97" s="237" t="s">
        <v>492</v>
      </c>
      <c r="BM97" s="237" t="s">
        <v>492</v>
      </c>
      <c r="BN97" s="237" t="s">
        <v>231</v>
      </c>
      <c r="BO97" s="237" t="s">
        <v>231</v>
      </c>
      <c r="BP97" s="237" t="s">
        <v>231</v>
      </c>
      <c r="BQ97" s="237" t="s">
        <v>231</v>
      </c>
      <c r="BR97" s="237" t="s">
        <v>231</v>
      </c>
      <c r="BS97" s="237" t="s">
        <v>231</v>
      </c>
      <c r="BT97" s="237" t="s">
        <v>231</v>
      </c>
      <c r="BU97" s="237" t="s">
        <v>231</v>
      </c>
      <c r="BV97" s="237" t="s">
        <v>231</v>
      </c>
      <c r="BW97" s="237" t="s">
        <v>231</v>
      </c>
      <c r="BX97" s="237" t="s">
        <v>231</v>
      </c>
      <c r="BY97" s="237" t="s">
        <v>231</v>
      </c>
      <c r="BZ97" s="237" t="s">
        <v>231</v>
      </c>
      <c r="CA97" s="237" t="s">
        <v>231</v>
      </c>
      <c r="CB97" s="237" t="s">
        <v>231</v>
      </c>
      <c r="CC97" s="237" t="s">
        <v>231</v>
      </c>
      <c r="CD97" s="237" t="s">
        <v>231</v>
      </c>
      <c r="CE97" s="237" t="s">
        <v>231</v>
      </c>
      <c r="CF97" s="237" t="s">
        <v>231</v>
      </c>
      <c r="CG97" s="237" t="s">
        <v>231</v>
      </c>
      <c r="CH97" s="237" t="s">
        <v>231</v>
      </c>
      <c r="CI97" s="237" t="s">
        <v>231</v>
      </c>
      <c r="CJ97" s="237" t="s">
        <v>231</v>
      </c>
      <c r="CK97" s="237" t="s">
        <v>231</v>
      </c>
      <c r="CL97" s="237" t="s">
        <v>231</v>
      </c>
      <c r="CM97" s="237" t="s">
        <v>231</v>
      </c>
      <c r="CN97" s="237" t="s">
        <v>231</v>
      </c>
      <c r="CO97" s="237" t="s">
        <v>231</v>
      </c>
      <c r="CP97" s="237" t="s">
        <v>231</v>
      </c>
      <c r="CQ97" s="237" t="s">
        <v>231</v>
      </c>
      <c r="CR97" s="237" t="s">
        <v>231</v>
      </c>
      <c r="CS97" s="237" t="s">
        <v>231</v>
      </c>
      <c r="CT97" s="237" t="s">
        <v>492</v>
      </c>
      <c r="CU97" s="237" t="s">
        <v>492</v>
      </c>
      <c r="CV97" s="237" t="s">
        <v>492</v>
      </c>
      <c r="CW97" s="237" t="s">
        <v>231</v>
      </c>
      <c r="CX97" s="237" t="s">
        <v>231</v>
      </c>
      <c r="CY97" s="237" t="s">
        <v>231</v>
      </c>
      <c r="CZ97" s="237" t="s">
        <v>231</v>
      </c>
      <c r="DA97" s="237" t="s">
        <v>231</v>
      </c>
      <c r="DB97" s="237" t="s">
        <v>231</v>
      </c>
      <c r="DC97" s="237" t="s">
        <v>231</v>
      </c>
      <c r="DD97" s="237" t="s">
        <v>231</v>
      </c>
      <c r="DE97" s="237" t="s">
        <v>231</v>
      </c>
      <c r="DF97" s="237" t="s">
        <v>231</v>
      </c>
      <c r="DG97" s="237" t="s">
        <v>231</v>
      </c>
      <c r="DH97" s="237" t="s">
        <v>231</v>
      </c>
      <c r="DI97" s="237" t="s">
        <v>231</v>
      </c>
      <c r="DJ97" s="237" t="s">
        <v>231</v>
      </c>
      <c r="DK97" s="237" t="s">
        <v>231</v>
      </c>
      <c r="DL97" s="237" t="s">
        <v>231</v>
      </c>
      <c r="DM97" s="237" t="s">
        <v>231</v>
      </c>
      <c r="DN97" s="237" t="s">
        <v>231</v>
      </c>
      <c r="DO97" s="237" t="s">
        <v>231</v>
      </c>
      <c r="DP97" s="237" t="s">
        <v>231</v>
      </c>
      <c r="DQ97" s="237" t="s">
        <v>231</v>
      </c>
      <c r="DR97" s="237" t="s">
        <v>231</v>
      </c>
      <c r="DS97" s="237" t="s">
        <v>231</v>
      </c>
      <c r="DT97" s="237" t="s">
        <v>492</v>
      </c>
      <c r="DU97" s="237" t="s">
        <v>231</v>
      </c>
      <c r="DV97" s="237" t="s">
        <v>492</v>
      </c>
      <c r="DW97" s="237" t="s">
        <v>492</v>
      </c>
      <c r="DX97" s="237" t="s">
        <v>492</v>
      </c>
      <c r="DY97" s="237" t="s">
        <v>492</v>
      </c>
      <c r="DZ97" s="237" t="s">
        <v>492</v>
      </c>
      <c r="EA97" s="237" t="s">
        <v>492</v>
      </c>
      <c r="EB97" s="237" t="s">
        <v>492</v>
      </c>
      <c r="EC97" s="237" t="s">
        <v>492</v>
      </c>
      <c r="ED97" s="237" t="s">
        <v>492</v>
      </c>
      <c r="EE97" s="237" t="s">
        <v>492</v>
      </c>
      <c r="EF97" s="237" t="s">
        <v>492</v>
      </c>
      <c r="EG97" s="237" t="s">
        <v>492</v>
      </c>
      <c r="EH97" s="237" t="s">
        <v>492</v>
      </c>
      <c r="EI97" s="237" t="s">
        <v>492</v>
      </c>
      <c r="EJ97" s="237" t="s">
        <v>231</v>
      </c>
      <c r="EK97" s="237" t="s">
        <v>231</v>
      </c>
      <c r="EL97" s="237" t="s">
        <v>231</v>
      </c>
      <c r="EM97" s="237" t="s">
        <v>231</v>
      </c>
      <c r="EN97" s="237" t="s">
        <v>231</v>
      </c>
      <c r="EO97" s="237" t="s">
        <v>231</v>
      </c>
      <c r="EP97" s="237" t="s">
        <v>231</v>
      </c>
      <c r="EQ97" s="237" t="s">
        <v>231</v>
      </c>
      <c r="ER97" s="237" t="s">
        <v>492</v>
      </c>
      <c r="ES97" s="237" t="s">
        <v>231</v>
      </c>
      <c r="ET97" s="237" t="s">
        <v>231</v>
      </c>
      <c r="EU97" s="237" t="s">
        <v>231</v>
      </c>
      <c r="EV97" s="237" t="s">
        <v>231</v>
      </c>
      <c r="EW97" s="237" t="s">
        <v>231</v>
      </c>
      <c r="EX97" s="237" t="s">
        <v>231</v>
      </c>
      <c r="EY97" s="237" t="s">
        <v>231</v>
      </c>
      <c r="EZ97" s="237" t="s">
        <v>231</v>
      </c>
      <c r="FA97" s="237" t="s">
        <v>231</v>
      </c>
      <c r="FB97" s="237" t="s">
        <v>231</v>
      </c>
      <c r="FC97" s="237" t="s">
        <v>231</v>
      </c>
      <c r="FD97" s="237" t="s">
        <v>231</v>
      </c>
      <c r="FE97" s="237" t="s">
        <v>231</v>
      </c>
      <c r="FF97" s="237" t="s">
        <v>492</v>
      </c>
      <c r="FG97" s="237" t="s">
        <v>492</v>
      </c>
      <c r="FH97" s="237" t="s">
        <v>492</v>
      </c>
      <c r="FI97" s="237" t="s">
        <v>492</v>
      </c>
      <c r="FJ97" s="237" t="s">
        <v>492</v>
      </c>
      <c r="FK97" s="237" t="s">
        <v>492</v>
      </c>
      <c r="FL97" s="237" t="s">
        <v>492</v>
      </c>
      <c r="FM97" s="237" t="s">
        <v>231</v>
      </c>
      <c r="FN97" s="237" t="s">
        <v>492</v>
      </c>
      <c r="FO97" s="237" t="s">
        <v>493</v>
      </c>
      <c r="FP97" s="237" t="s">
        <v>492</v>
      </c>
      <c r="FQ97" s="237" t="s">
        <v>231</v>
      </c>
      <c r="FR97" s="237" t="s">
        <v>231</v>
      </c>
      <c r="FS97" s="237" t="s">
        <v>231</v>
      </c>
      <c r="FT97" s="237" t="s">
        <v>231</v>
      </c>
      <c r="FU97" s="237" t="s">
        <v>231</v>
      </c>
      <c r="FV97" s="237" t="s">
        <v>231</v>
      </c>
      <c r="FW97" s="237" t="s">
        <v>231</v>
      </c>
      <c r="FX97" s="237" t="s">
        <v>492</v>
      </c>
      <c r="FY97" s="237" t="s">
        <v>231</v>
      </c>
      <c r="FZ97" s="237" t="s">
        <v>231</v>
      </c>
      <c r="GA97" s="237" t="s">
        <v>231</v>
      </c>
      <c r="GB97" s="237" t="s">
        <v>231</v>
      </c>
      <c r="GC97" s="237" t="s">
        <v>231</v>
      </c>
      <c r="GD97" s="237" t="s">
        <v>231</v>
      </c>
      <c r="GE97" s="237" t="s">
        <v>231</v>
      </c>
      <c r="GF97" s="237" t="s">
        <v>231</v>
      </c>
      <c r="GG97" s="237" t="s">
        <v>231</v>
      </c>
      <c r="GH97" s="237" t="s">
        <v>231</v>
      </c>
      <c r="GI97" s="237" t="s">
        <v>231</v>
      </c>
      <c r="GJ97" s="237" t="s">
        <v>231</v>
      </c>
      <c r="GK97" s="237" t="s">
        <v>231</v>
      </c>
      <c r="GL97" s="237" t="s">
        <v>231</v>
      </c>
      <c r="GM97" s="237" t="s">
        <v>231</v>
      </c>
      <c r="GN97" s="237" t="s">
        <v>231</v>
      </c>
      <c r="GO97" s="237" t="s">
        <v>231</v>
      </c>
      <c r="GP97" s="237" t="s">
        <v>492</v>
      </c>
      <c r="GQ97" s="237" t="s">
        <v>231</v>
      </c>
      <c r="GR97" s="237" t="s">
        <v>231</v>
      </c>
      <c r="GS97" s="237" t="s">
        <v>231</v>
      </c>
      <c r="GT97" s="237" t="s">
        <v>231</v>
      </c>
      <c r="GU97" s="237" t="s">
        <v>492</v>
      </c>
      <c r="GV97" s="237" t="s">
        <v>492</v>
      </c>
      <c r="GW97" s="237" t="s">
        <v>661</v>
      </c>
      <c r="GX97" s="237" t="s">
        <v>231</v>
      </c>
      <c r="GY97" s="237" t="s">
        <v>492</v>
      </c>
      <c r="GZ97" s="237" t="s">
        <v>231</v>
      </c>
      <c r="HA97" s="237" t="s">
        <v>231</v>
      </c>
      <c r="HB97" s="237" t="s">
        <v>231</v>
      </c>
      <c r="HC97" s="237" t="s">
        <v>231</v>
      </c>
      <c r="HD97" s="237" t="s">
        <v>231</v>
      </c>
      <c r="HE97" s="237" t="s">
        <v>492</v>
      </c>
      <c r="HF97" s="237" t="s">
        <v>231</v>
      </c>
      <c r="HG97" s="237" t="s">
        <v>231</v>
      </c>
      <c r="HH97" s="237" t="s">
        <v>231</v>
      </c>
      <c r="HI97" s="237" t="s">
        <v>231</v>
      </c>
      <c r="HJ97" s="237" t="s">
        <v>231</v>
      </c>
      <c r="HK97" s="237" t="s">
        <v>231</v>
      </c>
      <c r="HL97" s="237" t="s">
        <v>231</v>
      </c>
      <c r="HM97" s="237" t="s">
        <v>231</v>
      </c>
      <c r="HN97" s="237" t="s">
        <v>661</v>
      </c>
      <c r="HO97" s="237" t="s">
        <v>231</v>
      </c>
      <c r="HP97" s="237" t="s">
        <v>492</v>
      </c>
      <c r="HQ97" s="237" t="s">
        <v>492</v>
      </c>
      <c r="HR97" s="237" t="s">
        <v>492</v>
      </c>
      <c r="HS97" s="237" t="s">
        <v>492</v>
      </c>
      <c r="HT97" s="237" t="s">
        <v>492</v>
      </c>
      <c r="HU97" s="237" t="s">
        <v>231</v>
      </c>
      <c r="HV97" s="237" t="s">
        <v>231</v>
      </c>
      <c r="HW97" s="237" t="s">
        <v>231</v>
      </c>
      <c r="HX97" s="237" t="s">
        <v>231</v>
      </c>
      <c r="HY97" s="237" t="s">
        <v>231</v>
      </c>
      <c r="HZ97" s="237" t="s">
        <v>231</v>
      </c>
      <c r="IA97" s="237" t="s">
        <v>231</v>
      </c>
      <c r="IB97" s="237" t="s">
        <v>231</v>
      </c>
      <c r="IC97" s="237" t="s">
        <v>231</v>
      </c>
      <c r="ID97" s="237" t="s">
        <v>231</v>
      </c>
      <c r="IE97" s="237" t="s">
        <v>231</v>
      </c>
      <c r="IF97" s="237" t="s">
        <v>231</v>
      </c>
      <c r="IG97" s="237" t="s">
        <v>231</v>
      </c>
      <c r="IH97" s="237" t="s">
        <v>231</v>
      </c>
      <c r="II97" s="237" t="s">
        <v>231</v>
      </c>
      <c r="IJ97" s="237" t="s">
        <v>231</v>
      </c>
      <c r="IK97" s="237" t="s">
        <v>231</v>
      </c>
      <c r="IL97" s="237" t="s">
        <v>231</v>
      </c>
      <c r="IM97" s="237" t="s">
        <v>231</v>
      </c>
      <c r="IN97" s="237" t="s">
        <v>231</v>
      </c>
      <c r="IO97" s="237" t="s">
        <v>220</v>
      </c>
      <c r="IP97" s="237" t="s">
        <v>493</v>
      </c>
      <c r="IQ97" s="237" t="s">
        <v>219</v>
      </c>
      <c r="IR97" s="237" t="s">
        <v>490</v>
      </c>
      <c r="IS97" s="237" t="s">
        <v>492</v>
      </c>
      <c r="IT97" s="237" t="s">
        <v>492</v>
      </c>
    </row>
    <row r="98" spans="1:254" ht="15" x14ac:dyDescent="0.25">
      <c r="A98" s="259" t="str">
        <f>HYPERLINK("http://www.ofsted.gov.uk/inspection-reports/find-inspection-report/provider/ELS/107461 ","Ofsted School Webpage")</f>
        <v>Ofsted School Webpage</v>
      </c>
      <c r="B98" s="240">
        <v>107461</v>
      </c>
      <c r="C98" s="240">
        <v>3806110</v>
      </c>
      <c r="D98" s="240" t="s">
        <v>755</v>
      </c>
      <c r="E98" s="240" t="s">
        <v>247</v>
      </c>
      <c r="F98" s="240" t="s">
        <v>482</v>
      </c>
      <c r="G98" s="240" t="s">
        <v>523</v>
      </c>
      <c r="H98" s="240" t="s">
        <v>524</v>
      </c>
      <c r="I98" s="240" t="s">
        <v>674</v>
      </c>
      <c r="J98" s="240" t="s">
        <v>756</v>
      </c>
      <c r="K98" s="240" t="s">
        <v>93</v>
      </c>
      <c r="L98" s="240" t="s">
        <v>71</v>
      </c>
      <c r="M98" s="240" t="s">
        <v>71</v>
      </c>
      <c r="N98" s="240" t="s">
        <v>71</v>
      </c>
      <c r="O98" s="240" t="s">
        <v>486</v>
      </c>
      <c r="P98" s="240" t="s">
        <v>487</v>
      </c>
      <c r="Q98" s="241">
        <v>10053826</v>
      </c>
      <c r="R98" s="242">
        <v>43417</v>
      </c>
      <c r="S98" s="242">
        <v>43419</v>
      </c>
      <c r="T98" s="242">
        <v>43438</v>
      </c>
      <c r="U98" s="240" t="s">
        <v>488</v>
      </c>
      <c r="V98" s="240" t="s">
        <v>489</v>
      </c>
      <c r="W98" s="240">
        <v>2</v>
      </c>
      <c r="X98" s="240">
        <v>2</v>
      </c>
      <c r="Y98" s="240">
        <v>2</v>
      </c>
      <c r="Z98" s="240">
        <v>2</v>
      </c>
      <c r="AA98" s="240">
        <v>2</v>
      </c>
      <c r="AB98" s="240">
        <v>2</v>
      </c>
      <c r="AC98" s="240" t="s">
        <v>486</v>
      </c>
      <c r="AD98" s="240" t="s">
        <v>219</v>
      </c>
      <c r="AE98" s="240" t="s">
        <v>490</v>
      </c>
      <c r="AF98" s="240" t="s">
        <v>486</v>
      </c>
      <c r="AG98" s="240" t="s">
        <v>486</v>
      </c>
      <c r="AH98" s="240" t="s">
        <v>486</v>
      </c>
      <c r="AI98" s="240" t="s">
        <v>486</v>
      </c>
      <c r="AJ98" s="240" t="s">
        <v>486</v>
      </c>
      <c r="AK98" s="240" t="s">
        <v>486</v>
      </c>
      <c r="AL98" s="240" t="s">
        <v>486</v>
      </c>
      <c r="AM98" s="240" t="s">
        <v>491</v>
      </c>
      <c r="AN98" s="240" t="s">
        <v>231</v>
      </c>
      <c r="AO98" s="240" t="s">
        <v>231</v>
      </c>
      <c r="AP98" s="240" t="s">
        <v>231</v>
      </c>
      <c r="AQ98" s="240" t="s">
        <v>231</v>
      </c>
      <c r="AR98" s="240" t="s">
        <v>231</v>
      </c>
      <c r="AS98" s="240" t="s">
        <v>231</v>
      </c>
      <c r="AT98" s="240" t="s">
        <v>231</v>
      </c>
      <c r="AU98" s="240" t="s">
        <v>231</v>
      </c>
      <c r="AV98" s="240" t="s">
        <v>231</v>
      </c>
      <c r="AW98" s="240" t="s">
        <v>231</v>
      </c>
      <c r="AX98" s="240" t="s">
        <v>231</v>
      </c>
      <c r="AY98" s="240" t="s">
        <v>231</v>
      </c>
      <c r="AZ98" s="240" t="s">
        <v>231</v>
      </c>
      <c r="BA98" s="240" t="s">
        <v>231</v>
      </c>
      <c r="BB98" s="240" t="s">
        <v>231</v>
      </c>
      <c r="BC98" s="240" t="s">
        <v>231</v>
      </c>
      <c r="BD98" s="240" t="s">
        <v>231</v>
      </c>
      <c r="BE98" s="240" t="s">
        <v>231</v>
      </c>
      <c r="BF98" s="240" t="s">
        <v>231</v>
      </c>
      <c r="BG98" s="240" t="s">
        <v>231</v>
      </c>
      <c r="BH98" s="240" t="s">
        <v>231</v>
      </c>
      <c r="BI98" s="240" t="s">
        <v>231</v>
      </c>
      <c r="BJ98" s="240" t="s">
        <v>231</v>
      </c>
      <c r="BK98" s="240" t="s">
        <v>231</v>
      </c>
      <c r="BL98" s="240" t="s">
        <v>231</v>
      </c>
      <c r="BM98" s="240" t="s">
        <v>231</v>
      </c>
      <c r="BN98" s="240" t="s">
        <v>231</v>
      </c>
      <c r="BO98" s="240" t="s">
        <v>231</v>
      </c>
      <c r="BP98" s="240" t="s">
        <v>231</v>
      </c>
      <c r="BQ98" s="240" t="s">
        <v>231</v>
      </c>
      <c r="BR98" s="240" t="s">
        <v>231</v>
      </c>
      <c r="BS98" s="240" t="s">
        <v>231</v>
      </c>
      <c r="BT98" s="240" t="s">
        <v>231</v>
      </c>
      <c r="BU98" s="240" t="s">
        <v>231</v>
      </c>
      <c r="BV98" s="240" t="s">
        <v>231</v>
      </c>
      <c r="BW98" s="240" t="s">
        <v>231</v>
      </c>
      <c r="BX98" s="240" t="s">
        <v>231</v>
      </c>
      <c r="BY98" s="240" t="s">
        <v>231</v>
      </c>
      <c r="BZ98" s="240" t="s">
        <v>231</v>
      </c>
      <c r="CA98" s="240" t="s">
        <v>231</v>
      </c>
      <c r="CB98" s="240" t="s">
        <v>231</v>
      </c>
      <c r="CC98" s="240" t="s">
        <v>231</v>
      </c>
      <c r="CD98" s="240" t="s">
        <v>231</v>
      </c>
      <c r="CE98" s="240" t="s">
        <v>231</v>
      </c>
      <c r="CF98" s="240" t="s">
        <v>231</v>
      </c>
      <c r="CG98" s="240" t="s">
        <v>231</v>
      </c>
      <c r="CH98" s="240" t="s">
        <v>231</v>
      </c>
      <c r="CI98" s="240" t="s">
        <v>231</v>
      </c>
      <c r="CJ98" s="240" t="s">
        <v>231</v>
      </c>
      <c r="CK98" s="240" t="s">
        <v>231</v>
      </c>
      <c r="CL98" s="240" t="s">
        <v>231</v>
      </c>
      <c r="CM98" s="240" t="s">
        <v>231</v>
      </c>
      <c r="CN98" s="240" t="s">
        <v>231</v>
      </c>
      <c r="CO98" s="240" t="s">
        <v>231</v>
      </c>
      <c r="CP98" s="240" t="s">
        <v>231</v>
      </c>
      <c r="CQ98" s="240" t="s">
        <v>231</v>
      </c>
      <c r="CR98" s="240" t="s">
        <v>231</v>
      </c>
      <c r="CS98" s="240" t="s">
        <v>231</v>
      </c>
      <c r="CT98" s="240" t="s">
        <v>231</v>
      </c>
      <c r="CU98" s="240" t="s">
        <v>231</v>
      </c>
      <c r="CV98" s="240" t="s">
        <v>231</v>
      </c>
      <c r="CW98" s="240" t="s">
        <v>231</v>
      </c>
      <c r="CX98" s="240" t="s">
        <v>231</v>
      </c>
      <c r="CY98" s="240" t="s">
        <v>231</v>
      </c>
      <c r="CZ98" s="240" t="s">
        <v>231</v>
      </c>
      <c r="DA98" s="240" t="s">
        <v>231</v>
      </c>
      <c r="DB98" s="240" t="s">
        <v>231</v>
      </c>
      <c r="DC98" s="240" t="s">
        <v>231</v>
      </c>
      <c r="DD98" s="240" t="s">
        <v>231</v>
      </c>
      <c r="DE98" s="240" t="s">
        <v>231</v>
      </c>
      <c r="DF98" s="240" t="s">
        <v>231</v>
      </c>
      <c r="DG98" s="240" t="s">
        <v>231</v>
      </c>
      <c r="DH98" s="240" t="s">
        <v>231</v>
      </c>
      <c r="DI98" s="240" t="s">
        <v>231</v>
      </c>
      <c r="DJ98" s="240" t="s">
        <v>231</v>
      </c>
      <c r="DK98" s="240" t="s">
        <v>231</v>
      </c>
      <c r="DL98" s="240" t="s">
        <v>231</v>
      </c>
      <c r="DM98" s="240" t="s">
        <v>231</v>
      </c>
      <c r="DN98" s="240" t="s">
        <v>231</v>
      </c>
      <c r="DO98" s="240" t="s">
        <v>231</v>
      </c>
      <c r="DP98" s="240" t="s">
        <v>231</v>
      </c>
      <c r="DQ98" s="240" t="s">
        <v>231</v>
      </c>
      <c r="DR98" s="240" t="s">
        <v>231</v>
      </c>
      <c r="DS98" s="240" t="s">
        <v>231</v>
      </c>
      <c r="DT98" s="240" t="s">
        <v>492</v>
      </c>
      <c r="DU98" s="240" t="s">
        <v>231</v>
      </c>
      <c r="DV98" s="240" t="s">
        <v>492</v>
      </c>
      <c r="DW98" s="240" t="s">
        <v>492</v>
      </c>
      <c r="DX98" s="240" t="s">
        <v>492</v>
      </c>
      <c r="DY98" s="240" t="s">
        <v>492</v>
      </c>
      <c r="DZ98" s="240" t="s">
        <v>492</v>
      </c>
      <c r="EA98" s="240" t="s">
        <v>492</v>
      </c>
      <c r="EB98" s="240" t="s">
        <v>492</v>
      </c>
      <c r="EC98" s="240" t="s">
        <v>492</v>
      </c>
      <c r="ED98" s="240" t="s">
        <v>492</v>
      </c>
      <c r="EE98" s="240" t="s">
        <v>492</v>
      </c>
      <c r="EF98" s="240" t="s">
        <v>492</v>
      </c>
      <c r="EG98" s="240" t="s">
        <v>492</v>
      </c>
      <c r="EH98" s="240" t="s">
        <v>492</v>
      </c>
      <c r="EI98" s="240" t="s">
        <v>492</v>
      </c>
      <c r="EJ98" s="240" t="s">
        <v>231</v>
      </c>
      <c r="EK98" s="240" t="s">
        <v>231</v>
      </c>
      <c r="EL98" s="240" t="s">
        <v>231</v>
      </c>
      <c r="EM98" s="240" t="s">
        <v>231</v>
      </c>
      <c r="EN98" s="240" t="s">
        <v>231</v>
      </c>
      <c r="EO98" s="240" t="s">
        <v>231</v>
      </c>
      <c r="EP98" s="240" t="s">
        <v>231</v>
      </c>
      <c r="EQ98" s="240" t="s">
        <v>231</v>
      </c>
      <c r="ER98" s="240" t="s">
        <v>231</v>
      </c>
      <c r="ES98" s="240" t="s">
        <v>231</v>
      </c>
      <c r="ET98" s="240" t="s">
        <v>231</v>
      </c>
      <c r="EU98" s="240" t="s">
        <v>231</v>
      </c>
      <c r="EV98" s="240" t="s">
        <v>231</v>
      </c>
      <c r="EW98" s="240" t="s">
        <v>231</v>
      </c>
      <c r="EX98" s="240" t="s">
        <v>231</v>
      </c>
      <c r="EY98" s="240" t="s">
        <v>231</v>
      </c>
      <c r="EZ98" s="240" t="s">
        <v>231</v>
      </c>
      <c r="FA98" s="240" t="s">
        <v>231</v>
      </c>
      <c r="FB98" s="240" t="s">
        <v>231</v>
      </c>
      <c r="FC98" s="240" t="s">
        <v>231</v>
      </c>
      <c r="FD98" s="240" t="s">
        <v>231</v>
      </c>
      <c r="FE98" s="240" t="s">
        <v>231</v>
      </c>
      <c r="FF98" s="240" t="s">
        <v>231</v>
      </c>
      <c r="FG98" s="240" t="s">
        <v>492</v>
      </c>
      <c r="FH98" s="240" t="s">
        <v>492</v>
      </c>
      <c r="FI98" s="240" t="s">
        <v>492</v>
      </c>
      <c r="FJ98" s="240" t="s">
        <v>492</v>
      </c>
      <c r="FK98" s="240" t="s">
        <v>492</v>
      </c>
      <c r="FL98" s="240" t="s">
        <v>231</v>
      </c>
      <c r="FM98" s="240" t="s">
        <v>231</v>
      </c>
      <c r="FN98" s="240" t="s">
        <v>492</v>
      </c>
      <c r="FO98" s="240" t="s">
        <v>493</v>
      </c>
      <c r="FP98" s="240" t="s">
        <v>492</v>
      </c>
      <c r="FQ98" s="240" t="s">
        <v>231</v>
      </c>
      <c r="FR98" s="240" t="s">
        <v>231</v>
      </c>
      <c r="FS98" s="240" t="s">
        <v>231</v>
      </c>
      <c r="FT98" s="240" t="s">
        <v>231</v>
      </c>
      <c r="FU98" s="240" t="s">
        <v>231</v>
      </c>
      <c r="FV98" s="240" t="s">
        <v>231</v>
      </c>
      <c r="FW98" s="240" t="s">
        <v>231</v>
      </c>
      <c r="FX98" s="240" t="s">
        <v>231</v>
      </c>
      <c r="FY98" s="240" t="s">
        <v>231</v>
      </c>
      <c r="FZ98" s="240" t="s">
        <v>231</v>
      </c>
      <c r="GA98" s="240" t="s">
        <v>231</v>
      </c>
      <c r="GB98" s="240" t="s">
        <v>231</v>
      </c>
      <c r="GC98" s="240" t="s">
        <v>231</v>
      </c>
      <c r="GD98" s="240" t="s">
        <v>231</v>
      </c>
      <c r="GE98" s="240" t="s">
        <v>231</v>
      </c>
      <c r="GF98" s="240" t="s">
        <v>231</v>
      </c>
      <c r="GG98" s="240" t="s">
        <v>231</v>
      </c>
      <c r="GH98" s="240" t="s">
        <v>231</v>
      </c>
      <c r="GI98" s="240" t="s">
        <v>231</v>
      </c>
      <c r="GJ98" s="240" t="s">
        <v>231</v>
      </c>
      <c r="GK98" s="240" t="s">
        <v>231</v>
      </c>
      <c r="GL98" s="240" t="s">
        <v>231</v>
      </c>
      <c r="GM98" s="240" t="s">
        <v>231</v>
      </c>
      <c r="GN98" s="240" t="s">
        <v>231</v>
      </c>
      <c r="GO98" s="240" t="s">
        <v>231</v>
      </c>
      <c r="GP98" s="240" t="s">
        <v>231</v>
      </c>
      <c r="GQ98" s="240" t="s">
        <v>231</v>
      </c>
      <c r="GR98" s="240" t="s">
        <v>231</v>
      </c>
      <c r="GS98" s="240" t="s">
        <v>231</v>
      </c>
      <c r="GT98" s="240" t="s">
        <v>231</v>
      </c>
      <c r="GU98" s="240" t="s">
        <v>231</v>
      </c>
      <c r="GV98" s="240" t="s">
        <v>231</v>
      </c>
      <c r="GW98" s="240" t="s">
        <v>231</v>
      </c>
      <c r="GX98" s="240" t="s">
        <v>231</v>
      </c>
      <c r="GY98" s="240" t="s">
        <v>231</v>
      </c>
      <c r="GZ98" s="240" t="s">
        <v>231</v>
      </c>
      <c r="HA98" s="240" t="s">
        <v>231</v>
      </c>
      <c r="HB98" s="240" t="s">
        <v>231</v>
      </c>
      <c r="HC98" s="240" t="s">
        <v>231</v>
      </c>
      <c r="HD98" s="240" t="s">
        <v>231</v>
      </c>
      <c r="HE98" s="240" t="s">
        <v>231</v>
      </c>
      <c r="HF98" s="240" t="s">
        <v>492</v>
      </c>
      <c r="HG98" s="240" t="s">
        <v>231</v>
      </c>
      <c r="HH98" s="240" t="s">
        <v>231</v>
      </c>
      <c r="HI98" s="240" t="s">
        <v>231</v>
      </c>
      <c r="HJ98" s="240" t="s">
        <v>231</v>
      </c>
      <c r="HK98" s="240" t="s">
        <v>231</v>
      </c>
      <c r="HL98" s="240" t="s">
        <v>231</v>
      </c>
      <c r="HM98" s="240" t="s">
        <v>231</v>
      </c>
      <c r="HN98" s="240" t="s">
        <v>231</v>
      </c>
      <c r="HO98" s="240" t="s">
        <v>231</v>
      </c>
      <c r="HP98" s="240" t="s">
        <v>231</v>
      </c>
      <c r="HQ98" s="240" t="s">
        <v>231</v>
      </c>
      <c r="HR98" s="240" t="s">
        <v>231</v>
      </c>
      <c r="HS98" s="240" t="s">
        <v>231</v>
      </c>
      <c r="HT98" s="240" t="s">
        <v>231</v>
      </c>
      <c r="HU98" s="240" t="s">
        <v>231</v>
      </c>
      <c r="HV98" s="240" t="s">
        <v>231</v>
      </c>
      <c r="HW98" s="240" t="s">
        <v>231</v>
      </c>
      <c r="HX98" s="240" t="s">
        <v>231</v>
      </c>
      <c r="HY98" s="240" t="s">
        <v>231</v>
      </c>
      <c r="HZ98" s="240" t="s">
        <v>231</v>
      </c>
      <c r="IA98" s="240" t="s">
        <v>231</v>
      </c>
      <c r="IB98" s="240" t="s">
        <v>231</v>
      </c>
      <c r="IC98" s="240" t="s">
        <v>231</v>
      </c>
      <c r="ID98" s="240" t="s">
        <v>231</v>
      </c>
      <c r="IE98" s="240" t="s">
        <v>231</v>
      </c>
      <c r="IF98" s="240" t="s">
        <v>231</v>
      </c>
      <c r="IG98" s="240" t="s">
        <v>231</v>
      </c>
      <c r="IH98" s="240" t="s">
        <v>231</v>
      </c>
      <c r="II98" s="240" t="s">
        <v>231</v>
      </c>
      <c r="IJ98" s="240" t="s">
        <v>231</v>
      </c>
      <c r="IK98" s="240" t="s">
        <v>231</v>
      </c>
      <c r="IL98" s="240" t="s">
        <v>231</v>
      </c>
      <c r="IM98" s="240" t="s">
        <v>231</v>
      </c>
      <c r="IN98" s="240" t="s">
        <v>231</v>
      </c>
      <c r="IO98" s="240" t="s">
        <v>220</v>
      </c>
      <c r="IP98" s="240" t="s">
        <v>493</v>
      </c>
      <c r="IQ98" s="240" t="s">
        <v>219</v>
      </c>
      <c r="IR98" s="240" t="s">
        <v>490</v>
      </c>
      <c r="IS98" s="240" t="s">
        <v>231</v>
      </c>
      <c r="IT98" s="240" t="s">
        <v>231</v>
      </c>
    </row>
    <row r="99" spans="1:254" ht="15" x14ac:dyDescent="0.25">
      <c r="A99" s="258" t="str">
        <f>HYPERLINK("http://www.ofsted.gov.uk/inspection-reports/find-inspection-report/provider/ELS/145129 ","Ofsted School Webpage")</f>
        <v>Ofsted School Webpage</v>
      </c>
      <c r="B99" s="237">
        <v>145129</v>
      </c>
      <c r="C99" s="237">
        <v>8926024</v>
      </c>
      <c r="D99" s="237" t="s">
        <v>757</v>
      </c>
      <c r="E99" s="237" t="s">
        <v>247</v>
      </c>
      <c r="F99" s="237" t="s">
        <v>482</v>
      </c>
      <c r="G99" s="237" t="s">
        <v>572</v>
      </c>
      <c r="H99" s="237" t="s">
        <v>572</v>
      </c>
      <c r="I99" s="237" t="s">
        <v>758</v>
      </c>
      <c r="J99" s="237" t="s">
        <v>759</v>
      </c>
      <c r="K99" s="237" t="s">
        <v>93</v>
      </c>
      <c r="L99" s="237" t="s">
        <v>93</v>
      </c>
      <c r="M99" s="237" t="s">
        <v>93</v>
      </c>
      <c r="N99" s="237" t="s">
        <v>90</v>
      </c>
      <c r="O99" s="237" t="s">
        <v>486</v>
      </c>
      <c r="P99" s="237" t="s">
        <v>487</v>
      </c>
      <c r="Q99" s="238">
        <v>10053984</v>
      </c>
      <c r="R99" s="239">
        <v>43417</v>
      </c>
      <c r="S99" s="239">
        <v>43419</v>
      </c>
      <c r="T99" s="239">
        <v>43450</v>
      </c>
      <c r="U99" s="237" t="s">
        <v>499</v>
      </c>
      <c r="V99" s="237" t="s">
        <v>489</v>
      </c>
      <c r="W99" s="237">
        <v>3</v>
      </c>
      <c r="X99" s="237">
        <v>3</v>
      </c>
      <c r="Y99" s="237">
        <v>3</v>
      </c>
      <c r="Z99" s="237">
        <v>3</v>
      </c>
      <c r="AA99" s="237">
        <v>3</v>
      </c>
      <c r="AB99" s="237" t="s">
        <v>486</v>
      </c>
      <c r="AC99" s="237" t="s">
        <v>486</v>
      </c>
      <c r="AD99" s="237" t="s">
        <v>219</v>
      </c>
      <c r="AE99" s="237" t="s">
        <v>490</v>
      </c>
      <c r="AF99" s="237" t="s">
        <v>486</v>
      </c>
      <c r="AG99" s="237" t="s">
        <v>486</v>
      </c>
      <c r="AH99" s="237" t="s">
        <v>486</v>
      </c>
      <c r="AI99" s="237" t="s">
        <v>486</v>
      </c>
      <c r="AJ99" s="237" t="s">
        <v>486</v>
      </c>
      <c r="AK99" s="237" t="s">
        <v>486</v>
      </c>
      <c r="AL99" s="237" t="s">
        <v>486</v>
      </c>
      <c r="AM99" s="237" t="s">
        <v>545</v>
      </c>
      <c r="AN99" s="237" t="s">
        <v>231</v>
      </c>
      <c r="AO99" s="237" t="s">
        <v>546</v>
      </c>
      <c r="AP99" s="237" t="s">
        <v>231</v>
      </c>
      <c r="AQ99" s="237" t="s">
        <v>231</v>
      </c>
      <c r="AR99" s="237" t="s">
        <v>231</v>
      </c>
      <c r="AS99" s="237" t="s">
        <v>231</v>
      </c>
      <c r="AT99" s="237" t="s">
        <v>231</v>
      </c>
      <c r="AU99" s="237" t="s">
        <v>546</v>
      </c>
      <c r="AV99" s="237" t="s">
        <v>231</v>
      </c>
      <c r="AW99" s="237" t="s">
        <v>231</v>
      </c>
      <c r="AX99" s="237" t="s">
        <v>231</v>
      </c>
      <c r="AY99" s="237" t="s">
        <v>231</v>
      </c>
      <c r="AZ99" s="237" t="s">
        <v>231</v>
      </c>
      <c r="BA99" s="237" t="s">
        <v>231</v>
      </c>
      <c r="BB99" s="237" t="s">
        <v>231</v>
      </c>
      <c r="BC99" s="237" t="s">
        <v>231</v>
      </c>
      <c r="BD99" s="237" t="s">
        <v>492</v>
      </c>
      <c r="BE99" s="237" t="s">
        <v>231</v>
      </c>
      <c r="BF99" s="237" t="s">
        <v>231</v>
      </c>
      <c r="BG99" s="237" t="s">
        <v>231</v>
      </c>
      <c r="BH99" s="237" t="s">
        <v>231</v>
      </c>
      <c r="BI99" s="237" t="s">
        <v>231</v>
      </c>
      <c r="BJ99" s="237" t="s">
        <v>231</v>
      </c>
      <c r="BK99" s="237" t="s">
        <v>231</v>
      </c>
      <c r="BL99" s="237" t="s">
        <v>492</v>
      </c>
      <c r="BM99" s="237" t="s">
        <v>492</v>
      </c>
      <c r="BN99" s="237" t="s">
        <v>231</v>
      </c>
      <c r="BO99" s="237" t="s">
        <v>231</v>
      </c>
      <c r="BP99" s="237" t="s">
        <v>231</v>
      </c>
      <c r="BQ99" s="237" t="s">
        <v>231</v>
      </c>
      <c r="BR99" s="237" t="s">
        <v>231</v>
      </c>
      <c r="BS99" s="237" t="s">
        <v>231</v>
      </c>
      <c r="BT99" s="237" t="s">
        <v>231</v>
      </c>
      <c r="BU99" s="237" t="s">
        <v>231</v>
      </c>
      <c r="BV99" s="237" t="s">
        <v>231</v>
      </c>
      <c r="BW99" s="237" t="s">
        <v>231</v>
      </c>
      <c r="BX99" s="237" t="s">
        <v>231</v>
      </c>
      <c r="BY99" s="237" t="s">
        <v>231</v>
      </c>
      <c r="BZ99" s="237" t="s">
        <v>231</v>
      </c>
      <c r="CA99" s="237" t="s">
        <v>231</v>
      </c>
      <c r="CB99" s="237" t="s">
        <v>232</v>
      </c>
      <c r="CC99" s="237" t="s">
        <v>231</v>
      </c>
      <c r="CD99" s="237" t="s">
        <v>232</v>
      </c>
      <c r="CE99" s="237" t="s">
        <v>231</v>
      </c>
      <c r="CF99" s="237" t="s">
        <v>231</v>
      </c>
      <c r="CG99" s="237" t="s">
        <v>232</v>
      </c>
      <c r="CH99" s="237" t="s">
        <v>231</v>
      </c>
      <c r="CI99" s="237" t="s">
        <v>231</v>
      </c>
      <c r="CJ99" s="237" t="s">
        <v>231</v>
      </c>
      <c r="CK99" s="237" t="s">
        <v>231</v>
      </c>
      <c r="CL99" s="237" t="s">
        <v>231</v>
      </c>
      <c r="CM99" s="237" t="s">
        <v>231</v>
      </c>
      <c r="CN99" s="237" t="s">
        <v>231</v>
      </c>
      <c r="CO99" s="237" t="s">
        <v>231</v>
      </c>
      <c r="CP99" s="237" t="s">
        <v>231</v>
      </c>
      <c r="CQ99" s="237" t="s">
        <v>231</v>
      </c>
      <c r="CR99" s="237" t="s">
        <v>231</v>
      </c>
      <c r="CS99" s="237" t="s">
        <v>231</v>
      </c>
      <c r="CT99" s="237" t="s">
        <v>492</v>
      </c>
      <c r="CU99" s="237" t="s">
        <v>492</v>
      </c>
      <c r="CV99" s="237" t="s">
        <v>492</v>
      </c>
      <c r="CW99" s="237" t="s">
        <v>231</v>
      </c>
      <c r="CX99" s="237" t="s">
        <v>231</v>
      </c>
      <c r="CY99" s="237" t="s">
        <v>231</v>
      </c>
      <c r="CZ99" s="237" t="s">
        <v>231</v>
      </c>
      <c r="DA99" s="237" t="s">
        <v>231</v>
      </c>
      <c r="DB99" s="237" t="s">
        <v>231</v>
      </c>
      <c r="DC99" s="237" t="s">
        <v>231</v>
      </c>
      <c r="DD99" s="237" t="s">
        <v>231</v>
      </c>
      <c r="DE99" s="237" t="s">
        <v>231</v>
      </c>
      <c r="DF99" s="237" t="s">
        <v>231</v>
      </c>
      <c r="DG99" s="237" t="s">
        <v>231</v>
      </c>
      <c r="DH99" s="237" t="s">
        <v>231</v>
      </c>
      <c r="DI99" s="237" t="s">
        <v>231</v>
      </c>
      <c r="DJ99" s="237" t="s">
        <v>231</v>
      </c>
      <c r="DK99" s="237" t="s">
        <v>231</v>
      </c>
      <c r="DL99" s="237" t="s">
        <v>231</v>
      </c>
      <c r="DM99" s="237" t="s">
        <v>231</v>
      </c>
      <c r="DN99" s="237" t="s">
        <v>231</v>
      </c>
      <c r="DO99" s="237" t="s">
        <v>231</v>
      </c>
      <c r="DP99" s="237" t="s">
        <v>231</v>
      </c>
      <c r="DQ99" s="237" t="s">
        <v>231</v>
      </c>
      <c r="DR99" s="237" t="s">
        <v>231</v>
      </c>
      <c r="DS99" s="237" t="s">
        <v>231</v>
      </c>
      <c r="DT99" s="237" t="s">
        <v>231</v>
      </c>
      <c r="DU99" s="237" t="s">
        <v>231</v>
      </c>
      <c r="DV99" s="237" t="s">
        <v>492</v>
      </c>
      <c r="DW99" s="237" t="s">
        <v>492</v>
      </c>
      <c r="DX99" s="237" t="s">
        <v>492</v>
      </c>
      <c r="DY99" s="237" t="s">
        <v>492</v>
      </c>
      <c r="DZ99" s="237" t="s">
        <v>492</v>
      </c>
      <c r="EA99" s="237" t="s">
        <v>492</v>
      </c>
      <c r="EB99" s="237" t="s">
        <v>492</v>
      </c>
      <c r="EC99" s="237" t="s">
        <v>492</v>
      </c>
      <c r="ED99" s="237" t="s">
        <v>492</v>
      </c>
      <c r="EE99" s="237" t="s">
        <v>492</v>
      </c>
      <c r="EF99" s="237" t="s">
        <v>492</v>
      </c>
      <c r="EG99" s="237" t="s">
        <v>492</v>
      </c>
      <c r="EH99" s="237" t="s">
        <v>492</v>
      </c>
      <c r="EI99" s="237" t="s">
        <v>231</v>
      </c>
      <c r="EJ99" s="237" t="s">
        <v>231</v>
      </c>
      <c r="EK99" s="237" t="s">
        <v>231</v>
      </c>
      <c r="EL99" s="237" t="s">
        <v>231</v>
      </c>
      <c r="EM99" s="237" t="s">
        <v>231</v>
      </c>
      <c r="EN99" s="237" t="s">
        <v>231</v>
      </c>
      <c r="EO99" s="237" t="s">
        <v>231</v>
      </c>
      <c r="EP99" s="237" t="s">
        <v>231</v>
      </c>
      <c r="EQ99" s="237" t="s">
        <v>231</v>
      </c>
      <c r="ER99" s="237" t="s">
        <v>231</v>
      </c>
      <c r="ES99" s="237" t="s">
        <v>231</v>
      </c>
      <c r="ET99" s="237" t="s">
        <v>231</v>
      </c>
      <c r="EU99" s="237" t="s">
        <v>231</v>
      </c>
      <c r="EV99" s="237" t="s">
        <v>231</v>
      </c>
      <c r="EW99" s="237" t="s">
        <v>231</v>
      </c>
      <c r="EX99" s="237" t="s">
        <v>231</v>
      </c>
      <c r="EY99" s="237" t="s">
        <v>231</v>
      </c>
      <c r="EZ99" s="237" t="s">
        <v>231</v>
      </c>
      <c r="FA99" s="237" t="s">
        <v>231</v>
      </c>
      <c r="FB99" s="237" t="s">
        <v>231</v>
      </c>
      <c r="FC99" s="237" t="s">
        <v>231</v>
      </c>
      <c r="FD99" s="237" t="s">
        <v>231</v>
      </c>
      <c r="FE99" s="237" t="s">
        <v>231</v>
      </c>
      <c r="FF99" s="237" t="s">
        <v>492</v>
      </c>
      <c r="FG99" s="237" t="s">
        <v>492</v>
      </c>
      <c r="FH99" s="237" t="s">
        <v>492</v>
      </c>
      <c r="FI99" s="237" t="s">
        <v>492</v>
      </c>
      <c r="FJ99" s="237" t="s">
        <v>492</v>
      </c>
      <c r="FK99" s="237" t="s">
        <v>492</v>
      </c>
      <c r="FL99" s="237" t="s">
        <v>492</v>
      </c>
      <c r="FM99" s="237" t="s">
        <v>231</v>
      </c>
      <c r="FN99" s="237" t="s">
        <v>492</v>
      </c>
      <c r="FO99" s="237" t="s">
        <v>231</v>
      </c>
      <c r="FP99" s="237" t="s">
        <v>231</v>
      </c>
      <c r="FQ99" s="237" t="s">
        <v>231</v>
      </c>
      <c r="FR99" s="237" t="s">
        <v>231</v>
      </c>
      <c r="FS99" s="237" t="s">
        <v>231</v>
      </c>
      <c r="FT99" s="237" t="s">
        <v>231</v>
      </c>
      <c r="FU99" s="237" t="s">
        <v>231</v>
      </c>
      <c r="FV99" s="237" t="s">
        <v>231</v>
      </c>
      <c r="FW99" s="237" t="s">
        <v>231</v>
      </c>
      <c r="FX99" s="237" t="s">
        <v>492</v>
      </c>
      <c r="FY99" s="237" t="s">
        <v>231</v>
      </c>
      <c r="FZ99" s="237" t="s">
        <v>231</v>
      </c>
      <c r="GA99" s="237" t="s">
        <v>231</v>
      </c>
      <c r="GB99" s="237" t="s">
        <v>231</v>
      </c>
      <c r="GC99" s="237" t="s">
        <v>231</v>
      </c>
      <c r="GD99" s="237" t="s">
        <v>231</v>
      </c>
      <c r="GE99" s="237" t="s">
        <v>231</v>
      </c>
      <c r="GF99" s="237" t="s">
        <v>231</v>
      </c>
      <c r="GG99" s="237" t="s">
        <v>231</v>
      </c>
      <c r="GH99" s="237" t="s">
        <v>231</v>
      </c>
      <c r="GI99" s="237" t="s">
        <v>231</v>
      </c>
      <c r="GJ99" s="237" t="s">
        <v>231</v>
      </c>
      <c r="GK99" s="237" t="s">
        <v>231</v>
      </c>
      <c r="GL99" s="237" t="s">
        <v>231</v>
      </c>
      <c r="GM99" s="237" t="s">
        <v>231</v>
      </c>
      <c r="GN99" s="237" t="s">
        <v>231</v>
      </c>
      <c r="GO99" s="237" t="s">
        <v>231</v>
      </c>
      <c r="GP99" s="237" t="s">
        <v>492</v>
      </c>
      <c r="GQ99" s="237" t="s">
        <v>231</v>
      </c>
      <c r="GR99" s="237" t="s">
        <v>231</v>
      </c>
      <c r="GS99" s="237" t="s">
        <v>231</v>
      </c>
      <c r="GT99" s="237" t="s">
        <v>231</v>
      </c>
      <c r="GU99" s="237" t="s">
        <v>231</v>
      </c>
      <c r="GV99" s="237" t="s">
        <v>492</v>
      </c>
      <c r="GW99" s="237" t="s">
        <v>231</v>
      </c>
      <c r="GX99" s="237" t="s">
        <v>231</v>
      </c>
      <c r="GY99" s="237" t="s">
        <v>231</v>
      </c>
      <c r="GZ99" s="237" t="s">
        <v>231</v>
      </c>
      <c r="HA99" s="237" t="s">
        <v>492</v>
      </c>
      <c r="HB99" s="237" t="s">
        <v>231</v>
      </c>
      <c r="HC99" s="237" t="s">
        <v>231</v>
      </c>
      <c r="HD99" s="237" t="s">
        <v>231</v>
      </c>
      <c r="HE99" s="237" t="s">
        <v>492</v>
      </c>
      <c r="HF99" s="237" t="s">
        <v>231</v>
      </c>
      <c r="HG99" s="237" t="s">
        <v>231</v>
      </c>
      <c r="HH99" s="237" t="s">
        <v>231</v>
      </c>
      <c r="HI99" s="237" t="s">
        <v>231</v>
      </c>
      <c r="HJ99" s="237" t="s">
        <v>231</v>
      </c>
      <c r="HK99" s="237" t="s">
        <v>231</v>
      </c>
      <c r="HL99" s="237" t="s">
        <v>231</v>
      </c>
      <c r="HM99" s="237" t="s">
        <v>231</v>
      </c>
      <c r="HN99" s="237" t="s">
        <v>231</v>
      </c>
      <c r="HO99" s="237" t="s">
        <v>231</v>
      </c>
      <c r="HP99" s="237" t="s">
        <v>231</v>
      </c>
      <c r="HQ99" s="237" t="s">
        <v>231</v>
      </c>
      <c r="HR99" s="237" t="s">
        <v>492</v>
      </c>
      <c r="HS99" s="237" t="s">
        <v>492</v>
      </c>
      <c r="HT99" s="237" t="s">
        <v>492</v>
      </c>
      <c r="HU99" s="237" t="s">
        <v>231</v>
      </c>
      <c r="HV99" s="237" t="s">
        <v>231</v>
      </c>
      <c r="HW99" s="237" t="s">
        <v>231</v>
      </c>
      <c r="HX99" s="237" t="s">
        <v>231</v>
      </c>
      <c r="HY99" s="237" t="s">
        <v>231</v>
      </c>
      <c r="HZ99" s="237" t="s">
        <v>231</v>
      </c>
      <c r="IA99" s="237" t="s">
        <v>231</v>
      </c>
      <c r="IB99" s="237" t="s">
        <v>231</v>
      </c>
      <c r="IC99" s="237" t="s">
        <v>231</v>
      </c>
      <c r="ID99" s="237" t="s">
        <v>231</v>
      </c>
      <c r="IE99" s="237" t="s">
        <v>231</v>
      </c>
      <c r="IF99" s="237" t="s">
        <v>231</v>
      </c>
      <c r="IG99" s="237" t="s">
        <v>231</v>
      </c>
      <c r="IH99" s="237" t="s">
        <v>231</v>
      </c>
      <c r="II99" s="237" t="s">
        <v>231</v>
      </c>
      <c r="IJ99" s="237" t="s">
        <v>231</v>
      </c>
      <c r="IK99" s="237" t="s">
        <v>232</v>
      </c>
      <c r="IL99" s="237" t="s">
        <v>232</v>
      </c>
      <c r="IM99" s="237" t="s">
        <v>232</v>
      </c>
      <c r="IN99" s="237" t="s">
        <v>231</v>
      </c>
      <c r="IO99" s="237" t="s">
        <v>220</v>
      </c>
      <c r="IP99" s="237" t="s">
        <v>493</v>
      </c>
      <c r="IQ99" s="237" t="s">
        <v>219</v>
      </c>
      <c r="IR99" s="237" t="s">
        <v>490</v>
      </c>
      <c r="IS99" s="237" t="s">
        <v>492</v>
      </c>
      <c r="IT99" s="237" t="s">
        <v>492</v>
      </c>
    </row>
    <row r="100" spans="1:254" ht="15" x14ac:dyDescent="0.25">
      <c r="A100" s="259" t="str">
        <f>HYPERLINK("http://www.ofsted.gov.uk/inspection-reports/find-inspection-report/provider/ELS/145116 ","Ofsted School Webpage")</f>
        <v>Ofsted School Webpage</v>
      </c>
      <c r="B100" s="240">
        <v>145116</v>
      </c>
      <c r="C100" s="240">
        <v>8456063</v>
      </c>
      <c r="D100" s="240" t="s">
        <v>760</v>
      </c>
      <c r="E100" s="240" t="s">
        <v>248</v>
      </c>
      <c r="F100" s="240" t="s">
        <v>501</v>
      </c>
      <c r="G100" s="240" t="s">
        <v>581</v>
      </c>
      <c r="H100" s="240" t="s">
        <v>581</v>
      </c>
      <c r="I100" s="240" t="s">
        <v>761</v>
      </c>
      <c r="J100" s="240" t="s">
        <v>762</v>
      </c>
      <c r="K100" s="240" t="s">
        <v>93</v>
      </c>
      <c r="L100" s="240" t="s">
        <v>93</v>
      </c>
      <c r="M100" s="240" t="s">
        <v>93</v>
      </c>
      <c r="N100" s="240" t="s">
        <v>90</v>
      </c>
      <c r="O100" s="240" t="s">
        <v>486</v>
      </c>
      <c r="P100" s="240" t="s">
        <v>487</v>
      </c>
      <c r="Q100" s="241">
        <v>10054084</v>
      </c>
      <c r="R100" s="242">
        <v>43417</v>
      </c>
      <c r="S100" s="242">
        <v>43419</v>
      </c>
      <c r="T100" s="242">
        <v>43446</v>
      </c>
      <c r="U100" s="240" t="s">
        <v>499</v>
      </c>
      <c r="V100" s="240" t="s">
        <v>489</v>
      </c>
      <c r="W100" s="240">
        <v>1</v>
      </c>
      <c r="X100" s="240">
        <v>1</v>
      </c>
      <c r="Y100" s="240">
        <v>1</v>
      </c>
      <c r="Z100" s="240">
        <v>1</v>
      </c>
      <c r="AA100" s="240">
        <v>1</v>
      </c>
      <c r="AB100" s="240" t="s">
        <v>486</v>
      </c>
      <c r="AC100" s="240" t="s">
        <v>486</v>
      </c>
      <c r="AD100" s="240" t="s">
        <v>219</v>
      </c>
      <c r="AE100" s="240" t="s">
        <v>490</v>
      </c>
      <c r="AF100" s="240" t="s">
        <v>486</v>
      </c>
      <c r="AG100" s="240" t="s">
        <v>486</v>
      </c>
      <c r="AH100" s="240" t="s">
        <v>486</v>
      </c>
      <c r="AI100" s="240" t="s">
        <v>486</v>
      </c>
      <c r="AJ100" s="240" t="s">
        <v>486</v>
      </c>
      <c r="AK100" s="240" t="s">
        <v>486</v>
      </c>
      <c r="AL100" s="240" t="s">
        <v>486</v>
      </c>
      <c r="AM100" s="240" t="s">
        <v>491</v>
      </c>
      <c r="AN100" s="240" t="s">
        <v>231</v>
      </c>
      <c r="AO100" s="240" t="s">
        <v>231</v>
      </c>
      <c r="AP100" s="240" t="s">
        <v>231</v>
      </c>
      <c r="AQ100" s="240" t="s">
        <v>231</v>
      </c>
      <c r="AR100" s="240" t="s">
        <v>231</v>
      </c>
      <c r="AS100" s="240" t="s">
        <v>231</v>
      </c>
      <c r="AT100" s="240" t="s">
        <v>231</v>
      </c>
      <c r="AU100" s="240" t="s">
        <v>231</v>
      </c>
      <c r="AV100" s="240" t="s">
        <v>231</v>
      </c>
      <c r="AW100" s="240" t="s">
        <v>231</v>
      </c>
      <c r="AX100" s="240" t="s">
        <v>231</v>
      </c>
      <c r="AY100" s="240" t="s">
        <v>231</v>
      </c>
      <c r="AZ100" s="240" t="s">
        <v>231</v>
      </c>
      <c r="BA100" s="240" t="s">
        <v>231</v>
      </c>
      <c r="BB100" s="240" t="s">
        <v>231</v>
      </c>
      <c r="BC100" s="240" t="s">
        <v>231</v>
      </c>
      <c r="BD100" s="240" t="s">
        <v>492</v>
      </c>
      <c r="BE100" s="240" t="s">
        <v>231</v>
      </c>
      <c r="BF100" s="240" t="s">
        <v>231</v>
      </c>
      <c r="BG100" s="240" t="s">
        <v>231</v>
      </c>
      <c r="BH100" s="240" t="s">
        <v>231</v>
      </c>
      <c r="BI100" s="240" t="s">
        <v>231</v>
      </c>
      <c r="BJ100" s="240" t="s">
        <v>231</v>
      </c>
      <c r="BK100" s="240" t="s">
        <v>231</v>
      </c>
      <c r="BL100" s="240" t="s">
        <v>492</v>
      </c>
      <c r="BM100" s="240" t="s">
        <v>492</v>
      </c>
      <c r="BN100" s="240" t="s">
        <v>231</v>
      </c>
      <c r="BO100" s="240" t="s">
        <v>231</v>
      </c>
      <c r="BP100" s="240" t="s">
        <v>231</v>
      </c>
      <c r="BQ100" s="240" t="s">
        <v>231</v>
      </c>
      <c r="BR100" s="240" t="s">
        <v>231</v>
      </c>
      <c r="BS100" s="240" t="s">
        <v>231</v>
      </c>
      <c r="BT100" s="240" t="s">
        <v>231</v>
      </c>
      <c r="BU100" s="240" t="s">
        <v>231</v>
      </c>
      <c r="BV100" s="240" t="s">
        <v>231</v>
      </c>
      <c r="BW100" s="240" t="s">
        <v>231</v>
      </c>
      <c r="BX100" s="240" t="s">
        <v>231</v>
      </c>
      <c r="BY100" s="240" t="s">
        <v>231</v>
      </c>
      <c r="BZ100" s="240" t="s">
        <v>231</v>
      </c>
      <c r="CA100" s="240" t="s">
        <v>231</v>
      </c>
      <c r="CB100" s="240" t="s">
        <v>231</v>
      </c>
      <c r="CC100" s="240" t="s">
        <v>231</v>
      </c>
      <c r="CD100" s="240" t="s">
        <v>231</v>
      </c>
      <c r="CE100" s="240" t="s">
        <v>231</v>
      </c>
      <c r="CF100" s="240" t="s">
        <v>231</v>
      </c>
      <c r="CG100" s="240" t="s">
        <v>231</v>
      </c>
      <c r="CH100" s="240" t="s">
        <v>231</v>
      </c>
      <c r="CI100" s="240" t="s">
        <v>231</v>
      </c>
      <c r="CJ100" s="240" t="s">
        <v>231</v>
      </c>
      <c r="CK100" s="240" t="s">
        <v>231</v>
      </c>
      <c r="CL100" s="240" t="s">
        <v>231</v>
      </c>
      <c r="CM100" s="240" t="s">
        <v>231</v>
      </c>
      <c r="CN100" s="240" t="s">
        <v>231</v>
      </c>
      <c r="CO100" s="240" t="s">
        <v>231</v>
      </c>
      <c r="CP100" s="240" t="s">
        <v>231</v>
      </c>
      <c r="CQ100" s="240" t="s">
        <v>231</v>
      </c>
      <c r="CR100" s="240" t="s">
        <v>231</v>
      </c>
      <c r="CS100" s="240" t="s">
        <v>231</v>
      </c>
      <c r="CT100" s="240" t="s">
        <v>492</v>
      </c>
      <c r="CU100" s="240" t="s">
        <v>492</v>
      </c>
      <c r="CV100" s="240" t="s">
        <v>492</v>
      </c>
      <c r="CW100" s="240" t="s">
        <v>231</v>
      </c>
      <c r="CX100" s="240" t="s">
        <v>231</v>
      </c>
      <c r="CY100" s="240" t="s">
        <v>231</v>
      </c>
      <c r="CZ100" s="240" t="s">
        <v>231</v>
      </c>
      <c r="DA100" s="240" t="s">
        <v>231</v>
      </c>
      <c r="DB100" s="240" t="s">
        <v>231</v>
      </c>
      <c r="DC100" s="240" t="s">
        <v>231</v>
      </c>
      <c r="DD100" s="240" t="s">
        <v>231</v>
      </c>
      <c r="DE100" s="240" t="s">
        <v>231</v>
      </c>
      <c r="DF100" s="240" t="s">
        <v>231</v>
      </c>
      <c r="DG100" s="240" t="s">
        <v>231</v>
      </c>
      <c r="DH100" s="240" t="s">
        <v>231</v>
      </c>
      <c r="DI100" s="240" t="s">
        <v>231</v>
      </c>
      <c r="DJ100" s="240" t="s">
        <v>231</v>
      </c>
      <c r="DK100" s="240" t="s">
        <v>231</v>
      </c>
      <c r="DL100" s="240" t="s">
        <v>231</v>
      </c>
      <c r="DM100" s="240" t="s">
        <v>231</v>
      </c>
      <c r="DN100" s="240" t="s">
        <v>231</v>
      </c>
      <c r="DO100" s="240" t="s">
        <v>231</v>
      </c>
      <c r="DP100" s="240" t="s">
        <v>231</v>
      </c>
      <c r="DQ100" s="240" t="s">
        <v>231</v>
      </c>
      <c r="DR100" s="240" t="s">
        <v>231</v>
      </c>
      <c r="DS100" s="240" t="s">
        <v>231</v>
      </c>
      <c r="DT100" s="240" t="s">
        <v>492</v>
      </c>
      <c r="DU100" s="240" t="s">
        <v>231</v>
      </c>
      <c r="DV100" s="240" t="s">
        <v>492</v>
      </c>
      <c r="DW100" s="240" t="s">
        <v>492</v>
      </c>
      <c r="DX100" s="240" t="s">
        <v>492</v>
      </c>
      <c r="DY100" s="240" t="s">
        <v>492</v>
      </c>
      <c r="DZ100" s="240" t="s">
        <v>492</v>
      </c>
      <c r="EA100" s="240" t="s">
        <v>492</v>
      </c>
      <c r="EB100" s="240" t="s">
        <v>492</v>
      </c>
      <c r="EC100" s="240" t="s">
        <v>492</v>
      </c>
      <c r="ED100" s="240" t="s">
        <v>492</v>
      </c>
      <c r="EE100" s="240" t="s">
        <v>492</v>
      </c>
      <c r="EF100" s="240" t="s">
        <v>492</v>
      </c>
      <c r="EG100" s="240" t="s">
        <v>492</v>
      </c>
      <c r="EH100" s="240" t="s">
        <v>492</v>
      </c>
      <c r="EI100" s="240" t="s">
        <v>492</v>
      </c>
      <c r="EJ100" s="240" t="s">
        <v>231</v>
      </c>
      <c r="EK100" s="240" t="s">
        <v>231</v>
      </c>
      <c r="EL100" s="240" t="s">
        <v>231</v>
      </c>
      <c r="EM100" s="240" t="s">
        <v>231</v>
      </c>
      <c r="EN100" s="240" t="s">
        <v>231</v>
      </c>
      <c r="EO100" s="240" t="s">
        <v>231</v>
      </c>
      <c r="EP100" s="240" t="s">
        <v>231</v>
      </c>
      <c r="EQ100" s="240" t="s">
        <v>231</v>
      </c>
      <c r="ER100" s="240" t="s">
        <v>231</v>
      </c>
      <c r="ES100" s="240" t="s">
        <v>231</v>
      </c>
      <c r="ET100" s="240" t="s">
        <v>231</v>
      </c>
      <c r="EU100" s="240" t="s">
        <v>231</v>
      </c>
      <c r="EV100" s="240" t="s">
        <v>231</v>
      </c>
      <c r="EW100" s="240" t="s">
        <v>231</v>
      </c>
      <c r="EX100" s="240" t="s">
        <v>231</v>
      </c>
      <c r="EY100" s="240" t="s">
        <v>231</v>
      </c>
      <c r="EZ100" s="240" t="s">
        <v>231</v>
      </c>
      <c r="FA100" s="240" t="s">
        <v>231</v>
      </c>
      <c r="FB100" s="240" t="s">
        <v>231</v>
      </c>
      <c r="FC100" s="240" t="s">
        <v>231</v>
      </c>
      <c r="FD100" s="240" t="s">
        <v>231</v>
      </c>
      <c r="FE100" s="240" t="s">
        <v>231</v>
      </c>
      <c r="FF100" s="240" t="s">
        <v>231</v>
      </c>
      <c r="FG100" s="240" t="s">
        <v>492</v>
      </c>
      <c r="FH100" s="240" t="s">
        <v>492</v>
      </c>
      <c r="FI100" s="240" t="s">
        <v>492</v>
      </c>
      <c r="FJ100" s="240" t="s">
        <v>492</v>
      </c>
      <c r="FK100" s="240" t="s">
        <v>492</v>
      </c>
      <c r="FL100" s="240" t="s">
        <v>492</v>
      </c>
      <c r="FM100" s="240" t="s">
        <v>231</v>
      </c>
      <c r="FN100" s="240" t="s">
        <v>231</v>
      </c>
      <c r="FO100" s="240" t="s">
        <v>231</v>
      </c>
      <c r="FP100" s="240" t="s">
        <v>231</v>
      </c>
      <c r="FQ100" s="240" t="s">
        <v>231</v>
      </c>
      <c r="FR100" s="240" t="s">
        <v>231</v>
      </c>
      <c r="FS100" s="240" t="s">
        <v>492</v>
      </c>
      <c r="FT100" s="240" t="s">
        <v>231</v>
      </c>
      <c r="FU100" s="240" t="s">
        <v>231</v>
      </c>
      <c r="FV100" s="240" t="s">
        <v>231</v>
      </c>
      <c r="FW100" s="240" t="s">
        <v>231</v>
      </c>
      <c r="FX100" s="240" t="s">
        <v>231</v>
      </c>
      <c r="FY100" s="240" t="s">
        <v>231</v>
      </c>
      <c r="FZ100" s="240" t="s">
        <v>231</v>
      </c>
      <c r="GA100" s="240" t="s">
        <v>231</v>
      </c>
      <c r="GB100" s="240" t="s">
        <v>231</v>
      </c>
      <c r="GC100" s="240" t="s">
        <v>231</v>
      </c>
      <c r="GD100" s="240" t="s">
        <v>231</v>
      </c>
      <c r="GE100" s="240" t="s">
        <v>231</v>
      </c>
      <c r="GF100" s="240" t="s">
        <v>231</v>
      </c>
      <c r="GG100" s="240" t="s">
        <v>231</v>
      </c>
      <c r="GH100" s="240" t="s">
        <v>231</v>
      </c>
      <c r="GI100" s="240" t="s">
        <v>231</v>
      </c>
      <c r="GJ100" s="240" t="s">
        <v>231</v>
      </c>
      <c r="GK100" s="240" t="s">
        <v>231</v>
      </c>
      <c r="GL100" s="240" t="s">
        <v>231</v>
      </c>
      <c r="GM100" s="240" t="s">
        <v>231</v>
      </c>
      <c r="GN100" s="240" t="s">
        <v>231</v>
      </c>
      <c r="GO100" s="240" t="s">
        <v>231</v>
      </c>
      <c r="GP100" s="240" t="s">
        <v>492</v>
      </c>
      <c r="GQ100" s="240" t="s">
        <v>231</v>
      </c>
      <c r="GR100" s="240" t="s">
        <v>231</v>
      </c>
      <c r="GS100" s="240" t="s">
        <v>231</v>
      </c>
      <c r="GT100" s="240" t="s">
        <v>231</v>
      </c>
      <c r="GU100" s="240" t="s">
        <v>492</v>
      </c>
      <c r="GV100" s="240" t="s">
        <v>492</v>
      </c>
      <c r="GW100" s="240" t="s">
        <v>231</v>
      </c>
      <c r="GX100" s="240" t="s">
        <v>231</v>
      </c>
      <c r="GY100" s="240" t="s">
        <v>231</v>
      </c>
      <c r="GZ100" s="240" t="s">
        <v>231</v>
      </c>
      <c r="HA100" s="240" t="s">
        <v>231</v>
      </c>
      <c r="HB100" s="240" t="s">
        <v>231</v>
      </c>
      <c r="HC100" s="240" t="s">
        <v>231</v>
      </c>
      <c r="HD100" s="240" t="s">
        <v>231</v>
      </c>
      <c r="HE100" s="240" t="s">
        <v>231</v>
      </c>
      <c r="HF100" s="240" t="s">
        <v>231</v>
      </c>
      <c r="HG100" s="240" t="s">
        <v>231</v>
      </c>
      <c r="HH100" s="240" t="s">
        <v>231</v>
      </c>
      <c r="HI100" s="240" t="s">
        <v>231</v>
      </c>
      <c r="HJ100" s="240" t="s">
        <v>231</v>
      </c>
      <c r="HK100" s="240" t="s">
        <v>231</v>
      </c>
      <c r="HL100" s="240" t="s">
        <v>231</v>
      </c>
      <c r="HM100" s="240" t="s">
        <v>231</v>
      </c>
      <c r="HN100" s="240" t="s">
        <v>231</v>
      </c>
      <c r="HO100" s="240" t="s">
        <v>231</v>
      </c>
      <c r="HP100" s="240" t="s">
        <v>492</v>
      </c>
      <c r="HQ100" s="240" t="s">
        <v>231</v>
      </c>
      <c r="HR100" s="240" t="s">
        <v>492</v>
      </c>
      <c r="HS100" s="240" t="s">
        <v>492</v>
      </c>
      <c r="HT100" s="240" t="s">
        <v>492</v>
      </c>
      <c r="HU100" s="240" t="s">
        <v>231</v>
      </c>
      <c r="HV100" s="240" t="s">
        <v>231</v>
      </c>
      <c r="HW100" s="240" t="s">
        <v>231</v>
      </c>
      <c r="HX100" s="240" t="s">
        <v>231</v>
      </c>
      <c r="HY100" s="240" t="s">
        <v>231</v>
      </c>
      <c r="HZ100" s="240" t="s">
        <v>231</v>
      </c>
      <c r="IA100" s="240" t="s">
        <v>231</v>
      </c>
      <c r="IB100" s="240" t="s">
        <v>231</v>
      </c>
      <c r="IC100" s="240" t="s">
        <v>231</v>
      </c>
      <c r="ID100" s="240" t="s">
        <v>231</v>
      </c>
      <c r="IE100" s="240" t="s">
        <v>231</v>
      </c>
      <c r="IF100" s="240" t="s">
        <v>231</v>
      </c>
      <c r="IG100" s="240" t="s">
        <v>231</v>
      </c>
      <c r="IH100" s="240" t="s">
        <v>231</v>
      </c>
      <c r="II100" s="240" t="s">
        <v>231</v>
      </c>
      <c r="IJ100" s="240" t="s">
        <v>231</v>
      </c>
      <c r="IK100" s="240" t="s">
        <v>231</v>
      </c>
      <c r="IL100" s="240" t="s">
        <v>231</v>
      </c>
      <c r="IM100" s="240" t="s">
        <v>231</v>
      </c>
      <c r="IN100" s="240" t="s">
        <v>231</v>
      </c>
      <c r="IO100" s="240" t="s">
        <v>220</v>
      </c>
      <c r="IP100" s="240" t="s">
        <v>493</v>
      </c>
      <c r="IQ100" s="240" t="s">
        <v>219</v>
      </c>
      <c r="IR100" s="240" t="s">
        <v>490</v>
      </c>
      <c r="IS100" s="240" t="s">
        <v>231</v>
      </c>
      <c r="IT100" s="240" t="s">
        <v>231</v>
      </c>
    </row>
    <row r="101" spans="1:254" ht="15" x14ac:dyDescent="0.25">
      <c r="A101" s="258" t="str">
        <f>HYPERLINK("http://www.ofsted.gov.uk/inspection-reports/find-inspection-report/provider/ELS/145162 ","Ofsted School Webpage")</f>
        <v>Ofsted School Webpage</v>
      </c>
      <c r="B101" s="237">
        <v>145162</v>
      </c>
      <c r="C101" s="237">
        <v>8816070</v>
      </c>
      <c r="D101" s="237" t="s">
        <v>763</v>
      </c>
      <c r="E101" s="237" t="s">
        <v>247</v>
      </c>
      <c r="F101" s="237" t="s">
        <v>482</v>
      </c>
      <c r="G101" s="237" t="s">
        <v>516</v>
      </c>
      <c r="H101" s="237" t="s">
        <v>516</v>
      </c>
      <c r="I101" s="237" t="s">
        <v>764</v>
      </c>
      <c r="J101" s="237" t="s">
        <v>765</v>
      </c>
      <c r="K101" s="237" t="s">
        <v>93</v>
      </c>
      <c r="L101" s="237" t="s">
        <v>71</v>
      </c>
      <c r="M101" s="237" t="s">
        <v>71</v>
      </c>
      <c r="N101" s="237" t="s">
        <v>71</v>
      </c>
      <c r="O101" s="237" t="s">
        <v>486</v>
      </c>
      <c r="P101" s="237" t="s">
        <v>487</v>
      </c>
      <c r="Q101" s="238">
        <v>10054013</v>
      </c>
      <c r="R101" s="239">
        <v>43417</v>
      </c>
      <c r="S101" s="239">
        <v>43419</v>
      </c>
      <c r="T101" s="239">
        <v>43447</v>
      </c>
      <c r="U101" s="237" t="s">
        <v>499</v>
      </c>
      <c r="V101" s="237" t="s">
        <v>489</v>
      </c>
      <c r="W101" s="237">
        <v>2</v>
      </c>
      <c r="X101" s="237">
        <v>2</v>
      </c>
      <c r="Y101" s="237">
        <v>2</v>
      </c>
      <c r="Z101" s="237">
        <v>2</v>
      </c>
      <c r="AA101" s="237">
        <v>2</v>
      </c>
      <c r="AB101" s="237" t="s">
        <v>486</v>
      </c>
      <c r="AC101" s="237" t="s">
        <v>486</v>
      </c>
      <c r="AD101" s="237" t="s">
        <v>219</v>
      </c>
      <c r="AE101" s="237" t="s">
        <v>490</v>
      </c>
      <c r="AF101" s="237" t="s">
        <v>486</v>
      </c>
      <c r="AG101" s="237" t="s">
        <v>486</v>
      </c>
      <c r="AH101" s="237" t="s">
        <v>486</v>
      </c>
      <c r="AI101" s="237" t="s">
        <v>486</v>
      </c>
      <c r="AJ101" s="237" t="s">
        <v>486</v>
      </c>
      <c r="AK101" s="237" t="s">
        <v>486</v>
      </c>
      <c r="AL101" s="237" t="s">
        <v>486</v>
      </c>
      <c r="AM101" s="237" t="s">
        <v>491</v>
      </c>
      <c r="AN101" s="237" t="s">
        <v>231</v>
      </c>
      <c r="AO101" s="237" t="s">
        <v>231</v>
      </c>
      <c r="AP101" s="237" t="s">
        <v>231</v>
      </c>
      <c r="AQ101" s="237" t="s">
        <v>231</v>
      </c>
      <c r="AR101" s="237" t="s">
        <v>231</v>
      </c>
      <c r="AS101" s="237" t="s">
        <v>231</v>
      </c>
      <c r="AT101" s="237" t="s">
        <v>231</v>
      </c>
      <c r="AU101" s="237" t="s">
        <v>231</v>
      </c>
      <c r="AV101" s="237" t="s">
        <v>231</v>
      </c>
      <c r="AW101" s="237" t="s">
        <v>231</v>
      </c>
      <c r="AX101" s="237" t="s">
        <v>231</v>
      </c>
      <c r="AY101" s="237" t="s">
        <v>231</v>
      </c>
      <c r="AZ101" s="237" t="s">
        <v>231</v>
      </c>
      <c r="BA101" s="237" t="s">
        <v>231</v>
      </c>
      <c r="BB101" s="237" t="s">
        <v>231</v>
      </c>
      <c r="BC101" s="237" t="s">
        <v>231</v>
      </c>
      <c r="BD101" s="237" t="s">
        <v>231</v>
      </c>
      <c r="BE101" s="237" t="s">
        <v>231</v>
      </c>
      <c r="BF101" s="237" t="s">
        <v>231</v>
      </c>
      <c r="BG101" s="237" t="s">
        <v>231</v>
      </c>
      <c r="BH101" s="237" t="s">
        <v>231</v>
      </c>
      <c r="BI101" s="237" t="s">
        <v>231</v>
      </c>
      <c r="BJ101" s="237" t="s">
        <v>231</v>
      </c>
      <c r="BK101" s="237" t="s">
        <v>231</v>
      </c>
      <c r="BL101" s="237" t="s">
        <v>492</v>
      </c>
      <c r="BM101" s="237" t="s">
        <v>231</v>
      </c>
      <c r="BN101" s="237" t="s">
        <v>231</v>
      </c>
      <c r="BO101" s="237" t="s">
        <v>231</v>
      </c>
      <c r="BP101" s="237" t="s">
        <v>231</v>
      </c>
      <c r="BQ101" s="237" t="s">
        <v>231</v>
      </c>
      <c r="BR101" s="237" t="s">
        <v>231</v>
      </c>
      <c r="BS101" s="237" t="s">
        <v>231</v>
      </c>
      <c r="BT101" s="237" t="s">
        <v>231</v>
      </c>
      <c r="BU101" s="237" t="s">
        <v>231</v>
      </c>
      <c r="BV101" s="237" t="s">
        <v>231</v>
      </c>
      <c r="BW101" s="237" t="s">
        <v>231</v>
      </c>
      <c r="BX101" s="237" t="s">
        <v>231</v>
      </c>
      <c r="BY101" s="237" t="s">
        <v>231</v>
      </c>
      <c r="BZ101" s="237" t="s">
        <v>231</v>
      </c>
      <c r="CA101" s="237" t="s">
        <v>231</v>
      </c>
      <c r="CB101" s="237" t="s">
        <v>231</v>
      </c>
      <c r="CC101" s="237" t="s">
        <v>231</v>
      </c>
      <c r="CD101" s="237" t="s">
        <v>231</v>
      </c>
      <c r="CE101" s="237" t="s">
        <v>231</v>
      </c>
      <c r="CF101" s="237" t="s">
        <v>231</v>
      </c>
      <c r="CG101" s="237" t="s">
        <v>231</v>
      </c>
      <c r="CH101" s="237" t="s">
        <v>231</v>
      </c>
      <c r="CI101" s="237" t="s">
        <v>231</v>
      </c>
      <c r="CJ101" s="237" t="s">
        <v>231</v>
      </c>
      <c r="CK101" s="237" t="s">
        <v>231</v>
      </c>
      <c r="CL101" s="237" t="s">
        <v>231</v>
      </c>
      <c r="CM101" s="237" t="s">
        <v>231</v>
      </c>
      <c r="CN101" s="237" t="s">
        <v>231</v>
      </c>
      <c r="CO101" s="237" t="s">
        <v>231</v>
      </c>
      <c r="CP101" s="237" t="s">
        <v>231</v>
      </c>
      <c r="CQ101" s="237" t="s">
        <v>231</v>
      </c>
      <c r="CR101" s="237" t="s">
        <v>231</v>
      </c>
      <c r="CS101" s="237" t="s">
        <v>231</v>
      </c>
      <c r="CT101" s="237" t="s">
        <v>492</v>
      </c>
      <c r="CU101" s="237" t="s">
        <v>492</v>
      </c>
      <c r="CV101" s="237" t="s">
        <v>492</v>
      </c>
      <c r="CW101" s="237" t="s">
        <v>231</v>
      </c>
      <c r="CX101" s="237" t="s">
        <v>231</v>
      </c>
      <c r="CY101" s="237" t="s">
        <v>231</v>
      </c>
      <c r="CZ101" s="237" t="s">
        <v>231</v>
      </c>
      <c r="DA101" s="237" t="s">
        <v>231</v>
      </c>
      <c r="DB101" s="237" t="s">
        <v>231</v>
      </c>
      <c r="DC101" s="237" t="s">
        <v>231</v>
      </c>
      <c r="DD101" s="237" t="s">
        <v>231</v>
      </c>
      <c r="DE101" s="237" t="s">
        <v>231</v>
      </c>
      <c r="DF101" s="237" t="s">
        <v>231</v>
      </c>
      <c r="DG101" s="237" t="s">
        <v>231</v>
      </c>
      <c r="DH101" s="237" t="s">
        <v>231</v>
      </c>
      <c r="DI101" s="237" t="s">
        <v>231</v>
      </c>
      <c r="DJ101" s="237" t="s">
        <v>231</v>
      </c>
      <c r="DK101" s="237" t="s">
        <v>231</v>
      </c>
      <c r="DL101" s="237" t="s">
        <v>231</v>
      </c>
      <c r="DM101" s="237" t="s">
        <v>231</v>
      </c>
      <c r="DN101" s="237" t="s">
        <v>231</v>
      </c>
      <c r="DO101" s="237" t="s">
        <v>231</v>
      </c>
      <c r="DP101" s="237" t="s">
        <v>231</v>
      </c>
      <c r="DQ101" s="237" t="s">
        <v>231</v>
      </c>
      <c r="DR101" s="237" t="s">
        <v>231</v>
      </c>
      <c r="DS101" s="237" t="s">
        <v>231</v>
      </c>
      <c r="DT101" s="237" t="s">
        <v>492</v>
      </c>
      <c r="DU101" s="237" t="s">
        <v>231</v>
      </c>
      <c r="DV101" s="237" t="s">
        <v>231</v>
      </c>
      <c r="DW101" s="237" t="s">
        <v>231</v>
      </c>
      <c r="DX101" s="237" t="s">
        <v>231</v>
      </c>
      <c r="DY101" s="237" t="s">
        <v>231</v>
      </c>
      <c r="DZ101" s="237" t="s">
        <v>231</v>
      </c>
      <c r="EA101" s="237" t="s">
        <v>231</v>
      </c>
      <c r="EB101" s="237" t="s">
        <v>231</v>
      </c>
      <c r="EC101" s="237" t="s">
        <v>231</v>
      </c>
      <c r="ED101" s="237" t="s">
        <v>231</v>
      </c>
      <c r="EE101" s="237" t="s">
        <v>231</v>
      </c>
      <c r="EF101" s="237" t="s">
        <v>231</v>
      </c>
      <c r="EG101" s="237" t="s">
        <v>231</v>
      </c>
      <c r="EH101" s="237" t="s">
        <v>492</v>
      </c>
      <c r="EI101" s="237" t="s">
        <v>231</v>
      </c>
      <c r="EJ101" s="237" t="s">
        <v>231</v>
      </c>
      <c r="EK101" s="237" t="s">
        <v>231</v>
      </c>
      <c r="EL101" s="237" t="s">
        <v>231</v>
      </c>
      <c r="EM101" s="237" t="s">
        <v>231</v>
      </c>
      <c r="EN101" s="237" t="s">
        <v>231</v>
      </c>
      <c r="EO101" s="237" t="s">
        <v>231</v>
      </c>
      <c r="EP101" s="237" t="s">
        <v>231</v>
      </c>
      <c r="EQ101" s="237" t="s">
        <v>231</v>
      </c>
      <c r="ER101" s="237" t="s">
        <v>231</v>
      </c>
      <c r="ES101" s="237" t="s">
        <v>231</v>
      </c>
      <c r="ET101" s="237" t="s">
        <v>231</v>
      </c>
      <c r="EU101" s="237" t="s">
        <v>231</v>
      </c>
      <c r="EV101" s="237" t="s">
        <v>231</v>
      </c>
      <c r="EW101" s="237" t="s">
        <v>231</v>
      </c>
      <c r="EX101" s="237" t="s">
        <v>231</v>
      </c>
      <c r="EY101" s="237" t="s">
        <v>231</v>
      </c>
      <c r="EZ101" s="237" t="s">
        <v>231</v>
      </c>
      <c r="FA101" s="237" t="s">
        <v>231</v>
      </c>
      <c r="FB101" s="237" t="s">
        <v>231</v>
      </c>
      <c r="FC101" s="237" t="s">
        <v>231</v>
      </c>
      <c r="FD101" s="237" t="s">
        <v>231</v>
      </c>
      <c r="FE101" s="237" t="s">
        <v>231</v>
      </c>
      <c r="FF101" s="237" t="s">
        <v>231</v>
      </c>
      <c r="FG101" s="237" t="s">
        <v>231</v>
      </c>
      <c r="FH101" s="237" t="s">
        <v>231</v>
      </c>
      <c r="FI101" s="237" t="s">
        <v>231</v>
      </c>
      <c r="FJ101" s="237" t="s">
        <v>231</v>
      </c>
      <c r="FK101" s="237" t="s">
        <v>231</v>
      </c>
      <c r="FL101" s="237" t="s">
        <v>231</v>
      </c>
      <c r="FM101" s="237" t="s">
        <v>231</v>
      </c>
      <c r="FN101" s="237" t="s">
        <v>231</v>
      </c>
      <c r="FO101" s="237" t="s">
        <v>231</v>
      </c>
      <c r="FP101" s="237" t="s">
        <v>231</v>
      </c>
      <c r="FQ101" s="237" t="s">
        <v>231</v>
      </c>
      <c r="FR101" s="237" t="s">
        <v>231</v>
      </c>
      <c r="FS101" s="237" t="s">
        <v>231</v>
      </c>
      <c r="FT101" s="237" t="s">
        <v>231</v>
      </c>
      <c r="FU101" s="237" t="s">
        <v>231</v>
      </c>
      <c r="FV101" s="237" t="s">
        <v>231</v>
      </c>
      <c r="FW101" s="237" t="s">
        <v>231</v>
      </c>
      <c r="FX101" s="237" t="s">
        <v>231</v>
      </c>
      <c r="FY101" s="237" t="s">
        <v>231</v>
      </c>
      <c r="FZ101" s="237" t="s">
        <v>231</v>
      </c>
      <c r="GA101" s="237" t="s">
        <v>231</v>
      </c>
      <c r="GB101" s="237" t="s">
        <v>231</v>
      </c>
      <c r="GC101" s="237" t="s">
        <v>231</v>
      </c>
      <c r="GD101" s="237" t="s">
        <v>231</v>
      </c>
      <c r="GE101" s="237" t="s">
        <v>231</v>
      </c>
      <c r="GF101" s="237" t="s">
        <v>231</v>
      </c>
      <c r="GG101" s="237" t="s">
        <v>231</v>
      </c>
      <c r="GH101" s="237" t="s">
        <v>231</v>
      </c>
      <c r="GI101" s="237" t="s">
        <v>231</v>
      </c>
      <c r="GJ101" s="237" t="s">
        <v>231</v>
      </c>
      <c r="GK101" s="237" t="s">
        <v>231</v>
      </c>
      <c r="GL101" s="237" t="s">
        <v>231</v>
      </c>
      <c r="GM101" s="237" t="s">
        <v>231</v>
      </c>
      <c r="GN101" s="237" t="s">
        <v>231</v>
      </c>
      <c r="GO101" s="237" t="s">
        <v>231</v>
      </c>
      <c r="GP101" s="237" t="s">
        <v>492</v>
      </c>
      <c r="GQ101" s="237" t="s">
        <v>231</v>
      </c>
      <c r="GR101" s="237" t="s">
        <v>231</v>
      </c>
      <c r="GS101" s="237" t="s">
        <v>231</v>
      </c>
      <c r="GT101" s="237" t="s">
        <v>231</v>
      </c>
      <c r="GU101" s="237" t="s">
        <v>231</v>
      </c>
      <c r="GV101" s="237" t="s">
        <v>231</v>
      </c>
      <c r="GW101" s="237" t="s">
        <v>231</v>
      </c>
      <c r="GX101" s="237" t="s">
        <v>231</v>
      </c>
      <c r="GY101" s="237" t="s">
        <v>492</v>
      </c>
      <c r="GZ101" s="237" t="s">
        <v>492</v>
      </c>
      <c r="HA101" s="237" t="s">
        <v>231</v>
      </c>
      <c r="HB101" s="237" t="s">
        <v>231</v>
      </c>
      <c r="HC101" s="237" t="s">
        <v>231</v>
      </c>
      <c r="HD101" s="237" t="s">
        <v>231</v>
      </c>
      <c r="HE101" s="237" t="s">
        <v>492</v>
      </c>
      <c r="HF101" s="237" t="s">
        <v>231</v>
      </c>
      <c r="HG101" s="237" t="s">
        <v>231</v>
      </c>
      <c r="HH101" s="237" t="s">
        <v>231</v>
      </c>
      <c r="HI101" s="237" t="s">
        <v>231</v>
      </c>
      <c r="HJ101" s="237" t="s">
        <v>231</v>
      </c>
      <c r="HK101" s="237" t="s">
        <v>231</v>
      </c>
      <c r="HL101" s="237" t="s">
        <v>231</v>
      </c>
      <c r="HM101" s="237" t="s">
        <v>231</v>
      </c>
      <c r="HN101" s="237" t="s">
        <v>231</v>
      </c>
      <c r="HO101" s="237" t="s">
        <v>231</v>
      </c>
      <c r="HP101" s="237" t="s">
        <v>231</v>
      </c>
      <c r="HQ101" s="237" t="s">
        <v>492</v>
      </c>
      <c r="HR101" s="237" t="s">
        <v>492</v>
      </c>
      <c r="HS101" s="237" t="s">
        <v>492</v>
      </c>
      <c r="HT101" s="237" t="s">
        <v>492</v>
      </c>
      <c r="HU101" s="237" t="s">
        <v>231</v>
      </c>
      <c r="HV101" s="237" t="s">
        <v>231</v>
      </c>
      <c r="HW101" s="237" t="s">
        <v>231</v>
      </c>
      <c r="HX101" s="237" t="s">
        <v>231</v>
      </c>
      <c r="HY101" s="237" t="s">
        <v>231</v>
      </c>
      <c r="HZ101" s="237" t="s">
        <v>231</v>
      </c>
      <c r="IA101" s="237" t="s">
        <v>231</v>
      </c>
      <c r="IB101" s="237" t="s">
        <v>231</v>
      </c>
      <c r="IC101" s="237" t="s">
        <v>231</v>
      </c>
      <c r="ID101" s="237" t="s">
        <v>231</v>
      </c>
      <c r="IE101" s="237" t="s">
        <v>231</v>
      </c>
      <c r="IF101" s="237" t="s">
        <v>231</v>
      </c>
      <c r="IG101" s="237" t="s">
        <v>231</v>
      </c>
      <c r="IH101" s="237" t="s">
        <v>231</v>
      </c>
      <c r="II101" s="237" t="s">
        <v>231</v>
      </c>
      <c r="IJ101" s="237" t="s">
        <v>231</v>
      </c>
      <c r="IK101" s="237" t="s">
        <v>231</v>
      </c>
      <c r="IL101" s="237" t="s">
        <v>231</v>
      </c>
      <c r="IM101" s="237" t="s">
        <v>231</v>
      </c>
      <c r="IN101" s="237" t="s">
        <v>231</v>
      </c>
      <c r="IO101" s="237" t="s">
        <v>220</v>
      </c>
      <c r="IP101" s="237" t="s">
        <v>493</v>
      </c>
      <c r="IQ101" s="237" t="s">
        <v>219</v>
      </c>
      <c r="IR101" s="237" t="s">
        <v>490</v>
      </c>
      <c r="IS101" s="237" t="s">
        <v>492</v>
      </c>
      <c r="IT101" s="237" t="s">
        <v>492</v>
      </c>
    </row>
    <row r="102" spans="1:254" ht="15" x14ac:dyDescent="0.25">
      <c r="A102" s="259" t="str">
        <f>HYPERLINK("http://www.ofsted.gov.uk/inspection-reports/find-inspection-report/provider/ELS/142330 ","Ofsted School Webpage")</f>
        <v>Ofsted School Webpage</v>
      </c>
      <c r="B102" s="240">
        <v>142330</v>
      </c>
      <c r="C102" s="240">
        <v>3826004</v>
      </c>
      <c r="D102" s="240" t="s">
        <v>766</v>
      </c>
      <c r="E102" s="240" t="s">
        <v>247</v>
      </c>
      <c r="F102" s="240" t="s">
        <v>482</v>
      </c>
      <c r="G102" s="240" t="s">
        <v>523</v>
      </c>
      <c r="H102" s="240" t="s">
        <v>524</v>
      </c>
      <c r="I102" s="240" t="s">
        <v>767</v>
      </c>
      <c r="J102" s="240" t="s">
        <v>768</v>
      </c>
      <c r="K102" s="240" t="s">
        <v>93</v>
      </c>
      <c r="L102" s="240" t="s">
        <v>84</v>
      </c>
      <c r="M102" s="240" t="s">
        <v>84</v>
      </c>
      <c r="N102" s="240" t="s">
        <v>84</v>
      </c>
      <c r="O102" s="240" t="s">
        <v>486</v>
      </c>
      <c r="P102" s="240" t="s">
        <v>487</v>
      </c>
      <c r="Q102" s="241">
        <v>10053834</v>
      </c>
      <c r="R102" s="242">
        <v>43418</v>
      </c>
      <c r="S102" s="242">
        <v>43420</v>
      </c>
      <c r="T102" s="242">
        <v>43444</v>
      </c>
      <c r="U102" s="240" t="s">
        <v>488</v>
      </c>
      <c r="V102" s="240" t="s">
        <v>489</v>
      </c>
      <c r="W102" s="240">
        <v>2</v>
      </c>
      <c r="X102" s="240">
        <v>2</v>
      </c>
      <c r="Y102" s="240">
        <v>2</v>
      </c>
      <c r="Z102" s="240">
        <v>2</v>
      </c>
      <c r="AA102" s="240">
        <v>2</v>
      </c>
      <c r="AB102" s="240" t="s">
        <v>486</v>
      </c>
      <c r="AC102" s="240" t="s">
        <v>486</v>
      </c>
      <c r="AD102" s="240" t="s">
        <v>219</v>
      </c>
      <c r="AE102" s="240" t="s">
        <v>490</v>
      </c>
      <c r="AF102" s="240" t="s">
        <v>486</v>
      </c>
      <c r="AG102" s="240" t="s">
        <v>486</v>
      </c>
      <c r="AH102" s="240" t="s">
        <v>486</v>
      </c>
      <c r="AI102" s="240" t="s">
        <v>486</v>
      </c>
      <c r="AJ102" s="240" t="s">
        <v>486</v>
      </c>
      <c r="AK102" s="240" t="s">
        <v>486</v>
      </c>
      <c r="AL102" s="240" t="s">
        <v>486</v>
      </c>
      <c r="AM102" s="240" t="s">
        <v>491</v>
      </c>
      <c r="AN102" s="240" t="s">
        <v>231</v>
      </c>
      <c r="AO102" s="240" t="s">
        <v>231</v>
      </c>
      <c r="AP102" s="240" t="s">
        <v>231</v>
      </c>
      <c r="AQ102" s="240" t="s">
        <v>231</v>
      </c>
      <c r="AR102" s="240" t="s">
        <v>231</v>
      </c>
      <c r="AS102" s="240" t="s">
        <v>231</v>
      </c>
      <c r="AT102" s="240" t="s">
        <v>231</v>
      </c>
      <c r="AU102" s="240" t="s">
        <v>231</v>
      </c>
      <c r="AV102" s="240" t="s">
        <v>231</v>
      </c>
      <c r="AW102" s="240" t="s">
        <v>231</v>
      </c>
      <c r="AX102" s="240" t="s">
        <v>231</v>
      </c>
      <c r="AY102" s="240" t="s">
        <v>231</v>
      </c>
      <c r="AZ102" s="240" t="s">
        <v>231</v>
      </c>
      <c r="BA102" s="240" t="s">
        <v>231</v>
      </c>
      <c r="BB102" s="240" t="s">
        <v>231</v>
      </c>
      <c r="BC102" s="240" t="s">
        <v>231</v>
      </c>
      <c r="BD102" s="240" t="s">
        <v>492</v>
      </c>
      <c r="BE102" s="240" t="s">
        <v>231</v>
      </c>
      <c r="BF102" s="240" t="s">
        <v>231</v>
      </c>
      <c r="BG102" s="240" t="s">
        <v>231</v>
      </c>
      <c r="BH102" s="240" t="s">
        <v>231</v>
      </c>
      <c r="BI102" s="240" t="s">
        <v>231</v>
      </c>
      <c r="BJ102" s="240" t="s">
        <v>231</v>
      </c>
      <c r="BK102" s="240" t="s">
        <v>231</v>
      </c>
      <c r="BL102" s="240" t="s">
        <v>492</v>
      </c>
      <c r="BM102" s="240" t="s">
        <v>492</v>
      </c>
      <c r="BN102" s="240" t="s">
        <v>231</v>
      </c>
      <c r="BO102" s="240" t="s">
        <v>231</v>
      </c>
      <c r="BP102" s="240" t="s">
        <v>231</v>
      </c>
      <c r="BQ102" s="240" t="s">
        <v>231</v>
      </c>
      <c r="BR102" s="240" t="s">
        <v>231</v>
      </c>
      <c r="BS102" s="240" t="s">
        <v>231</v>
      </c>
      <c r="BT102" s="240" t="s">
        <v>231</v>
      </c>
      <c r="BU102" s="240" t="s">
        <v>231</v>
      </c>
      <c r="BV102" s="240" t="s">
        <v>231</v>
      </c>
      <c r="BW102" s="240" t="s">
        <v>231</v>
      </c>
      <c r="BX102" s="240" t="s">
        <v>231</v>
      </c>
      <c r="BY102" s="240" t="s">
        <v>231</v>
      </c>
      <c r="BZ102" s="240" t="s">
        <v>231</v>
      </c>
      <c r="CA102" s="240" t="s">
        <v>231</v>
      </c>
      <c r="CB102" s="240" t="s">
        <v>231</v>
      </c>
      <c r="CC102" s="240" t="s">
        <v>231</v>
      </c>
      <c r="CD102" s="240" t="s">
        <v>231</v>
      </c>
      <c r="CE102" s="240" t="s">
        <v>231</v>
      </c>
      <c r="CF102" s="240" t="s">
        <v>231</v>
      </c>
      <c r="CG102" s="240" t="s">
        <v>231</v>
      </c>
      <c r="CH102" s="240" t="s">
        <v>231</v>
      </c>
      <c r="CI102" s="240" t="s">
        <v>231</v>
      </c>
      <c r="CJ102" s="240" t="s">
        <v>231</v>
      </c>
      <c r="CK102" s="240" t="s">
        <v>231</v>
      </c>
      <c r="CL102" s="240" t="s">
        <v>231</v>
      </c>
      <c r="CM102" s="240" t="s">
        <v>231</v>
      </c>
      <c r="CN102" s="240" t="s">
        <v>231</v>
      </c>
      <c r="CO102" s="240" t="s">
        <v>231</v>
      </c>
      <c r="CP102" s="240" t="s">
        <v>231</v>
      </c>
      <c r="CQ102" s="240" t="s">
        <v>231</v>
      </c>
      <c r="CR102" s="240" t="s">
        <v>231</v>
      </c>
      <c r="CS102" s="240" t="s">
        <v>231</v>
      </c>
      <c r="CT102" s="240" t="s">
        <v>492</v>
      </c>
      <c r="CU102" s="240" t="s">
        <v>492</v>
      </c>
      <c r="CV102" s="240" t="s">
        <v>492</v>
      </c>
      <c r="CW102" s="240" t="s">
        <v>231</v>
      </c>
      <c r="CX102" s="240" t="s">
        <v>231</v>
      </c>
      <c r="CY102" s="240" t="s">
        <v>231</v>
      </c>
      <c r="CZ102" s="240" t="s">
        <v>231</v>
      </c>
      <c r="DA102" s="240" t="s">
        <v>231</v>
      </c>
      <c r="DB102" s="240" t="s">
        <v>231</v>
      </c>
      <c r="DC102" s="240" t="s">
        <v>231</v>
      </c>
      <c r="DD102" s="240" t="s">
        <v>231</v>
      </c>
      <c r="DE102" s="240" t="s">
        <v>231</v>
      </c>
      <c r="DF102" s="240" t="s">
        <v>231</v>
      </c>
      <c r="DG102" s="240" t="s">
        <v>231</v>
      </c>
      <c r="DH102" s="240" t="s">
        <v>231</v>
      </c>
      <c r="DI102" s="240" t="s">
        <v>231</v>
      </c>
      <c r="DJ102" s="240" t="s">
        <v>231</v>
      </c>
      <c r="DK102" s="240" t="s">
        <v>231</v>
      </c>
      <c r="DL102" s="240" t="s">
        <v>231</v>
      </c>
      <c r="DM102" s="240" t="s">
        <v>231</v>
      </c>
      <c r="DN102" s="240" t="s">
        <v>231</v>
      </c>
      <c r="DO102" s="240" t="s">
        <v>231</v>
      </c>
      <c r="DP102" s="240" t="s">
        <v>231</v>
      </c>
      <c r="DQ102" s="240" t="s">
        <v>231</v>
      </c>
      <c r="DR102" s="240" t="s">
        <v>231</v>
      </c>
      <c r="DS102" s="240" t="s">
        <v>231</v>
      </c>
      <c r="DT102" s="240" t="s">
        <v>492</v>
      </c>
      <c r="DU102" s="240" t="s">
        <v>231</v>
      </c>
      <c r="DV102" s="240" t="s">
        <v>492</v>
      </c>
      <c r="DW102" s="240" t="s">
        <v>492</v>
      </c>
      <c r="DX102" s="240" t="s">
        <v>492</v>
      </c>
      <c r="DY102" s="240" t="s">
        <v>492</v>
      </c>
      <c r="DZ102" s="240" t="s">
        <v>492</v>
      </c>
      <c r="EA102" s="240" t="s">
        <v>492</v>
      </c>
      <c r="EB102" s="240" t="s">
        <v>492</v>
      </c>
      <c r="EC102" s="240" t="s">
        <v>492</v>
      </c>
      <c r="ED102" s="240" t="s">
        <v>492</v>
      </c>
      <c r="EE102" s="240" t="s">
        <v>492</v>
      </c>
      <c r="EF102" s="240" t="s">
        <v>492</v>
      </c>
      <c r="EG102" s="240" t="s">
        <v>492</v>
      </c>
      <c r="EH102" s="240" t="s">
        <v>492</v>
      </c>
      <c r="EI102" s="240" t="s">
        <v>492</v>
      </c>
      <c r="EJ102" s="240" t="s">
        <v>231</v>
      </c>
      <c r="EK102" s="240" t="s">
        <v>231</v>
      </c>
      <c r="EL102" s="240" t="s">
        <v>231</v>
      </c>
      <c r="EM102" s="240" t="s">
        <v>231</v>
      </c>
      <c r="EN102" s="240" t="s">
        <v>231</v>
      </c>
      <c r="EO102" s="240" t="s">
        <v>231</v>
      </c>
      <c r="EP102" s="240" t="s">
        <v>231</v>
      </c>
      <c r="EQ102" s="240" t="s">
        <v>231</v>
      </c>
      <c r="ER102" s="240" t="s">
        <v>231</v>
      </c>
      <c r="ES102" s="240" t="s">
        <v>231</v>
      </c>
      <c r="ET102" s="240" t="s">
        <v>231</v>
      </c>
      <c r="EU102" s="240" t="s">
        <v>231</v>
      </c>
      <c r="EV102" s="240" t="s">
        <v>231</v>
      </c>
      <c r="EW102" s="240" t="s">
        <v>231</v>
      </c>
      <c r="EX102" s="240" t="s">
        <v>231</v>
      </c>
      <c r="EY102" s="240" t="s">
        <v>231</v>
      </c>
      <c r="EZ102" s="240" t="s">
        <v>231</v>
      </c>
      <c r="FA102" s="240" t="s">
        <v>231</v>
      </c>
      <c r="FB102" s="240" t="s">
        <v>231</v>
      </c>
      <c r="FC102" s="240" t="s">
        <v>231</v>
      </c>
      <c r="FD102" s="240" t="s">
        <v>231</v>
      </c>
      <c r="FE102" s="240" t="s">
        <v>231</v>
      </c>
      <c r="FF102" s="240" t="s">
        <v>492</v>
      </c>
      <c r="FG102" s="240" t="s">
        <v>492</v>
      </c>
      <c r="FH102" s="240" t="s">
        <v>492</v>
      </c>
      <c r="FI102" s="240" t="s">
        <v>492</v>
      </c>
      <c r="FJ102" s="240" t="s">
        <v>492</v>
      </c>
      <c r="FK102" s="240" t="s">
        <v>492</v>
      </c>
      <c r="FL102" s="240" t="s">
        <v>492</v>
      </c>
      <c r="FM102" s="240" t="s">
        <v>231</v>
      </c>
      <c r="FN102" s="240" t="s">
        <v>492</v>
      </c>
      <c r="FO102" s="240" t="s">
        <v>493</v>
      </c>
      <c r="FP102" s="240" t="s">
        <v>492</v>
      </c>
      <c r="FQ102" s="240" t="s">
        <v>231</v>
      </c>
      <c r="FR102" s="240" t="s">
        <v>231</v>
      </c>
      <c r="FS102" s="240" t="s">
        <v>492</v>
      </c>
      <c r="FT102" s="240" t="s">
        <v>231</v>
      </c>
      <c r="FU102" s="240" t="s">
        <v>231</v>
      </c>
      <c r="FV102" s="240" t="s">
        <v>231</v>
      </c>
      <c r="FW102" s="240" t="s">
        <v>231</v>
      </c>
      <c r="FX102" s="240" t="s">
        <v>492</v>
      </c>
      <c r="FY102" s="240" t="s">
        <v>231</v>
      </c>
      <c r="FZ102" s="240" t="s">
        <v>231</v>
      </c>
      <c r="GA102" s="240" t="s">
        <v>231</v>
      </c>
      <c r="GB102" s="240" t="s">
        <v>231</v>
      </c>
      <c r="GC102" s="240" t="s">
        <v>231</v>
      </c>
      <c r="GD102" s="240" t="s">
        <v>231</v>
      </c>
      <c r="GE102" s="240" t="s">
        <v>231</v>
      </c>
      <c r="GF102" s="240" t="s">
        <v>231</v>
      </c>
      <c r="GG102" s="240" t="s">
        <v>231</v>
      </c>
      <c r="GH102" s="240" t="s">
        <v>231</v>
      </c>
      <c r="GI102" s="240" t="s">
        <v>231</v>
      </c>
      <c r="GJ102" s="240" t="s">
        <v>231</v>
      </c>
      <c r="GK102" s="240" t="s">
        <v>231</v>
      </c>
      <c r="GL102" s="240" t="s">
        <v>231</v>
      </c>
      <c r="GM102" s="240" t="s">
        <v>231</v>
      </c>
      <c r="GN102" s="240" t="s">
        <v>231</v>
      </c>
      <c r="GO102" s="240" t="s">
        <v>231</v>
      </c>
      <c r="GP102" s="240" t="s">
        <v>492</v>
      </c>
      <c r="GQ102" s="240" t="s">
        <v>231</v>
      </c>
      <c r="GR102" s="240" t="s">
        <v>231</v>
      </c>
      <c r="GS102" s="240" t="s">
        <v>231</v>
      </c>
      <c r="GT102" s="240" t="s">
        <v>231</v>
      </c>
      <c r="GU102" s="240" t="s">
        <v>231</v>
      </c>
      <c r="GV102" s="240" t="s">
        <v>492</v>
      </c>
      <c r="GW102" s="240" t="s">
        <v>231</v>
      </c>
      <c r="GX102" s="240" t="s">
        <v>231</v>
      </c>
      <c r="GY102" s="240" t="s">
        <v>492</v>
      </c>
      <c r="GZ102" s="240" t="s">
        <v>492</v>
      </c>
      <c r="HA102" s="240" t="s">
        <v>492</v>
      </c>
      <c r="HB102" s="240" t="s">
        <v>231</v>
      </c>
      <c r="HC102" s="240" t="s">
        <v>231</v>
      </c>
      <c r="HD102" s="240" t="s">
        <v>492</v>
      </c>
      <c r="HE102" s="240" t="s">
        <v>492</v>
      </c>
      <c r="HF102" s="240" t="s">
        <v>492</v>
      </c>
      <c r="HG102" s="240" t="s">
        <v>231</v>
      </c>
      <c r="HH102" s="240" t="s">
        <v>231</v>
      </c>
      <c r="HI102" s="240" t="s">
        <v>231</v>
      </c>
      <c r="HJ102" s="240" t="s">
        <v>231</v>
      </c>
      <c r="HK102" s="240" t="s">
        <v>231</v>
      </c>
      <c r="HL102" s="240" t="s">
        <v>231</v>
      </c>
      <c r="HM102" s="240" t="s">
        <v>231</v>
      </c>
      <c r="HN102" s="240" t="s">
        <v>231</v>
      </c>
      <c r="HO102" s="240" t="s">
        <v>231</v>
      </c>
      <c r="HP102" s="240" t="s">
        <v>231</v>
      </c>
      <c r="HQ102" s="240" t="s">
        <v>492</v>
      </c>
      <c r="HR102" s="240" t="s">
        <v>492</v>
      </c>
      <c r="HS102" s="240" t="s">
        <v>492</v>
      </c>
      <c r="HT102" s="240" t="s">
        <v>492</v>
      </c>
      <c r="HU102" s="240" t="s">
        <v>231</v>
      </c>
      <c r="HV102" s="240" t="s">
        <v>231</v>
      </c>
      <c r="HW102" s="240" t="s">
        <v>231</v>
      </c>
      <c r="HX102" s="240" t="s">
        <v>231</v>
      </c>
      <c r="HY102" s="240" t="s">
        <v>231</v>
      </c>
      <c r="HZ102" s="240" t="s">
        <v>231</v>
      </c>
      <c r="IA102" s="240" t="s">
        <v>231</v>
      </c>
      <c r="IB102" s="240" t="s">
        <v>231</v>
      </c>
      <c r="IC102" s="240" t="s">
        <v>231</v>
      </c>
      <c r="ID102" s="240" t="s">
        <v>231</v>
      </c>
      <c r="IE102" s="240" t="s">
        <v>231</v>
      </c>
      <c r="IF102" s="240" t="s">
        <v>231</v>
      </c>
      <c r="IG102" s="240" t="s">
        <v>231</v>
      </c>
      <c r="IH102" s="240" t="s">
        <v>231</v>
      </c>
      <c r="II102" s="240" t="s">
        <v>231</v>
      </c>
      <c r="IJ102" s="240" t="s">
        <v>231</v>
      </c>
      <c r="IK102" s="240" t="s">
        <v>231</v>
      </c>
      <c r="IL102" s="240" t="s">
        <v>231</v>
      </c>
      <c r="IM102" s="240" t="s">
        <v>231</v>
      </c>
      <c r="IN102" s="240" t="s">
        <v>231</v>
      </c>
      <c r="IO102" s="240" t="s">
        <v>220</v>
      </c>
      <c r="IP102" s="240" t="s">
        <v>493</v>
      </c>
      <c r="IQ102" s="240" t="s">
        <v>219</v>
      </c>
      <c r="IR102" s="240" t="s">
        <v>490</v>
      </c>
      <c r="IS102" s="240" t="s">
        <v>492</v>
      </c>
      <c r="IT102" s="240" t="s">
        <v>492</v>
      </c>
    </row>
    <row r="103" spans="1:254" ht="15" x14ac:dyDescent="0.25">
      <c r="A103" s="258" t="str">
        <f>HYPERLINK("http://www.ofsted.gov.uk/inspection-reports/find-inspection-report/provider/ELS/145242 ","Ofsted School Webpage")</f>
        <v>Ofsted School Webpage</v>
      </c>
      <c r="B103" s="237">
        <v>145242</v>
      </c>
      <c r="C103" s="237">
        <v>8886075</v>
      </c>
      <c r="D103" s="237" t="s">
        <v>769</v>
      </c>
      <c r="E103" s="237" t="s">
        <v>248</v>
      </c>
      <c r="F103" s="237" t="s">
        <v>501</v>
      </c>
      <c r="G103" s="237" t="s">
        <v>495</v>
      </c>
      <c r="H103" s="237" t="s">
        <v>495</v>
      </c>
      <c r="I103" s="237" t="s">
        <v>534</v>
      </c>
      <c r="J103" s="237" t="s">
        <v>770</v>
      </c>
      <c r="K103" s="237" t="s">
        <v>93</v>
      </c>
      <c r="L103" s="237" t="s">
        <v>93</v>
      </c>
      <c r="M103" s="237" t="s">
        <v>93</v>
      </c>
      <c r="N103" s="237" t="s">
        <v>90</v>
      </c>
      <c r="O103" s="237" t="s">
        <v>486</v>
      </c>
      <c r="P103" s="237" t="s">
        <v>487</v>
      </c>
      <c r="Q103" s="238">
        <v>10053746</v>
      </c>
      <c r="R103" s="239">
        <v>43424</v>
      </c>
      <c r="S103" s="239">
        <v>43425</v>
      </c>
      <c r="T103" s="239">
        <v>43447</v>
      </c>
      <c r="U103" s="237" t="s">
        <v>499</v>
      </c>
      <c r="V103" s="237" t="s">
        <v>489</v>
      </c>
      <c r="W103" s="237">
        <v>2</v>
      </c>
      <c r="X103" s="237">
        <v>2</v>
      </c>
      <c r="Y103" s="237">
        <v>2</v>
      </c>
      <c r="Z103" s="237">
        <v>2</v>
      </c>
      <c r="AA103" s="237">
        <v>1</v>
      </c>
      <c r="AB103" s="237" t="s">
        <v>486</v>
      </c>
      <c r="AC103" s="237" t="s">
        <v>486</v>
      </c>
      <c r="AD103" s="237" t="s">
        <v>219</v>
      </c>
      <c r="AE103" s="237" t="s">
        <v>512</v>
      </c>
      <c r="AF103" s="237" t="s">
        <v>486</v>
      </c>
      <c r="AG103" s="237" t="s">
        <v>486</v>
      </c>
      <c r="AH103" s="237" t="s">
        <v>490</v>
      </c>
      <c r="AI103" s="237" t="s">
        <v>486</v>
      </c>
      <c r="AJ103" s="237" t="s">
        <v>486</v>
      </c>
      <c r="AK103" s="237" t="s">
        <v>486</v>
      </c>
      <c r="AL103" s="237" t="s">
        <v>486</v>
      </c>
      <c r="AM103" s="237" t="s">
        <v>491</v>
      </c>
      <c r="AN103" s="237" t="s">
        <v>231</v>
      </c>
      <c r="AO103" s="237" t="s">
        <v>231</v>
      </c>
      <c r="AP103" s="237" t="s">
        <v>231</v>
      </c>
      <c r="AQ103" s="237" t="s">
        <v>231</v>
      </c>
      <c r="AR103" s="237" t="s">
        <v>231</v>
      </c>
      <c r="AS103" s="237" t="s">
        <v>231</v>
      </c>
      <c r="AT103" s="237" t="s">
        <v>231</v>
      </c>
      <c r="AU103" s="237" t="s">
        <v>231</v>
      </c>
      <c r="AV103" s="237" t="s">
        <v>231</v>
      </c>
      <c r="AW103" s="237" t="s">
        <v>231</v>
      </c>
      <c r="AX103" s="237" t="s">
        <v>231</v>
      </c>
      <c r="AY103" s="237" t="s">
        <v>231</v>
      </c>
      <c r="AZ103" s="237" t="s">
        <v>231</v>
      </c>
      <c r="BA103" s="237" t="s">
        <v>231</v>
      </c>
      <c r="BB103" s="237" t="s">
        <v>231</v>
      </c>
      <c r="BC103" s="237" t="s">
        <v>231</v>
      </c>
      <c r="BD103" s="237" t="s">
        <v>492</v>
      </c>
      <c r="BE103" s="237" t="s">
        <v>231</v>
      </c>
      <c r="BF103" s="237" t="s">
        <v>231</v>
      </c>
      <c r="BG103" s="237" t="s">
        <v>231</v>
      </c>
      <c r="BH103" s="237" t="s">
        <v>231</v>
      </c>
      <c r="BI103" s="237" t="s">
        <v>231</v>
      </c>
      <c r="BJ103" s="237" t="s">
        <v>231</v>
      </c>
      <c r="BK103" s="237" t="s">
        <v>231</v>
      </c>
      <c r="BL103" s="237" t="s">
        <v>492</v>
      </c>
      <c r="BM103" s="237" t="s">
        <v>492</v>
      </c>
      <c r="BN103" s="237" t="s">
        <v>231</v>
      </c>
      <c r="BO103" s="237" t="s">
        <v>231</v>
      </c>
      <c r="BP103" s="237" t="s">
        <v>231</v>
      </c>
      <c r="BQ103" s="237" t="s">
        <v>231</v>
      </c>
      <c r="BR103" s="237" t="s">
        <v>231</v>
      </c>
      <c r="BS103" s="237" t="s">
        <v>231</v>
      </c>
      <c r="BT103" s="237" t="s">
        <v>231</v>
      </c>
      <c r="BU103" s="237" t="s">
        <v>231</v>
      </c>
      <c r="BV103" s="237" t="s">
        <v>231</v>
      </c>
      <c r="BW103" s="237" t="s">
        <v>231</v>
      </c>
      <c r="BX103" s="237" t="s">
        <v>231</v>
      </c>
      <c r="BY103" s="237" t="s">
        <v>231</v>
      </c>
      <c r="BZ103" s="237" t="s">
        <v>231</v>
      </c>
      <c r="CA103" s="237" t="s">
        <v>231</v>
      </c>
      <c r="CB103" s="237" t="s">
        <v>231</v>
      </c>
      <c r="CC103" s="237" t="s">
        <v>231</v>
      </c>
      <c r="CD103" s="237" t="s">
        <v>231</v>
      </c>
      <c r="CE103" s="237" t="s">
        <v>231</v>
      </c>
      <c r="CF103" s="237" t="s">
        <v>231</v>
      </c>
      <c r="CG103" s="237" t="s">
        <v>231</v>
      </c>
      <c r="CH103" s="237" t="s">
        <v>231</v>
      </c>
      <c r="CI103" s="237" t="s">
        <v>231</v>
      </c>
      <c r="CJ103" s="237" t="s">
        <v>231</v>
      </c>
      <c r="CK103" s="237" t="s">
        <v>231</v>
      </c>
      <c r="CL103" s="237" t="s">
        <v>231</v>
      </c>
      <c r="CM103" s="237" t="s">
        <v>231</v>
      </c>
      <c r="CN103" s="237" t="s">
        <v>231</v>
      </c>
      <c r="CO103" s="237" t="s">
        <v>231</v>
      </c>
      <c r="CP103" s="237" t="s">
        <v>231</v>
      </c>
      <c r="CQ103" s="237" t="s">
        <v>231</v>
      </c>
      <c r="CR103" s="237" t="s">
        <v>231</v>
      </c>
      <c r="CS103" s="237" t="s">
        <v>231</v>
      </c>
      <c r="CT103" s="237" t="s">
        <v>492</v>
      </c>
      <c r="CU103" s="237" t="s">
        <v>492</v>
      </c>
      <c r="CV103" s="237" t="s">
        <v>492</v>
      </c>
      <c r="CW103" s="237" t="s">
        <v>231</v>
      </c>
      <c r="CX103" s="237" t="s">
        <v>231</v>
      </c>
      <c r="CY103" s="237" t="s">
        <v>231</v>
      </c>
      <c r="CZ103" s="237" t="s">
        <v>231</v>
      </c>
      <c r="DA103" s="237" t="s">
        <v>231</v>
      </c>
      <c r="DB103" s="237" t="s">
        <v>231</v>
      </c>
      <c r="DC103" s="237" t="s">
        <v>231</v>
      </c>
      <c r="DD103" s="237" t="s">
        <v>231</v>
      </c>
      <c r="DE103" s="237" t="s">
        <v>231</v>
      </c>
      <c r="DF103" s="237" t="s">
        <v>231</v>
      </c>
      <c r="DG103" s="237" t="s">
        <v>231</v>
      </c>
      <c r="DH103" s="237" t="s">
        <v>231</v>
      </c>
      <c r="DI103" s="237" t="s">
        <v>231</v>
      </c>
      <c r="DJ103" s="237" t="s">
        <v>231</v>
      </c>
      <c r="DK103" s="237" t="s">
        <v>231</v>
      </c>
      <c r="DL103" s="237" t="s">
        <v>231</v>
      </c>
      <c r="DM103" s="237" t="s">
        <v>231</v>
      </c>
      <c r="DN103" s="237" t="s">
        <v>231</v>
      </c>
      <c r="DO103" s="237" t="s">
        <v>231</v>
      </c>
      <c r="DP103" s="237" t="s">
        <v>231</v>
      </c>
      <c r="DQ103" s="237" t="s">
        <v>231</v>
      </c>
      <c r="DR103" s="237" t="s">
        <v>231</v>
      </c>
      <c r="DS103" s="237" t="s">
        <v>231</v>
      </c>
      <c r="DT103" s="237" t="s">
        <v>492</v>
      </c>
      <c r="DU103" s="237" t="s">
        <v>231</v>
      </c>
      <c r="DV103" s="237" t="s">
        <v>492</v>
      </c>
      <c r="DW103" s="237" t="s">
        <v>492</v>
      </c>
      <c r="DX103" s="237" t="s">
        <v>492</v>
      </c>
      <c r="DY103" s="237" t="s">
        <v>492</v>
      </c>
      <c r="DZ103" s="237" t="s">
        <v>492</v>
      </c>
      <c r="EA103" s="237" t="s">
        <v>492</v>
      </c>
      <c r="EB103" s="237" t="s">
        <v>492</v>
      </c>
      <c r="EC103" s="237" t="s">
        <v>492</v>
      </c>
      <c r="ED103" s="237" t="s">
        <v>492</v>
      </c>
      <c r="EE103" s="237" t="s">
        <v>492</v>
      </c>
      <c r="EF103" s="237" t="s">
        <v>492</v>
      </c>
      <c r="EG103" s="237" t="s">
        <v>492</v>
      </c>
      <c r="EH103" s="237" t="s">
        <v>492</v>
      </c>
      <c r="EI103" s="237" t="s">
        <v>231</v>
      </c>
      <c r="EJ103" s="237" t="s">
        <v>231</v>
      </c>
      <c r="EK103" s="237" t="s">
        <v>231</v>
      </c>
      <c r="EL103" s="237" t="s">
        <v>231</v>
      </c>
      <c r="EM103" s="237" t="s">
        <v>231</v>
      </c>
      <c r="EN103" s="237" t="s">
        <v>231</v>
      </c>
      <c r="EO103" s="237" t="s">
        <v>231</v>
      </c>
      <c r="EP103" s="237" t="s">
        <v>231</v>
      </c>
      <c r="EQ103" s="237" t="s">
        <v>231</v>
      </c>
      <c r="ER103" s="237" t="s">
        <v>231</v>
      </c>
      <c r="ES103" s="237" t="s">
        <v>231</v>
      </c>
      <c r="ET103" s="237" t="s">
        <v>231</v>
      </c>
      <c r="EU103" s="237" t="s">
        <v>231</v>
      </c>
      <c r="EV103" s="237" t="s">
        <v>231</v>
      </c>
      <c r="EW103" s="237" t="s">
        <v>231</v>
      </c>
      <c r="EX103" s="237" t="s">
        <v>231</v>
      </c>
      <c r="EY103" s="237" t="s">
        <v>231</v>
      </c>
      <c r="EZ103" s="237" t="s">
        <v>231</v>
      </c>
      <c r="FA103" s="237" t="s">
        <v>231</v>
      </c>
      <c r="FB103" s="237" t="s">
        <v>231</v>
      </c>
      <c r="FC103" s="237" t="s">
        <v>231</v>
      </c>
      <c r="FD103" s="237" t="s">
        <v>231</v>
      </c>
      <c r="FE103" s="237" t="s">
        <v>231</v>
      </c>
      <c r="FF103" s="237" t="s">
        <v>492</v>
      </c>
      <c r="FG103" s="237" t="s">
        <v>492</v>
      </c>
      <c r="FH103" s="237" t="s">
        <v>492</v>
      </c>
      <c r="FI103" s="237" t="s">
        <v>492</v>
      </c>
      <c r="FJ103" s="237" t="s">
        <v>492</v>
      </c>
      <c r="FK103" s="237" t="s">
        <v>492</v>
      </c>
      <c r="FL103" s="237" t="s">
        <v>492</v>
      </c>
      <c r="FM103" s="237" t="s">
        <v>492</v>
      </c>
      <c r="FN103" s="237" t="s">
        <v>231</v>
      </c>
      <c r="FO103" s="237" t="s">
        <v>231</v>
      </c>
      <c r="FP103" s="237" t="s">
        <v>231</v>
      </c>
      <c r="FQ103" s="237" t="s">
        <v>231</v>
      </c>
      <c r="FR103" s="237" t="s">
        <v>231</v>
      </c>
      <c r="FS103" s="237" t="s">
        <v>231</v>
      </c>
      <c r="FT103" s="237" t="s">
        <v>231</v>
      </c>
      <c r="FU103" s="237" t="s">
        <v>231</v>
      </c>
      <c r="FV103" s="237" t="s">
        <v>231</v>
      </c>
      <c r="FW103" s="237" t="s">
        <v>231</v>
      </c>
      <c r="FX103" s="237" t="s">
        <v>492</v>
      </c>
      <c r="FY103" s="237" t="s">
        <v>231</v>
      </c>
      <c r="FZ103" s="237" t="s">
        <v>231</v>
      </c>
      <c r="GA103" s="237" t="s">
        <v>231</v>
      </c>
      <c r="GB103" s="237" t="s">
        <v>231</v>
      </c>
      <c r="GC103" s="237" t="s">
        <v>231</v>
      </c>
      <c r="GD103" s="237" t="s">
        <v>231</v>
      </c>
      <c r="GE103" s="237" t="s">
        <v>231</v>
      </c>
      <c r="GF103" s="237" t="s">
        <v>231</v>
      </c>
      <c r="GG103" s="237" t="s">
        <v>231</v>
      </c>
      <c r="GH103" s="237" t="s">
        <v>231</v>
      </c>
      <c r="GI103" s="237" t="s">
        <v>231</v>
      </c>
      <c r="GJ103" s="237" t="s">
        <v>231</v>
      </c>
      <c r="GK103" s="237" t="s">
        <v>231</v>
      </c>
      <c r="GL103" s="237" t="s">
        <v>231</v>
      </c>
      <c r="GM103" s="237" t="s">
        <v>231</v>
      </c>
      <c r="GN103" s="237" t="s">
        <v>231</v>
      </c>
      <c r="GO103" s="237" t="s">
        <v>231</v>
      </c>
      <c r="GP103" s="237" t="s">
        <v>492</v>
      </c>
      <c r="GQ103" s="237" t="s">
        <v>231</v>
      </c>
      <c r="GR103" s="237" t="s">
        <v>231</v>
      </c>
      <c r="GS103" s="237" t="s">
        <v>231</v>
      </c>
      <c r="GT103" s="237" t="s">
        <v>231</v>
      </c>
      <c r="GU103" s="237" t="s">
        <v>231</v>
      </c>
      <c r="GV103" s="237" t="s">
        <v>492</v>
      </c>
      <c r="GW103" s="237" t="s">
        <v>231</v>
      </c>
      <c r="GX103" s="237" t="s">
        <v>231</v>
      </c>
      <c r="GY103" s="237" t="s">
        <v>492</v>
      </c>
      <c r="GZ103" s="237" t="s">
        <v>492</v>
      </c>
      <c r="HA103" s="237" t="s">
        <v>231</v>
      </c>
      <c r="HB103" s="237" t="s">
        <v>231</v>
      </c>
      <c r="HC103" s="237" t="s">
        <v>231</v>
      </c>
      <c r="HD103" s="237" t="s">
        <v>231</v>
      </c>
      <c r="HE103" s="237" t="s">
        <v>231</v>
      </c>
      <c r="HF103" s="237" t="s">
        <v>492</v>
      </c>
      <c r="HG103" s="237" t="s">
        <v>492</v>
      </c>
      <c r="HH103" s="237" t="s">
        <v>231</v>
      </c>
      <c r="HI103" s="237" t="s">
        <v>231</v>
      </c>
      <c r="HJ103" s="237" t="s">
        <v>231</v>
      </c>
      <c r="HK103" s="237" t="s">
        <v>231</v>
      </c>
      <c r="HL103" s="237" t="s">
        <v>231</v>
      </c>
      <c r="HM103" s="237" t="s">
        <v>231</v>
      </c>
      <c r="HN103" s="237" t="s">
        <v>492</v>
      </c>
      <c r="HO103" s="237" t="s">
        <v>231</v>
      </c>
      <c r="HP103" s="237" t="s">
        <v>492</v>
      </c>
      <c r="HQ103" s="237" t="s">
        <v>492</v>
      </c>
      <c r="HR103" s="237" t="s">
        <v>492</v>
      </c>
      <c r="HS103" s="237" t="s">
        <v>492</v>
      </c>
      <c r="HT103" s="237" t="s">
        <v>492</v>
      </c>
      <c r="HU103" s="237" t="s">
        <v>231</v>
      </c>
      <c r="HV103" s="237" t="s">
        <v>231</v>
      </c>
      <c r="HW103" s="237" t="s">
        <v>231</v>
      </c>
      <c r="HX103" s="237" t="s">
        <v>231</v>
      </c>
      <c r="HY103" s="237" t="s">
        <v>231</v>
      </c>
      <c r="HZ103" s="237" t="s">
        <v>231</v>
      </c>
      <c r="IA103" s="237" t="s">
        <v>231</v>
      </c>
      <c r="IB103" s="237" t="s">
        <v>231</v>
      </c>
      <c r="IC103" s="237" t="s">
        <v>231</v>
      </c>
      <c r="ID103" s="237" t="s">
        <v>231</v>
      </c>
      <c r="IE103" s="237" t="s">
        <v>231</v>
      </c>
      <c r="IF103" s="237" t="s">
        <v>231</v>
      </c>
      <c r="IG103" s="237" t="s">
        <v>231</v>
      </c>
      <c r="IH103" s="237" t="s">
        <v>231</v>
      </c>
      <c r="II103" s="237" t="s">
        <v>231</v>
      </c>
      <c r="IJ103" s="237" t="s">
        <v>231</v>
      </c>
      <c r="IK103" s="237" t="s">
        <v>231</v>
      </c>
      <c r="IL103" s="237" t="s">
        <v>231</v>
      </c>
      <c r="IM103" s="237" t="s">
        <v>231</v>
      </c>
      <c r="IN103" s="237" t="s">
        <v>231</v>
      </c>
      <c r="IO103" s="237" t="s">
        <v>220</v>
      </c>
      <c r="IP103" s="237" t="s">
        <v>493</v>
      </c>
      <c r="IQ103" s="237" t="s">
        <v>219</v>
      </c>
      <c r="IR103" s="237" t="s">
        <v>490</v>
      </c>
      <c r="IS103" s="237" t="s">
        <v>492</v>
      </c>
      <c r="IT103" s="237" t="s">
        <v>492</v>
      </c>
    </row>
    <row r="104" spans="1:254" ht="15" x14ac:dyDescent="0.25">
      <c r="A104" s="259" t="str">
        <f>HYPERLINK("http://www.ofsted.gov.uk/inspection-reports/find-inspection-report/provider/ELS/141501 ","Ofsted School Webpage")</f>
        <v>Ofsted School Webpage</v>
      </c>
      <c r="B104" s="240">
        <v>141501</v>
      </c>
      <c r="C104" s="240">
        <v>3336007</v>
      </c>
      <c r="D104" s="240" t="s">
        <v>771</v>
      </c>
      <c r="E104" s="240" t="s">
        <v>248</v>
      </c>
      <c r="F104" s="240" t="s">
        <v>501</v>
      </c>
      <c r="G104" s="240" t="s">
        <v>502</v>
      </c>
      <c r="H104" s="240" t="s">
        <v>502</v>
      </c>
      <c r="I104" s="240" t="s">
        <v>720</v>
      </c>
      <c r="J104" s="240" t="s">
        <v>772</v>
      </c>
      <c r="K104" s="240" t="s">
        <v>78</v>
      </c>
      <c r="L104" s="240" t="s">
        <v>71</v>
      </c>
      <c r="M104" s="240" t="s">
        <v>78</v>
      </c>
      <c r="N104" s="240" t="s">
        <v>71</v>
      </c>
      <c r="O104" s="240" t="s">
        <v>486</v>
      </c>
      <c r="P104" s="240" t="s">
        <v>487</v>
      </c>
      <c r="Q104" s="241">
        <v>10056359</v>
      </c>
      <c r="R104" s="242">
        <v>43424</v>
      </c>
      <c r="S104" s="242">
        <v>43425</v>
      </c>
      <c r="T104" s="242">
        <v>43475</v>
      </c>
      <c r="U104" s="240" t="s">
        <v>488</v>
      </c>
      <c r="V104" s="240" t="s">
        <v>489</v>
      </c>
      <c r="W104" s="240">
        <v>4</v>
      </c>
      <c r="X104" s="240">
        <v>4</v>
      </c>
      <c r="Y104" s="240">
        <v>4</v>
      </c>
      <c r="Z104" s="240">
        <v>4</v>
      </c>
      <c r="AA104" s="240">
        <v>4</v>
      </c>
      <c r="AB104" s="240" t="s">
        <v>486</v>
      </c>
      <c r="AC104" s="240" t="s">
        <v>486</v>
      </c>
      <c r="AD104" s="240" t="s">
        <v>220</v>
      </c>
      <c r="AE104" s="240" t="s">
        <v>490</v>
      </c>
      <c r="AF104" s="240" t="s">
        <v>486</v>
      </c>
      <c r="AG104" s="240" t="s">
        <v>486</v>
      </c>
      <c r="AH104" s="240" t="s">
        <v>486</v>
      </c>
      <c r="AI104" s="240" t="s">
        <v>486</v>
      </c>
      <c r="AJ104" s="240" t="s">
        <v>486</v>
      </c>
      <c r="AK104" s="240" t="s">
        <v>486</v>
      </c>
      <c r="AL104" s="240" t="s">
        <v>486</v>
      </c>
      <c r="AM104" s="240" t="s">
        <v>545</v>
      </c>
      <c r="AN104" s="240" t="s">
        <v>546</v>
      </c>
      <c r="AO104" s="240" t="s">
        <v>546</v>
      </c>
      <c r="AP104" s="240" t="s">
        <v>546</v>
      </c>
      <c r="AQ104" s="240" t="s">
        <v>231</v>
      </c>
      <c r="AR104" s="240" t="s">
        <v>546</v>
      </c>
      <c r="AS104" s="240" t="s">
        <v>546</v>
      </c>
      <c r="AT104" s="240" t="s">
        <v>231</v>
      </c>
      <c r="AU104" s="240" t="s">
        <v>546</v>
      </c>
      <c r="AV104" s="240" t="s">
        <v>232</v>
      </c>
      <c r="AW104" s="240" t="s">
        <v>232</v>
      </c>
      <c r="AX104" s="240" t="s">
        <v>232</v>
      </c>
      <c r="AY104" s="240" t="s">
        <v>232</v>
      </c>
      <c r="AZ104" s="240" t="s">
        <v>232</v>
      </c>
      <c r="BA104" s="240" t="s">
        <v>232</v>
      </c>
      <c r="BB104" s="240" t="s">
        <v>232</v>
      </c>
      <c r="BC104" s="240" t="s">
        <v>232</v>
      </c>
      <c r="BD104" s="240" t="s">
        <v>492</v>
      </c>
      <c r="BE104" s="240" t="s">
        <v>232</v>
      </c>
      <c r="BF104" s="240" t="s">
        <v>232</v>
      </c>
      <c r="BG104" s="240" t="s">
        <v>232</v>
      </c>
      <c r="BH104" s="240" t="s">
        <v>492</v>
      </c>
      <c r="BI104" s="240" t="s">
        <v>492</v>
      </c>
      <c r="BJ104" s="240" t="s">
        <v>492</v>
      </c>
      <c r="BK104" s="240" t="s">
        <v>492</v>
      </c>
      <c r="BL104" s="240" t="s">
        <v>492</v>
      </c>
      <c r="BM104" s="240" t="s">
        <v>492</v>
      </c>
      <c r="BN104" s="240" t="s">
        <v>232</v>
      </c>
      <c r="BO104" s="240" t="s">
        <v>232</v>
      </c>
      <c r="BP104" s="240" t="s">
        <v>232</v>
      </c>
      <c r="BQ104" s="240" t="s">
        <v>232</v>
      </c>
      <c r="BR104" s="240" t="s">
        <v>232</v>
      </c>
      <c r="BS104" s="240" t="s">
        <v>232</v>
      </c>
      <c r="BT104" s="240" t="s">
        <v>232</v>
      </c>
      <c r="BU104" s="240" t="s">
        <v>232</v>
      </c>
      <c r="BV104" s="240" t="s">
        <v>232</v>
      </c>
      <c r="BW104" s="240" t="s">
        <v>231</v>
      </c>
      <c r="BX104" s="240" t="s">
        <v>231</v>
      </c>
      <c r="BY104" s="240" t="s">
        <v>232</v>
      </c>
      <c r="BZ104" s="240" t="s">
        <v>232</v>
      </c>
      <c r="CA104" s="240" t="s">
        <v>231</v>
      </c>
      <c r="CB104" s="240" t="s">
        <v>232</v>
      </c>
      <c r="CC104" s="240" t="s">
        <v>232</v>
      </c>
      <c r="CD104" s="240" t="s">
        <v>231</v>
      </c>
      <c r="CE104" s="240" t="s">
        <v>231</v>
      </c>
      <c r="CF104" s="240" t="s">
        <v>231</v>
      </c>
      <c r="CG104" s="240" t="s">
        <v>231</v>
      </c>
      <c r="CH104" s="240" t="s">
        <v>231</v>
      </c>
      <c r="CI104" s="240" t="s">
        <v>232</v>
      </c>
      <c r="CJ104" s="240" t="s">
        <v>232</v>
      </c>
      <c r="CK104" s="240" t="s">
        <v>231</v>
      </c>
      <c r="CL104" s="240" t="s">
        <v>232</v>
      </c>
      <c r="CM104" s="240" t="s">
        <v>232</v>
      </c>
      <c r="CN104" s="240" t="s">
        <v>232</v>
      </c>
      <c r="CO104" s="240" t="s">
        <v>232</v>
      </c>
      <c r="CP104" s="240" t="s">
        <v>232</v>
      </c>
      <c r="CQ104" s="240" t="s">
        <v>232</v>
      </c>
      <c r="CR104" s="240" t="s">
        <v>232</v>
      </c>
      <c r="CS104" s="240" t="s">
        <v>232</v>
      </c>
      <c r="CT104" s="240" t="s">
        <v>492</v>
      </c>
      <c r="CU104" s="240" t="s">
        <v>492</v>
      </c>
      <c r="CV104" s="240" t="s">
        <v>492</v>
      </c>
      <c r="CW104" s="240" t="s">
        <v>231</v>
      </c>
      <c r="CX104" s="240" t="s">
        <v>231</v>
      </c>
      <c r="CY104" s="240" t="s">
        <v>231</v>
      </c>
      <c r="CZ104" s="240" t="s">
        <v>231</v>
      </c>
      <c r="DA104" s="240" t="s">
        <v>231</v>
      </c>
      <c r="DB104" s="240" t="s">
        <v>232</v>
      </c>
      <c r="DC104" s="240" t="s">
        <v>232</v>
      </c>
      <c r="DD104" s="240" t="s">
        <v>232</v>
      </c>
      <c r="DE104" s="240" t="s">
        <v>232</v>
      </c>
      <c r="DF104" s="240" t="s">
        <v>232</v>
      </c>
      <c r="DG104" s="240" t="s">
        <v>232</v>
      </c>
      <c r="DH104" s="240" t="s">
        <v>232</v>
      </c>
      <c r="DI104" s="240" t="s">
        <v>232</v>
      </c>
      <c r="DJ104" s="240" t="s">
        <v>231</v>
      </c>
      <c r="DK104" s="240" t="s">
        <v>231</v>
      </c>
      <c r="DL104" s="240" t="s">
        <v>231</v>
      </c>
      <c r="DM104" s="240" t="s">
        <v>231</v>
      </c>
      <c r="DN104" s="240" t="s">
        <v>231</v>
      </c>
      <c r="DO104" s="240" t="s">
        <v>231</v>
      </c>
      <c r="DP104" s="240" t="s">
        <v>231</v>
      </c>
      <c r="DQ104" s="240" t="s">
        <v>231</v>
      </c>
      <c r="DR104" s="240" t="s">
        <v>231</v>
      </c>
      <c r="DS104" s="240" t="s">
        <v>231</v>
      </c>
      <c r="DT104" s="240" t="s">
        <v>492</v>
      </c>
      <c r="DU104" s="240" t="s">
        <v>231</v>
      </c>
      <c r="DV104" s="240" t="s">
        <v>492</v>
      </c>
      <c r="DW104" s="240" t="s">
        <v>492</v>
      </c>
      <c r="DX104" s="240" t="s">
        <v>492</v>
      </c>
      <c r="DY104" s="240" t="s">
        <v>492</v>
      </c>
      <c r="DZ104" s="240" t="s">
        <v>492</v>
      </c>
      <c r="EA104" s="240" t="s">
        <v>492</v>
      </c>
      <c r="EB104" s="240" t="s">
        <v>492</v>
      </c>
      <c r="EC104" s="240" t="s">
        <v>492</v>
      </c>
      <c r="ED104" s="240" t="s">
        <v>492</v>
      </c>
      <c r="EE104" s="240" t="s">
        <v>492</v>
      </c>
      <c r="EF104" s="240" t="s">
        <v>492</v>
      </c>
      <c r="EG104" s="240" t="s">
        <v>492</v>
      </c>
      <c r="EH104" s="240" t="s">
        <v>492</v>
      </c>
      <c r="EI104" s="240" t="s">
        <v>492</v>
      </c>
      <c r="EJ104" s="240" t="s">
        <v>231</v>
      </c>
      <c r="EK104" s="240" t="s">
        <v>231</v>
      </c>
      <c r="EL104" s="240" t="s">
        <v>231</v>
      </c>
      <c r="EM104" s="240" t="s">
        <v>231</v>
      </c>
      <c r="EN104" s="240" t="s">
        <v>231</v>
      </c>
      <c r="EO104" s="240" t="s">
        <v>231</v>
      </c>
      <c r="EP104" s="240" t="s">
        <v>231</v>
      </c>
      <c r="EQ104" s="240" t="s">
        <v>492</v>
      </c>
      <c r="ER104" s="240" t="s">
        <v>231</v>
      </c>
      <c r="ES104" s="240" t="s">
        <v>231</v>
      </c>
      <c r="ET104" s="240" t="s">
        <v>231</v>
      </c>
      <c r="EU104" s="240" t="s">
        <v>231</v>
      </c>
      <c r="EV104" s="240" t="s">
        <v>231</v>
      </c>
      <c r="EW104" s="240" t="s">
        <v>231</v>
      </c>
      <c r="EX104" s="240" t="s">
        <v>231</v>
      </c>
      <c r="EY104" s="240" t="s">
        <v>231</v>
      </c>
      <c r="EZ104" s="240" t="s">
        <v>231</v>
      </c>
      <c r="FA104" s="240" t="s">
        <v>231</v>
      </c>
      <c r="FB104" s="240" t="s">
        <v>231</v>
      </c>
      <c r="FC104" s="240" t="s">
        <v>231</v>
      </c>
      <c r="FD104" s="240" t="s">
        <v>231</v>
      </c>
      <c r="FE104" s="240" t="s">
        <v>231</v>
      </c>
      <c r="FF104" s="240" t="s">
        <v>492</v>
      </c>
      <c r="FG104" s="240" t="s">
        <v>492</v>
      </c>
      <c r="FH104" s="240" t="s">
        <v>492</v>
      </c>
      <c r="FI104" s="240" t="s">
        <v>492</v>
      </c>
      <c r="FJ104" s="240" t="s">
        <v>492</v>
      </c>
      <c r="FK104" s="240" t="s">
        <v>492</v>
      </c>
      <c r="FL104" s="240" t="s">
        <v>492</v>
      </c>
      <c r="FM104" s="240" t="s">
        <v>231</v>
      </c>
      <c r="FN104" s="240" t="s">
        <v>492</v>
      </c>
      <c r="FO104" s="240" t="s">
        <v>231</v>
      </c>
      <c r="FP104" s="240" t="s">
        <v>231</v>
      </c>
      <c r="FQ104" s="240" t="s">
        <v>232</v>
      </c>
      <c r="FR104" s="240" t="s">
        <v>232</v>
      </c>
      <c r="FS104" s="240" t="s">
        <v>231</v>
      </c>
      <c r="FT104" s="240" t="s">
        <v>492</v>
      </c>
      <c r="FU104" s="240" t="s">
        <v>231</v>
      </c>
      <c r="FV104" s="240" t="s">
        <v>231</v>
      </c>
      <c r="FW104" s="240" t="s">
        <v>231</v>
      </c>
      <c r="FX104" s="240" t="s">
        <v>492</v>
      </c>
      <c r="FY104" s="240" t="s">
        <v>231</v>
      </c>
      <c r="FZ104" s="240" t="s">
        <v>232</v>
      </c>
      <c r="GA104" s="240" t="s">
        <v>231</v>
      </c>
      <c r="GB104" s="240" t="s">
        <v>232</v>
      </c>
      <c r="GC104" s="240" t="s">
        <v>232</v>
      </c>
      <c r="GD104" s="240" t="s">
        <v>231</v>
      </c>
      <c r="GE104" s="240" t="s">
        <v>232</v>
      </c>
      <c r="GF104" s="240" t="s">
        <v>231</v>
      </c>
      <c r="GG104" s="240" t="s">
        <v>231</v>
      </c>
      <c r="GH104" s="240" t="s">
        <v>231</v>
      </c>
      <c r="GI104" s="240" t="s">
        <v>232</v>
      </c>
      <c r="GJ104" s="240" t="s">
        <v>231</v>
      </c>
      <c r="GK104" s="240" t="s">
        <v>231</v>
      </c>
      <c r="GL104" s="240" t="s">
        <v>231</v>
      </c>
      <c r="GM104" s="240" t="s">
        <v>232</v>
      </c>
      <c r="GN104" s="240" t="s">
        <v>232</v>
      </c>
      <c r="GO104" s="240" t="s">
        <v>232</v>
      </c>
      <c r="GP104" s="240" t="s">
        <v>492</v>
      </c>
      <c r="GQ104" s="240" t="s">
        <v>232</v>
      </c>
      <c r="GR104" s="240" t="s">
        <v>231</v>
      </c>
      <c r="GS104" s="240" t="s">
        <v>231</v>
      </c>
      <c r="GT104" s="240" t="s">
        <v>231</v>
      </c>
      <c r="GU104" s="240" t="s">
        <v>231</v>
      </c>
      <c r="GV104" s="240" t="s">
        <v>492</v>
      </c>
      <c r="GW104" s="240" t="s">
        <v>231</v>
      </c>
      <c r="GX104" s="240" t="s">
        <v>231</v>
      </c>
      <c r="GY104" s="240" t="s">
        <v>492</v>
      </c>
      <c r="GZ104" s="240" t="s">
        <v>492</v>
      </c>
      <c r="HA104" s="240" t="s">
        <v>231</v>
      </c>
      <c r="HB104" s="240" t="s">
        <v>231</v>
      </c>
      <c r="HC104" s="240" t="s">
        <v>231</v>
      </c>
      <c r="HD104" s="240" t="s">
        <v>231</v>
      </c>
      <c r="HE104" s="240" t="s">
        <v>231</v>
      </c>
      <c r="HF104" s="240" t="s">
        <v>492</v>
      </c>
      <c r="HG104" s="240" t="s">
        <v>492</v>
      </c>
      <c r="HH104" s="240" t="s">
        <v>231</v>
      </c>
      <c r="HI104" s="240" t="s">
        <v>232</v>
      </c>
      <c r="HJ104" s="240" t="s">
        <v>231</v>
      </c>
      <c r="HK104" s="240" t="s">
        <v>232</v>
      </c>
      <c r="HL104" s="240" t="s">
        <v>231</v>
      </c>
      <c r="HM104" s="240" t="s">
        <v>231</v>
      </c>
      <c r="HN104" s="240" t="s">
        <v>231</v>
      </c>
      <c r="HO104" s="240" t="s">
        <v>232</v>
      </c>
      <c r="HP104" s="240" t="s">
        <v>231</v>
      </c>
      <c r="HQ104" s="240" t="s">
        <v>492</v>
      </c>
      <c r="HR104" s="240" t="s">
        <v>492</v>
      </c>
      <c r="HS104" s="240" t="s">
        <v>492</v>
      </c>
      <c r="HT104" s="240" t="s">
        <v>492</v>
      </c>
      <c r="HU104" s="240" t="s">
        <v>231</v>
      </c>
      <c r="HV104" s="240" t="s">
        <v>231</v>
      </c>
      <c r="HW104" s="240" t="s">
        <v>231</v>
      </c>
      <c r="HX104" s="240" t="s">
        <v>231</v>
      </c>
      <c r="HY104" s="240" t="s">
        <v>231</v>
      </c>
      <c r="HZ104" s="240" t="s">
        <v>231</v>
      </c>
      <c r="IA104" s="240" t="s">
        <v>231</v>
      </c>
      <c r="IB104" s="240" t="s">
        <v>231</v>
      </c>
      <c r="IC104" s="240" t="s">
        <v>231</v>
      </c>
      <c r="ID104" s="240" t="s">
        <v>231</v>
      </c>
      <c r="IE104" s="240" t="s">
        <v>231</v>
      </c>
      <c r="IF104" s="240" t="s">
        <v>231</v>
      </c>
      <c r="IG104" s="240" t="s">
        <v>231</v>
      </c>
      <c r="IH104" s="240" t="s">
        <v>231</v>
      </c>
      <c r="II104" s="240" t="s">
        <v>231</v>
      </c>
      <c r="IJ104" s="240" t="s">
        <v>231</v>
      </c>
      <c r="IK104" s="240" t="s">
        <v>232</v>
      </c>
      <c r="IL104" s="240" t="s">
        <v>232</v>
      </c>
      <c r="IM104" s="240" t="s">
        <v>232</v>
      </c>
      <c r="IN104" s="240" t="s">
        <v>232</v>
      </c>
      <c r="IO104" s="240" t="s">
        <v>220</v>
      </c>
      <c r="IP104" s="240" t="s">
        <v>493</v>
      </c>
      <c r="IQ104" s="240" t="s">
        <v>219</v>
      </c>
      <c r="IR104" s="240" t="s">
        <v>512</v>
      </c>
      <c r="IS104" s="240" t="s">
        <v>492</v>
      </c>
      <c r="IT104" s="240" t="s">
        <v>492</v>
      </c>
    </row>
    <row r="105" spans="1:254" ht="15" x14ac:dyDescent="0.25">
      <c r="A105" s="258" t="str">
        <f>HYPERLINK("http://www.ofsted.gov.uk/inspection-reports/find-inspection-report/provider/ELS/137318 ","Ofsted School Webpage")</f>
        <v>Ofsted School Webpage</v>
      </c>
      <c r="B105" s="237">
        <v>137318</v>
      </c>
      <c r="C105" s="237">
        <v>2046001</v>
      </c>
      <c r="D105" s="237" t="s">
        <v>773</v>
      </c>
      <c r="E105" s="237" t="s">
        <v>247</v>
      </c>
      <c r="F105" s="237" t="s">
        <v>482</v>
      </c>
      <c r="G105" s="237" t="s">
        <v>506</v>
      </c>
      <c r="H105" s="237" t="s">
        <v>506</v>
      </c>
      <c r="I105" s="237" t="s">
        <v>617</v>
      </c>
      <c r="J105" s="237" t="s">
        <v>774</v>
      </c>
      <c r="K105" s="237" t="s">
        <v>93</v>
      </c>
      <c r="L105" s="237" t="s">
        <v>81</v>
      </c>
      <c r="M105" s="237" t="s">
        <v>81</v>
      </c>
      <c r="N105" s="237" t="s">
        <v>81</v>
      </c>
      <c r="O105" s="237" t="s">
        <v>486</v>
      </c>
      <c r="P105" s="237" t="s">
        <v>487</v>
      </c>
      <c r="Q105" s="238">
        <v>10054300</v>
      </c>
      <c r="R105" s="239">
        <v>43424</v>
      </c>
      <c r="S105" s="239">
        <v>43426</v>
      </c>
      <c r="T105" s="239">
        <v>43501</v>
      </c>
      <c r="U105" s="237" t="s">
        <v>488</v>
      </c>
      <c r="V105" s="237" t="s">
        <v>489</v>
      </c>
      <c r="W105" s="237">
        <v>4</v>
      </c>
      <c r="X105" s="237">
        <v>4</v>
      </c>
      <c r="Y105" s="237">
        <v>3</v>
      </c>
      <c r="Z105" s="237">
        <v>4</v>
      </c>
      <c r="AA105" s="237">
        <v>4</v>
      </c>
      <c r="AB105" s="237">
        <v>4</v>
      </c>
      <c r="AC105" s="237" t="s">
        <v>486</v>
      </c>
      <c r="AD105" s="237" t="s">
        <v>219</v>
      </c>
      <c r="AE105" s="237" t="s">
        <v>512</v>
      </c>
      <c r="AF105" s="237" t="s">
        <v>486</v>
      </c>
      <c r="AG105" s="237" t="s">
        <v>486</v>
      </c>
      <c r="AH105" s="237" t="s">
        <v>490</v>
      </c>
      <c r="AI105" s="237" t="s">
        <v>490</v>
      </c>
      <c r="AJ105" s="237" t="s">
        <v>486</v>
      </c>
      <c r="AK105" s="237" t="s">
        <v>486</v>
      </c>
      <c r="AL105" s="237" t="s">
        <v>486</v>
      </c>
      <c r="AM105" s="237" t="s">
        <v>545</v>
      </c>
      <c r="AN105" s="237" t="s">
        <v>546</v>
      </c>
      <c r="AO105" s="237" t="s">
        <v>231</v>
      </c>
      <c r="AP105" s="237" t="s">
        <v>231</v>
      </c>
      <c r="AQ105" s="237" t="s">
        <v>231</v>
      </c>
      <c r="AR105" s="237" t="s">
        <v>546</v>
      </c>
      <c r="AS105" s="237" t="s">
        <v>231</v>
      </c>
      <c r="AT105" s="237" t="s">
        <v>231</v>
      </c>
      <c r="AU105" s="237" t="s">
        <v>546</v>
      </c>
      <c r="AV105" s="237" t="s">
        <v>232</v>
      </c>
      <c r="AW105" s="237" t="s">
        <v>231</v>
      </c>
      <c r="AX105" s="237" t="s">
        <v>231</v>
      </c>
      <c r="AY105" s="237" t="s">
        <v>231</v>
      </c>
      <c r="AZ105" s="237" t="s">
        <v>231</v>
      </c>
      <c r="BA105" s="237" t="s">
        <v>231</v>
      </c>
      <c r="BB105" s="237" t="s">
        <v>231</v>
      </c>
      <c r="BC105" s="237" t="s">
        <v>231</v>
      </c>
      <c r="BD105" s="237" t="s">
        <v>231</v>
      </c>
      <c r="BE105" s="237" t="s">
        <v>232</v>
      </c>
      <c r="BF105" s="237" t="s">
        <v>231</v>
      </c>
      <c r="BG105" s="237" t="s">
        <v>232</v>
      </c>
      <c r="BH105" s="237" t="s">
        <v>231</v>
      </c>
      <c r="BI105" s="237" t="s">
        <v>231</v>
      </c>
      <c r="BJ105" s="237" t="s">
        <v>231</v>
      </c>
      <c r="BK105" s="237" t="s">
        <v>231</v>
      </c>
      <c r="BL105" s="237" t="s">
        <v>232</v>
      </c>
      <c r="BM105" s="237" t="s">
        <v>492</v>
      </c>
      <c r="BN105" s="237" t="s">
        <v>231</v>
      </c>
      <c r="BO105" s="237" t="s">
        <v>231</v>
      </c>
      <c r="BP105" s="237" t="s">
        <v>232</v>
      </c>
      <c r="BQ105" s="237" t="s">
        <v>232</v>
      </c>
      <c r="BR105" s="237" t="s">
        <v>232</v>
      </c>
      <c r="BS105" s="237" t="s">
        <v>232</v>
      </c>
      <c r="BT105" s="237" t="s">
        <v>232</v>
      </c>
      <c r="BU105" s="237" t="s">
        <v>232</v>
      </c>
      <c r="BV105" s="237" t="s">
        <v>232</v>
      </c>
      <c r="BW105" s="237" t="s">
        <v>232</v>
      </c>
      <c r="BX105" s="237" t="s">
        <v>231</v>
      </c>
      <c r="BY105" s="237" t="s">
        <v>231</v>
      </c>
      <c r="BZ105" s="237" t="s">
        <v>231</v>
      </c>
      <c r="CA105" s="237" t="s">
        <v>231</v>
      </c>
      <c r="CB105" s="237" t="s">
        <v>231</v>
      </c>
      <c r="CC105" s="237" t="s">
        <v>231</v>
      </c>
      <c r="CD105" s="237" t="s">
        <v>232</v>
      </c>
      <c r="CE105" s="237" t="s">
        <v>231</v>
      </c>
      <c r="CF105" s="237" t="s">
        <v>231</v>
      </c>
      <c r="CG105" s="237" t="s">
        <v>231</v>
      </c>
      <c r="CH105" s="237" t="s">
        <v>231</v>
      </c>
      <c r="CI105" s="237" t="s">
        <v>231</v>
      </c>
      <c r="CJ105" s="237" t="s">
        <v>232</v>
      </c>
      <c r="CK105" s="237" t="s">
        <v>231</v>
      </c>
      <c r="CL105" s="237" t="s">
        <v>231</v>
      </c>
      <c r="CM105" s="237" t="s">
        <v>231</v>
      </c>
      <c r="CN105" s="237" t="s">
        <v>231</v>
      </c>
      <c r="CO105" s="237" t="s">
        <v>231</v>
      </c>
      <c r="CP105" s="237" t="s">
        <v>231</v>
      </c>
      <c r="CQ105" s="237" t="s">
        <v>231</v>
      </c>
      <c r="CR105" s="237" t="s">
        <v>231</v>
      </c>
      <c r="CS105" s="237" t="s">
        <v>231</v>
      </c>
      <c r="CT105" s="237" t="s">
        <v>492</v>
      </c>
      <c r="CU105" s="237" t="s">
        <v>492</v>
      </c>
      <c r="CV105" s="237" t="s">
        <v>492</v>
      </c>
      <c r="CW105" s="237" t="s">
        <v>231</v>
      </c>
      <c r="CX105" s="237" t="s">
        <v>231</v>
      </c>
      <c r="CY105" s="237" t="s">
        <v>231</v>
      </c>
      <c r="CZ105" s="237" t="s">
        <v>231</v>
      </c>
      <c r="DA105" s="237" t="s">
        <v>231</v>
      </c>
      <c r="DB105" s="237" t="s">
        <v>231</v>
      </c>
      <c r="DC105" s="237" t="s">
        <v>231</v>
      </c>
      <c r="DD105" s="237" t="s">
        <v>231</v>
      </c>
      <c r="DE105" s="237" t="s">
        <v>231</v>
      </c>
      <c r="DF105" s="237" t="s">
        <v>231</v>
      </c>
      <c r="DG105" s="237" t="s">
        <v>231</v>
      </c>
      <c r="DH105" s="237" t="s">
        <v>231</v>
      </c>
      <c r="DI105" s="237" t="s">
        <v>231</v>
      </c>
      <c r="DJ105" s="237" t="s">
        <v>231</v>
      </c>
      <c r="DK105" s="237" t="s">
        <v>231</v>
      </c>
      <c r="DL105" s="237" t="s">
        <v>231</v>
      </c>
      <c r="DM105" s="237" t="s">
        <v>231</v>
      </c>
      <c r="DN105" s="237" t="s">
        <v>231</v>
      </c>
      <c r="DO105" s="237" t="s">
        <v>231</v>
      </c>
      <c r="DP105" s="237" t="s">
        <v>231</v>
      </c>
      <c r="DQ105" s="237" t="s">
        <v>231</v>
      </c>
      <c r="DR105" s="237" t="s">
        <v>231</v>
      </c>
      <c r="DS105" s="237" t="s">
        <v>231</v>
      </c>
      <c r="DT105" s="237" t="s">
        <v>492</v>
      </c>
      <c r="DU105" s="237" t="s">
        <v>231</v>
      </c>
      <c r="DV105" s="237" t="s">
        <v>492</v>
      </c>
      <c r="DW105" s="237" t="s">
        <v>492</v>
      </c>
      <c r="DX105" s="237" t="s">
        <v>492</v>
      </c>
      <c r="DY105" s="237" t="s">
        <v>492</v>
      </c>
      <c r="DZ105" s="237" t="s">
        <v>492</v>
      </c>
      <c r="EA105" s="237" t="s">
        <v>492</v>
      </c>
      <c r="EB105" s="237" t="s">
        <v>492</v>
      </c>
      <c r="EC105" s="237" t="s">
        <v>492</v>
      </c>
      <c r="ED105" s="237" t="s">
        <v>492</v>
      </c>
      <c r="EE105" s="237" t="s">
        <v>492</v>
      </c>
      <c r="EF105" s="237" t="s">
        <v>492</v>
      </c>
      <c r="EG105" s="237" t="s">
        <v>492</v>
      </c>
      <c r="EH105" s="237" t="s">
        <v>492</v>
      </c>
      <c r="EI105" s="237" t="s">
        <v>231</v>
      </c>
      <c r="EJ105" s="237" t="s">
        <v>231</v>
      </c>
      <c r="EK105" s="237" t="s">
        <v>231</v>
      </c>
      <c r="EL105" s="237" t="s">
        <v>231</v>
      </c>
      <c r="EM105" s="237" t="s">
        <v>231</v>
      </c>
      <c r="EN105" s="237" t="s">
        <v>231</v>
      </c>
      <c r="EO105" s="237" t="s">
        <v>231</v>
      </c>
      <c r="EP105" s="237" t="s">
        <v>231</v>
      </c>
      <c r="EQ105" s="237" t="s">
        <v>231</v>
      </c>
      <c r="ER105" s="237" t="s">
        <v>231</v>
      </c>
      <c r="ES105" s="237" t="s">
        <v>231</v>
      </c>
      <c r="ET105" s="237" t="s">
        <v>231</v>
      </c>
      <c r="EU105" s="237" t="s">
        <v>231</v>
      </c>
      <c r="EV105" s="237" t="s">
        <v>231</v>
      </c>
      <c r="EW105" s="237" t="s">
        <v>231</v>
      </c>
      <c r="EX105" s="237" t="s">
        <v>231</v>
      </c>
      <c r="EY105" s="237" t="s">
        <v>231</v>
      </c>
      <c r="EZ105" s="237" t="s">
        <v>231</v>
      </c>
      <c r="FA105" s="237" t="s">
        <v>231</v>
      </c>
      <c r="FB105" s="237" t="s">
        <v>231</v>
      </c>
      <c r="FC105" s="237" t="s">
        <v>231</v>
      </c>
      <c r="FD105" s="237" t="s">
        <v>231</v>
      </c>
      <c r="FE105" s="237" t="s">
        <v>231</v>
      </c>
      <c r="FF105" s="237" t="s">
        <v>231</v>
      </c>
      <c r="FG105" s="237" t="s">
        <v>492</v>
      </c>
      <c r="FH105" s="237" t="s">
        <v>492</v>
      </c>
      <c r="FI105" s="237" t="s">
        <v>492</v>
      </c>
      <c r="FJ105" s="237" t="s">
        <v>492</v>
      </c>
      <c r="FK105" s="237" t="s">
        <v>492</v>
      </c>
      <c r="FL105" s="237" t="s">
        <v>492</v>
      </c>
      <c r="FM105" s="237" t="s">
        <v>231</v>
      </c>
      <c r="FN105" s="237" t="s">
        <v>231</v>
      </c>
      <c r="FO105" s="237" t="s">
        <v>231</v>
      </c>
      <c r="FP105" s="237" t="s">
        <v>231</v>
      </c>
      <c r="FQ105" s="237" t="s">
        <v>232</v>
      </c>
      <c r="FR105" s="237" t="s">
        <v>231</v>
      </c>
      <c r="FS105" s="237" t="s">
        <v>492</v>
      </c>
      <c r="FT105" s="237" t="s">
        <v>232</v>
      </c>
      <c r="FU105" s="237" t="s">
        <v>231</v>
      </c>
      <c r="FV105" s="237" t="s">
        <v>231</v>
      </c>
      <c r="FW105" s="237" t="s">
        <v>231</v>
      </c>
      <c r="FX105" s="237" t="s">
        <v>492</v>
      </c>
      <c r="FY105" s="237" t="s">
        <v>231</v>
      </c>
      <c r="FZ105" s="237" t="s">
        <v>231</v>
      </c>
      <c r="GA105" s="237" t="s">
        <v>231</v>
      </c>
      <c r="GB105" s="237" t="s">
        <v>231</v>
      </c>
      <c r="GC105" s="237" t="s">
        <v>231</v>
      </c>
      <c r="GD105" s="237" t="s">
        <v>231</v>
      </c>
      <c r="GE105" s="237" t="s">
        <v>231</v>
      </c>
      <c r="GF105" s="237" t="s">
        <v>231</v>
      </c>
      <c r="GG105" s="237" t="s">
        <v>231</v>
      </c>
      <c r="GH105" s="237" t="s">
        <v>231</v>
      </c>
      <c r="GI105" s="237" t="s">
        <v>231</v>
      </c>
      <c r="GJ105" s="237" t="s">
        <v>231</v>
      </c>
      <c r="GK105" s="237" t="s">
        <v>231</v>
      </c>
      <c r="GL105" s="237" t="s">
        <v>231</v>
      </c>
      <c r="GM105" s="237" t="s">
        <v>231</v>
      </c>
      <c r="GN105" s="237" t="s">
        <v>231</v>
      </c>
      <c r="GO105" s="237" t="s">
        <v>231</v>
      </c>
      <c r="GP105" s="237" t="s">
        <v>492</v>
      </c>
      <c r="GQ105" s="237" t="s">
        <v>231</v>
      </c>
      <c r="GR105" s="237" t="s">
        <v>231</v>
      </c>
      <c r="GS105" s="237" t="s">
        <v>231</v>
      </c>
      <c r="GT105" s="237" t="s">
        <v>231</v>
      </c>
      <c r="GU105" s="237" t="s">
        <v>231</v>
      </c>
      <c r="GV105" s="237" t="s">
        <v>492</v>
      </c>
      <c r="GW105" s="237" t="s">
        <v>231</v>
      </c>
      <c r="GX105" s="237" t="s">
        <v>231</v>
      </c>
      <c r="GY105" s="237" t="s">
        <v>492</v>
      </c>
      <c r="GZ105" s="237" t="s">
        <v>492</v>
      </c>
      <c r="HA105" s="237" t="s">
        <v>231</v>
      </c>
      <c r="HB105" s="237" t="s">
        <v>231</v>
      </c>
      <c r="HC105" s="237" t="s">
        <v>231</v>
      </c>
      <c r="HD105" s="237" t="s">
        <v>231</v>
      </c>
      <c r="HE105" s="237" t="s">
        <v>231</v>
      </c>
      <c r="HF105" s="237" t="s">
        <v>492</v>
      </c>
      <c r="HG105" s="237" t="s">
        <v>231</v>
      </c>
      <c r="HH105" s="237" t="s">
        <v>231</v>
      </c>
      <c r="HI105" s="237" t="s">
        <v>231</v>
      </c>
      <c r="HJ105" s="237" t="s">
        <v>231</v>
      </c>
      <c r="HK105" s="237" t="s">
        <v>231</v>
      </c>
      <c r="HL105" s="237" t="s">
        <v>231</v>
      </c>
      <c r="HM105" s="237" t="s">
        <v>231</v>
      </c>
      <c r="HN105" s="237" t="s">
        <v>231</v>
      </c>
      <c r="HO105" s="237" t="s">
        <v>231</v>
      </c>
      <c r="HP105" s="237" t="s">
        <v>231</v>
      </c>
      <c r="HQ105" s="237" t="s">
        <v>492</v>
      </c>
      <c r="HR105" s="237" t="s">
        <v>492</v>
      </c>
      <c r="HS105" s="237" t="s">
        <v>492</v>
      </c>
      <c r="HT105" s="237" t="s">
        <v>492</v>
      </c>
      <c r="HU105" s="237" t="s">
        <v>231</v>
      </c>
      <c r="HV105" s="237" t="s">
        <v>231</v>
      </c>
      <c r="HW105" s="237" t="s">
        <v>231</v>
      </c>
      <c r="HX105" s="237" t="s">
        <v>231</v>
      </c>
      <c r="HY105" s="237" t="s">
        <v>231</v>
      </c>
      <c r="HZ105" s="237" t="s">
        <v>231</v>
      </c>
      <c r="IA105" s="237" t="s">
        <v>231</v>
      </c>
      <c r="IB105" s="237" t="s">
        <v>231</v>
      </c>
      <c r="IC105" s="237" t="s">
        <v>231</v>
      </c>
      <c r="ID105" s="237" t="s">
        <v>231</v>
      </c>
      <c r="IE105" s="237" t="s">
        <v>231</v>
      </c>
      <c r="IF105" s="237" t="s">
        <v>231</v>
      </c>
      <c r="IG105" s="237" t="s">
        <v>231</v>
      </c>
      <c r="IH105" s="237" t="s">
        <v>231</v>
      </c>
      <c r="II105" s="237" t="s">
        <v>231</v>
      </c>
      <c r="IJ105" s="237" t="s">
        <v>231</v>
      </c>
      <c r="IK105" s="237" t="s">
        <v>232</v>
      </c>
      <c r="IL105" s="237" t="s">
        <v>232</v>
      </c>
      <c r="IM105" s="237" t="s">
        <v>232</v>
      </c>
      <c r="IN105" s="237" t="s">
        <v>231</v>
      </c>
      <c r="IO105" s="237" t="s">
        <v>220</v>
      </c>
      <c r="IP105" s="237" t="s">
        <v>493</v>
      </c>
      <c r="IQ105" s="237" t="s">
        <v>219</v>
      </c>
      <c r="IR105" s="237" t="s">
        <v>490</v>
      </c>
      <c r="IS105" s="237" t="s">
        <v>231</v>
      </c>
      <c r="IT105" s="237" t="s">
        <v>232</v>
      </c>
    </row>
    <row r="106" spans="1:254" ht="15" x14ac:dyDescent="0.25">
      <c r="A106" s="259" t="str">
        <f>HYPERLINK("http://www.ofsted.gov.uk/inspection-reports/find-inspection-report/provider/ELS/135027 ","Ofsted School Webpage")</f>
        <v>Ofsted School Webpage</v>
      </c>
      <c r="B106" s="240">
        <v>135027</v>
      </c>
      <c r="C106" s="240">
        <v>3526062</v>
      </c>
      <c r="D106" s="240" t="s">
        <v>775</v>
      </c>
      <c r="E106" s="240" t="s">
        <v>248</v>
      </c>
      <c r="F106" s="240" t="s">
        <v>501</v>
      </c>
      <c r="G106" s="240" t="s">
        <v>495</v>
      </c>
      <c r="H106" s="240" t="s">
        <v>495</v>
      </c>
      <c r="I106" s="240" t="s">
        <v>744</v>
      </c>
      <c r="J106" s="240" t="s">
        <v>776</v>
      </c>
      <c r="K106" s="240" t="s">
        <v>93</v>
      </c>
      <c r="L106" s="240" t="s">
        <v>81</v>
      </c>
      <c r="M106" s="240" t="s">
        <v>81</v>
      </c>
      <c r="N106" s="240" t="s">
        <v>81</v>
      </c>
      <c r="O106" s="240" t="s">
        <v>486</v>
      </c>
      <c r="P106" s="240" t="s">
        <v>487</v>
      </c>
      <c r="Q106" s="241">
        <v>10053727</v>
      </c>
      <c r="R106" s="242">
        <v>43424</v>
      </c>
      <c r="S106" s="242">
        <v>43426</v>
      </c>
      <c r="T106" s="242">
        <v>43457</v>
      </c>
      <c r="U106" s="240" t="s">
        <v>488</v>
      </c>
      <c r="V106" s="240" t="s">
        <v>489</v>
      </c>
      <c r="W106" s="240">
        <v>2</v>
      </c>
      <c r="X106" s="240">
        <v>2</v>
      </c>
      <c r="Y106" s="240">
        <v>1</v>
      </c>
      <c r="Z106" s="240">
        <v>2</v>
      </c>
      <c r="AA106" s="240">
        <v>2</v>
      </c>
      <c r="AB106" s="240" t="s">
        <v>486</v>
      </c>
      <c r="AC106" s="240" t="s">
        <v>486</v>
      </c>
      <c r="AD106" s="240" t="s">
        <v>219</v>
      </c>
      <c r="AE106" s="240" t="s">
        <v>490</v>
      </c>
      <c r="AF106" s="240" t="s">
        <v>486</v>
      </c>
      <c r="AG106" s="240" t="s">
        <v>486</v>
      </c>
      <c r="AH106" s="240" t="s">
        <v>486</v>
      </c>
      <c r="AI106" s="240" t="s">
        <v>486</v>
      </c>
      <c r="AJ106" s="240" t="s">
        <v>486</v>
      </c>
      <c r="AK106" s="240" t="s">
        <v>486</v>
      </c>
      <c r="AL106" s="240" t="s">
        <v>486</v>
      </c>
      <c r="AM106" s="240" t="s">
        <v>491</v>
      </c>
      <c r="AN106" s="240" t="s">
        <v>231</v>
      </c>
      <c r="AO106" s="240" t="s">
        <v>231</v>
      </c>
      <c r="AP106" s="240" t="s">
        <v>231</v>
      </c>
      <c r="AQ106" s="240" t="s">
        <v>231</v>
      </c>
      <c r="AR106" s="240" t="s">
        <v>231</v>
      </c>
      <c r="AS106" s="240" t="s">
        <v>231</v>
      </c>
      <c r="AT106" s="240" t="s">
        <v>231</v>
      </c>
      <c r="AU106" s="240" t="s">
        <v>231</v>
      </c>
      <c r="AV106" s="240" t="s">
        <v>231</v>
      </c>
      <c r="AW106" s="240" t="s">
        <v>231</v>
      </c>
      <c r="AX106" s="240" t="s">
        <v>231</v>
      </c>
      <c r="AY106" s="240" t="s">
        <v>231</v>
      </c>
      <c r="AZ106" s="240" t="s">
        <v>231</v>
      </c>
      <c r="BA106" s="240" t="s">
        <v>231</v>
      </c>
      <c r="BB106" s="240" t="s">
        <v>231</v>
      </c>
      <c r="BC106" s="240" t="s">
        <v>231</v>
      </c>
      <c r="BD106" s="240" t="s">
        <v>492</v>
      </c>
      <c r="BE106" s="240" t="s">
        <v>231</v>
      </c>
      <c r="BF106" s="240" t="s">
        <v>231</v>
      </c>
      <c r="BG106" s="240" t="s">
        <v>231</v>
      </c>
      <c r="BH106" s="240" t="s">
        <v>231</v>
      </c>
      <c r="BI106" s="240" t="s">
        <v>231</v>
      </c>
      <c r="BJ106" s="240" t="s">
        <v>231</v>
      </c>
      <c r="BK106" s="240" t="s">
        <v>231</v>
      </c>
      <c r="BL106" s="240" t="s">
        <v>492</v>
      </c>
      <c r="BM106" s="240" t="s">
        <v>231</v>
      </c>
      <c r="BN106" s="240" t="s">
        <v>231</v>
      </c>
      <c r="BO106" s="240" t="s">
        <v>231</v>
      </c>
      <c r="BP106" s="240" t="s">
        <v>231</v>
      </c>
      <c r="BQ106" s="240" t="s">
        <v>231</v>
      </c>
      <c r="BR106" s="240" t="s">
        <v>231</v>
      </c>
      <c r="BS106" s="240" t="s">
        <v>231</v>
      </c>
      <c r="BT106" s="240" t="s">
        <v>231</v>
      </c>
      <c r="BU106" s="240" t="s">
        <v>231</v>
      </c>
      <c r="BV106" s="240" t="s">
        <v>231</v>
      </c>
      <c r="BW106" s="240" t="s">
        <v>231</v>
      </c>
      <c r="BX106" s="240" t="s">
        <v>231</v>
      </c>
      <c r="BY106" s="240" t="s">
        <v>231</v>
      </c>
      <c r="BZ106" s="240" t="s">
        <v>231</v>
      </c>
      <c r="CA106" s="240" t="s">
        <v>231</v>
      </c>
      <c r="CB106" s="240" t="s">
        <v>231</v>
      </c>
      <c r="CC106" s="240" t="s">
        <v>231</v>
      </c>
      <c r="CD106" s="240" t="s">
        <v>231</v>
      </c>
      <c r="CE106" s="240" t="s">
        <v>231</v>
      </c>
      <c r="CF106" s="240" t="s">
        <v>231</v>
      </c>
      <c r="CG106" s="240" t="s">
        <v>231</v>
      </c>
      <c r="CH106" s="240" t="s">
        <v>231</v>
      </c>
      <c r="CI106" s="240" t="s">
        <v>231</v>
      </c>
      <c r="CJ106" s="240" t="s">
        <v>231</v>
      </c>
      <c r="CK106" s="240" t="s">
        <v>231</v>
      </c>
      <c r="CL106" s="240" t="s">
        <v>231</v>
      </c>
      <c r="CM106" s="240" t="s">
        <v>231</v>
      </c>
      <c r="CN106" s="240" t="s">
        <v>231</v>
      </c>
      <c r="CO106" s="240" t="s">
        <v>231</v>
      </c>
      <c r="CP106" s="240" t="s">
        <v>231</v>
      </c>
      <c r="CQ106" s="240" t="s">
        <v>231</v>
      </c>
      <c r="CR106" s="240" t="s">
        <v>231</v>
      </c>
      <c r="CS106" s="240" t="s">
        <v>231</v>
      </c>
      <c r="CT106" s="240" t="s">
        <v>492</v>
      </c>
      <c r="CU106" s="240" t="s">
        <v>492</v>
      </c>
      <c r="CV106" s="240" t="s">
        <v>492</v>
      </c>
      <c r="CW106" s="240" t="s">
        <v>231</v>
      </c>
      <c r="CX106" s="240" t="s">
        <v>231</v>
      </c>
      <c r="CY106" s="240" t="s">
        <v>231</v>
      </c>
      <c r="CZ106" s="240" t="s">
        <v>231</v>
      </c>
      <c r="DA106" s="240" t="s">
        <v>231</v>
      </c>
      <c r="DB106" s="240" t="s">
        <v>231</v>
      </c>
      <c r="DC106" s="240" t="s">
        <v>231</v>
      </c>
      <c r="DD106" s="240" t="s">
        <v>231</v>
      </c>
      <c r="DE106" s="240" t="s">
        <v>231</v>
      </c>
      <c r="DF106" s="240" t="s">
        <v>231</v>
      </c>
      <c r="DG106" s="240" t="s">
        <v>231</v>
      </c>
      <c r="DH106" s="240" t="s">
        <v>231</v>
      </c>
      <c r="DI106" s="240" t="s">
        <v>231</v>
      </c>
      <c r="DJ106" s="240" t="s">
        <v>231</v>
      </c>
      <c r="DK106" s="240" t="s">
        <v>231</v>
      </c>
      <c r="DL106" s="240" t="s">
        <v>231</v>
      </c>
      <c r="DM106" s="240" t="s">
        <v>231</v>
      </c>
      <c r="DN106" s="240" t="s">
        <v>231</v>
      </c>
      <c r="DO106" s="240" t="s">
        <v>231</v>
      </c>
      <c r="DP106" s="240" t="s">
        <v>231</v>
      </c>
      <c r="DQ106" s="240" t="s">
        <v>231</v>
      </c>
      <c r="DR106" s="240" t="s">
        <v>231</v>
      </c>
      <c r="DS106" s="240" t="s">
        <v>231</v>
      </c>
      <c r="DT106" s="240" t="s">
        <v>492</v>
      </c>
      <c r="DU106" s="240" t="s">
        <v>231</v>
      </c>
      <c r="DV106" s="240" t="s">
        <v>492</v>
      </c>
      <c r="DW106" s="240" t="s">
        <v>492</v>
      </c>
      <c r="DX106" s="240" t="s">
        <v>492</v>
      </c>
      <c r="DY106" s="240" t="s">
        <v>492</v>
      </c>
      <c r="DZ106" s="240" t="s">
        <v>492</v>
      </c>
      <c r="EA106" s="240" t="s">
        <v>492</v>
      </c>
      <c r="EB106" s="240" t="s">
        <v>492</v>
      </c>
      <c r="EC106" s="240" t="s">
        <v>492</v>
      </c>
      <c r="ED106" s="240" t="s">
        <v>492</v>
      </c>
      <c r="EE106" s="240" t="s">
        <v>492</v>
      </c>
      <c r="EF106" s="240" t="s">
        <v>492</v>
      </c>
      <c r="EG106" s="240" t="s">
        <v>492</v>
      </c>
      <c r="EH106" s="240" t="s">
        <v>492</v>
      </c>
      <c r="EI106" s="240" t="s">
        <v>492</v>
      </c>
      <c r="EJ106" s="240" t="s">
        <v>231</v>
      </c>
      <c r="EK106" s="240" t="s">
        <v>231</v>
      </c>
      <c r="EL106" s="240" t="s">
        <v>231</v>
      </c>
      <c r="EM106" s="240" t="s">
        <v>231</v>
      </c>
      <c r="EN106" s="240" t="s">
        <v>231</v>
      </c>
      <c r="EO106" s="240" t="s">
        <v>231</v>
      </c>
      <c r="EP106" s="240" t="s">
        <v>231</v>
      </c>
      <c r="EQ106" s="240" t="s">
        <v>231</v>
      </c>
      <c r="ER106" s="240" t="s">
        <v>231</v>
      </c>
      <c r="ES106" s="240" t="s">
        <v>231</v>
      </c>
      <c r="ET106" s="240" t="s">
        <v>231</v>
      </c>
      <c r="EU106" s="240" t="s">
        <v>231</v>
      </c>
      <c r="EV106" s="240" t="s">
        <v>231</v>
      </c>
      <c r="EW106" s="240" t="s">
        <v>231</v>
      </c>
      <c r="EX106" s="240" t="s">
        <v>231</v>
      </c>
      <c r="EY106" s="240" t="s">
        <v>231</v>
      </c>
      <c r="EZ106" s="240" t="s">
        <v>231</v>
      </c>
      <c r="FA106" s="240" t="s">
        <v>231</v>
      </c>
      <c r="FB106" s="240" t="s">
        <v>231</v>
      </c>
      <c r="FC106" s="240" t="s">
        <v>231</v>
      </c>
      <c r="FD106" s="240" t="s">
        <v>231</v>
      </c>
      <c r="FE106" s="240" t="s">
        <v>231</v>
      </c>
      <c r="FF106" s="240" t="s">
        <v>231</v>
      </c>
      <c r="FG106" s="240" t="s">
        <v>492</v>
      </c>
      <c r="FH106" s="240" t="s">
        <v>492</v>
      </c>
      <c r="FI106" s="240" t="s">
        <v>492</v>
      </c>
      <c r="FJ106" s="240" t="s">
        <v>492</v>
      </c>
      <c r="FK106" s="240" t="s">
        <v>492</v>
      </c>
      <c r="FL106" s="240" t="s">
        <v>492</v>
      </c>
      <c r="FM106" s="240" t="s">
        <v>231</v>
      </c>
      <c r="FN106" s="240" t="s">
        <v>231</v>
      </c>
      <c r="FO106" s="240" t="s">
        <v>231</v>
      </c>
      <c r="FP106" s="240" t="s">
        <v>231</v>
      </c>
      <c r="FQ106" s="240" t="s">
        <v>231</v>
      </c>
      <c r="FR106" s="240" t="s">
        <v>231</v>
      </c>
      <c r="FS106" s="240" t="s">
        <v>231</v>
      </c>
      <c r="FT106" s="240" t="s">
        <v>231</v>
      </c>
      <c r="FU106" s="240" t="s">
        <v>231</v>
      </c>
      <c r="FV106" s="240" t="s">
        <v>231</v>
      </c>
      <c r="FW106" s="240" t="s">
        <v>231</v>
      </c>
      <c r="FX106" s="240" t="s">
        <v>231</v>
      </c>
      <c r="FY106" s="240" t="s">
        <v>231</v>
      </c>
      <c r="FZ106" s="240" t="s">
        <v>231</v>
      </c>
      <c r="GA106" s="240" t="s">
        <v>231</v>
      </c>
      <c r="GB106" s="240" t="s">
        <v>231</v>
      </c>
      <c r="GC106" s="240" t="s">
        <v>231</v>
      </c>
      <c r="GD106" s="240" t="s">
        <v>231</v>
      </c>
      <c r="GE106" s="240" t="s">
        <v>231</v>
      </c>
      <c r="GF106" s="240" t="s">
        <v>231</v>
      </c>
      <c r="GG106" s="240" t="s">
        <v>231</v>
      </c>
      <c r="GH106" s="240" t="s">
        <v>231</v>
      </c>
      <c r="GI106" s="240" t="s">
        <v>231</v>
      </c>
      <c r="GJ106" s="240" t="s">
        <v>231</v>
      </c>
      <c r="GK106" s="240" t="s">
        <v>231</v>
      </c>
      <c r="GL106" s="240" t="s">
        <v>231</v>
      </c>
      <c r="GM106" s="240" t="s">
        <v>231</v>
      </c>
      <c r="GN106" s="240" t="s">
        <v>231</v>
      </c>
      <c r="GO106" s="240" t="s">
        <v>231</v>
      </c>
      <c r="GP106" s="240" t="s">
        <v>492</v>
      </c>
      <c r="GQ106" s="240" t="s">
        <v>231</v>
      </c>
      <c r="GR106" s="240" t="s">
        <v>231</v>
      </c>
      <c r="GS106" s="240" t="s">
        <v>231</v>
      </c>
      <c r="GT106" s="240" t="s">
        <v>231</v>
      </c>
      <c r="GU106" s="240" t="s">
        <v>231</v>
      </c>
      <c r="GV106" s="240" t="s">
        <v>492</v>
      </c>
      <c r="GW106" s="240" t="s">
        <v>231</v>
      </c>
      <c r="GX106" s="240" t="s">
        <v>231</v>
      </c>
      <c r="GY106" s="240" t="s">
        <v>231</v>
      </c>
      <c r="GZ106" s="240" t="s">
        <v>231</v>
      </c>
      <c r="HA106" s="240" t="s">
        <v>231</v>
      </c>
      <c r="HB106" s="240" t="s">
        <v>231</v>
      </c>
      <c r="HC106" s="240" t="s">
        <v>231</v>
      </c>
      <c r="HD106" s="240" t="s">
        <v>231</v>
      </c>
      <c r="HE106" s="240" t="s">
        <v>231</v>
      </c>
      <c r="HF106" s="240" t="s">
        <v>231</v>
      </c>
      <c r="HG106" s="240" t="s">
        <v>231</v>
      </c>
      <c r="HH106" s="240" t="s">
        <v>231</v>
      </c>
      <c r="HI106" s="240" t="s">
        <v>231</v>
      </c>
      <c r="HJ106" s="240" t="s">
        <v>231</v>
      </c>
      <c r="HK106" s="240" t="s">
        <v>231</v>
      </c>
      <c r="HL106" s="240" t="s">
        <v>231</v>
      </c>
      <c r="HM106" s="240" t="s">
        <v>231</v>
      </c>
      <c r="HN106" s="240" t="s">
        <v>231</v>
      </c>
      <c r="HO106" s="240" t="s">
        <v>231</v>
      </c>
      <c r="HP106" s="240" t="s">
        <v>231</v>
      </c>
      <c r="HQ106" s="240" t="s">
        <v>492</v>
      </c>
      <c r="HR106" s="240" t="s">
        <v>492</v>
      </c>
      <c r="HS106" s="240" t="s">
        <v>492</v>
      </c>
      <c r="HT106" s="240" t="s">
        <v>492</v>
      </c>
      <c r="HU106" s="240" t="s">
        <v>231</v>
      </c>
      <c r="HV106" s="240" t="s">
        <v>231</v>
      </c>
      <c r="HW106" s="240" t="s">
        <v>231</v>
      </c>
      <c r="HX106" s="240" t="s">
        <v>231</v>
      </c>
      <c r="HY106" s="240" t="s">
        <v>231</v>
      </c>
      <c r="HZ106" s="240" t="s">
        <v>231</v>
      </c>
      <c r="IA106" s="240" t="s">
        <v>231</v>
      </c>
      <c r="IB106" s="240" t="s">
        <v>231</v>
      </c>
      <c r="IC106" s="240" t="s">
        <v>231</v>
      </c>
      <c r="ID106" s="240" t="s">
        <v>231</v>
      </c>
      <c r="IE106" s="240" t="s">
        <v>231</v>
      </c>
      <c r="IF106" s="240" t="s">
        <v>231</v>
      </c>
      <c r="IG106" s="240" t="s">
        <v>231</v>
      </c>
      <c r="IH106" s="240" t="s">
        <v>231</v>
      </c>
      <c r="II106" s="240" t="s">
        <v>231</v>
      </c>
      <c r="IJ106" s="240" t="s">
        <v>231</v>
      </c>
      <c r="IK106" s="240" t="s">
        <v>231</v>
      </c>
      <c r="IL106" s="240" t="s">
        <v>231</v>
      </c>
      <c r="IM106" s="240" t="s">
        <v>231</v>
      </c>
      <c r="IN106" s="240" t="s">
        <v>231</v>
      </c>
      <c r="IO106" s="240" t="s">
        <v>220</v>
      </c>
      <c r="IP106" s="240" t="s">
        <v>493</v>
      </c>
      <c r="IQ106" s="240" t="s">
        <v>219</v>
      </c>
      <c r="IR106" s="240" t="s">
        <v>490</v>
      </c>
      <c r="IS106" s="240" t="s">
        <v>231</v>
      </c>
      <c r="IT106" s="240" t="s">
        <v>231</v>
      </c>
    </row>
    <row r="107" spans="1:254" ht="15" x14ac:dyDescent="0.25">
      <c r="A107" s="258" t="str">
        <f>HYPERLINK("http://www.ofsted.gov.uk/inspection-reports/find-inspection-report/provider/ELS/107795 ","Ofsted School Webpage")</f>
        <v>Ofsted School Webpage</v>
      </c>
      <c r="B107" s="237">
        <v>107795</v>
      </c>
      <c r="C107" s="237">
        <v>3826018</v>
      </c>
      <c r="D107" s="237" t="s">
        <v>777</v>
      </c>
      <c r="E107" s="237" t="s">
        <v>247</v>
      </c>
      <c r="F107" s="237" t="s">
        <v>482</v>
      </c>
      <c r="G107" s="237" t="s">
        <v>523</v>
      </c>
      <c r="H107" s="237" t="s">
        <v>524</v>
      </c>
      <c r="I107" s="237" t="s">
        <v>767</v>
      </c>
      <c r="J107" s="237" t="s">
        <v>778</v>
      </c>
      <c r="K107" s="237" t="s">
        <v>71</v>
      </c>
      <c r="L107" s="237" t="s">
        <v>71</v>
      </c>
      <c r="M107" s="237" t="s">
        <v>71</v>
      </c>
      <c r="N107" s="237" t="s">
        <v>71</v>
      </c>
      <c r="O107" s="237" t="s">
        <v>486</v>
      </c>
      <c r="P107" s="237" t="s">
        <v>487</v>
      </c>
      <c r="Q107" s="238">
        <v>10055377</v>
      </c>
      <c r="R107" s="239">
        <v>43424</v>
      </c>
      <c r="S107" s="239">
        <v>43426</v>
      </c>
      <c r="T107" s="239">
        <v>43481</v>
      </c>
      <c r="U107" s="237" t="s">
        <v>488</v>
      </c>
      <c r="V107" s="237" t="s">
        <v>489</v>
      </c>
      <c r="W107" s="237">
        <v>4</v>
      </c>
      <c r="X107" s="237">
        <v>4</v>
      </c>
      <c r="Y107" s="237">
        <v>4</v>
      </c>
      <c r="Z107" s="237">
        <v>3</v>
      </c>
      <c r="AA107" s="237">
        <v>3</v>
      </c>
      <c r="AB107" s="237" t="s">
        <v>486</v>
      </c>
      <c r="AC107" s="237" t="s">
        <v>486</v>
      </c>
      <c r="AD107" s="237" t="s">
        <v>220</v>
      </c>
      <c r="AE107" s="237" t="s">
        <v>490</v>
      </c>
      <c r="AF107" s="237" t="s">
        <v>486</v>
      </c>
      <c r="AG107" s="237" t="s">
        <v>486</v>
      </c>
      <c r="AH107" s="237" t="s">
        <v>486</v>
      </c>
      <c r="AI107" s="237" t="s">
        <v>486</v>
      </c>
      <c r="AJ107" s="237" t="s">
        <v>486</v>
      </c>
      <c r="AK107" s="237" t="s">
        <v>486</v>
      </c>
      <c r="AL107" s="237" t="s">
        <v>486</v>
      </c>
      <c r="AM107" s="237" t="s">
        <v>545</v>
      </c>
      <c r="AN107" s="237" t="s">
        <v>231</v>
      </c>
      <c r="AO107" s="237" t="s">
        <v>231</v>
      </c>
      <c r="AP107" s="237" t="s">
        <v>546</v>
      </c>
      <c r="AQ107" s="237" t="s">
        <v>231</v>
      </c>
      <c r="AR107" s="237" t="s">
        <v>231</v>
      </c>
      <c r="AS107" s="237" t="s">
        <v>231</v>
      </c>
      <c r="AT107" s="237" t="s">
        <v>231</v>
      </c>
      <c r="AU107" s="237" t="s">
        <v>546</v>
      </c>
      <c r="AV107" s="237" t="s">
        <v>231</v>
      </c>
      <c r="AW107" s="237" t="s">
        <v>231</v>
      </c>
      <c r="AX107" s="237" t="s">
        <v>231</v>
      </c>
      <c r="AY107" s="237" t="s">
        <v>231</v>
      </c>
      <c r="AZ107" s="237" t="s">
        <v>231</v>
      </c>
      <c r="BA107" s="237" t="s">
        <v>231</v>
      </c>
      <c r="BB107" s="237" t="s">
        <v>231</v>
      </c>
      <c r="BC107" s="237" t="s">
        <v>231</v>
      </c>
      <c r="BD107" s="237" t="s">
        <v>492</v>
      </c>
      <c r="BE107" s="237" t="s">
        <v>231</v>
      </c>
      <c r="BF107" s="237" t="s">
        <v>231</v>
      </c>
      <c r="BG107" s="237" t="s">
        <v>231</v>
      </c>
      <c r="BH107" s="237" t="s">
        <v>232</v>
      </c>
      <c r="BI107" s="237" t="s">
        <v>232</v>
      </c>
      <c r="BJ107" s="237" t="s">
        <v>232</v>
      </c>
      <c r="BK107" s="237" t="s">
        <v>232</v>
      </c>
      <c r="BL107" s="237" t="s">
        <v>231</v>
      </c>
      <c r="BM107" s="237" t="s">
        <v>231</v>
      </c>
      <c r="BN107" s="237" t="s">
        <v>231</v>
      </c>
      <c r="BO107" s="237" t="s">
        <v>231</v>
      </c>
      <c r="BP107" s="237" t="s">
        <v>231</v>
      </c>
      <c r="BQ107" s="237" t="s">
        <v>231</v>
      </c>
      <c r="BR107" s="237" t="s">
        <v>231</v>
      </c>
      <c r="BS107" s="237" t="s">
        <v>231</v>
      </c>
      <c r="BT107" s="237" t="s">
        <v>231</v>
      </c>
      <c r="BU107" s="237" t="s">
        <v>231</v>
      </c>
      <c r="BV107" s="237" t="s">
        <v>231</v>
      </c>
      <c r="BW107" s="237" t="s">
        <v>231</v>
      </c>
      <c r="BX107" s="237" t="s">
        <v>231</v>
      </c>
      <c r="BY107" s="237" t="s">
        <v>231</v>
      </c>
      <c r="BZ107" s="237" t="s">
        <v>231</v>
      </c>
      <c r="CA107" s="237" t="s">
        <v>231</v>
      </c>
      <c r="CB107" s="237" t="s">
        <v>231</v>
      </c>
      <c r="CC107" s="237" t="s">
        <v>231</v>
      </c>
      <c r="CD107" s="237" t="s">
        <v>231</v>
      </c>
      <c r="CE107" s="237" t="s">
        <v>231</v>
      </c>
      <c r="CF107" s="237" t="s">
        <v>231</v>
      </c>
      <c r="CG107" s="237" t="s">
        <v>231</v>
      </c>
      <c r="CH107" s="237" t="s">
        <v>231</v>
      </c>
      <c r="CI107" s="237" t="s">
        <v>231</v>
      </c>
      <c r="CJ107" s="237" t="s">
        <v>231</v>
      </c>
      <c r="CK107" s="237" t="s">
        <v>231</v>
      </c>
      <c r="CL107" s="237" t="s">
        <v>231</v>
      </c>
      <c r="CM107" s="237" t="s">
        <v>231</v>
      </c>
      <c r="CN107" s="237" t="s">
        <v>231</v>
      </c>
      <c r="CO107" s="237" t="s">
        <v>231</v>
      </c>
      <c r="CP107" s="237" t="s">
        <v>231</v>
      </c>
      <c r="CQ107" s="237" t="s">
        <v>232</v>
      </c>
      <c r="CR107" s="237" t="s">
        <v>232</v>
      </c>
      <c r="CS107" s="237" t="s">
        <v>232</v>
      </c>
      <c r="CT107" s="237" t="s">
        <v>492</v>
      </c>
      <c r="CU107" s="237" t="s">
        <v>492</v>
      </c>
      <c r="CV107" s="237" t="s">
        <v>492</v>
      </c>
      <c r="CW107" s="237" t="s">
        <v>231</v>
      </c>
      <c r="CX107" s="237" t="s">
        <v>231</v>
      </c>
      <c r="CY107" s="237" t="s">
        <v>231</v>
      </c>
      <c r="CZ107" s="237" t="s">
        <v>231</v>
      </c>
      <c r="DA107" s="237" t="s">
        <v>231</v>
      </c>
      <c r="DB107" s="237" t="s">
        <v>231</v>
      </c>
      <c r="DC107" s="237" t="s">
        <v>231</v>
      </c>
      <c r="DD107" s="237" t="s">
        <v>231</v>
      </c>
      <c r="DE107" s="237" t="s">
        <v>231</v>
      </c>
      <c r="DF107" s="237" t="s">
        <v>231</v>
      </c>
      <c r="DG107" s="237" t="s">
        <v>231</v>
      </c>
      <c r="DH107" s="237" t="s">
        <v>231</v>
      </c>
      <c r="DI107" s="237" t="s">
        <v>231</v>
      </c>
      <c r="DJ107" s="237" t="s">
        <v>231</v>
      </c>
      <c r="DK107" s="237" t="s">
        <v>231</v>
      </c>
      <c r="DL107" s="237" t="s">
        <v>231</v>
      </c>
      <c r="DM107" s="237" t="s">
        <v>231</v>
      </c>
      <c r="DN107" s="237" t="s">
        <v>231</v>
      </c>
      <c r="DO107" s="237" t="s">
        <v>231</v>
      </c>
      <c r="DP107" s="237" t="s">
        <v>231</v>
      </c>
      <c r="DQ107" s="237" t="s">
        <v>231</v>
      </c>
      <c r="DR107" s="237" t="s">
        <v>231</v>
      </c>
      <c r="DS107" s="237" t="s">
        <v>232</v>
      </c>
      <c r="DT107" s="237" t="s">
        <v>492</v>
      </c>
      <c r="DU107" s="237" t="s">
        <v>232</v>
      </c>
      <c r="DV107" s="237" t="s">
        <v>492</v>
      </c>
      <c r="DW107" s="237" t="s">
        <v>492</v>
      </c>
      <c r="DX107" s="237" t="s">
        <v>492</v>
      </c>
      <c r="DY107" s="237" t="s">
        <v>492</v>
      </c>
      <c r="DZ107" s="237" t="s">
        <v>492</v>
      </c>
      <c r="EA107" s="237" t="s">
        <v>492</v>
      </c>
      <c r="EB107" s="237" t="s">
        <v>492</v>
      </c>
      <c r="EC107" s="237" t="s">
        <v>492</v>
      </c>
      <c r="ED107" s="237" t="s">
        <v>492</v>
      </c>
      <c r="EE107" s="237" t="s">
        <v>492</v>
      </c>
      <c r="EF107" s="237" t="s">
        <v>492</v>
      </c>
      <c r="EG107" s="237" t="s">
        <v>492</v>
      </c>
      <c r="EH107" s="237" t="s">
        <v>492</v>
      </c>
      <c r="EI107" s="237" t="s">
        <v>492</v>
      </c>
      <c r="EJ107" s="237" t="s">
        <v>231</v>
      </c>
      <c r="EK107" s="237" t="s">
        <v>231</v>
      </c>
      <c r="EL107" s="237" t="s">
        <v>231</v>
      </c>
      <c r="EM107" s="237" t="s">
        <v>231</v>
      </c>
      <c r="EN107" s="237" t="s">
        <v>231</v>
      </c>
      <c r="EO107" s="237" t="s">
        <v>231</v>
      </c>
      <c r="EP107" s="237" t="s">
        <v>231</v>
      </c>
      <c r="EQ107" s="237" t="s">
        <v>231</v>
      </c>
      <c r="ER107" s="237" t="s">
        <v>231</v>
      </c>
      <c r="ES107" s="237" t="s">
        <v>231</v>
      </c>
      <c r="ET107" s="237" t="s">
        <v>231</v>
      </c>
      <c r="EU107" s="237" t="s">
        <v>231</v>
      </c>
      <c r="EV107" s="237" t="s">
        <v>231</v>
      </c>
      <c r="EW107" s="237" t="s">
        <v>231</v>
      </c>
      <c r="EX107" s="237" t="s">
        <v>231</v>
      </c>
      <c r="EY107" s="237" t="s">
        <v>231</v>
      </c>
      <c r="EZ107" s="237" t="s">
        <v>231</v>
      </c>
      <c r="FA107" s="237" t="s">
        <v>231</v>
      </c>
      <c r="FB107" s="237" t="s">
        <v>231</v>
      </c>
      <c r="FC107" s="237" t="s">
        <v>231</v>
      </c>
      <c r="FD107" s="237" t="s">
        <v>231</v>
      </c>
      <c r="FE107" s="237" t="s">
        <v>231</v>
      </c>
      <c r="FF107" s="237" t="s">
        <v>231</v>
      </c>
      <c r="FG107" s="237" t="s">
        <v>492</v>
      </c>
      <c r="FH107" s="237" t="s">
        <v>492</v>
      </c>
      <c r="FI107" s="237" t="s">
        <v>492</v>
      </c>
      <c r="FJ107" s="237" t="s">
        <v>492</v>
      </c>
      <c r="FK107" s="237" t="s">
        <v>492</v>
      </c>
      <c r="FL107" s="237" t="s">
        <v>492</v>
      </c>
      <c r="FM107" s="237" t="s">
        <v>492</v>
      </c>
      <c r="FN107" s="237" t="s">
        <v>492</v>
      </c>
      <c r="FO107" s="237" t="s">
        <v>493</v>
      </c>
      <c r="FP107" s="237" t="s">
        <v>492</v>
      </c>
      <c r="FQ107" s="237" t="s">
        <v>231</v>
      </c>
      <c r="FR107" s="237" t="s">
        <v>231</v>
      </c>
      <c r="FS107" s="237" t="s">
        <v>231</v>
      </c>
      <c r="FT107" s="237" t="s">
        <v>231</v>
      </c>
      <c r="FU107" s="237" t="s">
        <v>231</v>
      </c>
      <c r="FV107" s="237" t="s">
        <v>231</v>
      </c>
      <c r="FW107" s="237" t="s">
        <v>231</v>
      </c>
      <c r="FX107" s="237" t="s">
        <v>492</v>
      </c>
      <c r="FY107" s="237" t="s">
        <v>231</v>
      </c>
      <c r="FZ107" s="237" t="s">
        <v>231</v>
      </c>
      <c r="GA107" s="237" t="s">
        <v>231</v>
      </c>
      <c r="GB107" s="237" t="s">
        <v>231</v>
      </c>
      <c r="GC107" s="237" t="s">
        <v>231</v>
      </c>
      <c r="GD107" s="237" t="s">
        <v>231</v>
      </c>
      <c r="GE107" s="237" t="s">
        <v>231</v>
      </c>
      <c r="GF107" s="237" t="s">
        <v>231</v>
      </c>
      <c r="GG107" s="237" t="s">
        <v>231</v>
      </c>
      <c r="GH107" s="237" t="s">
        <v>231</v>
      </c>
      <c r="GI107" s="237" t="s">
        <v>231</v>
      </c>
      <c r="GJ107" s="237" t="s">
        <v>231</v>
      </c>
      <c r="GK107" s="237" t="s">
        <v>231</v>
      </c>
      <c r="GL107" s="237" t="s">
        <v>231</v>
      </c>
      <c r="GM107" s="237" t="s">
        <v>231</v>
      </c>
      <c r="GN107" s="237" t="s">
        <v>231</v>
      </c>
      <c r="GO107" s="237" t="s">
        <v>231</v>
      </c>
      <c r="GP107" s="237" t="s">
        <v>492</v>
      </c>
      <c r="GQ107" s="237" t="s">
        <v>231</v>
      </c>
      <c r="GR107" s="237" t="s">
        <v>231</v>
      </c>
      <c r="GS107" s="237" t="s">
        <v>231</v>
      </c>
      <c r="GT107" s="237" t="s">
        <v>231</v>
      </c>
      <c r="GU107" s="237" t="s">
        <v>231</v>
      </c>
      <c r="GV107" s="237" t="s">
        <v>231</v>
      </c>
      <c r="GW107" s="237" t="s">
        <v>231</v>
      </c>
      <c r="GX107" s="237" t="s">
        <v>231</v>
      </c>
      <c r="GY107" s="237" t="s">
        <v>231</v>
      </c>
      <c r="GZ107" s="237" t="s">
        <v>231</v>
      </c>
      <c r="HA107" s="237" t="s">
        <v>231</v>
      </c>
      <c r="HB107" s="237" t="s">
        <v>231</v>
      </c>
      <c r="HC107" s="237" t="s">
        <v>231</v>
      </c>
      <c r="HD107" s="237" t="s">
        <v>231</v>
      </c>
      <c r="HE107" s="237" t="s">
        <v>231</v>
      </c>
      <c r="HF107" s="237" t="s">
        <v>231</v>
      </c>
      <c r="HG107" s="237" t="s">
        <v>231</v>
      </c>
      <c r="HH107" s="237" t="s">
        <v>231</v>
      </c>
      <c r="HI107" s="237" t="s">
        <v>231</v>
      </c>
      <c r="HJ107" s="237" t="s">
        <v>231</v>
      </c>
      <c r="HK107" s="237" t="s">
        <v>231</v>
      </c>
      <c r="HL107" s="237" t="s">
        <v>231</v>
      </c>
      <c r="HM107" s="237" t="s">
        <v>231</v>
      </c>
      <c r="HN107" s="237" t="s">
        <v>231</v>
      </c>
      <c r="HO107" s="237" t="s">
        <v>231</v>
      </c>
      <c r="HP107" s="237" t="s">
        <v>231</v>
      </c>
      <c r="HQ107" s="237" t="s">
        <v>231</v>
      </c>
      <c r="HR107" s="237" t="s">
        <v>492</v>
      </c>
      <c r="HS107" s="237" t="s">
        <v>492</v>
      </c>
      <c r="HT107" s="237" t="s">
        <v>492</v>
      </c>
      <c r="HU107" s="237" t="s">
        <v>231</v>
      </c>
      <c r="HV107" s="237" t="s">
        <v>231</v>
      </c>
      <c r="HW107" s="237" t="s">
        <v>231</v>
      </c>
      <c r="HX107" s="237" t="s">
        <v>231</v>
      </c>
      <c r="HY107" s="237" t="s">
        <v>231</v>
      </c>
      <c r="HZ107" s="237" t="s">
        <v>231</v>
      </c>
      <c r="IA107" s="237" t="s">
        <v>231</v>
      </c>
      <c r="IB107" s="237" t="s">
        <v>231</v>
      </c>
      <c r="IC107" s="237" t="s">
        <v>231</v>
      </c>
      <c r="ID107" s="237" t="s">
        <v>231</v>
      </c>
      <c r="IE107" s="237" t="s">
        <v>231</v>
      </c>
      <c r="IF107" s="237" t="s">
        <v>231</v>
      </c>
      <c r="IG107" s="237" t="s">
        <v>231</v>
      </c>
      <c r="IH107" s="237" t="s">
        <v>231</v>
      </c>
      <c r="II107" s="237" t="s">
        <v>231</v>
      </c>
      <c r="IJ107" s="237" t="s">
        <v>231</v>
      </c>
      <c r="IK107" s="237" t="s">
        <v>232</v>
      </c>
      <c r="IL107" s="237" t="s">
        <v>232</v>
      </c>
      <c r="IM107" s="237" t="s">
        <v>232</v>
      </c>
      <c r="IN107" s="237" t="s">
        <v>232</v>
      </c>
      <c r="IO107" s="237" t="s">
        <v>220</v>
      </c>
      <c r="IP107" s="237" t="s">
        <v>493</v>
      </c>
      <c r="IQ107" s="237" t="s">
        <v>219</v>
      </c>
      <c r="IR107" s="237" t="s">
        <v>490</v>
      </c>
      <c r="IS107" s="237" t="s">
        <v>232</v>
      </c>
      <c r="IT107" s="237" t="s">
        <v>231</v>
      </c>
    </row>
    <row r="108" spans="1:254" ht="15" x14ac:dyDescent="0.25">
      <c r="A108" s="259" t="str">
        <f>HYPERLINK("http://www.ofsted.gov.uk/inspection-reports/find-inspection-report/provider/ELS/119819 ","Ofsted School Webpage")</f>
        <v>Ofsted School Webpage</v>
      </c>
      <c r="B108" s="240">
        <v>119819</v>
      </c>
      <c r="C108" s="240">
        <v>8886001</v>
      </c>
      <c r="D108" s="240" t="s">
        <v>779</v>
      </c>
      <c r="E108" s="240" t="s">
        <v>247</v>
      </c>
      <c r="F108" s="240" t="s">
        <v>482</v>
      </c>
      <c r="G108" s="240" t="s">
        <v>495</v>
      </c>
      <c r="H108" s="240" t="s">
        <v>495</v>
      </c>
      <c r="I108" s="240" t="s">
        <v>534</v>
      </c>
      <c r="J108" s="240" t="s">
        <v>780</v>
      </c>
      <c r="K108" s="240" t="s">
        <v>93</v>
      </c>
      <c r="L108" s="240" t="s">
        <v>93</v>
      </c>
      <c r="M108" s="240" t="s">
        <v>93</v>
      </c>
      <c r="N108" s="240" t="s">
        <v>90</v>
      </c>
      <c r="O108" s="240" t="s">
        <v>486</v>
      </c>
      <c r="P108" s="240" t="s">
        <v>487</v>
      </c>
      <c r="Q108" s="241">
        <v>10053723</v>
      </c>
      <c r="R108" s="242">
        <v>43424</v>
      </c>
      <c r="S108" s="242">
        <v>43426</v>
      </c>
      <c r="T108" s="242">
        <v>43447</v>
      </c>
      <c r="U108" s="240" t="s">
        <v>488</v>
      </c>
      <c r="V108" s="240" t="s">
        <v>489</v>
      </c>
      <c r="W108" s="240">
        <v>2</v>
      </c>
      <c r="X108" s="240">
        <v>2</v>
      </c>
      <c r="Y108" s="240">
        <v>1</v>
      </c>
      <c r="Z108" s="240">
        <v>2</v>
      </c>
      <c r="AA108" s="240">
        <v>2</v>
      </c>
      <c r="AB108" s="240">
        <v>2</v>
      </c>
      <c r="AC108" s="240">
        <v>2</v>
      </c>
      <c r="AD108" s="240" t="s">
        <v>219</v>
      </c>
      <c r="AE108" s="240" t="s">
        <v>490</v>
      </c>
      <c r="AF108" s="240" t="s">
        <v>486</v>
      </c>
      <c r="AG108" s="240" t="s">
        <v>486</v>
      </c>
      <c r="AH108" s="240" t="s">
        <v>486</v>
      </c>
      <c r="AI108" s="240" t="s">
        <v>486</v>
      </c>
      <c r="AJ108" s="240" t="s">
        <v>486</v>
      </c>
      <c r="AK108" s="240" t="s">
        <v>486</v>
      </c>
      <c r="AL108" s="240" t="s">
        <v>486</v>
      </c>
      <c r="AM108" s="240" t="s">
        <v>491</v>
      </c>
      <c r="AN108" s="240" t="s">
        <v>231</v>
      </c>
      <c r="AO108" s="240" t="s">
        <v>231</v>
      </c>
      <c r="AP108" s="240" t="s">
        <v>231</v>
      </c>
      <c r="AQ108" s="240" t="s">
        <v>231</v>
      </c>
      <c r="AR108" s="240" t="s">
        <v>231</v>
      </c>
      <c r="AS108" s="240" t="s">
        <v>231</v>
      </c>
      <c r="AT108" s="240" t="s">
        <v>231</v>
      </c>
      <c r="AU108" s="240" t="s">
        <v>231</v>
      </c>
      <c r="AV108" s="240" t="s">
        <v>231</v>
      </c>
      <c r="AW108" s="240" t="s">
        <v>231</v>
      </c>
      <c r="AX108" s="240" t="s">
        <v>231</v>
      </c>
      <c r="AY108" s="240" t="s">
        <v>231</v>
      </c>
      <c r="AZ108" s="240" t="s">
        <v>231</v>
      </c>
      <c r="BA108" s="240" t="s">
        <v>231</v>
      </c>
      <c r="BB108" s="240" t="s">
        <v>231</v>
      </c>
      <c r="BC108" s="240" t="s">
        <v>231</v>
      </c>
      <c r="BD108" s="240" t="s">
        <v>231</v>
      </c>
      <c r="BE108" s="240" t="s">
        <v>231</v>
      </c>
      <c r="BF108" s="240" t="s">
        <v>231</v>
      </c>
      <c r="BG108" s="240" t="s">
        <v>231</v>
      </c>
      <c r="BH108" s="240" t="s">
        <v>231</v>
      </c>
      <c r="BI108" s="240" t="s">
        <v>231</v>
      </c>
      <c r="BJ108" s="240" t="s">
        <v>231</v>
      </c>
      <c r="BK108" s="240" t="s">
        <v>231</v>
      </c>
      <c r="BL108" s="240" t="s">
        <v>231</v>
      </c>
      <c r="BM108" s="240" t="s">
        <v>231</v>
      </c>
      <c r="BN108" s="240" t="s">
        <v>231</v>
      </c>
      <c r="BO108" s="240" t="s">
        <v>231</v>
      </c>
      <c r="BP108" s="240" t="s">
        <v>231</v>
      </c>
      <c r="BQ108" s="240" t="s">
        <v>231</v>
      </c>
      <c r="BR108" s="240" t="s">
        <v>231</v>
      </c>
      <c r="BS108" s="240" t="s">
        <v>231</v>
      </c>
      <c r="BT108" s="240" t="s">
        <v>231</v>
      </c>
      <c r="BU108" s="240" t="s">
        <v>231</v>
      </c>
      <c r="BV108" s="240" t="s">
        <v>231</v>
      </c>
      <c r="BW108" s="240" t="s">
        <v>231</v>
      </c>
      <c r="BX108" s="240" t="s">
        <v>231</v>
      </c>
      <c r="BY108" s="240" t="s">
        <v>231</v>
      </c>
      <c r="BZ108" s="240" t="s">
        <v>231</v>
      </c>
      <c r="CA108" s="240" t="s">
        <v>231</v>
      </c>
      <c r="CB108" s="240" t="s">
        <v>231</v>
      </c>
      <c r="CC108" s="240" t="s">
        <v>231</v>
      </c>
      <c r="CD108" s="240" t="s">
        <v>231</v>
      </c>
      <c r="CE108" s="240" t="s">
        <v>231</v>
      </c>
      <c r="CF108" s="240" t="s">
        <v>231</v>
      </c>
      <c r="CG108" s="240" t="s">
        <v>231</v>
      </c>
      <c r="CH108" s="240" t="s">
        <v>231</v>
      </c>
      <c r="CI108" s="240" t="s">
        <v>231</v>
      </c>
      <c r="CJ108" s="240" t="s">
        <v>231</v>
      </c>
      <c r="CK108" s="240" t="s">
        <v>231</v>
      </c>
      <c r="CL108" s="240" t="s">
        <v>231</v>
      </c>
      <c r="CM108" s="240" t="s">
        <v>231</v>
      </c>
      <c r="CN108" s="240" t="s">
        <v>231</v>
      </c>
      <c r="CO108" s="240" t="s">
        <v>231</v>
      </c>
      <c r="CP108" s="240" t="s">
        <v>231</v>
      </c>
      <c r="CQ108" s="240" t="s">
        <v>231</v>
      </c>
      <c r="CR108" s="240" t="s">
        <v>231</v>
      </c>
      <c r="CS108" s="240" t="s">
        <v>231</v>
      </c>
      <c r="CT108" s="240" t="s">
        <v>231</v>
      </c>
      <c r="CU108" s="240" t="s">
        <v>231</v>
      </c>
      <c r="CV108" s="240" t="s">
        <v>231</v>
      </c>
      <c r="CW108" s="240" t="s">
        <v>231</v>
      </c>
      <c r="CX108" s="240" t="s">
        <v>231</v>
      </c>
      <c r="CY108" s="240" t="s">
        <v>231</v>
      </c>
      <c r="CZ108" s="240" t="s">
        <v>231</v>
      </c>
      <c r="DA108" s="240" t="s">
        <v>231</v>
      </c>
      <c r="DB108" s="240" t="s">
        <v>231</v>
      </c>
      <c r="DC108" s="240" t="s">
        <v>231</v>
      </c>
      <c r="DD108" s="240" t="s">
        <v>231</v>
      </c>
      <c r="DE108" s="240" t="s">
        <v>231</v>
      </c>
      <c r="DF108" s="240" t="s">
        <v>231</v>
      </c>
      <c r="DG108" s="240" t="s">
        <v>231</v>
      </c>
      <c r="DH108" s="240" t="s">
        <v>231</v>
      </c>
      <c r="DI108" s="240" t="s">
        <v>231</v>
      </c>
      <c r="DJ108" s="240" t="s">
        <v>231</v>
      </c>
      <c r="DK108" s="240" t="s">
        <v>231</v>
      </c>
      <c r="DL108" s="240" t="s">
        <v>231</v>
      </c>
      <c r="DM108" s="240" t="s">
        <v>231</v>
      </c>
      <c r="DN108" s="240" t="s">
        <v>231</v>
      </c>
      <c r="DO108" s="240" t="s">
        <v>231</v>
      </c>
      <c r="DP108" s="240" t="s">
        <v>231</v>
      </c>
      <c r="DQ108" s="240" t="s">
        <v>231</v>
      </c>
      <c r="DR108" s="240" t="s">
        <v>231</v>
      </c>
      <c r="DS108" s="240" t="s">
        <v>492</v>
      </c>
      <c r="DT108" s="240" t="s">
        <v>492</v>
      </c>
      <c r="DU108" s="240" t="s">
        <v>231</v>
      </c>
      <c r="DV108" s="240" t="s">
        <v>492</v>
      </c>
      <c r="DW108" s="240" t="s">
        <v>492</v>
      </c>
      <c r="DX108" s="240" t="s">
        <v>492</v>
      </c>
      <c r="DY108" s="240" t="s">
        <v>492</v>
      </c>
      <c r="DZ108" s="240" t="s">
        <v>492</v>
      </c>
      <c r="EA108" s="240" t="s">
        <v>492</v>
      </c>
      <c r="EB108" s="240" t="s">
        <v>492</v>
      </c>
      <c r="EC108" s="240" t="s">
        <v>492</v>
      </c>
      <c r="ED108" s="240" t="s">
        <v>492</v>
      </c>
      <c r="EE108" s="240" t="s">
        <v>492</v>
      </c>
      <c r="EF108" s="240" t="s">
        <v>492</v>
      </c>
      <c r="EG108" s="240" t="s">
        <v>492</v>
      </c>
      <c r="EH108" s="240" t="s">
        <v>492</v>
      </c>
      <c r="EI108" s="240" t="s">
        <v>492</v>
      </c>
      <c r="EJ108" s="240" t="s">
        <v>231</v>
      </c>
      <c r="EK108" s="240" t="s">
        <v>231</v>
      </c>
      <c r="EL108" s="240" t="s">
        <v>231</v>
      </c>
      <c r="EM108" s="240" t="s">
        <v>231</v>
      </c>
      <c r="EN108" s="240" t="s">
        <v>231</v>
      </c>
      <c r="EO108" s="240" t="s">
        <v>231</v>
      </c>
      <c r="EP108" s="240" t="s">
        <v>231</v>
      </c>
      <c r="EQ108" s="240" t="s">
        <v>231</v>
      </c>
      <c r="ER108" s="240" t="s">
        <v>231</v>
      </c>
      <c r="ES108" s="240" t="s">
        <v>492</v>
      </c>
      <c r="ET108" s="240" t="s">
        <v>231</v>
      </c>
      <c r="EU108" s="240" t="s">
        <v>231</v>
      </c>
      <c r="EV108" s="240" t="s">
        <v>231</v>
      </c>
      <c r="EW108" s="240" t="s">
        <v>231</v>
      </c>
      <c r="EX108" s="240" t="s">
        <v>231</v>
      </c>
      <c r="EY108" s="240" t="s">
        <v>231</v>
      </c>
      <c r="EZ108" s="240" t="s">
        <v>231</v>
      </c>
      <c r="FA108" s="240" t="s">
        <v>231</v>
      </c>
      <c r="FB108" s="240" t="s">
        <v>231</v>
      </c>
      <c r="FC108" s="240" t="s">
        <v>231</v>
      </c>
      <c r="FD108" s="240" t="s">
        <v>231</v>
      </c>
      <c r="FE108" s="240" t="s">
        <v>231</v>
      </c>
      <c r="FF108" s="240" t="s">
        <v>231</v>
      </c>
      <c r="FG108" s="240" t="s">
        <v>492</v>
      </c>
      <c r="FH108" s="240" t="s">
        <v>492</v>
      </c>
      <c r="FI108" s="240" t="s">
        <v>492</v>
      </c>
      <c r="FJ108" s="240" t="s">
        <v>492</v>
      </c>
      <c r="FK108" s="240" t="s">
        <v>492</v>
      </c>
      <c r="FL108" s="240" t="s">
        <v>492</v>
      </c>
      <c r="FM108" s="240" t="s">
        <v>492</v>
      </c>
      <c r="FN108" s="240" t="s">
        <v>231</v>
      </c>
      <c r="FO108" s="240" t="s">
        <v>231</v>
      </c>
      <c r="FP108" s="240" t="s">
        <v>231</v>
      </c>
      <c r="FQ108" s="240" t="s">
        <v>231</v>
      </c>
      <c r="FR108" s="240" t="s">
        <v>231</v>
      </c>
      <c r="FS108" s="240" t="s">
        <v>231</v>
      </c>
      <c r="FT108" s="240" t="s">
        <v>231</v>
      </c>
      <c r="FU108" s="240" t="s">
        <v>231</v>
      </c>
      <c r="FV108" s="240" t="s">
        <v>231</v>
      </c>
      <c r="FW108" s="240" t="s">
        <v>231</v>
      </c>
      <c r="FX108" s="240" t="s">
        <v>492</v>
      </c>
      <c r="FY108" s="240" t="s">
        <v>231</v>
      </c>
      <c r="FZ108" s="240" t="s">
        <v>231</v>
      </c>
      <c r="GA108" s="240" t="s">
        <v>231</v>
      </c>
      <c r="GB108" s="240" t="s">
        <v>231</v>
      </c>
      <c r="GC108" s="240" t="s">
        <v>231</v>
      </c>
      <c r="GD108" s="240" t="s">
        <v>231</v>
      </c>
      <c r="GE108" s="240" t="s">
        <v>231</v>
      </c>
      <c r="GF108" s="240" t="s">
        <v>231</v>
      </c>
      <c r="GG108" s="240" t="s">
        <v>231</v>
      </c>
      <c r="GH108" s="240" t="s">
        <v>231</v>
      </c>
      <c r="GI108" s="240" t="s">
        <v>231</v>
      </c>
      <c r="GJ108" s="240" t="s">
        <v>231</v>
      </c>
      <c r="GK108" s="240" t="s">
        <v>231</v>
      </c>
      <c r="GL108" s="240" t="s">
        <v>231</v>
      </c>
      <c r="GM108" s="240" t="s">
        <v>231</v>
      </c>
      <c r="GN108" s="240" t="s">
        <v>231</v>
      </c>
      <c r="GO108" s="240" t="s">
        <v>231</v>
      </c>
      <c r="GP108" s="240" t="s">
        <v>492</v>
      </c>
      <c r="GQ108" s="240" t="s">
        <v>231</v>
      </c>
      <c r="GR108" s="240" t="s">
        <v>231</v>
      </c>
      <c r="GS108" s="240" t="s">
        <v>231</v>
      </c>
      <c r="GT108" s="240" t="s">
        <v>231</v>
      </c>
      <c r="GU108" s="240" t="s">
        <v>231</v>
      </c>
      <c r="GV108" s="240" t="s">
        <v>492</v>
      </c>
      <c r="GW108" s="240" t="s">
        <v>231</v>
      </c>
      <c r="GX108" s="240" t="s">
        <v>231</v>
      </c>
      <c r="GY108" s="240" t="s">
        <v>231</v>
      </c>
      <c r="GZ108" s="240" t="s">
        <v>231</v>
      </c>
      <c r="HA108" s="240" t="s">
        <v>231</v>
      </c>
      <c r="HB108" s="240" t="s">
        <v>231</v>
      </c>
      <c r="HC108" s="240" t="s">
        <v>231</v>
      </c>
      <c r="HD108" s="240" t="s">
        <v>231</v>
      </c>
      <c r="HE108" s="240" t="s">
        <v>492</v>
      </c>
      <c r="HF108" s="240" t="s">
        <v>231</v>
      </c>
      <c r="HG108" s="240" t="s">
        <v>492</v>
      </c>
      <c r="HH108" s="240" t="s">
        <v>231</v>
      </c>
      <c r="HI108" s="240" t="s">
        <v>231</v>
      </c>
      <c r="HJ108" s="240" t="s">
        <v>231</v>
      </c>
      <c r="HK108" s="240" t="s">
        <v>231</v>
      </c>
      <c r="HL108" s="240" t="s">
        <v>231</v>
      </c>
      <c r="HM108" s="240" t="s">
        <v>231</v>
      </c>
      <c r="HN108" s="240" t="s">
        <v>231</v>
      </c>
      <c r="HO108" s="240" t="s">
        <v>231</v>
      </c>
      <c r="HP108" s="240" t="s">
        <v>231</v>
      </c>
      <c r="HQ108" s="240" t="s">
        <v>492</v>
      </c>
      <c r="HR108" s="240" t="s">
        <v>492</v>
      </c>
      <c r="HS108" s="240" t="s">
        <v>492</v>
      </c>
      <c r="HT108" s="240" t="s">
        <v>492</v>
      </c>
      <c r="HU108" s="240" t="s">
        <v>231</v>
      </c>
      <c r="HV108" s="240" t="s">
        <v>231</v>
      </c>
      <c r="HW108" s="240" t="s">
        <v>231</v>
      </c>
      <c r="HX108" s="240" t="s">
        <v>231</v>
      </c>
      <c r="HY108" s="240" t="s">
        <v>231</v>
      </c>
      <c r="HZ108" s="240" t="s">
        <v>231</v>
      </c>
      <c r="IA108" s="240" t="s">
        <v>231</v>
      </c>
      <c r="IB108" s="240" t="s">
        <v>231</v>
      </c>
      <c r="IC108" s="240" t="s">
        <v>231</v>
      </c>
      <c r="ID108" s="240" t="s">
        <v>231</v>
      </c>
      <c r="IE108" s="240" t="s">
        <v>231</v>
      </c>
      <c r="IF108" s="240" t="s">
        <v>231</v>
      </c>
      <c r="IG108" s="240" t="s">
        <v>231</v>
      </c>
      <c r="IH108" s="240" t="s">
        <v>231</v>
      </c>
      <c r="II108" s="240" t="s">
        <v>231</v>
      </c>
      <c r="IJ108" s="240" t="s">
        <v>231</v>
      </c>
      <c r="IK108" s="240" t="s">
        <v>231</v>
      </c>
      <c r="IL108" s="240" t="s">
        <v>231</v>
      </c>
      <c r="IM108" s="240" t="s">
        <v>231</v>
      </c>
      <c r="IN108" s="240" t="s">
        <v>231</v>
      </c>
      <c r="IO108" s="240" t="s">
        <v>219</v>
      </c>
      <c r="IP108" s="240" t="s">
        <v>219</v>
      </c>
      <c r="IQ108" s="240" t="s">
        <v>219</v>
      </c>
      <c r="IR108" s="240" t="s">
        <v>490</v>
      </c>
      <c r="IS108" s="240" t="s">
        <v>231</v>
      </c>
      <c r="IT108" s="240" t="s">
        <v>231</v>
      </c>
    </row>
    <row r="109" spans="1:254" ht="15" x14ac:dyDescent="0.25">
      <c r="A109" s="258" t="str">
        <f>HYPERLINK("http://www.ofsted.gov.uk/inspection-reports/find-inspection-report/provider/ELS/105585 ","Ofsted School Webpage")</f>
        <v>Ofsted School Webpage</v>
      </c>
      <c r="B109" s="237">
        <v>105585</v>
      </c>
      <c r="C109" s="237">
        <v>3526001</v>
      </c>
      <c r="D109" s="237" t="s">
        <v>781</v>
      </c>
      <c r="E109" s="237" t="s">
        <v>247</v>
      </c>
      <c r="F109" s="237" t="s">
        <v>482</v>
      </c>
      <c r="G109" s="237" t="s">
        <v>495</v>
      </c>
      <c r="H109" s="237" t="s">
        <v>495</v>
      </c>
      <c r="I109" s="237" t="s">
        <v>744</v>
      </c>
      <c r="J109" s="237" t="s">
        <v>782</v>
      </c>
      <c r="K109" s="237" t="s">
        <v>93</v>
      </c>
      <c r="L109" s="237" t="s">
        <v>71</v>
      </c>
      <c r="M109" s="237" t="s">
        <v>71</v>
      </c>
      <c r="N109" s="237" t="s">
        <v>71</v>
      </c>
      <c r="O109" s="237" t="s">
        <v>486</v>
      </c>
      <c r="P109" s="237" t="s">
        <v>487</v>
      </c>
      <c r="Q109" s="238">
        <v>10053721</v>
      </c>
      <c r="R109" s="239">
        <v>43424</v>
      </c>
      <c r="S109" s="239">
        <v>43426</v>
      </c>
      <c r="T109" s="239">
        <v>43479</v>
      </c>
      <c r="U109" s="237" t="s">
        <v>488</v>
      </c>
      <c r="V109" s="237" t="s">
        <v>489</v>
      </c>
      <c r="W109" s="237">
        <v>2</v>
      </c>
      <c r="X109" s="237">
        <v>2</v>
      </c>
      <c r="Y109" s="237">
        <v>2</v>
      </c>
      <c r="Z109" s="237">
        <v>2</v>
      </c>
      <c r="AA109" s="237">
        <v>2</v>
      </c>
      <c r="AB109" s="237">
        <v>2</v>
      </c>
      <c r="AC109" s="237" t="s">
        <v>486</v>
      </c>
      <c r="AD109" s="237" t="s">
        <v>219</v>
      </c>
      <c r="AE109" s="237" t="s">
        <v>490</v>
      </c>
      <c r="AF109" s="237" t="s">
        <v>486</v>
      </c>
      <c r="AG109" s="237" t="s">
        <v>486</v>
      </c>
      <c r="AH109" s="237" t="s">
        <v>486</v>
      </c>
      <c r="AI109" s="237" t="s">
        <v>486</v>
      </c>
      <c r="AJ109" s="237" t="s">
        <v>486</v>
      </c>
      <c r="AK109" s="237" t="s">
        <v>486</v>
      </c>
      <c r="AL109" s="237" t="s">
        <v>486</v>
      </c>
      <c r="AM109" s="237" t="s">
        <v>491</v>
      </c>
      <c r="AN109" s="237" t="s">
        <v>231</v>
      </c>
      <c r="AO109" s="237" t="s">
        <v>231</v>
      </c>
      <c r="AP109" s="237" t="s">
        <v>231</v>
      </c>
      <c r="AQ109" s="237" t="s">
        <v>231</v>
      </c>
      <c r="AR109" s="237" t="s">
        <v>231</v>
      </c>
      <c r="AS109" s="237" t="s">
        <v>231</v>
      </c>
      <c r="AT109" s="237" t="s">
        <v>231</v>
      </c>
      <c r="AU109" s="237" t="s">
        <v>231</v>
      </c>
      <c r="AV109" s="237" t="s">
        <v>231</v>
      </c>
      <c r="AW109" s="237" t="s">
        <v>231</v>
      </c>
      <c r="AX109" s="237" t="s">
        <v>231</v>
      </c>
      <c r="AY109" s="237" t="s">
        <v>231</v>
      </c>
      <c r="AZ109" s="237" t="s">
        <v>231</v>
      </c>
      <c r="BA109" s="237" t="s">
        <v>231</v>
      </c>
      <c r="BB109" s="237" t="s">
        <v>231</v>
      </c>
      <c r="BC109" s="237" t="s">
        <v>231</v>
      </c>
      <c r="BD109" s="237" t="s">
        <v>492</v>
      </c>
      <c r="BE109" s="237" t="s">
        <v>231</v>
      </c>
      <c r="BF109" s="237" t="s">
        <v>231</v>
      </c>
      <c r="BG109" s="237" t="s">
        <v>231</v>
      </c>
      <c r="BH109" s="237" t="s">
        <v>492</v>
      </c>
      <c r="BI109" s="237" t="s">
        <v>492</v>
      </c>
      <c r="BJ109" s="237" t="s">
        <v>492</v>
      </c>
      <c r="BK109" s="237" t="s">
        <v>492</v>
      </c>
      <c r="BL109" s="237" t="s">
        <v>231</v>
      </c>
      <c r="BM109" s="237" t="s">
        <v>492</v>
      </c>
      <c r="BN109" s="237" t="s">
        <v>231</v>
      </c>
      <c r="BO109" s="237" t="s">
        <v>231</v>
      </c>
      <c r="BP109" s="237" t="s">
        <v>231</v>
      </c>
      <c r="BQ109" s="237" t="s">
        <v>231</v>
      </c>
      <c r="BR109" s="237" t="s">
        <v>231</v>
      </c>
      <c r="BS109" s="237" t="s">
        <v>231</v>
      </c>
      <c r="BT109" s="237" t="s">
        <v>231</v>
      </c>
      <c r="BU109" s="237" t="s">
        <v>231</v>
      </c>
      <c r="BV109" s="237" t="s">
        <v>231</v>
      </c>
      <c r="BW109" s="237" t="s">
        <v>231</v>
      </c>
      <c r="BX109" s="237" t="s">
        <v>231</v>
      </c>
      <c r="BY109" s="237" t="s">
        <v>231</v>
      </c>
      <c r="BZ109" s="237" t="s">
        <v>231</v>
      </c>
      <c r="CA109" s="237" t="s">
        <v>231</v>
      </c>
      <c r="CB109" s="237" t="s">
        <v>231</v>
      </c>
      <c r="CC109" s="237" t="s">
        <v>231</v>
      </c>
      <c r="CD109" s="237" t="s">
        <v>231</v>
      </c>
      <c r="CE109" s="237" t="s">
        <v>231</v>
      </c>
      <c r="CF109" s="237" t="s">
        <v>231</v>
      </c>
      <c r="CG109" s="237" t="s">
        <v>231</v>
      </c>
      <c r="CH109" s="237" t="s">
        <v>231</v>
      </c>
      <c r="CI109" s="237" t="s">
        <v>231</v>
      </c>
      <c r="CJ109" s="237" t="s">
        <v>231</v>
      </c>
      <c r="CK109" s="237" t="s">
        <v>231</v>
      </c>
      <c r="CL109" s="237" t="s">
        <v>231</v>
      </c>
      <c r="CM109" s="237" t="s">
        <v>231</v>
      </c>
      <c r="CN109" s="237" t="s">
        <v>231</v>
      </c>
      <c r="CO109" s="237" t="s">
        <v>231</v>
      </c>
      <c r="CP109" s="237" t="s">
        <v>231</v>
      </c>
      <c r="CQ109" s="237" t="s">
        <v>231</v>
      </c>
      <c r="CR109" s="237" t="s">
        <v>231</v>
      </c>
      <c r="CS109" s="237" t="s">
        <v>231</v>
      </c>
      <c r="CT109" s="237" t="s">
        <v>492</v>
      </c>
      <c r="CU109" s="237" t="s">
        <v>492</v>
      </c>
      <c r="CV109" s="237" t="s">
        <v>492</v>
      </c>
      <c r="CW109" s="237" t="s">
        <v>231</v>
      </c>
      <c r="CX109" s="237" t="s">
        <v>231</v>
      </c>
      <c r="CY109" s="237" t="s">
        <v>231</v>
      </c>
      <c r="CZ109" s="237" t="s">
        <v>231</v>
      </c>
      <c r="DA109" s="237" t="s">
        <v>231</v>
      </c>
      <c r="DB109" s="237" t="s">
        <v>231</v>
      </c>
      <c r="DC109" s="237" t="s">
        <v>231</v>
      </c>
      <c r="DD109" s="237" t="s">
        <v>231</v>
      </c>
      <c r="DE109" s="237" t="s">
        <v>231</v>
      </c>
      <c r="DF109" s="237" t="s">
        <v>231</v>
      </c>
      <c r="DG109" s="237" t="s">
        <v>231</v>
      </c>
      <c r="DH109" s="237" t="s">
        <v>231</v>
      </c>
      <c r="DI109" s="237" t="s">
        <v>231</v>
      </c>
      <c r="DJ109" s="237" t="s">
        <v>231</v>
      </c>
      <c r="DK109" s="237" t="s">
        <v>231</v>
      </c>
      <c r="DL109" s="237" t="s">
        <v>231</v>
      </c>
      <c r="DM109" s="237" t="s">
        <v>231</v>
      </c>
      <c r="DN109" s="237" t="s">
        <v>231</v>
      </c>
      <c r="DO109" s="237" t="s">
        <v>231</v>
      </c>
      <c r="DP109" s="237" t="s">
        <v>231</v>
      </c>
      <c r="DQ109" s="237" t="s">
        <v>231</v>
      </c>
      <c r="DR109" s="237" t="s">
        <v>231</v>
      </c>
      <c r="DS109" s="237" t="s">
        <v>492</v>
      </c>
      <c r="DT109" s="237" t="s">
        <v>492</v>
      </c>
      <c r="DU109" s="237" t="s">
        <v>231</v>
      </c>
      <c r="DV109" s="237" t="s">
        <v>492</v>
      </c>
      <c r="DW109" s="237" t="s">
        <v>492</v>
      </c>
      <c r="DX109" s="237" t="s">
        <v>492</v>
      </c>
      <c r="DY109" s="237" t="s">
        <v>492</v>
      </c>
      <c r="DZ109" s="237" t="s">
        <v>492</v>
      </c>
      <c r="EA109" s="237" t="s">
        <v>492</v>
      </c>
      <c r="EB109" s="237" t="s">
        <v>492</v>
      </c>
      <c r="EC109" s="237" t="s">
        <v>492</v>
      </c>
      <c r="ED109" s="237" t="s">
        <v>492</v>
      </c>
      <c r="EE109" s="237" t="s">
        <v>492</v>
      </c>
      <c r="EF109" s="237" t="s">
        <v>492</v>
      </c>
      <c r="EG109" s="237" t="s">
        <v>492</v>
      </c>
      <c r="EH109" s="237" t="s">
        <v>492</v>
      </c>
      <c r="EI109" s="237" t="s">
        <v>492</v>
      </c>
      <c r="EJ109" s="237" t="s">
        <v>231</v>
      </c>
      <c r="EK109" s="237" t="s">
        <v>231</v>
      </c>
      <c r="EL109" s="237" t="s">
        <v>231</v>
      </c>
      <c r="EM109" s="237" t="s">
        <v>231</v>
      </c>
      <c r="EN109" s="237" t="s">
        <v>231</v>
      </c>
      <c r="EO109" s="237" t="s">
        <v>231</v>
      </c>
      <c r="EP109" s="237" t="s">
        <v>231</v>
      </c>
      <c r="EQ109" s="237" t="s">
        <v>231</v>
      </c>
      <c r="ER109" s="237" t="s">
        <v>231</v>
      </c>
      <c r="ES109" s="237" t="s">
        <v>231</v>
      </c>
      <c r="ET109" s="237" t="s">
        <v>231</v>
      </c>
      <c r="EU109" s="237" t="s">
        <v>231</v>
      </c>
      <c r="EV109" s="237" t="s">
        <v>231</v>
      </c>
      <c r="EW109" s="237" t="s">
        <v>231</v>
      </c>
      <c r="EX109" s="237" t="s">
        <v>231</v>
      </c>
      <c r="EY109" s="237" t="s">
        <v>231</v>
      </c>
      <c r="EZ109" s="237" t="s">
        <v>231</v>
      </c>
      <c r="FA109" s="237" t="s">
        <v>231</v>
      </c>
      <c r="FB109" s="237" t="s">
        <v>231</v>
      </c>
      <c r="FC109" s="237" t="s">
        <v>231</v>
      </c>
      <c r="FD109" s="237" t="s">
        <v>231</v>
      </c>
      <c r="FE109" s="237" t="s">
        <v>231</v>
      </c>
      <c r="FF109" s="237" t="s">
        <v>231</v>
      </c>
      <c r="FG109" s="237" t="s">
        <v>492</v>
      </c>
      <c r="FH109" s="237" t="s">
        <v>492</v>
      </c>
      <c r="FI109" s="237" t="s">
        <v>492</v>
      </c>
      <c r="FJ109" s="237" t="s">
        <v>492</v>
      </c>
      <c r="FK109" s="237" t="s">
        <v>492</v>
      </c>
      <c r="FL109" s="237" t="s">
        <v>492</v>
      </c>
      <c r="FM109" s="237" t="s">
        <v>231</v>
      </c>
      <c r="FN109" s="237" t="s">
        <v>231</v>
      </c>
      <c r="FO109" s="237" t="s">
        <v>231</v>
      </c>
      <c r="FP109" s="237" t="s">
        <v>231</v>
      </c>
      <c r="FQ109" s="237" t="s">
        <v>231</v>
      </c>
      <c r="FR109" s="237" t="s">
        <v>231</v>
      </c>
      <c r="FS109" s="237" t="s">
        <v>231</v>
      </c>
      <c r="FT109" s="237" t="s">
        <v>231</v>
      </c>
      <c r="FU109" s="237" t="s">
        <v>231</v>
      </c>
      <c r="FV109" s="237" t="s">
        <v>231</v>
      </c>
      <c r="FW109" s="237" t="s">
        <v>231</v>
      </c>
      <c r="FX109" s="237" t="s">
        <v>492</v>
      </c>
      <c r="FY109" s="237" t="s">
        <v>231</v>
      </c>
      <c r="FZ109" s="237" t="s">
        <v>231</v>
      </c>
      <c r="GA109" s="237" t="s">
        <v>231</v>
      </c>
      <c r="GB109" s="237" t="s">
        <v>231</v>
      </c>
      <c r="GC109" s="237" t="s">
        <v>231</v>
      </c>
      <c r="GD109" s="237" t="s">
        <v>231</v>
      </c>
      <c r="GE109" s="237" t="s">
        <v>231</v>
      </c>
      <c r="GF109" s="237" t="s">
        <v>231</v>
      </c>
      <c r="GG109" s="237" t="s">
        <v>231</v>
      </c>
      <c r="GH109" s="237" t="s">
        <v>231</v>
      </c>
      <c r="GI109" s="237" t="s">
        <v>231</v>
      </c>
      <c r="GJ109" s="237" t="s">
        <v>231</v>
      </c>
      <c r="GK109" s="237" t="s">
        <v>231</v>
      </c>
      <c r="GL109" s="237" t="s">
        <v>231</v>
      </c>
      <c r="GM109" s="237" t="s">
        <v>231</v>
      </c>
      <c r="GN109" s="237" t="s">
        <v>231</v>
      </c>
      <c r="GO109" s="237" t="s">
        <v>231</v>
      </c>
      <c r="GP109" s="237" t="s">
        <v>492</v>
      </c>
      <c r="GQ109" s="237" t="s">
        <v>231</v>
      </c>
      <c r="GR109" s="237" t="s">
        <v>231</v>
      </c>
      <c r="GS109" s="237" t="s">
        <v>231</v>
      </c>
      <c r="GT109" s="237" t="s">
        <v>231</v>
      </c>
      <c r="GU109" s="237" t="s">
        <v>231</v>
      </c>
      <c r="GV109" s="237" t="s">
        <v>231</v>
      </c>
      <c r="GW109" s="237" t="s">
        <v>231</v>
      </c>
      <c r="GX109" s="237" t="s">
        <v>231</v>
      </c>
      <c r="GY109" s="237" t="s">
        <v>492</v>
      </c>
      <c r="GZ109" s="237" t="s">
        <v>492</v>
      </c>
      <c r="HA109" s="237" t="s">
        <v>492</v>
      </c>
      <c r="HB109" s="237" t="s">
        <v>231</v>
      </c>
      <c r="HC109" s="237" t="s">
        <v>231</v>
      </c>
      <c r="HD109" s="237" t="s">
        <v>231</v>
      </c>
      <c r="HE109" s="237" t="s">
        <v>492</v>
      </c>
      <c r="HF109" s="237" t="s">
        <v>231</v>
      </c>
      <c r="HG109" s="237" t="s">
        <v>492</v>
      </c>
      <c r="HH109" s="237" t="s">
        <v>231</v>
      </c>
      <c r="HI109" s="237" t="s">
        <v>231</v>
      </c>
      <c r="HJ109" s="237" t="s">
        <v>231</v>
      </c>
      <c r="HK109" s="237" t="s">
        <v>231</v>
      </c>
      <c r="HL109" s="237" t="s">
        <v>231</v>
      </c>
      <c r="HM109" s="237" t="s">
        <v>231</v>
      </c>
      <c r="HN109" s="237" t="s">
        <v>231</v>
      </c>
      <c r="HO109" s="237" t="s">
        <v>231</v>
      </c>
      <c r="HP109" s="237" t="s">
        <v>231</v>
      </c>
      <c r="HQ109" s="237" t="s">
        <v>492</v>
      </c>
      <c r="HR109" s="237" t="s">
        <v>492</v>
      </c>
      <c r="HS109" s="237" t="s">
        <v>492</v>
      </c>
      <c r="HT109" s="237" t="s">
        <v>492</v>
      </c>
      <c r="HU109" s="237" t="s">
        <v>231</v>
      </c>
      <c r="HV109" s="237" t="s">
        <v>231</v>
      </c>
      <c r="HW109" s="237" t="s">
        <v>231</v>
      </c>
      <c r="HX109" s="237" t="s">
        <v>231</v>
      </c>
      <c r="HY109" s="237" t="s">
        <v>231</v>
      </c>
      <c r="HZ109" s="237" t="s">
        <v>231</v>
      </c>
      <c r="IA109" s="237" t="s">
        <v>231</v>
      </c>
      <c r="IB109" s="237" t="s">
        <v>231</v>
      </c>
      <c r="IC109" s="237" t="s">
        <v>231</v>
      </c>
      <c r="ID109" s="237" t="s">
        <v>231</v>
      </c>
      <c r="IE109" s="237" t="s">
        <v>231</v>
      </c>
      <c r="IF109" s="237" t="s">
        <v>231</v>
      </c>
      <c r="IG109" s="237" t="s">
        <v>231</v>
      </c>
      <c r="IH109" s="237" t="s">
        <v>231</v>
      </c>
      <c r="II109" s="237" t="s">
        <v>231</v>
      </c>
      <c r="IJ109" s="237" t="s">
        <v>231</v>
      </c>
      <c r="IK109" s="237" t="s">
        <v>231</v>
      </c>
      <c r="IL109" s="237" t="s">
        <v>231</v>
      </c>
      <c r="IM109" s="237" t="s">
        <v>231</v>
      </c>
      <c r="IN109" s="237" t="s">
        <v>231</v>
      </c>
      <c r="IO109" s="237" t="s">
        <v>220</v>
      </c>
      <c r="IP109" s="237" t="s">
        <v>493</v>
      </c>
      <c r="IQ109" s="237" t="s">
        <v>219</v>
      </c>
      <c r="IR109" s="237" t="s">
        <v>490</v>
      </c>
      <c r="IS109" s="237" t="s">
        <v>231</v>
      </c>
      <c r="IT109" s="237" t="s">
        <v>231</v>
      </c>
    </row>
    <row r="110" spans="1:254" ht="15" x14ac:dyDescent="0.25">
      <c r="A110" s="259" t="str">
        <f>HYPERLINK("http://www.ofsted.gov.uk/inspection-reports/find-inspection-report/provider/ELS/137511 ","Ofsted School Webpage")</f>
        <v>Ofsted School Webpage</v>
      </c>
      <c r="B110" s="240">
        <v>137511</v>
      </c>
      <c r="C110" s="240">
        <v>8416006</v>
      </c>
      <c r="D110" s="240" t="s">
        <v>783</v>
      </c>
      <c r="E110" s="240" t="s">
        <v>248</v>
      </c>
      <c r="F110" s="240" t="s">
        <v>501</v>
      </c>
      <c r="G110" s="240" t="s">
        <v>523</v>
      </c>
      <c r="H110" s="240" t="s">
        <v>539</v>
      </c>
      <c r="I110" s="240" t="s">
        <v>540</v>
      </c>
      <c r="J110" s="240" t="s">
        <v>784</v>
      </c>
      <c r="K110" s="240" t="s">
        <v>93</v>
      </c>
      <c r="L110" s="240" t="s">
        <v>93</v>
      </c>
      <c r="M110" s="240" t="s">
        <v>93</v>
      </c>
      <c r="N110" s="240" t="s">
        <v>90</v>
      </c>
      <c r="O110" s="240" t="s">
        <v>486</v>
      </c>
      <c r="P110" s="240" t="s">
        <v>487</v>
      </c>
      <c r="Q110" s="241">
        <v>10053831</v>
      </c>
      <c r="R110" s="242">
        <v>43424</v>
      </c>
      <c r="S110" s="242">
        <v>43426</v>
      </c>
      <c r="T110" s="242">
        <v>43452</v>
      </c>
      <c r="U110" s="240" t="s">
        <v>488</v>
      </c>
      <c r="V110" s="240" t="s">
        <v>489</v>
      </c>
      <c r="W110" s="240">
        <v>2</v>
      </c>
      <c r="X110" s="240">
        <v>2</v>
      </c>
      <c r="Y110" s="240">
        <v>2</v>
      </c>
      <c r="Z110" s="240">
        <v>2</v>
      </c>
      <c r="AA110" s="240">
        <v>2</v>
      </c>
      <c r="AB110" s="240" t="s">
        <v>486</v>
      </c>
      <c r="AC110" s="240" t="s">
        <v>486</v>
      </c>
      <c r="AD110" s="240" t="s">
        <v>219</v>
      </c>
      <c r="AE110" s="240" t="s">
        <v>490</v>
      </c>
      <c r="AF110" s="240" t="s">
        <v>486</v>
      </c>
      <c r="AG110" s="240" t="s">
        <v>486</v>
      </c>
      <c r="AH110" s="240" t="s">
        <v>486</v>
      </c>
      <c r="AI110" s="240" t="s">
        <v>486</v>
      </c>
      <c r="AJ110" s="240" t="s">
        <v>486</v>
      </c>
      <c r="AK110" s="240" t="s">
        <v>486</v>
      </c>
      <c r="AL110" s="240" t="s">
        <v>486</v>
      </c>
      <c r="AM110" s="240" t="s">
        <v>491</v>
      </c>
      <c r="AN110" s="240" t="s">
        <v>231</v>
      </c>
      <c r="AO110" s="240" t="s">
        <v>231</v>
      </c>
      <c r="AP110" s="240" t="s">
        <v>231</v>
      </c>
      <c r="AQ110" s="240" t="s">
        <v>231</v>
      </c>
      <c r="AR110" s="240" t="s">
        <v>231</v>
      </c>
      <c r="AS110" s="240" t="s">
        <v>231</v>
      </c>
      <c r="AT110" s="240" t="s">
        <v>231</v>
      </c>
      <c r="AU110" s="240" t="s">
        <v>231</v>
      </c>
      <c r="AV110" s="240" t="s">
        <v>231</v>
      </c>
      <c r="AW110" s="240" t="s">
        <v>231</v>
      </c>
      <c r="AX110" s="240" t="s">
        <v>231</v>
      </c>
      <c r="AY110" s="240" t="s">
        <v>231</v>
      </c>
      <c r="AZ110" s="240" t="s">
        <v>231</v>
      </c>
      <c r="BA110" s="240" t="s">
        <v>231</v>
      </c>
      <c r="BB110" s="240" t="s">
        <v>231</v>
      </c>
      <c r="BC110" s="240" t="s">
        <v>231</v>
      </c>
      <c r="BD110" s="240" t="s">
        <v>492</v>
      </c>
      <c r="BE110" s="240" t="s">
        <v>231</v>
      </c>
      <c r="BF110" s="240" t="s">
        <v>231</v>
      </c>
      <c r="BG110" s="240" t="s">
        <v>231</v>
      </c>
      <c r="BH110" s="240" t="s">
        <v>231</v>
      </c>
      <c r="BI110" s="240" t="s">
        <v>231</v>
      </c>
      <c r="BJ110" s="240" t="s">
        <v>231</v>
      </c>
      <c r="BK110" s="240" t="s">
        <v>231</v>
      </c>
      <c r="BL110" s="240" t="s">
        <v>492</v>
      </c>
      <c r="BM110" s="240" t="s">
        <v>231</v>
      </c>
      <c r="BN110" s="240" t="s">
        <v>231</v>
      </c>
      <c r="BO110" s="240" t="s">
        <v>231</v>
      </c>
      <c r="BP110" s="240" t="s">
        <v>231</v>
      </c>
      <c r="BQ110" s="240" t="s">
        <v>231</v>
      </c>
      <c r="BR110" s="240" t="s">
        <v>231</v>
      </c>
      <c r="BS110" s="240" t="s">
        <v>231</v>
      </c>
      <c r="BT110" s="240" t="s">
        <v>231</v>
      </c>
      <c r="BU110" s="240" t="s">
        <v>231</v>
      </c>
      <c r="BV110" s="240" t="s">
        <v>231</v>
      </c>
      <c r="BW110" s="240" t="s">
        <v>231</v>
      </c>
      <c r="BX110" s="240" t="s">
        <v>231</v>
      </c>
      <c r="BY110" s="240" t="s">
        <v>231</v>
      </c>
      <c r="BZ110" s="240" t="s">
        <v>231</v>
      </c>
      <c r="CA110" s="240" t="s">
        <v>231</v>
      </c>
      <c r="CB110" s="240" t="s">
        <v>231</v>
      </c>
      <c r="CC110" s="240" t="s">
        <v>231</v>
      </c>
      <c r="CD110" s="240" t="s">
        <v>231</v>
      </c>
      <c r="CE110" s="240" t="s">
        <v>231</v>
      </c>
      <c r="CF110" s="240" t="s">
        <v>231</v>
      </c>
      <c r="CG110" s="240" t="s">
        <v>231</v>
      </c>
      <c r="CH110" s="240" t="s">
        <v>231</v>
      </c>
      <c r="CI110" s="240" t="s">
        <v>231</v>
      </c>
      <c r="CJ110" s="240" t="s">
        <v>231</v>
      </c>
      <c r="CK110" s="240" t="s">
        <v>231</v>
      </c>
      <c r="CL110" s="240" t="s">
        <v>231</v>
      </c>
      <c r="CM110" s="240" t="s">
        <v>231</v>
      </c>
      <c r="CN110" s="240" t="s">
        <v>231</v>
      </c>
      <c r="CO110" s="240" t="s">
        <v>231</v>
      </c>
      <c r="CP110" s="240" t="s">
        <v>231</v>
      </c>
      <c r="CQ110" s="240" t="s">
        <v>231</v>
      </c>
      <c r="CR110" s="240" t="s">
        <v>231</v>
      </c>
      <c r="CS110" s="240" t="s">
        <v>231</v>
      </c>
      <c r="CT110" s="240" t="s">
        <v>492</v>
      </c>
      <c r="CU110" s="240" t="s">
        <v>492</v>
      </c>
      <c r="CV110" s="240" t="s">
        <v>492</v>
      </c>
      <c r="CW110" s="240" t="s">
        <v>231</v>
      </c>
      <c r="CX110" s="240" t="s">
        <v>231</v>
      </c>
      <c r="CY110" s="240" t="s">
        <v>231</v>
      </c>
      <c r="CZ110" s="240" t="s">
        <v>231</v>
      </c>
      <c r="DA110" s="240" t="s">
        <v>231</v>
      </c>
      <c r="DB110" s="240" t="s">
        <v>231</v>
      </c>
      <c r="DC110" s="240" t="s">
        <v>231</v>
      </c>
      <c r="DD110" s="240" t="s">
        <v>231</v>
      </c>
      <c r="DE110" s="240" t="s">
        <v>231</v>
      </c>
      <c r="DF110" s="240" t="s">
        <v>231</v>
      </c>
      <c r="DG110" s="240" t="s">
        <v>231</v>
      </c>
      <c r="DH110" s="240" t="s">
        <v>231</v>
      </c>
      <c r="DI110" s="240" t="s">
        <v>231</v>
      </c>
      <c r="DJ110" s="240" t="s">
        <v>231</v>
      </c>
      <c r="DK110" s="240" t="s">
        <v>231</v>
      </c>
      <c r="DL110" s="240" t="s">
        <v>231</v>
      </c>
      <c r="DM110" s="240" t="s">
        <v>231</v>
      </c>
      <c r="DN110" s="240" t="s">
        <v>231</v>
      </c>
      <c r="DO110" s="240" t="s">
        <v>231</v>
      </c>
      <c r="DP110" s="240" t="s">
        <v>231</v>
      </c>
      <c r="DQ110" s="240" t="s">
        <v>231</v>
      </c>
      <c r="DR110" s="240" t="s">
        <v>231</v>
      </c>
      <c r="DS110" s="240" t="s">
        <v>231</v>
      </c>
      <c r="DT110" s="240" t="s">
        <v>492</v>
      </c>
      <c r="DU110" s="240" t="s">
        <v>231</v>
      </c>
      <c r="DV110" s="240" t="s">
        <v>492</v>
      </c>
      <c r="DW110" s="240" t="s">
        <v>492</v>
      </c>
      <c r="DX110" s="240" t="s">
        <v>492</v>
      </c>
      <c r="DY110" s="240" t="s">
        <v>492</v>
      </c>
      <c r="DZ110" s="240" t="s">
        <v>492</v>
      </c>
      <c r="EA110" s="240" t="s">
        <v>492</v>
      </c>
      <c r="EB110" s="240" t="s">
        <v>492</v>
      </c>
      <c r="EC110" s="240" t="s">
        <v>492</v>
      </c>
      <c r="ED110" s="240" t="s">
        <v>492</v>
      </c>
      <c r="EE110" s="240" t="s">
        <v>492</v>
      </c>
      <c r="EF110" s="240" t="s">
        <v>492</v>
      </c>
      <c r="EG110" s="240" t="s">
        <v>492</v>
      </c>
      <c r="EH110" s="240" t="s">
        <v>492</v>
      </c>
      <c r="EI110" s="240" t="s">
        <v>231</v>
      </c>
      <c r="EJ110" s="240" t="s">
        <v>231</v>
      </c>
      <c r="EK110" s="240" t="s">
        <v>231</v>
      </c>
      <c r="EL110" s="240" t="s">
        <v>231</v>
      </c>
      <c r="EM110" s="240" t="s">
        <v>231</v>
      </c>
      <c r="EN110" s="240" t="s">
        <v>231</v>
      </c>
      <c r="EO110" s="240" t="s">
        <v>231</v>
      </c>
      <c r="EP110" s="240" t="s">
        <v>231</v>
      </c>
      <c r="EQ110" s="240" t="s">
        <v>231</v>
      </c>
      <c r="ER110" s="240" t="s">
        <v>231</v>
      </c>
      <c r="ES110" s="240" t="s">
        <v>231</v>
      </c>
      <c r="ET110" s="240" t="s">
        <v>231</v>
      </c>
      <c r="EU110" s="240" t="s">
        <v>231</v>
      </c>
      <c r="EV110" s="240" t="s">
        <v>231</v>
      </c>
      <c r="EW110" s="240" t="s">
        <v>231</v>
      </c>
      <c r="EX110" s="240" t="s">
        <v>231</v>
      </c>
      <c r="EY110" s="240" t="s">
        <v>231</v>
      </c>
      <c r="EZ110" s="240" t="s">
        <v>231</v>
      </c>
      <c r="FA110" s="240" t="s">
        <v>231</v>
      </c>
      <c r="FB110" s="240" t="s">
        <v>231</v>
      </c>
      <c r="FC110" s="240" t="s">
        <v>231</v>
      </c>
      <c r="FD110" s="240" t="s">
        <v>231</v>
      </c>
      <c r="FE110" s="240" t="s">
        <v>231</v>
      </c>
      <c r="FF110" s="240" t="s">
        <v>492</v>
      </c>
      <c r="FG110" s="240" t="s">
        <v>492</v>
      </c>
      <c r="FH110" s="240" t="s">
        <v>492</v>
      </c>
      <c r="FI110" s="240" t="s">
        <v>492</v>
      </c>
      <c r="FJ110" s="240" t="s">
        <v>492</v>
      </c>
      <c r="FK110" s="240" t="s">
        <v>492</v>
      </c>
      <c r="FL110" s="240" t="s">
        <v>492</v>
      </c>
      <c r="FM110" s="240" t="s">
        <v>231</v>
      </c>
      <c r="FN110" s="240" t="s">
        <v>231</v>
      </c>
      <c r="FO110" s="240" t="s">
        <v>231</v>
      </c>
      <c r="FP110" s="240" t="s">
        <v>231</v>
      </c>
      <c r="FQ110" s="240" t="s">
        <v>231</v>
      </c>
      <c r="FR110" s="240" t="s">
        <v>231</v>
      </c>
      <c r="FS110" s="240" t="s">
        <v>231</v>
      </c>
      <c r="FT110" s="240" t="s">
        <v>231</v>
      </c>
      <c r="FU110" s="240" t="s">
        <v>231</v>
      </c>
      <c r="FV110" s="240" t="s">
        <v>231</v>
      </c>
      <c r="FW110" s="240" t="s">
        <v>231</v>
      </c>
      <c r="FX110" s="240" t="s">
        <v>492</v>
      </c>
      <c r="FY110" s="240" t="s">
        <v>231</v>
      </c>
      <c r="FZ110" s="240" t="s">
        <v>231</v>
      </c>
      <c r="GA110" s="240" t="s">
        <v>231</v>
      </c>
      <c r="GB110" s="240" t="s">
        <v>231</v>
      </c>
      <c r="GC110" s="240" t="s">
        <v>231</v>
      </c>
      <c r="GD110" s="240" t="s">
        <v>231</v>
      </c>
      <c r="GE110" s="240" t="s">
        <v>231</v>
      </c>
      <c r="GF110" s="240" t="s">
        <v>231</v>
      </c>
      <c r="GG110" s="240" t="s">
        <v>231</v>
      </c>
      <c r="GH110" s="240" t="s">
        <v>231</v>
      </c>
      <c r="GI110" s="240" t="s">
        <v>231</v>
      </c>
      <c r="GJ110" s="240" t="s">
        <v>231</v>
      </c>
      <c r="GK110" s="240" t="s">
        <v>231</v>
      </c>
      <c r="GL110" s="240" t="s">
        <v>231</v>
      </c>
      <c r="GM110" s="240" t="s">
        <v>231</v>
      </c>
      <c r="GN110" s="240" t="s">
        <v>231</v>
      </c>
      <c r="GO110" s="240" t="s">
        <v>231</v>
      </c>
      <c r="GP110" s="240" t="s">
        <v>492</v>
      </c>
      <c r="GQ110" s="240" t="s">
        <v>231</v>
      </c>
      <c r="GR110" s="240" t="s">
        <v>231</v>
      </c>
      <c r="GS110" s="240" t="s">
        <v>231</v>
      </c>
      <c r="GT110" s="240" t="s">
        <v>231</v>
      </c>
      <c r="GU110" s="240" t="s">
        <v>231</v>
      </c>
      <c r="GV110" s="240" t="s">
        <v>492</v>
      </c>
      <c r="GW110" s="240" t="s">
        <v>231</v>
      </c>
      <c r="GX110" s="240" t="s">
        <v>231</v>
      </c>
      <c r="GY110" s="240" t="s">
        <v>231</v>
      </c>
      <c r="GZ110" s="240" t="s">
        <v>231</v>
      </c>
      <c r="HA110" s="240" t="s">
        <v>231</v>
      </c>
      <c r="HB110" s="240" t="s">
        <v>231</v>
      </c>
      <c r="HC110" s="240" t="s">
        <v>231</v>
      </c>
      <c r="HD110" s="240" t="s">
        <v>231</v>
      </c>
      <c r="HE110" s="240" t="s">
        <v>492</v>
      </c>
      <c r="HF110" s="240" t="s">
        <v>231</v>
      </c>
      <c r="HG110" s="240" t="s">
        <v>231</v>
      </c>
      <c r="HH110" s="240" t="s">
        <v>231</v>
      </c>
      <c r="HI110" s="240" t="s">
        <v>231</v>
      </c>
      <c r="HJ110" s="240" t="s">
        <v>231</v>
      </c>
      <c r="HK110" s="240" t="s">
        <v>231</v>
      </c>
      <c r="HL110" s="240" t="s">
        <v>231</v>
      </c>
      <c r="HM110" s="240" t="s">
        <v>231</v>
      </c>
      <c r="HN110" s="240" t="s">
        <v>231</v>
      </c>
      <c r="HO110" s="240" t="s">
        <v>231</v>
      </c>
      <c r="HP110" s="240" t="s">
        <v>231</v>
      </c>
      <c r="HQ110" s="240" t="s">
        <v>492</v>
      </c>
      <c r="HR110" s="240" t="s">
        <v>492</v>
      </c>
      <c r="HS110" s="240" t="s">
        <v>492</v>
      </c>
      <c r="HT110" s="240" t="s">
        <v>492</v>
      </c>
      <c r="HU110" s="240" t="s">
        <v>231</v>
      </c>
      <c r="HV110" s="240" t="s">
        <v>231</v>
      </c>
      <c r="HW110" s="240" t="s">
        <v>231</v>
      </c>
      <c r="HX110" s="240" t="s">
        <v>231</v>
      </c>
      <c r="HY110" s="240" t="s">
        <v>231</v>
      </c>
      <c r="HZ110" s="240" t="s">
        <v>231</v>
      </c>
      <c r="IA110" s="240" t="s">
        <v>231</v>
      </c>
      <c r="IB110" s="240" t="s">
        <v>231</v>
      </c>
      <c r="IC110" s="240" t="s">
        <v>231</v>
      </c>
      <c r="ID110" s="240" t="s">
        <v>231</v>
      </c>
      <c r="IE110" s="240" t="s">
        <v>231</v>
      </c>
      <c r="IF110" s="240" t="s">
        <v>231</v>
      </c>
      <c r="IG110" s="240" t="s">
        <v>231</v>
      </c>
      <c r="IH110" s="240" t="s">
        <v>231</v>
      </c>
      <c r="II110" s="240" t="s">
        <v>231</v>
      </c>
      <c r="IJ110" s="240" t="s">
        <v>231</v>
      </c>
      <c r="IK110" s="240" t="s">
        <v>231</v>
      </c>
      <c r="IL110" s="240" t="s">
        <v>231</v>
      </c>
      <c r="IM110" s="240" t="s">
        <v>231</v>
      </c>
      <c r="IN110" s="240" t="s">
        <v>231</v>
      </c>
      <c r="IO110" s="240" t="s">
        <v>220</v>
      </c>
      <c r="IP110" s="240" t="s">
        <v>493</v>
      </c>
      <c r="IQ110" s="240" t="s">
        <v>219</v>
      </c>
      <c r="IR110" s="240" t="s">
        <v>490</v>
      </c>
      <c r="IS110" s="240" t="s">
        <v>492</v>
      </c>
      <c r="IT110" s="240" t="s">
        <v>492</v>
      </c>
    </row>
    <row r="111" spans="1:254" ht="15" x14ac:dyDescent="0.25">
      <c r="A111" s="258" t="str">
        <f>HYPERLINK("http://www.ofsted.gov.uk/inspection-reports/find-inspection-report/provider/ELS/145402 ","Ofsted School Webpage")</f>
        <v>Ofsted School Webpage</v>
      </c>
      <c r="B111" s="237">
        <v>145402</v>
      </c>
      <c r="C111" s="237">
        <v>9096007</v>
      </c>
      <c r="D111" s="237" t="s">
        <v>785</v>
      </c>
      <c r="E111" s="237" t="s">
        <v>248</v>
      </c>
      <c r="F111" s="237" t="s">
        <v>501</v>
      </c>
      <c r="G111" s="237" t="s">
        <v>495</v>
      </c>
      <c r="H111" s="237" t="s">
        <v>495</v>
      </c>
      <c r="I111" s="237" t="s">
        <v>663</v>
      </c>
      <c r="J111" s="237" t="s">
        <v>786</v>
      </c>
      <c r="K111" s="237" t="s">
        <v>93</v>
      </c>
      <c r="L111" s="237" t="s">
        <v>93</v>
      </c>
      <c r="M111" s="237" t="s">
        <v>93</v>
      </c>
      <c r="N111" s="237" t="s">
        <v>90</v>
      </c>
      <c r="O111" s="237" t="s">
        <v>486</v>
      </c>
      <c r="P111" s="237" t="s">
        <v>487</v>
      </c>
      <c r="Q111" s="238">
        <v>10053744</v>
      </c>
      <c r="R111" s="239">
        <v>43424</v>
      </c>
      <c r="S111" s="239">
        <v>43426</v>
      </c>
      <c r="T111" s="239">
        <v>43452</v>
      </c>
      <c r="U111" s="237" t="s">
        <v>499</v>
      </c>
      <c r="V111" s="237" t="s">
        <v>489</v>
      </c>
      <c r="W111" s="237">
        <v>2</v>
      </c>
      <c r="X111" s="237">
        <v>2</v>
      </c>
      <c r="Y111" s="237">
        <v>2</v>
      </c>
      <c r="Z111" s="237">
        <v>2</v>
      </c>
      <c r="AA111" s="237">
        <v>2</v>
      </c>
      <c r="AB111" s="237" t="s">
        <v>486</v>
      </c>
      <c r="AC111" s="237" t="s">
        <v>486</v>
      </c>
      <c r="AD111" s="237" t="s">
        <v>219</v>
      </c>
      <c r="AE111" s="237" t="s">
        <v>490</v>
      </c>
      <c r="AF111" s="237" t="s">
        <v>486</v>
      </c>
      <c r="AG111" s="237" t="s">
        <v>486</v>
      </c>
      <c r="AH111" s="237" t="s">
        <v>486</v>
      </c>
      <c r="AI111" s="237" t="s">
        <v>486</v>
      </c>
      <c r="AJ111" s="237" t="s">
        <v>486</v>
      </c>
      <c r="AK111" s="237" t="s">
        <v>486</v>
      </c>
      <c r="AL111" s="237" t="s">
        <v>486</v>
      </c>
      <c r="AM111" s="237" t="s">
        <v>491</v>
      </c>
      <c r="AN111" s="237" t="s">
        <v>231</v>
      </c>
      <c r="AO111" s="237" t="s">
        <v>231</v>
      </c>
      <c r="AP111" s="237" t="s">
        <v>231</v>
      </c>
      <c r="AQ111" s="237" t="s">
        <v>231</v>
      </c>
      <c r="AR111" s="237" t="s">
        <v>231</v>
      </c>
      <c r="AS111" s="237" t="s">
        <v>231</v>
      </c>
      <c r="AT111" s="237" t="s">
        <v>231</v>
      </c>
      <c r="AU111" s="237" t="s">
        <v>231</v>
      </c>
      <c r="AV111" s="237" t="s">
        <v>231</v>
      </c>
      <c r="AW111" s="237" t="s">
        <v>231</v>
      </c>
      <c r="AX111" s="237" t="s">
        <v>231</v>
      </c>
      <c r="AY111" s="237" t="s">
        <v>231</v>
      </c>
      <c r="AZ111" s="237" t="s">
        <v>231</v>
      </c>
      <c r="BA111" s="237" t="s">
        <v>231</v>
      </c>
      <c r="BB111" s="237" t="s">
        <v>231</v>
      </c>
      <c r="BC111" s="237" t="s">
        <v>231</v>
      </c>
      <c r="BD111" s="237" t="s">
        <v>492</v>
      </c>
      <c r="BE111" s="237" t="s">
        <v>231</v>
      </c>
      <c r="BF111" s="237" t="s">
        <v>231</v>
      </c>
      <c r="BG111" s="237" t="s">
        <v>231</v>
      </c>
      <c r="BH111" s="237" t="s">
        <v>231</v>
      </c>
      <c r="BI111" s="237" t="s">
        <v>231</v>
      </c>
      <c r="BJ111" s="237" t="s">
        <v>231</v>
      </c>
      <c r="BK111" s="237" t="s">
        <v>231</v>
      </c>
      <c r="BL111" s="237" t="s">
        <v>492</v>
      </c>
      <c r="BM111" s="237" t="s">
        <v>492</v>
      </c>
      <c r="BN111" s="237" t="s">
        <v>231</v>
      </c>
      <c r="BO111" s="237" t="s">
        <v>231</v>
      </c>
      <c r="BP111" s="237" t="s">
        <v>231</v>
      </c>
      <c r="BQ111" s="237" t="s">
        <v>231</v>
      </c>
      <c r="BR111" s="237" t="s">
        <v>231</v>
      </c>
      <c r="BS111" s="237" t="s">
        <v>231</v>
      </c>
      <c r="BT111" s="237" t="s">
        <v>231</v>
      </c>
      <c r="BU111" s="237" t="s">
        <v>231</v>
      </c>
      <c r="BV111" s="237" t="s">
        <v>231</v>
      </c>
      <c r="BW111" s="237" t="s">
        <v>231</v>
      </c>
      <c r="BX111" s="237" t="s">
        <v>231</v>
      </c>
      <c r="BY111" s="237" t="s">
        <v>231</v>
      </c>
      <c r="BZ111" s="237" t="s">
        <v>231</v>
      </c>
      <c r="CA111" s="237" t="s">
        <v>231</v>
      </c>
      <c r="CB111" s="237" t="s">
        <v>231</v>
      </c>
      <c r="CC111" s="237" t="s">
        <v>231</v>
      </c>
      <c r="CD111" s="237" t="s">
        <v>231</v>
      </c>
      <c r="CE111" s="237" t="s">
        <v>231</v>
      </c>
      <c r="CF111" s="237" t="s">
        <v>231</v>
      </c>
      <c r="CG111" s="237" t="s">
        <v>231</v>
      </c>
      <c r="CH111" s="237" t="s">
        <v>231</v>
      </c>
      <c r="CI111" s="237" t="s">
        <v>231</v>
      </c>
      <c r="CJ111" s="237" t="s">
        <v>231</v>
      </c>
      <c r="CK111" s="237" t="s">
        <v>231</v>
      </c>
      <c r="CL111" s="237" t="s">
        <v>231</v>
      </c>
      <c r="CM111" s="237" t="s">
        <v>231</v>
      </c>
      <c r="CN111" s="237" t="s">
        <v>231</v>
      </c>
      <c r="CO111" s="237" t="s">
        <v>231</v>
      </c>
      <c r="CP111" s="237" t="s">
        <v>231</v>
      </c>
      <c r="CQ111" s="237" t="s">
        <v>231</v>
      </c>
      <c r="CR111" s="237" t="s">
        <v>231</v>
      </c>
      <c r="CS111" s="237" t="s">
        <v>231</v>
      </c>
      <c r="CT111" s="237" t="s">
        <v>492</v>
      </c>
      <c r="CU111" s="237" t="s">
        <v>492</v>
      </c>
      <c r="CV111" s="237" t="s">
        <v>492</v>
      </c>
      <c r="CW111" s="237" t="s">
        <v>231</v>
      </c>
      <c r="CX111" s="237" t="s">
        <v>231</v>
      </c>
      <c r="CY111" s="237" t="s">
        <v>231</v>
      </c>
      <c r="CZ111" s="237" t="s">
        <v>231</v>
      </c>
      <c r="DA111" s="237" t="s">
        <v>231</v>
      </c>
      <c r="DB111" s="237" t="s">
        <v>231</v>
      </c>
      <c r="DC111" s="237" t="s">
        <v>231</v>
      </c>
      <c r="DD111" s="237" t="s">
        <v>231</v>
      </c>
      <c r="DE111" s="237" t="s">
        <v>231</v>
      </c>
      <c r="DF111" s="237" t="s">
        <v>231</v>
      </c>
      <c r="DG111" s="237" t="s">
        <v>231</v>
      </c>
      <c r="DH111" s="237" t="s">
        <v>231</v>
      </c>
      <c r="DI111" s="237" t="s">
        <v>231</v>
      </c>
      <c r="DJ111" s="237" t="s">
        <v>231</v>
      </c>
      <c r="DK111" s="237" t="s">
        <v>231</v>
      </c>
      <c r="DL111" s="237" t="s">
        <v>231</v>
      </c>
      <c r="DM111" s="237" t="s">
        <v>231</v>
      </c>
      <c r="DN111" s="237" t="s">
        <v>231</v>
      </c>
      <c r="DO111" s="237" t="s">
        <v>231</v>
      </c>
      <c r="DP111" s="237" t="s">
        <v>231</v>
      </c>
      <c r="DQ111" s="237" t="s">
        <v>231</v>
      </c>
      <c r="DR111" s="237" t="s">
        <v>231</v>
      </c>
      <c r="DS111" s="237" t="s">
        <v>231</v>
      </c>
      <c r="DT111" s="237" t="s">
        <v>492</v>
      </c>
      <c r="DU111" s="237" t="s">
        <v>231</v>
      </c>
      <c r="DV111" s="237" t="s">
        <v>231</v>
      </c>
      <c r="DW111" s="237" t="s">
        <v>231</v>
      </c>
      <c r="DX111" s="237" t="s">
        <v>231</v>
      </c>
      <c r="DY111" s="237" t="s">
        <v>231</v>
      </c>
      <c r="DZ111" s="237" t="s">
        <v>231</v>
      </c>
      <c r="EA111" s="237" t="s">
        <v>231</v>
      </c>
      <c r="EB111" s="237" t="s">
        <v>231</v>
      </c>
      <c r="EC111" s="237" t="s">
        <v>231</v>
      </c>
      <c r="ED111" s="237" t="s">
        <v>231</v>
      </c>
      <c r="EE111" s="237" t="s">
        <v>231</v>
      </c>
      <c r="EF111" s="237" t="s">
        <v>231</v>
      </c>
      <c r="EG111" s="237" t="s">
        <v>231</v>
      </c>
      <c r="EH111" s="237" t="s">
        <v>492</v>
      </c>
      <c r="EI111" s="237" t="s">
        <v>231</v>
      </c>
      <c r="EJ111" s="237" t="s">
        <v>231</v>
      </c>
      <c r="EK111" s="237" t="s">
        <v>231</v>
      </c>
      <c r="EL111" s="237" t="s">
        <v>231</v>
      </c>
      <c r="EM111" s="237" t="s">
        <v>231</v>
      </c>
      <c r="EN111" s="237" t="s">
        <v>231</v>
      </c>
      <c r="EO111" s="237" t="s">
        <v>231</v>
      </c>
      <c r="EP111" s="237" t="s">
        <v>231</v>
      </c>
      <c r="EQ111" s="237" t="s">
        <v>231</v>
      </c>
      <c r="ER111" s="237" t="s">
        <v>231</v>
      </c>
      <c r="ES111" s="237" t="s">
        <v>231</v>
      </c>
      <c r="ET111" s="237" t="s">
        <v>231</v>
      </c>
      <c r="EU111" s="237" t="s">
        <v>231</v>
      </c>
      <c r="EV111" s="237" t="s">
        <v>231</v>
      </c>
      <c r="EW111" s="237" t="s">
        <v>231</v>
      </c>
      <c r="EX111" s="237" t="s">
        <v>231</v>
      </c>
      <c r="EY111" s="237" t="s">
        <v>231</v>
      </c>
      <c r="EZ111" s="237" t="s">
        <v>231</v>
      </c>
      <c r="FA111" s="237" t="s">
        <v>231</v>
      </c>
      <c r="FB111" s="237" t="s">
        <v>231</v>
      </c>
      <c r="FC111" s="237" t="s">
        <v>231</v>
      </c>
      <c r="FD111" s="237" t="s">
        <v>231</v>
      </c>
      <c r="FE111" s="237" t="s">
        <v>231</v>
      </c>
      <c r="FF111" s="237" t="s">
        <v>231</v>
      </c>
      <c r="FG111" s="237" t="s">
        <v>231</v>
      </c>
      <c r="FH111" s="237" t="s">
        <v>231</v>
      </c>
      <c r="FI111" s="237" t="s">
        <v>231</v>
      </c>
      <c r="FJ111" s="237" t="s">
        <v>231</v>
      </c>
      <c r="FK111" s="237" t="s">
        <v>231</v>
      </c>
      <c r="FL111" s="237" t="s">
        <v>231</v>
      </c>
      <c r="FM111" s="237" t="s">
        <v>231</v>
      </c>
      <c r="FN111" s="237" t="s">
        <v>231</v>
      </c>
      <c r="FO111" s="237" t="s">
        <v>231</v>
      </c>
      <c r="FP111" s="237" t="s">
        <v>231</v>
      </c>
      <c r="FQ111" s="237" t="s">
        <v>231</v>
      </c>
      <c r="FR111" s="237" t="s">
        <v>231</v>
      </c>
      <c r="FS111" s="237" t="s">
        <v>231</v>
      </c>
      <c r="FT111" s="237" t="s">
        <v>231</v>
      </c>
      <c r="FU111" s="237" t="s">
        <v>231</v>
      </c>
      <c r="FV111" s="237" t="s">
        <v>231</v>
      </c>
      <c r="FW111" s="237" t="s">
        <v>231</v>
      </c>
      <c r="FX111" s="237" t="s">
        <v>492</v>
      </c>
      <c r="FY111" s="237" t="s">
        <v>231</v>
      </c>
      <c r="FZ111" s="237" t="s">
        <v>231</v>
      </c>
      <c r="GA111" s="237" t="s">
        <v>231</v>
      </c>
      <c r="GB111" s="237" t="s">
        <v>231</v>
      </c>
      <c r="GC111" s="237" t="s">
        <v>231</v>
      </c>
      <c r="GD111" s="237" t="s">
        <v>231</v>
      </c>
      <c r="GE111" s="237" t="s">
        <v>231</v>
      </c>
      <c r="GF111" s="237" t="s">
        <v>231</v>
      </c>
      <c r="GG111" s="237" t="s">
        <v>231</v>
      </c>
      <c r="GH111" s="237" t="s">
        <v>231</v>
      </c>
      <c r="GI111" s="237" t="s">
        <v>231</v>
      </c>
      <c r="GJ111" s="237" t="s">
        <v>231</v>
      </c>
      <c r="GK111" s="237" t="s">
        <v>231</v>
      </c>
      <c r="GL111" s="237" t="s">
        <v>231</v>
      </c>
      <c r="GM111" s="237" t="s">
        <v>231</v>
      </c>
      <c r="GN111" s="237" t="s">
        <v>231</v>
      </c>
      <c r="GO111" s="237" t="s">
        <v>231</v>
      </c>
      <c r="GP111" s="237" t="s">
        <v>492</v>
      </c>
      <c r="GQ111" s="237" t="s">
        <v>231</v>
      </c>
      <c r="GR111" s="237" t="s">
        <v>231</v>
      </c>
      <c r="GS111" s="237" t="s">
        <v>231</v>
      </c>
      <c r="GT111" s="237" t="s">
        <v>231</v>
      </c>
      <c r="GU111" s="237" t="s">
        <v>231</v>
      </c>
      <c r="GV111" s="237" t="s">
        <v>231</v>
      </c>
      <c r="GW111" s="237" t="s">
        <v>231</v>
      </c>
      <c r="GX111" s="237" t="s">
        <v>231</v>
      </c>
      <c r="GY111" s="237" t="s">
        <v>231</v>
      </c>
      <c r="GZ111" s="237" t="s">
        <v>231</v>
      </c>
      <c r="HA111" s="237" t="s">
        <v>231</v>
      </c>
      <c r="HB111" s="237" t="s">
        <v>231</v>
      </c>
      <c r="HC111" s="237" t="s">
        <v>231</v>
      </c>
      <c r="HD111" s="237" t="s">
        <v>231</v>
      </c>
      <c r="HE111" s="237" t="s">
        <v>231</v>
      </c>
      <c r="HF111" s="237" t="s">
        <v>492</v>
      </c>
      <c r="HG111" s="237" t="s">
        <v>492</v>
      </c>
      <c r="HH111" s="237" t="s">
        <v>231</v>
      </c>
      <c r="HI111" s="237" t="s">
        <v>231</v>
      </c>
      <c r="HJ111" s="237" t="s">
        <v>231</v>
      </c>
      <c r="HK111" s="237" t="s">
        <v>231</v>
      </c>
      <c r="HL111" s="237" t="s">
        <v>231</v>
      </c>
      <c r="HM111" s="237" t="s">
        <v>231</v>
      </c>
      <c r="HN111" s="237" t="s">
        <v>231</v>
      </c>
      <c r="HO111" s="237" t="s">
        <v>231</v>
      </c>
      <c r="HP111" s="237" t="s">
        <v>231</v>
      </c>
      <c r="HQ111" s="237" t="s">
        <v>231</v>
      </c>
      <c r="HR111" s="237" t="s">
        <v>231</v>
      </c>
      <c r="HS111" s="237" t="s">
        <v>231</v>
      </c>
      <c r="HT111" s="237" t="s">
        <v>231</v>
      </c>
      <c r="HU111" s="237" t="s">
        <v>231</v>
      </c>
      <c r="HV111" s="237" t="s">
        <v>231</v>
      </c>
      <c r="HW111" s="237" t="s">
        <v>231</v>
      </c>
      <c r="HX111" s="237" t="s">
        <v>231</v>
      </c>
      <c r="HY111" s="237" t="s">
        <v>231</v>
      </c>
      <c r="HZ111" s="237" t="s">
        <v>231</v>
      </c>
      <c r="IA111" s="237" t="s">
        <v>231</v>
      </c>
      <c r="IB111" s="237" t="s">
        <v>231</v>
      </c>
      <c r="IC111" s="237" t="s">
        <v>231</v>
      </c>
      <c r="ID111" s="237" t="s">
        <v>231</v>
      </c>
      <c r="IE111" s="237" t="s">
        <v>231</v>
      </c>
      <c r="IF111" s="237" t="s">
        <v>231</v>
      </c>
      <c r="IG111" s="237" t="s">
        <v>231</v>
      </c>
      <c r="IH111" s="237" t="s">
        <v>231</v>
      </c>
      <c r="II111" s="237" t="s">
        <v>231</v>
      </c>
      <c r="IJ111" s="237" t="s">
        <v>231</v>
      </c>
      <c r="IK111" s="237" t="s">
        <v>231</v>
      </c>
      <c r="IL111" s="237" t="s">
        <v>231</v>
      </c>
      <c r="IM111" s="237" t="s">
        <v>231</v>
      </c>
      <c r="IN111" s="237" t="s">
        <v>231</v>
      </c>
      <c r="IO111" s="237" t="s">
        <v>220</v>
      </c>
      <c r="IP111" s="237" t="s">
        <v>493</v>
      </c>
      <c r="IQ111" s="237" t="s">
        <v>219</v>
      </c>
      <c r="IR111" s="237" t="s">
        <v>490</v>
      </c>
      <c r="IS111" s="237" t="s">
        <v>492</v>
      </c>
      <c r="IT111" s="237" t="s">
        <v>492</v>
      </c>
    </row>
    <row r="112" spans="1:254" ht="15" x14ac:dyDescent="0.25">
      <c r="A112" s="259" t="str">
        <f>HYPERLINK("http://www.ofsted.gov.uk/inspection-reports/find-inspection-report/provider/ELS/135577 ","Ofsted School Webpage")</f>
        <v>Ofsted School Webpage</v>
      </c>
      <c r="B112" s="240">
        <v>135577</v>
      </c>
      <c r="C112" s="240">
        <v>9366593</v>
      </c>
      <c r="D112" s="240" t="s">
        <v>787</v>
      </c>
      <c r="E112" s="240" t="s">
        <v>248</v>
      </c>
      <c r="F112" s="240" t="s">
        <v>501</v>
      </c>
      <c r="G112" s="240" t="s">
        <v>581</v>
      </c>
      <c r="H112" s="240" t="s">
        <v>581</v>
      </c>
      <c r="I112" s="240" t="s">
        <v>788</v>
      </c>
      <c r="J112" s="240" t="s">
        <v>789</v>
      </c>
      <c r="K112" s="240" t="s">
        <v>93</v>
      </c>
      <c r="L112" s="240" t="s">
        <v>93</v>
      </c>
      <c r="M112" s="240" t="s">
        <v>93</v>
      </c>
      <c r="N112" s="240" t="s">
        <v>90</v>
      </c>
      <c r="O112" s="240" t="s">
        <v>486</v>
      </c>
      <c r="P112" s="240" t="s">
        <v>487</v>
      </c>
      <c r="Q112" s="241">
        <v>10068081</v>
      </c>
      <c r="R112" s="242">
        <v>43425</v>
      </c>
      <c r="S112" s="242">
        <v>43427</v>
      </c>
      <c r="T112" s="242">
        <v>43447</v>
      </c>
      <c r="U112" s="240" t="s">
        <v>488</v>
      </c>
      <c r="V112" s="240" t="s">
        <v>489</v>
      </c>
      <c r="W112" s="240">
        <v>2</v>
      </c>
      <c r="X112" s="240">
        <v>2</v>
      </c>
      <c r="Y112" s="240">
        <v>2</v>
      </c>
      <c r="Z112" s="240">
        <v>2</v>
      </c>
      <c r="AA112" s="240">
        <v>2</v>
      </c>
      <c r="AB112" s="240" t="s">
        <v>486</v>
      </c>
      <c r="AC112" s="240">
        <v>2</v>
      </c>
      <c r="AD112" s="240" t="s">
        <v>219</v>
      </c>
      <c r="AE112" s="240" t="s">
        <v>490</v>
      </c>
      <c r="AF112" s="240" t="s">
        <v>486</v>
      </c>
      <c r="AG112" s="240" t="s">
        <v>486</v>
      </c>
      <c r="AH112" s="240" t="s">
        <v>486</v>
      </c>
      <c r="AI112" s="240" t="s">
        <v>486</v>
      </c>
      <c r="AJ112" s="240" t="s">
        <v>486</v>
      </c>
      <c r="AK112" s="240" t="s">
        <v>486</v>
      </c>
      <c r="AL112" s="240" t="s">
        <v>486</v>
      </c>
      <c r="AM112" s="240" t="s">
        <v>491</v>
      </c>
      <c r="AN112" s="240" t="s">
        <v>231</v>
      </c>
      <c r="AO112" s="240" t="s">
        <v>231</v>
      </c>
      <c r="AP112" s="240" t="s">
        <v>231</v>
      </c>
      <c r="AQ112" s="240" t="s">
        <v>231</v>
      </c>
      <c r="AR112" s="240" t="s">
        <v>231</v>
      </c>
      <c r="AS112" s="240" t="s">
        <v>231</v>
      </c>
      <c r="AT112" s="240" t="s">
        <v>231</v>
      </c>
      <c r="AU112" s="240" t="s">
        <v>231</v>
      </c>
      <c r="AV112" s="240" t="s">
        <v>231</v>
      </c>
      <c r="AW112" s="240" t="s">
        <v>231</v>
      </c>
      <c r="AX112" s="240" t="s">
        <v>231</v>
      </c>
      <c r="AY112" s="240" t="s">
        <v>231</v>
      </c>
      <c r="AZ112" s="240" t="s">
        <v>231</v>
      </c>
      <c r="BA112" s="240" t="s">
        <v>231</v>
      </c>
      <c r="BB112" s="240" t="s">
        <v>231</v>
      </c>
      <c r="BC112" s="240" t="s">
        <v>231</v>
      </c>
      <c r="BD112" s="240" t="s">
        <v>492</v>
      </c>
      <c r="BE112" s="240" t="s">
        <v>231</v>
      </c>
      <c r="BF112" s="240" t="s">
        <v>231</v>
      </c>
      <c r="BG112" s="240" t="s">
        <v>231</v>
      </c>
      <c r="BH112" s="240" t="s">
        <v>231</v>
      </c>
      <c r="BI112" s="240" t="s">
        <v>231</v>
      </c>
      <c r="BJ112" s="240" t="s">
        <v>231</v>
      </c>
      <c r="BK112" s="240" t="s">
        <v>231</v>
      </c>
      <c r="BL112" s="240" t="s">
        <v>492</v>
      </c>
      <c r="BM112" s="240" t="s">
        <v>231</v>
      </c>
      <c r="BN112" s="240" t="s">
        <v>231</v>
      </c>
      <c r="BO112" s="240" t="s">
        <v>231</v>
      </c>
      <c r="BP112" s="240" t="s">
        <v>231</v>
      </c>
      <c r="BQ112" s="240" t="s">
        <v>231</v>
      </c>
      <c r="BR112" s="240" t="s">
        <v>231</v>
      </c>
      <c r="BS112" s="240" t="s">
        <v>231</v>
      </c>
      <c r="BT112" s="240" t="s">
        <v>231</v>
      </c>
      <c r="BU112" s="240" t="s">
        <v>231</v>
      </c>
      <c r="BV112" s="240" t="s">
        <v>231</v>
      </c>
      <c r="BW112" s="240" t="s">
        <v>231</v>
      </c>
      <c r="BX112" s="240" t="s">
        <v>231</v>
      </c>
      <c r="BY112" s="240" t="s">
        <v>231</v>
      </c>
      <c r="BZ112" s="240" t="s">
        <v>231</v>
      </c>
      <c r="CA112" s="240" t="s">
        <v>231</v>
      </c>
      <c r="CB112" s="240" t="s">
        <v>231</v>
      </c>
      <c r="CC112" s="240" t="s">
        <v>231</v>
      </c>
      <c r="CD112" s="240" t="s">
        <v>231</v>
      </c>
      <c r="CE112" s="240" t="s">
        <v>231</v>
      </c>
      <c r="CF112" s="240" t="s">
        <v>231</v>
      </c>
      <c r="CG112" s="240" t="s">
        <v>231</v>
      </c>
      <c r="CH112" s="240" t="s">
        <v>231</v>
      </c>
      <c r="CI112" s="240" t="s">
        <v>231</v>
      </c>
      <c r="CJ112" s="240" t="s">
        <v>231</v>
      </c>
      <c r="CK112" s="240" t="s">
        <v>231</v>
      </c>
      <c r="CL112" s="240" t="s">
        <v>231</v>
      </c>
      <c r="CM112" s="240" t="s">
        <v>231</v>
      </c>
      <c r="CN112" s="240" t="s">
        <v>231</v>
      </c>
      <c r="CO112" s="240" t="s">
        <v>231</v>
      </c>
      <c r="CP112" s="240" t="s">
        <v>231</v>
      </c>
      <c r="CQ112" s="240" t="s">
        <v>231</v>
      </c>
      <c r="CR112" s="240" t="s">
        <v>231</v>
      </c>
      <c r="CS112" s="240" t="s">
        <v>231</v>
      </c>
      <c r="CT112" s="240" t="s">
        <v>492</v>
      </c>
      <c r="CU112" s="240" t="s">
        <v>492</v>
      </c>
      <c r="CV112" s="240" t="s">
        <v>492</v>
      </c>
      <c r="CW112" s="240" t="s">
        <v>231</v>
      </c>
      <c r="CX112" s="240" t="s">
        <v>231</v>
      </c>
      <c r="CY112" s="240" t="s">
        <v>231</v>
      </c>
      <c r="CZ112" s="240" t="s">
        <v>231</v>
      </c>
      <c r="DA112" s="240" t="s">
        <v>231</v>
      </c>
      <c r="DB112" s="240" t="s">
        <v>231</v>
      </c>
      <c r="DC112" s="240" t="s">
        <v>231</v>
      </c>
      <c r="DD112" s="240" t="s">
        <v>231</v>
      </c>
      <c r="DE112" s="240" t="s">
        <v>231</v>
      </c>
      <c r="DF112" s="240" t="s">
        <v>231</v>
      </c>
      <c r="DG112" s="240" t="s">
        <v>231</v>
      </c>
      <c r="DH112" s="240" t="s">
        <v>231</v>
      </c>
      <c r="DI112" s="240" t="s">
        <v>231</v>
      </c>
      <c r="DJ112" s="240" t="s">
        <v>231</v>
      </c>
      <c r="DK112" s="240" t="s">
        <v>231</v>
      </c>
      <c r="DL112" s="240" t="s">
        <v>231</v>
      </c>
      <c r="DM112" s="240" t="s">
        <v>231</v>
      </c>
      <c r="DN112" s="240" t="s">
        <v>231</v>
      </c>
      <c r="DO112" s="240" t="s">
        <v>231</v>
      </c>
      <c r="DP112" s="240" t="s">
        <v>231</v>
      </c>
      <c r="DQ112" s="240" t="s">
        <v>231</v>
      </c>
      <c r="DR112" s="240" t="s">
        <v>231</v>
      </c>
      <c r="DS112" s="240" t="s">
        <v>231</v>
      </c>
      <c r="DT112" s="240" t="s">
        <v>492</v>
      </c>
      <c r="DU112" s="240" t="s">
        <v>231</v>
      </c>
      <c r="DV112" s="240" t="s">
        <v>231</v>
      </c>
      <c r="DW112" s="240" t="s">
        <v>231</v>
      </c>
      <c r="DX112" s="240" t="s">
        <v>231</v>
      </c>
      <c r="DY112" s="240" t="s">
        <v>231</v>
      </c>
      <c r="DZ112" s="240" t="s">
        <v>231</v>
      </c>
      <c r="EA112" s="240" t="s">
        <v>231</v>
      </c>
      <c r="EB112" s="240" t="s">
        <v>231</v>
      </c>
      <c r="EC112" s="240" t="s">
        <v>231</v>
      </c>
      <c r="ED112" s="240" t="s">
        <v>231</v>
      </c>
      <c r="EE112" s="240" t="s">
        <v>231</v>
      </c>
      <c r="EF112" s="240" t="s">
        <v>231</v>
      </c>
      <c r="EG112" s="240" t="s">
        <v>231</v>
      </c>
      <c r="EH112" s="240" t="s">
        <v>492</v>
      </c>
      <c r="EI112" s="240" t="s">
        <v>231</v>
      </c>
      <c r="EJ112" s="240" t="s">
        <v>231</v>
      </c>
      <c r="EK112" s="240" t="s">
        <v>231</v>
      </c>
      <c r="EL112" s="240" t="s">
        <v>231</v>
      </c>
      <c r="EM112" s="240" t="s">
        <v>231</v>
      </c>
      <c r="EN112" s="240" t="s">
        <v>231</v>
      </c>
      <c r="EO112" s="240" t="s">
        <v>231</v>
      </c>
      <c r="EP112" s="240" t="s">
        <v>231</v>
      </c>
      <c r="EQ112" s="240" t="s">
        <v>231</v>
      </c>
      <c r="ER112" s="240" t="s">
        <v>231</v>
      </c>
      <c r="ES112" s="240" t="s">
        <v>231</v>
      </c>
      <c r="ET112" s="240" t="s">
        <v>231</v>
      </c>
      <c r="EU112" s="240" t="s">
        <v>231</v>
      </c>
      <c r="EV112" s="240" t="s">
        <v>231</v>
      </c>
      <c r="EW112" s="240" t="s">
        <v>231</v>
      </c>
      <c r="EX112" s="240" t="s">
        <v>231</v>
      </c>
      <c r="EY112" s="240" t="s">
        <v>231</v>
      </c>
      <c r="EZ112" s="240" t="s">
        <v>231</v>
      </c>
      <c r="FA112" s="240" t="s">
        <v>231</v>
      </c>
      <c r="FB112" s="240" t="s">
        <v>231</v>
      </c>
      <c r="FC112" s="240" t="s">
        <v>231</v>
      </c>
      <c r="FD112" s="240" t="s">
        <v>231</v>
      </c>
      <c r="FE112" s="240" t="s">
        <v>231</v>
      </c>
      <c r="FF112" s="240" t="s">
        <v>231</v>
      </c>
      <c r="FG112" s="240" t="s">
        <v>231</v>
      </c>
      <c r="FH112" s="240" t="s">
        <v>231</v>
      </c>
      <c r="FI112" s="240" t="s">
        <v>231</v>
      </c>
      <c r="FJ112" s="240" t="s">
        <v>231</v>
      </c>
      <c r="FK112" s="240" t="s">
        <v>231</v>
      </c>
      <c r="FL112" s="240" t="s">
        <v>231</v>
      </c>
      <c r="FM112" s="240" t="s">
        <v>231</v>
      </c>
      <c r="FN112" s="240" t="s">
        <v>231</v>
      </c>
      <c r="FO112" s="240" t="s">
        <v>231</v>
      </c>
      <c r="FP112" s="240" t="s">
        <v>231</v>
      </c>
      <c r="FQ112" s="240" t="s">
        <v>231</v>
      </c>
      <c r="FR112" s="240" t="s">
        <v>231</v>
      </c>
      <c r="FS112" s="240" t="s">
        <v>231</v>
      </c>
      <c r="FT112" s="240" t="s">
        <v>231</v>
      </c>
      <c r="FU112" s="240" t="s">
        <v>231</v>
      </c>
      <c r="FV112" s="240" t="s">
        <v>231</v>
      </c>
      <c r="FW112" s="240" t="s">
        <v>231</v>
      </c>
      <c r="FX112" s="240" t="s">
        <v>231</v>
      </c>
      <c r="FY112" s="240" t="s">
        <v>231</v>
      </c>
      <c r="FZ112" s="240" t="s">
        <v>231</v>
      </c>
      <c r="GA112" s="240" t="s">
        <v>231</v>
      </c>
      <c r="GB112" s="240" t="s">
        <v>231</v>
      </c>
      <c r="GC112" s="240" t="s">
        <v>231</v>
      </c>
      <c r="GD112" s="240" t="s">
        <v>231</v>
      </c>
      <c r="GE112" s="240" t="s">
        <v>231</v>
      </c>
      <c r="GF112" s="240" t="s">
        <v>231</v>
      </c>
      <c r="GG112" s="240" t="s">
        <v>231</v>
      </c>
      <c r="GH112" s="240" t="s">
        <v>231</v>
      </c>
      <c r="GI112" s="240" t="s">
        <v>231</v>
      </c>
      <c r="GJ112" s="240" t="s">
        <v>231</v>
      </c>
      <c r="GK112" s="240" t="s">
        <v>231</v>
      </c>
      <c r="GL112" s="240" t="s">
        <v>231</v>
      </c>
      <c r="GM112" s="240" t="s">
        <v>231</v>
      </c>
      <c r="GN112" s="240" t="s">
        <v>231</v>
      </c>
      <c r="GO112" s="240" t="s">
        <v>231</v>
      </c>
      <c r="GP112" s="240" t="s">
        <v>492</v>
      </c>
      <c r="GQ112" s="240" t="s">
        <v>231</v>
      </c>
      <c r="GR112" s="240" t="s">
        <v>231</v>
      </c>
      <c r="GS112" s="240" t="s">
        <v>231</v>
      </c>
      <c r="GT112" s="240" t="s">
        <v>231</v>
      </c>
      <c r="GU112" s="240" t="s">
        <v>231</v>
      </c>
      <c r="GV112" s="240" t="s">
        <v>492</v>
      </c>
      <c r="GW112" s="240" t="s">
        <v>231</v>
      </c>
      <c r="GX112" s="240" t="s">
        <v>231</v>
      </c>
      <c r="GY112" s="240" t="s">
        <v>231</v>
      </c>
      <c r="GZ112" s="240" t="s">
        <v>231</v>
      </c>
      <c r="HA112" s="240" t="s">
        <v>231</v>
      </c>
      <c r="HB112" s="240" t="s">
        <v>231</v>
      </c>
      <c r="HC112" s="240" t="s">
        <v>231</v>
      </c>
      <c r="HD112" s="240" t="s">
        <v>231</v>
      </c>
      <c r="HE112" s="240" t="s">
        <v>492</v>
      </c>
      <c r="HF112" s="240" t="s">
        <v>231</v>
      </c>
      <c r="HG112" s="240" t="s">
        <v>492</v>
      </c>
      <c r="HH112" s="240" t="s">
        <v>231</v>
      </c>
      <c r="HI112" s="240" t="s">
        <v>231</v>
      </c>
      <c r="HJ112" s="240" t="s">
        <v>231</v>
      </c>
      <c r="HK112" s="240" t="s">
        <v>231</v>
      </c>
      <c r="HL112" s="240" t="s">
        <v>231</v>
      </c>
      <c r="HM112" s="240" t="s">
        <v>231</v>
      </c>
      <c r="HN112" s="240" t="s">
        <v>231</v>
      </c>
      <c r="HO112" s="240" t="s">
        <v>231</v>
      </c>
      <c r="HP112" s="240" t="s">
        <v>231</v>
      </c>
      <c r="HQ112" s="240" t="s">
        <v>231</v>
      </c>
      <c r="HR112" s="240" t="s">
        <v>231</v>
      </c>
      <c r="HS112" s="240" t="s">
        <v>231</v>
      </c>
      <c r="HT112" s="240" t="s">
        <v>231</v>
      </c>
      <c r="HU112" s="240" t="s">
        <v>231</v>
      </c>
      <c r="HV112" s="240" t="s">
        <v>231</v>
      </c>
      <c r="HW112" s="240" t="s">
        <v>231</v>
      </c>
      <c r="HX112" s="240" t="s">
        <v>231</v>
      </c>
      <c r="HY112" s="240" t="s">
        <v>231</v>
      </c>
      <c r="HZ112" s="240" t="s">
        <v>231</v>
      </c>
      <c r="IA112" s="240" t="s">
        <v>231</v>
      </c>
      <c r="IB112" s="240" t="s">
        <v>231</v>
      </c>
      <c r="IC112" s="240" t="s">
        <v>231</v>
      </c>
      <c r="ID112" s="240" t="s">
        <v>231</v>
      </c>
      <c r="IE112" s="240" t="s">
        <v>231</v>
      </c>
      <c r="IF112" s="240" t="s">
        <v>231</v>
      </c>
      <c r="IG112" s="240" t="s">
        <v>231</v>
      </c>
      <c r="IH112" s="240" t="s">
        <v>231</v>
      </c>
      <c r="II112" s="240" t="s">
        <v>231</v>
      </c>
      <c r="IJ112" s="240" t="s">
        <v>231</v>
      </c>
      <c r="IK112" s="240" t="s">
        <v>231</v>
      </c>
      <c r="IL112" s="240" t="s">
        <v>231</v>
      </c>
      <c r="IM112" s="240" t="s">
        <v>231</v>
      </c>
      <c r="IN112" s="240" t="s">
        <v>231</v>
      </c>
      <c r="IO112" s="240" t="s">
        <v>219</v>
      </c>
      <c r="IP112" s="240" t="s">
        <v>220</v>
      </c>
      <c r="IQ112" s="240" t="s">
        <v>219</v>
      </c>
      <c r="IR112" s="240" t="s">
        <v>490</v>
      </c>
      <c r="IS112" s="240" t="s">
        <v>492</v>
      </c>
      <c r="IT112" s="240" t="s">
        <v>492</v>
      </c>
    </row>
    <row r="113" spans="1:254" ht="15" x14ac:dyDescent="0.25">
      <c r="A113" s="258" t="str">
        <f>HYPERLINK("http://www.ofsted.gov.uk/inspection-reports/find-inspection-report/provider/ELS/126542 ","Ofsted School Webpage")</f>
        <v>Ofsted School Webpage</v>
      </c>
      <c r="B113" s="237">
        <v>126542</v>
      </c>
      <c r="C113" s="237">
        <v>8656024</v>
      </c>
      <c r="D113" s="237" t="s">
        <v>790</v>
      </c>
      <c r="E113" s="237" t="s">
        <v>248</v>
      </c>
      <c r="F113" s="237" t="s">
        <v>501</v>
      </c>
      <c r="G113" s="237" t="s">
        <v>483</v>
      </c>
      <c r="H113" s="237" t="s">
        <v>483</v>
      </c>
      <c r="I113" s="237" t="s">
        <v>791</v>
      </c>
      <c r="J113" s="237" t="s">
        <v>792</v>
      </c>
      <c r="K113" s="237" t="s">
        <v>93</v>
      </c>
      <c r="L113" s="237" t="s">
        <v>93</v>
      </c>
      <c r="M113" s="237" t="s">
        <v>93</v>
      </c>
      <c r="N113" s="237" t="s">
        <v>90</v>
      </c>
      <c r="O113" s="237" t="s">
        <v>486</v>
      </c>
      <c r="P113" s="237" t="s">
        <v>487</v>
      </c>
      <c r="Q113" s="238">
        <v>10053773</v>
      </c>
      <c r="R113" s="239">
        <v>43431</v>
      </c>
      <c r="S113" s="239">
        <v>43433</v>
      </c>
      <c r="T113" s="239">
        <v>43485</v>
      </c>
      <c r="U113" s="237" t="s">
        <v>488</v>
      </c>
      <c r="V113" s="237" t="s">
        <v>489</v>
      </c>
      <c r="W113" s="237">
        <v>1</v>
      </c>
      <c r="X113" s="237">
        <v>1</v>
      </c>
      <c r="Y113" s="237">
        <v>1</v>
      </c>
      <c r="Z113" s="237">
        <v>1</v>
      </c>
      <c r="AA113" s="237">
        <v>1</v>
      </c>
      <c r="AB113" s="237" t="s">
        <v>486</v>
      </c>
      <c r="AC113" s="237" t="s">
        <v>486</v>
      </c>
      <c r="AD113" s="237" t="s">
        <v>219</v>
      </c>
      <c r="AE113" s="237" t="s">
        <v>490</v>
      </c>
      <c r="AF113" s="237" t="s">
        <v>486</v>
      </c>
      <c r="AG113" s="237" t="s">
        <v>486</v>
      </c>
      <c r="AH113" s="237" t="s">
        <v>486</v>
      </c>
      <c r="AI113" s="237" t="s">
        <v>486</v>
      </c>
      <c r="AJ113" s="237" t="s">
        <v>486</v>
      </c>
      <c r="AK113" s="237" t="s">
        <v>486</v>
      </c>
      <c r="AL113" s="237" t="s">
        <v>486</v>
      </c>
      <c r="AM113" s="237" t="s">
        <v>491</v>
      </c>
      <c r="AN113" s="237" t="s">
        <v>231</v>
      </c>
      <c r="AO113" s="237" t="s">
        <v>231</v>
      </c>
      <c r="AP113" s="237" t="s">
        <v>231</v>
      </c>
      <c r="AQ113" s="237" t="s">
        <v>231</v>
      </c>
      <c r="AR113" s="237" t="s">
        <v>231</v>
      </c>
      <c r="AS113" s="237" t="s">
        <v>231</v>
      </c>
      <c r="AT113" s="237" t="s">
        <v>231</v>
      </c>
      <c r="AU113" s="237" t="s">
        <v>231</v>
      </c>
      <c r="AV113" s="237" t="s">
        <v>231</v>
      </c>
      <c r="AW113" s="237" t="s">
        <v>231</v>
      </c>
      <c r="AX113" s="237" t="s">
        <v>231</v>
      </c>
      <c r="AY113" s="237" t="s">
        <v>231</v>
      </c>
      <c r="AZ113" s="237" t="s">
        <v>231</v>
      </c>
      <c r="BA113" s="237" t="s">
        <v>231</v>
      </c>
      <c r="BB113" s="237" t="s">
        <v>231</v>
      </c>
      <c r="BC113" s="237" t="s">
        <v>231</v>
      </c>
      <c r="BD113" s="237" t="s">
        <v>231</v>
      </c>
      <c r="BE113" s="237" t="s">
        <v>231</v>
      </c>
      <c r="BF113" s="237" t="s">
        <v>231</v>
      </c>
      <c r="BG113" s="237" t="s">
        <v>231</v>
      </c>
      <c r="BH113" s="237" t="s">
        <v>231</v>
      </c>
      <c r="BI113" s="237" t="s">
        <v>231</v>
      </c>
      <c r="BJ113" s="237" t="s">
        <v>231</v>
      </c>
      <c r="BK113" s="237" t="s">
        <v>231</v>
      </c>
      <c r="BL113" s="237" t="s">
        <v>231</v>
      </c>
      <c r="BM113" s="237" t="s">
        <v>231</v>
      </c>
      <c r="BN113" s="237" t="s">
        <v>231</v>
      </c>
      <c r="BO113" s="237" t="s">
        <v>231</v>
      </c>
      <c r="BP113" s="237" t="s">
        <v>231</v>
      </c>
      <c r="BQ113" s="237" t="s">
        <v>231</v>
      </c>
      <c r="BR113" s="237" t="s">
        <v>231</v>
      </c>
      <c r="BS113" s="237" t="s">
        <v>231</v>
      </c>
      <c r="BT113" s="237" t="s">
        <v>231</v>
      </c>
      <c r="BU113" s="237" t="s">
        <v>231</v>
      </c>
      <c r="BV113" s="237" t="s">
        <v>231</v>
      </c>
      <c r="BW113" s="237" t="s">
        <v>231</v>
      </c>
      <c r="BX113" s="237" t="s">
        <v>231</v>
      </c>
      <c r="BY113" s="237" t="s">
        <v>231</v>
      </c>
      <c r="BZ113" s="237" t="s">
        <v>231</v>
      </c>
      <c r="CA113" s="237" t="s">
        <v>231</v>
      </c>
      <c r="CB113" s="237" t="s">
        <v>231</v>
      </c>
      <c r="CC113" s="237" t="s">
        <v>231</v>
      </c>
      <c r="CD113" s="237" t="s">
        <v>231</v>
      </c>
      <c r="CE113" s="237" t="s">
        <v>231</v>
      </c>
      <c r="CF113" s="237" t="s">
        <v>231</v>
      </c>
      <c r="CG113" s="237" t="s">
        <v>231</v>
      </c>
      <c r="CH113" s="237" t="s">
        <v>231</v>
      </c>
      <c r="CI113" s="237" t="s">
        <v>231</v>
      </c>
      <c r="CJ113" s="237" t="s">
        <v>231</v>
      </c>
      <c r="CK113" s="237" t="s">
        <v>231</v>
      </c>
      <c r="CL113" s="237" t="s">
        <v>231</v>
      </c>
      <c r="CM113" s="237" t="s">
        <v>231</v>
      </c>
      <c r="CN113" s="237" t="s">
        <v>231</v>
      </c>
      <c r="CO113" s="237" t="s">
        <v>231</v>
      </c>
      <c r="CP113" s="237" t="s">
        <v>231</v>
      </c>
      <c r="CQ113" s="237" t="s">
        <v>231</v>
      </c>
      <c r="CR113" s="237" t="s">
        <v>231</v>
      </c>
      <c r="CS113" s="237" t="s">
        <v>231</v>
      </c>
      <c r="CT113" s="237" t="s">
        <v>492</v>
      </c>
      <c r="CU113" s="237" t="s">
        <v>492</v>
      </c>
      <c r="CV113" s="237" t="s">
        <v>492</v>
      </c>
      <c r="CW113" s="237" t="s">
        <v>231</v>
      </c>
      <c r="CX113" s="237" t="s">
        <v>231</v>
      </c>
      <c r="CY113" s="237" t="s">
        <v>231</v>
      </c>
      <c r="CZ113" s="237" t="s">
        <v>231</v>
      </c>
      <c r="DA113" s="237" t="s">
        <v>231</v>
      </c>
      <c r="DB113" s="237" t="s">
        <v>231</v>
      </c>
      <c r="DC113" s="237" t="s">
        <v>231</v>
      </c>
      <c r="DD113" s="237" t="s">
        <v>231</v>
      </c>
      <c r="DE113" s="237" t="s">
        <v>231</v>
      </c>
      <c r="DF113" s="237" t="s">
        <v>231</v>
      </c>
      <c r="DG113" s="237" t="s">
        <v>231</v>
      </c>
      <c r="DH113" s="237" t="s">
        <v>231</v>
      </c>
      <c r="DI113" s="237" t="s">
        <v>231</v>
      </c>
      <c r="DJ113" s="237" t="s">
        <v>231</v>
      </c>
      <c r="DK113" s="237" t="s">
        <v>231</v>
      </c>
      <c r="DL113" s="237" t="s">
        <v>231</v>
      </c>
      <c r="DM113" s="237" t="s">
        <v>231</v>
      </c>
      <c r="DN113" s="237" t="s">
        <v>231</v>
      </c>
      <c r="DO113" s="237" t="s">
        <v>231</v>
      </c>
      <c r="DP113" s="237" t="s">
        <v>231</v>
      </c>
      <c r="DQ113" s="237" t="s">
        <v>231</v>
      </c>
      <c r="DR113" s="237" t="s">
        <v>231</v>
      </c>
      <c r="DS113" s="237" t="s">
        <v>231</v>
      </c>
      <c r="DT113" s="237" t="s">
        <v>492</v>
      </c>
      <c r="DU113" s="237" t="s">
        <v>231</v>
      </c>
      <c r="DV113" s="237" t="s">
        <v>231</v>
      </c>
      <c r="DW113" s="237" t="s">
        <v>231</v>
      </c>
      <c r="DX113" s="237" t="s">
        <v>231</v>
      </c>
      <c r="DY113" s="237" t="s">
        <v>231</v>
      </c>
      <c r="DZ113" s="237" t="s">
        <v>231</v>
      </c>
      <c r="EA113" s="237" t="s">
        <v>231</v>
      </c>
      <c r="EB113" s="237" t="s">
        <v>231</v>
      </c>
      <c r="EC113" s="237" t="s">
        <v>231</v>
      </c>
      <c r="ED113" s="237" t="s">
        <v>231</v>
      </c>
      <c r="EE113" s="237" t="s">
        <v>231</v>
      </c>
      <c r="EF113" s="237" t="s">
        <v>231</v>
      </c>
      <c r="EG113" s="237" t="s">
        <v>231</v>
      </c>
      <c r="EH113" s="237" t="s">
        <v>492</v>
      </c>
      <c r="EI113" s="237" t="s">
        <v>231</v>
      </c>
      <c r="EJ113" s="237" t="s">
        <v>231</v>
      </c>
      <c r="EK113" s="237" t="s">
        <v>231</v>
      </c>
      <c r="EL113" s="237" t="s">
        <v>231</v>
      </c>
      <c r="EM113" s="237" t="s">
        <v>231</v>
      </c>
      <c r="EN113" s="237" t="s">
        <v>231</v>
      </c>
      <c r="EO113" s="237" t="s">
        <v>231</v>
      </c>
      <c r="EP113" s="237" t="s">
        <v>231</v>
      </c>
      <c r="EQ113" s="237" t="s">
        <v>231</v>
      </c>
      <c r="ER113" s="237" t="s">
        <v>231</v>
      </c>
      <c r="ES113" s="237" t="s">
        <v>231</v>
      </c>
      <c r="ET113" s="237" t="s">
        <v>231</v>
      </c>
      <c r="EU113" s="237" t="s">
        <v>231</v>
      </c>
      <c r="EV113" s="237" t="s">
        <v>231</v>
      </c>
      <c r="EW113" s="237" t="s">
        <v>231</v>
      </c>
      <c r="EX113" s="237" t="s">
        <v>231</v>
      </c>
      <c r="EY113" s="237" t="s">
        <v>231</v>
      </c>
      <c r="EZ113" s="237" t="s">
        <v>231</v>
      </c>
      <c r="FA113" s="237" t="s">
        <v>231</v>
      </c>
      <c r="FB113" s="237" t="s">
        <v>231</v>
      </c>
      <c r="FC113" s="237" t="s">
        <v>231</v>
      </c>
      <c r="FD113" s="237" t="s">
        <v>231</v>
      </c>
      <c r="FE113" s="237" t="s">
        <v>231</v>
      </c>
      <c r="FF113" s="237" t="s">
        <v>231</v>
      </c>
      <c r="FG113" s="237" t="s">
        <v>231</v>
      </c>
      <c r="FH113" s="237" t="s">
        <v>231</v>
      </c>
      <c r="FI113" s="237" t="s">
        <v>231</v>
      </c>
      <c r="FJ113" s="237" t="s">
        <v>231</v>
      </c>
      <c r="FK113" s="237" t="s">
        <v>231</v>
      </c>
      <c r="FL113" s="237" t="s">
        <v>231</v>
      </c>
      <c r="FM113" s="237" t="s">
        <v>231</v>
      </c>
      <c r="FN113" s="237" t="s">
        <v>231</v>
      </c>
      <c r="FO113" s="237" t="s">
        <v>231</v>
      </c>
      <c r="FP113" s="237" t="s">
        <v>231</v>
      </c>
      <c r="FQ113" s="237" t="s">
        <v>231</v>
      </c>
      <c r="FR113" s="237" t="s">
        <v>231</v>
      </c>
      <c r="FS113" s="237" t="s">
        <v>231</v>
      </c>
      <c r="FT113" s="237" t="s">
        <v>231</v>
      </c>
      <c r="FU113" s="237" t="s">
        <v>231</v>
      </c>
      <c r="FV113" s="237" t="s">
        <v>231</v>
      </c>
      <c r="FW113" s="237" t="s">
        <v>231</v>
      </c>
      <c r="FX113" s="237" t="s">
        <v>231</v>
      </c>
      <c r="FY113" s="237" t="s">
        <v>231</v>
      </c>
      <c r="FZ113" s="237" t="s">
        <v>231</v>
      </c>
      <c r="GA113" s="237" t="s">
        <v>231</v>
      </c>
      <c r="GB113" s="237" t="s">
        <v>231</v>
      </c>
      <c r="GC113" s="237" t="s">
        <v>231</v>
      </c>
      <c r="GD113" s="237" t="s">
        <v>231</v>
      </c>
      <c r="GE113" s="237" t="s">
        <v>231</v>
      </c>
      <c r="GF113" s="237" t="s">
        <v>231</v>
      </c>
      <c r="GG113" s="237" t="s">
        <v>231</v>
      </c>
      <c r="GH113" s="237" t="s">
        <v>231</v>
      </c>
      <c r="GI113" s="237" t="s">
        <v>231</v>
      </c>
      <c r="GJ113" s="237" t="s">
        <v>231</v>
      </c>
      <c r="GK113" s="237" t="s">
        <v>231</v>
      </c>
      <c r="GL113" s="237" t="s">
        <v>231</v>
      </c>
      <c r="GM113" s="237" t="s">
        <v>231</v>
      </c>
      <c r="GN113" s="237" t="s">
        <v>231</v>
      </c>
      <c r="GO113" s="237" t="s">
        <v>231</v>
      </c>
      <c r="GP113" s="237" t="s">
        <v>492</v>
      </c>
      <c r="GQ113" s="237" t="s">
        <v>231</v>
      </c>
      <c r="GR113" s="237" t="s">
        <v>231</v>
      </c>
      <c r="GS113" s="237" t="s">
        <v>231</v>
      </c>
      <c r="GT113" s="237" t="s">
        <v>231</v>
      </c>
      <c r="GU113" s="237" t="s">
        <v>231</v>
      </c>
      <c r="GV113" s="237" t="s">
        <v>231</v>
      </c>
      <c r="GW113" s="237" t="s">
        <v>231</v>
      </c>
      <c r="GX113" s="237" t="s">
        <v>231</v>
      </c>
      <c r="GY113" s="237" t="s">
        <v>231</v>
      </c>
      <c r="GZ113" s="237" t="s">
        <v>231</v>
      </c>
      <c r="HA113" s="237" t="s">
        <v>231</v>
      </c>
      <c r="HB113" s="237" t="s">
        <v>231</v>
      </c>
      <c r="HC113" s="237" t="s">
        <v>231</v>
      </c>
      <c r="HD113" s="237" t="s">
        <v>231</v>
      </c>
      <c r="HE113" s="237" t="s">
        <v>231</v>
      </c>
      <c r="HF113" s="237" t="s">
        <v>231</v>
      </c>
      <c r="HG113" s="237" t="s">
        <v>231</v>
      </c>
      <c r="HH113" s="237" t="s">
        <v>231</v>
      </c>
      <c r="HI113" s="237" t="s">
        <v>231</v>
      </c>
      <c r="HJ113" s="237" t="s">
        <v>231</v>
      </c>
      <c r="HK113" s="237" t="s">
        <v>231</v>
      </c>
      <c r="HL113" s="237" t="s">
        <v>231</v>
      </c>
      <c r="HM113" s="237" t="s">
        <v>231</v>
      </c>
      <c r="HN113" s="237" t="s">
        <v>231</v>
      </c>
      <c r="HO113" s="237" t="s">
        <v>231</v>
      </c>
      <c r="HP113" s="237" t="s">
        <v>231</v>
      </c>
      <c r="HQ113" s="237" t="s">
        <v>231</v>
      </c>
      <c r="HR113" s="237" t="s">
        <v>231</v>
      </c>
      <c r="HS113" s="237" t="s">
        <v>231</v>
      </c>
      <c r="HT113" s="237" t="s">
        <v>231</v>
      </c>
      <c r="HU113" s="237" t="s">
        <v>231</v>
      </c>
      <c r="HV113" s="237" t="s">
        <v>231</v>
      </c>
      <c r="HW113" s="237" t="s">
        <v>231</v>
      </c>
      <c r="HX113" s="237" t="s">
        <v>231</v>
      </c>
      <c r="HY113" s="237" t="s">
        <v>231</v>
      </c>
      <c r="HZ113" s="237" t="s">
        <v>231</v>
      </c>
      <c r="IA113" s="237" t="s">
        <v>231</v>
      </c>
      <c r="IB113" s="237" t="s">
        <v>231</v>
      </c>
      <c r="IC113" s="237" t="s">
        <v>231</v>
      </c>
      <c r="ID113" s="237" t="s">
        <v>231</v>
      </c>
      <c r="IE113" s="237" t="s">
        <v>231</v>
      </c>
      <c r="IF113" s="237" t="s">
        <v>231</v>
      </c>
      <c r="IG113" s="237" t="s">
        <v>231</v>
      </c>
      <c r="IH113" s="237" t="s">
        <v>231</v>
      </c>
      <c r="II113" s="237" t="s">
        <v>231</v>
      </c>
      <c r="IJ113" s="237" t="s">
        <v>231</v>
      </c>
      <c r="IK113" s="237" t="s">
        <v>231</v>
      </c>
      <c r="IL113" s="237" t="s">
        <v>231</v>
      </c>
      <c r="IM113" s="237" t="s">
        <v>231</v>
      </c>
      <c r="IN113" s="237" t="s">
        <v>231</v>
      </c>
      <c r="IO113" s="237" t="s">
        <v>220</v>
      </c>
      <c r="IP113" s="237" t="s">
        <v>493</v>
      </c>
      <c r="IQ113" s="237" t="s">
        <v>219</v>
      </c>
      <c r="IR113" s="237" t="s">
        <v>490</v>
      </c>
      <c r="IS113" s="237" t="s">
        <v>231</v>
      </c>
      <c r="IT113" s="237" t="s">
        <v>231</v>
      </c>
    </row>
    <row r="114" spans="1:254" ht="15" x14ac:dyDescent="0.25">
      <c r="A114" s="259" t="str">
        <f>HYPERLINK("http://www.ofsted.gov.uk/inspection-reports/find-inspection-report/provider/ELS/145231 ","Ofsted School Webpage")</f>
        <v>Ofsted School Webpage</v>
      </c>
      <c r="B114" s="240">
        <v>145231</v>
      </c>
      <c r="C114" s="240">
        <v>8876011</v>
      </c>
      <c r="D114" s="240" t="s">
        <v>793</v>
      </c>
      <c r="E114" s="240" t="s">
        <v>248</v>
      </c>
      <c r="F114" s="240" t="s">
        <v>501</v>
      </c>
      <c r="G114" s="240" t="s">
        <v>581</v>
      </c>
      <c r="H114" s="240" t="s">
        <v>581</v>
      </c>
      <c r="I114" s="240" t="s">
        <v>794</v>
      </c>
      <c r="J114" s="240" t="s">
        <v>795</v>
      </c>
      <c r="K114" s="240" t="s">
        <v>93</v>
      </c>
      <c r="L114" s="240" t="s">
        <v>93</v>
      </c>
      <c r="M114" s="240" t="s">
        <v>93</v>
      </c>
      <c r="N114" s="240" t="s">
        <v>90</v>
      </c>
      <c r="O114" s="240" t="s">
        <v>486</v>
      </c>
      <c r="P114" s="240" t="s">
        <v>487</v>
      </c>
      <c r="Q114" s="241">
        <v>10054087</v>
      </c>
      <c r="R114" s="242">
        <v>43431</v>
      </c>
      <c r="S114" s="242">
        <v>43433</v>
      </c>
      <c r="T114" s="242">
        <v>43488</v>
      </c>
      <c r="U114" s="240" t="s">
        <v>499</v>
      </c>
      <c r="V114" s="240" t="s">
        <v>489</v>
      </c>
      <c r="W114" s="240">
        <v>4</v>
      </c>
      <c r="X114" s="240">
        <v>4</v>
      </c>
      <c r="Y114" s="240">
        <v>4</v>
      </c>
      <c r="Z114" s="240">
        <v>4</v>
      </c>
      <c r="AA114" s="240">
        <v>4</v>
      </c>
      <c r="AB114" s="240" t="s">
        <v>486</v>
      </c>
      <c r="AC114" s="240" t="s">
        <v>486</v>
      </c>
      <c r="AD114" s="240" t="s">
        <v>220</v>
      </c>
      <c r="AE114" s="240" t="s">
        <v>490</v>
      </c>
      <c r="AF114" s="240" t="s">
        <v>486</v>
      </c>
      <c r="AG114" s="240" t="s">
        <v>486</v>
      </c>
      <c r="AH114" s="240" t="s">
        <v>486</v>
      </c>
      <c r="AI114" s="240" t="s">
        <v>486</v>
      </c>
      <c r="AJ114" s="240" t="s">
        <v>486</v>
      </c>
      <c r="AK114" s="240" t="s">
        <v>486</v>
      </c>
      <c r="AL114" s="240" t="s">
        <v>486</v>
      </c>
      <c r="AM114" s="240" t="s">
        <v>545</v>
      </c>
      <c r="AN114" s="240" t="s">
        <v>546</v>
      </c>
      <c r="AO114" s="240" t="s">
        <v>546</v>
      </c>
      <c r="AP114" s="240" t="s">
        <v>546</v>
      </c>
      <c r="AQ114" s="240" t="s">
        <v>546</v>
      </c>
      <c r="AR114" s="240" t="s">
        <v>546</v>
      </c>
      <c r="AS114" s="240" t="s">
        <v>546</v>
      </c>
      <c r="AT114" s="240" t="s">
        <v>546</v>
      </c>
      <c r="AU114" s="240" t="s">
        <v>546</v>
      </c>
      <c r="AV114" s="240" t="s">
        <v>232</v>
      </c>
      <c r="AW114" s="240" t="s">
        <v>232</v>
      </c>
      <c r="AX114" s="240" t="s">
        <v>232</v>
      </c>
      <c r="AY114" s="240" t="s">
        <v>232</v>
      </c>
      <c r="AZ114" s="240" t="s">
        <v>231</v>
      </c>
      <c r="BA114" s="240" t="s">
        <v>232</v>
      </c>
      <c r="BB114" s="240" t="s">
        <v>232</v>
      </c>
      <c r="BC114" s="240" t="s">
        <v>232</v>
      </c>
      <c r="BD114" s="240" t="s">
        <v>492</v>
      </c>
      <c r="BE114" s="240" t="s">
        <v>232</v>
      </c>
      <c r="BF114" s="240" t="s">
        <v>232</v>
      </c>
      <c r="BG114" s="240" t="s">
        <v>231</v>
      </c>
      <c r="BH114" s="240" t="s">
        <v>232</v>
      </c>
      <c r="BI114" s="240" t="s">
        <v>232</v>
      </c>
      <c r="BJ114" s="240" t="s">
        <v>232</v>
      </c>
      <c r="BK114" s="240" t="s">
        <v>232</v>
      </c>
      <c r="BL114" s="240" t="s">
        <v>492</v>
      </c>
      <c r="BM114" s="240" t="s">
        <v>232</v>
      </c>
      <c r="BN114" s="240" t="s">
        <v>232</v>
      </c>
      <c r="BO114" s="240" t="s">
        <v>232</v>
      </c>
      <c r="BP114" s="240" t="s">
        <v>232</v>
      </c>
      <c r="BQ114" s="240" t="s">
        <v>232</v>
      </c>
      <c r="BR114" s="240" t="s">
        <v>232</v>
      </c>
      <c r="BS114" s="240" t="s">
        <v>232</v>
      </c>
      <c r="BT114" s="240" t="s">
        <v>232</v>
      </c>
      <c r="BU114" s="240" t="s">
        <v>232</v>
      </c>
      <c r="BV114" s="240" t="s">
        <v>232</v>
      </c>
      <c r="BW114" s="240" t="s">
        <v>232</v>
      </c>
      <c r="BX114" s="240" t="s">
        <v>231</v>
      </c>
      <c r="BY114" s="240" t="s">
        <v>231</v>
      </c>
      <c r="BZ114" s="240" t="s">
        <v>231</v>
      </c>
      <c r="CA114" s="240" t="s">
        <v>232</v>
      </c>
      <c r="CB114" s="240" t="s">
        <v>232</v>
      </c>
      <c r="CC114" s="240" t="s">
        <v>232</v>
      </c>
      <c r="CD114" s="240" t="s">
        <v>232</v>
      </c>
      <c r="CE114" s="240" t="s">
        <v>232</v>
      </c>
      <c r="CF114" s="240" t="s">
        <v>232</v>
      </c>
      <c r="CG114" s="240" t="s">
        <v>232</v>
      </c>
      <c r="CH114" s="240" t="s">
        <v>232</v>
      </c>
      <c r="CI114" s="240" t="s">
        <v>232</v>
      </c>
      <c r="CJ114" s="240" t="s">
        <v>232</v>
      </c>
      <c r="CK114" s="240" t="s">
        <v>232</v>
      </c>
      <c r="CL114" s="240" t="s">
        <v>231</v>
      </c>
      <c r="CM114" s="240" t="s">
        <v>231</v>
      </c>
      <c r="CN114" s="240" t="s">
        <v>231</v>
      </c>
      <c r="CO114" s="240" t="s">
        <v>231</v>
      </c>
      <c r="CP114" s="240" t="s">
        <v>231</v>
      </c>
      <c r="CQ114" s="240" t="s">
        <v>232</v>
      </c>
      <c r="CR114" s="240" t="s">
        <v>232</v>
      </c>
      <c r="CS114" s="240" t="s">
        <v>232</v>
      </c>
      <c r="CT114" s="240" t="s">
        <v>492</v>
      </c>
      <c r="CU114" s="240" t="s">
        <v>492</v>
      </c>
      <c r="CV114" s="240" t="s">
        <v>492</v>
      </c>
      <c r="CW114" s="240" t="s">
        <v>232</v>
      </c>
      <c r="CX114" s="240" t="s">
        <v>232</v>
      </c>
      <c r="CY114" s="240" t="s">
        <v>232</v>
      </c>
      <c r="CZ114" s="240" t="s">
        <v>232</v>
      </c>
      <c r="DA114" s="240" t="s">
        <v>231</v>
      </c>
      <c r="DB114" s="240" t="s">
        <v>232</v>
      </c>
      <c r="DC114" s="240" t="s">
        <v>232</v>
      </c>
      <c r="DD114" s="240" t="s">
        <v>231</v>
      </c>
      <c r="DE114" s="240" t="s">
        <v>231</v>
      </c>
      <c r="DF114" s="240" t="s">
        <v>232</v>
      </c>
      <c r="DG114" s="240" t="s">
        <v>231</v>
      </c>
      <c r="DH114" s="240" t="s">
        <v>232</v>
      </c>
      <c r="DI114" s="240" t="s">
        <v>232</v>
      </c>
      <c r="DJ114" s="240" t="s">
        <v>232</v>
      </c>
      <c r="DK114" s="240" t="s">
        <v>231</v>
      </c>
      <c r="DL114" s="240" t="s">
        <v>232</v>
      </c>
      <c r="DM114" s="240" t="s">
        <v>232</v>
      </c>
      <c r="DN114" s="240" t="s">
        <v>232</v>
      </c>
      <c r="DO114" s="240" t="s">
        <v>231</v>
      </c>
      <c r="DP114" s="240" t="s">
        <v>231</v>
      </c>
      <c r="DQ114" s="240" t="s">
        <v>231</v>
      </c>
      <c r="DR114" s="240" t="s">
        <v>231</v>
      </c>
      <c r="DS114" s="240" t="s">
        <v>231</v>
      </c>
      <c r="DT114" s="240" t="s">
        <v>492</v>
      </c>
      <c r="DU114" s="240" t="s">
        <v>232</v>
      </c>
      <c r="DV114" s="240" t="s">
        <v>492</v>
      </c>
      <c r="DW114" s="240" t="s">
        <v>492</v>
      </c>
      <c r="DX114" s="240" t="s">
        <v>492</v>
      </c>
      <c r="DY114" s="240" t="s">
        <v>492</v>
      </c>
      <c r="DZ114" s="240" t="s">
        <v>492</v>
      </c>
      <c r="EA114" s="240" t="s">
        <v>492</v>
      </c>
      <c r="EB114" s="240" t="s">
        <v>492</v>
      </c>
      <c r="EC114" s="240" t="s">
        <v>492</v>
      </c>
      <c r="ED114" s="240" t="s">
        <v>492</v>
      </c>
      <c r="EE114" s="240" t="s">
        <v>492</v>
      </c>
      <c r="EF114" s="240" t="s">
        <v>492</v>
      </c>
      <c r="EG114" s="240" t="s">
        <v>492</v>
      </c>
      <c r="EH114" s="240" t="s">
        <v>492</v>
      </c>
      <c r="EI114" s="240" t="s">
        <v>492</v>
      </c>
      <c r="EJ114" s="240" t="s">
        <v>232</v>
      </c>
      <c r="EK114" s="240" t="s">
        <v>232</v>
      </c>
      <c r="EL114" s="240" t="s">
        <v>232</v>
      </c>
      <c r="EM114" s="240" t="s">
        <v>232</v>
      </c>
      <c r="EN114" s="240" t="s">
        <v>232</v>
      </c>
      <c r="EO114" s="240" t="s">
        <v>232</v>
      </c>
      <c r="EP114" s="240" t="s">
        <v>232</v>
      </c>
      <c r="EQ114" s="240" t="s">
        <v>492</v>
      </c>
      <c r="ER114" s="240" t="s">
        <v>492</v>
      </c>
      <c r="ES114" s="240" t="s">
        <v>232</v>
      </c>
      <c r="ET114" s="240" t="s">
        <v>231</v>
      </c>
      <c r="EU114" s="240" t="s">
        <v>232</v>
      </c>
      <c r="EV114" s="240" t="s">
        <v>232</v>
      </c>
      <c r="EW114" s="240" t="s">
        <v>232</v>
      </c>
      <c r="EX114" s="240" t="s">
        <v>232</v>
      </c>
      <c r="EY114" s="240" t="s">
        <v>232</v>
      </c>
      <c r="EZ114" s="240" t="s">
        <v>232</v>
      </c>
      <c r="FA114" s="240" t="s">
        <v>231</v>
      </c>
      <c r="FB114" s="240" t="s">
        <v>231</v>
      </c>
      <c r="FC114" s="240" t="s">
        <v>231</v>
      </c>
      <c r="FD114" s="240" t="s">
        <v>231</v>
      </c>
      <c r="FE114" s="240" t="s">
        <v>232</v>
      </c>
      <c r="FF114" s="240" t="s">
        <v>232</v>
      </c>
      <c r="FG114" s="240" t="s">
        <v>492</v>
      </c>
      <c r="FH114" s="240" t="s">
        <v>492</v>
      </c>
      <c r="FI114" s="240" t="s">
        <v>492</v>
      </c>
      <c r="FJ114" s="240" t="s">
        <v>492</v>
      </c>
      <c r="FK114" s="240" t="s">
        <v>492</v>
      </c>
      <c r="FL114" s="240" t="s">
        <v>492</v>
      </c>
      <c r="FM114" s="240" t="s">
        <v>492</v>
      </c>
      <c r="FN114" s="240" t="s">
        <v>492</v>
      </c>
      <c r="FO114" s="240" t="s">
        <v>493</v>
      </c>
      <c r="FP114" s="240" t="s">
        <v>492</v>
      </c>
      <c r="FQ114" s="240" t="s">
        <v>231</v>
      </c>
      <c r="FR114" s="240" t="s">
        <v>231</v>
      </c>
      <c r="FS114" s="240" t="s">
        <v>231</v>
      </c>
      <c r="FT114" s="240" t="s">
        <v>492</v>
      </c>
      <c r="FU114" s="240" t="s">
        <v>231</v>
      </c>
      <c r="FV114" s="240" t="s">
        <v>231</v>
      </c>
      <c r="FW114" s="240" t="s">
        <v>231</v>
      </c>
      <c r="FX114" s="240" t="s">
        <v>231</v>
      </c>
      <c r="FY114" s="240" t="s">
        <v>492</v>
      </c>
      <c r="FZ114" s="240" t="s">
        <v>232</v>
      </c>
      <c r="GA114" s="240" t="s">
        <v>231</v>
      </c>
      <c r="GB114" s="240" t="s">
        <v>231</v>
      </c>
      <c r="GC114" s="240" t="s">
        <v>231</v>
      </c>
      <c r="GD114" s="240" t="s">
        <v>231</v>
      </c>
      <c r="GE114" s="240" t="s">
        <v>232</v>
      </c>
      <c r="GF114" s="240" t="s">
        <v>231</v>
      </c>
      <c r="GG114" s="240" t="s">
        <v>231</v>
      </c>
      <c r="GH114" s="240" t="s">
        <v>232</v>
      </c>
      <c r="GI114" s="240" t="s">
        <v>231</v>
      </c>
      <c r="GJ114" s="240" t="s">
        <v>231</v>
      </c>
      <c r="GK114" s="240" t="s">
        <v>231</v>
      </c>
      <c r="GL114" s="240" t="s">
        <v>231</v>
      </c>
      <c r="GM114" s="240" t="s">
        <v>231</v>
      </c>
      <c r="GN114" s="240" t="s">
        <v>231</v>
      </c>
      <c r="GO114" s="240" t="s">
        <v>231</v>
      </c>
      <c r="GP114" s="240" t="s">
        <v>492</v>
      </c>
      <c r="GQ114" s="240" t="s">
        <v>232</v>
      </c>
      <c r="GR114" s="240" t="s">
        <v>232</v>
      </c>
      <c r="GS114" s="240" t="s">
        <v>232</v>
      </c>
      <c r="GT114" s="240" t="s">
        <v>232</v>
      </c>
      <c r="GU114" s="240" t="s">
        <v>492</v>
      </c>
      <c r="GV114" s="240" t="s">
        <v>492</v>
      </c>
      <c r="GW114" s="240" t="s">
        <v>231</v>
      </c>
      <c r="GX114" s="240" t="s">
        <v>231</v>
      </c>
      <c r="GY114" s="240" t="s">
        <v>231</v>
      </c>
      <c r="GZ114" s="240" t="s">
        <v>231</v>
      </c>
      <c r="HA114" s="240" t="s">
        <v>231</v>
      </c>
      <c r="HB114" s="240" t="s">
        <v>231</v>
      </c>
      <c r="HC114" s="240" t="s">
        <v>231</v>
      </c>
      <c r="HD114" s="240" t="s">
        <v>231</v>
      </c>
      <c r="HE114" s="240" t="s">
        <v>492</v>
      </c>
      <c r="HF114" s="240" t="s">
        <v>231</v>
      </c>
      <c r="HG114" s="240" t="s">
        <v>231</v>
      </c>
      <c r="HH114" s="240" t="s">
        <v>231</v>
      </c>
      <c r="HI114" s="240" t="s">
        <v>232</v>
      </c>
      <c r="HJ114" s="240" t="s">
        <v>232</v>
      </c>
      <c r="HK114" s="240" t="s">
        <v>231</v>
      </c>
      <c r="HL114" s="240" t="s">
        <v>232</v>
      </c>
      <c r="HM114" s="240" t="s">
        <v>232</v>
      </c>
      <c r="HN114" s="240" t="s">
        <v>492</v>
      </c>
      <c r="HO114" s="240" t="s">
        <v>232</v>
      </c>
      <c r="HP114" s="240" t="s">
        <v>492</v>
      </c>
      <c r="HQ114" s="240" t="s">
        <v>492</v>
      </c>
      <c r="HR114" s="240" t="s">
        <v>492</v>
      </c>
      <c r="HS114" s="240" t="s">
        <v>492</v>
      </c>
      <c r="HT114" s="240" t="s">
        <v>492</v>
      </c>
      <c r="HU114" s="240" t="s">
        <v>232</v>
      </c>
      <c r="HV114" s="240" t="s">
        <v>231</v>
      </c>
      <c r="HW114" s="240" t="s">
        <v>232</v>
      </c>
      <c r="HX114" s="240" t="s">
        <v>231</v>
      </c>
      <c r="HY114" s="240" t="s">
        <v>231</v>
      </c>
      <c r="HZ114" s="240" t="s">
        <v>231</v>
      </c>
      <c r="IA114" s="240" t="s">
        <v>232</v>
      </c>
      <c r="IB114" s="240" t="s">
        <v>232</v>
      </c>
      <c r="IC114" s="240" t="s">
        <v>232</v>
      </c>
      <c r="ID114" s="240" t="s">
        <v>232</v>
      </c>
      <c r="IE114" s="240" t="s">
        <v>232</v>
      </c>
      <c r="IF114" s="240" t="s">
        <v>232</v>
      </c>
      <c r="IG114" s="240" t="s">
        <v>232</v>
      </c>
      <c r="IH114" s="240" t="s">
        <v>232</v>
      </c>
      <c r="II114" s="240" t="s">
        <v>232</v>
      </c>
      <c r="IJ114" s="240" t="s">
        <v>232</v>
      </c>
      <c r="IK114" s="240" t="s">
        <v>232</v>
      </c>
      <c r="IL114" s="240" t="s">
        <v>232</v>
      </c>
      <c r="IM114" s="240" t="s">
        <v>232</v>
      </c>
      <c r="IN114" s="240" t="s">
        <v>232</v>
      </c>
      <c r="IO114" s="240" t="s">
        <v>219</v>
      </c>
      <c r="IP114" s="240" t="s">
        <v>219</v>
      </c>
      <c r="IQ114" s="240" t="s">
        <v>219</v>
      </c>
      <c r="IR114" s="240" t="s">
        <v>490</v>
      </c>
      <c r="IS114" s="240" t="s">
        <v>492</v>
      </c>
      <c r="IT114" s="240" t="s">
        <v>492</v>
      </c>
    </row>
    <row r="115" spans="1:254" ht="15" x14ac:dyDescent="0.25">
      <c r="A115" s="258" t="str">
        <f>HYPERLINK("http://www.ofsted.gov.uk/inspection-reports/find-inspection-report/provider/ELS/135623 ","Ofsted School Webpage")</f>
        <v>Ofsted School Webpage</v>
      </c>
      <c r="B115" s="237">
        <v>135623</v>
      </c>
      <c r="C115" s="237">
        <v>8866132</v>
      </c>
      <c r="D115" s="237" t="s">
        <v>796</v>
      </c>
      <c r="E115" s="237" t="s">
        <v>248</v>
      </c>
      <c r="F115" s="237" t="s">
        <v>501</v>
      </c>
      <c r="G115" s="237" t="s">
        <v>581</v>
      </c>
      <c r="H115" s="237" t="s">
        <v>581</v>
      </c>
      <c r="I115" s="237" t="s">
        <v>694</v>
      </c>
      <c r="J115" s="237" t="s">
        <v>797</v>
      </c>
      <c r="K115" s="237" t="s">
        <v>93</v>
      </c>
      <c r="L115" s="237" t="s">
        <v>93</v>
      </c>
      <c r="M115" s="237" t="s">
        <v>93</v>
      </c>
      <c r="N115" s="237" t="s">
        <v>90</v>
      </c>
      <c r="O115" s="237" t="s">
        <v>486</v>
      </c>
      <c r="P115" s="237" t="s">
        <v>487</v>
      </c>
      <c r="Q115" s="238">
        <v>10054079</v>
      </c>
      <c r="R115" s="239">
        <v>43431</v>
      </c>
      <c r="S115" s="239">
        <v>43433</v>
      </c>
      <c r="T115" s="239">
        <v>43480</v>
      </c>
      <c r="U115" s="237" t="s">
        <v>2930</v>
      </c>
      <c r="V115" s="237" t="s">
        <v>489</v>
      </c>
      <c r="W115" s="237">
        <v>2</v>
      </c>
      <c r="X115" s="237">
        <v>2</v>
      </c>
      <c r="Y115" s="237">
        <v>2</v>
      </c>
      <c r="Z115" s="237">
        <v>2</v>
      </c>
      <c r="AA115" s="237">
        <v>2</v>
      </c>
      <c r="AB115" s="237" t="s">
        <v>486</v>
      </c>
      <c r="AC115" s="237" t="s">
        <v>486</v>
      </c>
      <c r="AD115" s="237" t="s">
        <v>219</v>
      </c>
      <c r="AE115" s="237" t="s">
        <v>490</v>
      </c>
      <c r="AF115" s="237" t="s">
        <v>486</v>
      </c>
      <c r="AG115" s="237" t="s">
        <v>486</v>
      </c>
      <c r="AH115" s="237" t="s">
        <v>486</v>
      </c>
      <c r="AI115" s="237" t="s">
        <v>486</v>
      </c>
      <c r="AJ115" s="237" t="s">
        <v>486</v>
      </c>
      <c r="AK115" s="237" t="s">
        <v>486</v>
      </c>
      <c r="AL115" s="237" t="s">
        <v>486</v>
      </c>
      <c r="AM115" s="237" t="s">
        <v>491</v>
      </c>
      <c r="AN115" s="237" t="s">
        <v>231</v>
      </c>
      <c r="AO115" s="237" t="s">
        <v>231</v>
      </c>
      <c r="AP115" s="237" t="s">
        <v>231</v>
      </c>
      <c r="AQ115" s="237" t="s">
        <v>231</v>
      </c>
      <c r="AR115" s="237" t="s">
        <v>231</v>
      </c>
      <c r="AS115" s="237" t="s">
        <v>231</v>
      </c>
      <c r="AT115" s="237" t="s">
        <v>231</v>
      </c>
      <c r="AU115" s="237" t="s">
        <v>231</v>
      </c>
      <c r="AV115" s="237" t="s">
        <v>231</v>
      </c>
      <c r="AW115" s="237" t="s">
        <v>231</v>
      </c>
      <c r="AX115" s="237" t="s">
        <v>231</v>
      </c>
      <c r="AY115" s="237" t="s">
        <v>231</v>
      </c>
      <c r="AZ115" s="237" t="s">
        <v>231</v>
      </c>
      <c r="BA115" s="237" t="s">
        <v>231</v>
      </c>
      <c r="BB115" s="237" t="s">
        <v>231</v>
      </c>
      <c r="BC115" s="237" t="s">
        <v>231</v>
      </c>
      <c r="BD115" s="237" t="s">
        <v>492</v>
      </c>
      <c r="BE115" s="237" t="s">
        <v>231</v>
      </c>
      <c r="BF115" s="237" t="s">
        <v>231</v>
      </c>
      <c r="BG115" s="237" t="s">
        <v>231</v>
      </c>
      <c r="BH115" s="237" t="s">
        <v>231</v>
      </c>
      <c r="BI115" s="237" t="s">
        <v>231</v>
      </c>
      <c r="BJ115" s="237" t="s">
        <v>231</v>
      </c>
      <c r="BK115" s="237" t="s">
        <v>231</v>
      </c>
      <c r="BL115" s="237" t="s">
        <v>492</v>
      </c>
      <c r="BM115" s="237" t="s">
        <v>231</v>
      </c>
      <c r="BN115" s="237" t="s">
        <v>231</v>
      </c>
      <c r="BO115" s="237" t="s">
        <v>231</v>
      </c>
      <c r="BP115" s="237" t="s">
        <v>231</v>
      </c>
      <c r="BQ115" s="237" t="s">
        <v>231</v>
      </c>
      <c r="BR115" s="237" t="s">
        <v>231</v>
      </c>
      <c r="BS115" s="237" t="s">
        <v>231</v>
      </c>
      <c r="BT115" s="237" t="s">
        <v>231</v>
      </c>
      <c r="BU115" s="237" t="s">
        <v>231</v>
      </c>
      <c r="BV115" s="237" t="s">
        <v>231</v>
      </c>
      <c r="BW115" s="237" t="s">
        <v>231</v>
      </c>
      <c r="BX115" s="237" t="s">
        <v>231</v>
      </c>
      <c r="BY115" s="237" t="s">
        <v>231</v>
      </c>
      <c r="BZ115" s="237" t="s">
        <v>231</v>
      </c>
      <c r="CA115" s="237" t="s">
        <v>231</v>
      </c>
      <c r="CB115" s="237" t="s">
        <v>231</v>
      </c>
      <c r="CC115" s="237" t="s">
        <v>231</v>
      </c>
      <c r="CD115" s="237" t="s">
        <v>231</v>
      </c>
      <c r="CE115" s="237" t="s">
        <v>231</v>
      </c>
      <c r="CF115" s="237" t="s">
        <v>231</v>
      </c>
      <c r="CG115" s="237" t="s">
        <v>231</v>
      </c>
      <c r="CH115" s="237" t="s">
        <v>231</v>
      </c>
      <c r="CI115" s="237" t="s">
        <v>231</v>
      </c>
      <c r="CJ115" s="237" t="s">
        <v>231</v>
      </c>
      <c r="CK115" s="237" t="s">
        <v>231</v>
      </c>
      <c r="CL115" s="237" t="s">
        <v>231</v>
      </c>
      <c r="CM115" s="237" t="s">
        <v>231</v>
      </c>
      <c r="CN115" s="237" t="s">
        <v>231</v>
      </c>
      <c r="CO115" s="237" t="s">
        <v>231</v>
      </c>
      <c r="CP115" s="237" t="s">
        <v>231</v>
      </c>
      <c r="CQ115" s="237" t="s">
        <v>231</v>
      </c>
      <c r="CR115" s="237" t="s">
        <v>231</v>
      </c>
      <c r="CS115" s="237" t="s">
        <v>231</v>
      </c>
      <c r="CT115" s="237" t="s">
        <v>492</v>
      </c>
      <c r="CU115" s="237" t="s">
        <v>492</v>
      </c>
      <c r="CV115" s="237" t="s">
        <v>492</v>
      </c>
      <c r="CW115" s="237" t="s">
        <v>231</v>
      </c>
      <c r="CX115" s="237" t="s">
        <v>231</v>
      </c>
      <c r="CY115" s="237" t="s">
        <v>231</v>
      </c>
      <c r="CZ115" s="237" t="s">
        <v>231</v>
      </c>
      <c r="DA115" s="237" t="s">
        <v>231</v>
      </c>
      <c r="DB115" s="237" t="s">
        <v>231</v>
      </c>
      <c r="DC115" s="237" t="s">
        <v>231</v>
      </c>
      <c r="DD115" s="237" t="s">
        <v>231</v>
      </c>
      <c r="DE115" s="237" t="s">
        <v>231</v>
      </c>
      <c r="DF115" s="237" t="s">
        <v>231</v>
      </c>
      <c r="DG115" s="237" t="s">
        <v>231</v>
      </c>
      <c r="DH115" s="237" t="s">
        <v>231</v>
      </c>
      <c r="DI115" s="237" t="s">
        <v>231</v>
      </c>
      <c r="DJ115" s="237" t="s">
        <v>231</v>
      </c>
      <c r="DK115" s="237" t="s">
        <v>231</v>
      </c>
      <c r="DL115" s="237" t="s">
        <v>231</v>
      </c>
      <c r="DM115" s="237" t="s">
        <v>231</v>
      </c>
      <c r="DN115" s="237" t="s">
        <v>231</v>
      </c>
      <c r="DO115" s="237" t="s">
        <v>231</v>
      </c>
      <c r="DP115" s="237" t="s">
        <v>231</v>
      </c>
      <c r="DQ115" s="237" t="s">
        <v>231</v>
      </c>
      <c r="DR115" s="237" t="s">
        <v>231</v>
      </c>
      <c r="DS115" s="237" t="s">
        <v>231</v>
      </c>
      <c r="DT115" s="237" t="s">
        <v>492</v>
      </c>
      <c r="DU115" s="237" t="s">
        <v>231</v>
      </c>
      <c r="DV115" s="237" t="s">
        <v>492</v>
      </c>
      <c r="DW115" s="237" t="s">
        <v>492</v>
      </c>
      <c r="DX115" s="237" t="s">
        <v>492</v>
      </c>
      <c r="DY115" s="237" t="s">
        <v>492</v>
      </c>
      <c r="DZ115" s="237" t="s">
        <v>492</v>
      </c>
      <c r="EA115" s="237" t="s">
        <v>492</v>
      </c>
      <c r="EB115" s="237" t="s">
        <v>492</v>
      </c>
      <c r="EC115" s="237" t="s">
        <v>492</v>
      </c>
      <c r="ED115" s="237" t="s">
        <v>492</v>
      </c>
      <c r="EE115" s="237" t="s">
        <v>492</v>
      </c>
      <c r="EF115" s="237" t="s">
        <v>492</v>
      </c>
      <c r="EG115" s="237" t="s">
        <v>492</v>
      </c>
      <c r="EH115" s="237" t="s">
        <v>492</v>
      </c>
      <c r="EI115" s="237" t="s">
        <v>492</v>
      </c>
      <c r="EJ115" s="237" t="s">
        <v>231</v>
      </c>
      <c r="EK115" s="237" t="s">
        <v>231</v>
      </c>
      <c r="EL115" s="237" t="s">
        <v>231</v>
      </c>
      <c r="EM115" s="237" t="s">
        <v>231</v>
      </c>
      <c r="EN115" s="237" t="s">
        <v>231</v>
      </c>
      <c r="EO115" s="237" t="s">
        <v>231</v>
      </c>
      <c r="EP115" s="237" t="s">
        <v>231</v>
      </c>
      <c r="EQ115" s="237" t="s">
        <v>231</v>
      </c>
      <c r="ER115" s="237" t="s">
        <v>231</v>
      </c>
      <c r="ES115" s="237" t="s">
        <v>231</v>
      </c>
      <c r="ET115" s="237" t="s">
        <v>231</v>
      </c>
      <c r="EU115" s="237" t="s">
        <v>231</v>
      </c>
      <c r="EV115" s="237" t="s">
        <v>231</v>
      </c>
      <c r="EW115" s="237" t="s">
        <v>231</v>
      </c>
      <c r="EX115" s="237" t="s">
        <v>231</v>
      </c>
      <c r="EY115" s="237" t="s">
        <v>231</v>
      </c>
      <c r="EZ115" s="237" t="s">
        <v>231</v>
      </c>
      <c r="FA115" s="237" t="s">
        <v>231</v>
      </c>
      <c r="FB115" s="237" t="s">
        <v>231</v>
      </c>
      <c r="FC115" s="237" t="s">
        <v>231</v>
      </c>
      <c r="FD115" s="237" t="s">
        <v>231</v>
      </c>
      <c r="FE115" s="237" t="s">
        <v>231</v>
      </c>
      <c r="FF115" s="237" t="s">
        <v>231</v>
      </c>
      <c r="FG115" s="237" t="s">
        <v>492</v>
      </c>
      <c r="FH115" s="237" t="s">
        <v>492</v>
      </c>
      <c r="FI115" s="237" t="s">
        <v>492</v>
      </c>
      <c r="FJ115" s="237" t="s">
        <v>492</v>
      </c>
      <c r="FK115" s="237" t="s">
        <v>492</v>
      </c>
      <c r="FL115" s="237" t="s">
        <v>492</v>
      </c>
      <c r="FM115" s="237" t="s">
        <v>231</v>
      </c>
      <c r="FN115" s="237" t="s">
        <v>231</v>
      </c>
      <c r="FO115" s="237" t="s">
        <v>231</v>
      </c>
      <c r="FP115" s="237" t="s">
        <v>231</v>
      </c>
      <c r="FQ115" s="237" t="s">
        <v>231</v>
      </c>
      <c r="FR115" s="237" t="s">
        <v>231</v>
      </c>
      <c r="FS115" s="237" t="s">
        <v>231</v>
      </c>
      <c r="FT115" s="237" t="s">
        <v>231</v>
      </c>
      <c r="FU115" s="237" t="s">
        <v>231</v>
      </c>
      <c r="FV115" s="237" t="s">
        <v>231</v>
      </c>
      <c r="FW115" s="237" t="s">
        <v>231</v>
      </c>
      <c r="FX115" s="237" t="s">
        <v>492</v>
      </c>
      <c r="FY115" s="237" t="s">
        <v>231</v>
      </c>
      <c r="FZ115" s="237" t="s">
        <v>231</v>
      </c>
      <c r="GA115" s="237" t="s">
        <v>231</v>
      </c>
      <c r="GB115" s="237" t="s">
        <v>231</v>
      </c>
      <c r="GC115" s="237" t="s">
        <v>231</v>
      </c>
      <c r="GD115" s="237" t="s">
        <v>231</v>
      </c>
      <c r="GE115" s="237" t="s">
        <v>231</v>
      </c>
      <c r="GF115" s="237" t="s">
        <v>231</v>
      </c>
      <c r="GG115" s="237" t="s">
        <v>231</v>
      </c>
      <c r="GH115" s="237" t="s">
        <v>231</v>
      </c>
      <c r="GI115" s="237" t="s">
        <v>231</v>
      </c>
      <c r="GJ115" s="237" t="s">
        <v>231</v>
      </c>
      <c r="GK115" s="237" t="s">
        <v>231</v>
      </c>
      <c r="GL115" s="237" t="s">
        <v>231</v>
      </c>
      <c r="GM115" s="237" t="s">
        <v>231</v>
      </c>
      <c r="GN115" s="237" t="s">
        <v>231</v>
      </c>
      <c r="GO115" s="237" t="s">
        <v>231</v>
      </c>
      <c r="GP115" s="237" t="s">
        <v>492</v>
      </c>
      <c r="GQ115" s="237" t="s">
        <v>231</v>
      </c>
      <c r="GR115" s="237" t="s">
        <v>231</v>
      </c>
      <c r="GS115" s="237" t="s">
        <v>231</v>
      </c>
      <c r="GT115" s="237" t="s">
        <v>231</v>
      </c>
      <c r="GU115" s="237" t="s">
        <v>231</v>
      </c>
      <c r="GV115" s="237" t="s">
        <v>492</v>
      </c>
      <c r="GW115" s="237" t="s">
        <v>231</v>
      </c>
      <c r="GX115" s="237" t="s">
        <v>231</v>
      </c>
      <c r="GY115" s="237" t="s">
        <v>231</v>
      </c>
      <c r="GZ115" s="237" t="s">
        <v>231</v>
      </c>
      <c r="HA115" s="237" t="s">
        <v>231</v>
      </c>
      <c r="HB115" s="237" t="s">
        <v>231</v>
      </c>
      <c r="HC115" s="237" t="s">
        <v>231</v>
      </c>
      <c r="HD115" s="237" t="s">
        <v>231</v>
      </c>
      <c r="HE115" s="237" t="s">
        <v>492</v>
      </c>
      <c r="HF115" s="237" t="s">
        <v>231</v>
      </c>
      <c r="HG115" s="237" t="s">
        <v>492</v>
      </c>
      <c r="HH115" s="237" t="s">
        <v>231</v>
      </c>
      <c r="HI115" s="237" t="s">
        <v>231</v>
      </c>
      <c r="HJ115" s="237" t="s">
        <v>231</v>
      </c>
      <c r="HK115" s="237" t="s">
        <v>231</v>
      </c>
      <c r="HL115" s="237" t="s">
        <v>231</v>
      </c>
      <c r="HM115" s="237" t="s">
        <v>231</v>
      </c>
      <c r="HN115" s="237" t="s">
        <v>231</v>
      </c>
      <c r="HO115" s="237" t="s">
        <v>231</v>
      </c>
      <c r="HP115" s="237" t="s">
        <v>231</v>
      </c>
      <c r="HQ115" s="237" t="s">
        <v>231</v>
      </c>
      <c r="HR115" s="237" t="s">
        <v>231</v>
      </c>
      <c r="HS115" s="237" t="s">
        <v>231</v>
      </c>
      <c r="HT115" s="237" t="s">
        <v>231</v>
      </c>
      <c r="HU115" s="237" t="s">
        <v>231</v>
      </c>
      <c r="HV115" s="237" t="s">
        <v>231</v>
      </c>
      <c r="HW115" s="237" t="s">
        <v>231</v>
      </c>
      <c r="HX115" s="237" t="s">
        <v>231</v>
      </c>
      <c r="HY115" s="237" t="s">
        <v>231</v>
      </c>
      <c r="HZ115" s="237" t="s">
        <v>231</v>
      </c>
      <c r="IA115" s="237" t="s">
        <v>231</v>
      </c>
      <c r="IB115" s="237" t="s">
        <v>231</v>
      </c>
      <c r="IC115" s="237" t="s">
        <v>231</v>
      </c>
      <c r="ID115" s="237" t="s">
        <v>231</v>
      </c>
      <c r="IE115" s="237" t="s">
        <v>231</v>
      </c>
      <c r="IF115" s="237" t="s">
        <v>231</v>
      </c>
      <c r="IG115" s="237" t="s">
        <v>231</v>
      </c>
      <c r="IH115" s="237" t="s">
        <v>231</v>
      </c>
      <c r="II115" s="237" t="s">
        <v>231</v>
      </c>
      <c r="IJ115" s="237" t="s">
        <v>231</v>
      </c>
      <c r="IK115" s="237" t="s">
        <v>231</v>
      </c>
      <c r="IL115" s="237" t="s">
        <v>231</v>
      </c>
      <c r="IM115" s="237" t="s">
        <v>231</v>
      </c>
      <c r="IN115" s="237" t="s">
        <v>231</v>
      </c>
      <c r="IO115" s="237" t="s">
        <v>220</v>
      </c>
      <c r="IP115" s="237" t="s">
        <v>493</v>
      </c>
      <c r="IQ115" s="237" t="s">
        <v>219</v>
      </c>
      <c r="IR115" s="237" t="s">
        <v>490</v>
      </c>
      <c r="IS115" s="237" t="s">
        <v>492</v>
      </c>
      <c r="IT115" s="237" t="s">
        <v>492</v>
      </c>
    </row>
    <row r="116" spans="1:254" ht="15" x14ac:dyDescent="0.25">
      <c r="A116" s="259" t="str">
        <f>HYPERLINK("http://www.ofsted.gov.uk/inspection-reports/find-inspection-report/provider/ELS/134591 ","Ofsted School Webpage")</f>
        <v>Ofsted School Webpage</v>
      </c>
      <c r="B116" s="240">
        <v>134591</v>
      </c>
      <c r="C116" s="240">
        <v>3166065</v>
      </c>
      <c r="D116" s="240" t="s">
        <v>798</v>
      </c>
      <c r="E116" s="240" t="s">
        <v>247</v>
      </c>
      <c r="F116" s="240" t="s">
        <v>482</v>
      </c>
      <c r="G116" s="240" t="s">
        <v>506</v>
      </c>
      <c r="H116" s="240" t="s">
        <v>506</v>
      </c>
      <c r="I116" s="240" t="s">
        <v>799</v>
      </c>
      <c r="J116" s="240" t="s">
        <v>800</v>
      </c>
      <c r="K116" s="240" t="s">
        <v>93</v>
      </c>
      <c r="L116" s="240" t="s">
        <v>84</v>
      </c>
      <c r="M116" s="240" t="s">
        <v>84</v>
      </c>
      <c r="N116" s="240" t="s">
        <v>84</v>
      </c>
      <c r="O116" s="240" t="s">
        <v>486</v>
      </c>
      <c r="P116" s="240" t="s">
        <v>487</v>
      </c>
      <c r="Q116" s="241">
        <v>10054293</v>
      </c>
      <c r="R116" s="242">
        <v>43431</v>
      </c>
      <c r="S116" s="242">
        <v>43433</v>
      </c>
      <c r="T116" s="242">
        <v>43481</v>
      </c>
      <c r="U116" s="240" t="s">
        <v>488</v>
      </c>
      <c r="V116" s="240" t="s">
        <v>489</v>
      </c>
      <c r="W116" s="240">
        <v>2</v>
      </c>
      <c r="X116" s="240">
        <v>1</v>
      </c>
      <c r="Y116" s="240">
        <v>2</v>
      </c>
      <c r="Z116" s="240">
        <v>2</v>
      </c>
      <c r="AA116" s="240">
        <v>2</v>
      </c>
      <c r="AB116" s="240" t="s">
        <v>486</v>
      </c>
      <c r="AC116" s="240" t="s">
        <v>486</v>
      </c>
      <c r="AD116" s="240" t="s">
        <v>219</v>
      </c>
      <c r="AE116" s="240" t="s">
        <v>490</v>
      </c>
      <c r="AF116" s="240" t="s">
        <v>486</v>
      </c>
      <c r="AG116" s="240" t="s">
        <v>486</v>
      </c>
      <c r="AH116" s="240" t="s">
        <v>486</v>
      </c>
      <c r="AI116" s="240" t="s">
        <v>486</v>
      </c>
      <c r="AJ116" s="240" t="s">
        <v>486</v>
      </c>
      <c r="AK116" s="240" t="s">
        <v>486</v>
      </c>
      <c r="AL116" s="240" t="s">
        <v>486</v>
      </c>
      <c r="AM116" s="240" t="s">
        <v>491</v>
      </c>
      <c r="AN116" s="240" t="s">
        <v>231</v>
      </c>
      <c r="AO116" s="240" t="s">
        <v>231</v>
      </c>
      <c r="AP116" s="240" t="s">
        <v>231</v>
      </c>
      <c r="AQ116" s="240" t="s">
        <v>231</v>
      </c>
      <c r="AR116" s="240" t="s">
        <v>231</v>
      </c>
      <c r="AS116" s="240" t="s">
        <v>231</v>
      </c>
      <c r="AT116" s="240" t="s">
        <v>231</v>
      </c>
      <c r="AU116" s="240" t="s">
        <v>231</v>
      </c>
      <c r="AV116" s="240" t="s">
        <v>231</v>
      </c>
      <c r="AW116" s="240" t="s">
        <v>231</v>
      </c>
      <c r="AX116" s="240" t="s">
        <v>231</v>
      </c>
      <c r="AY116" s="240" t="s">
        <v>231</v>
      </c>
      <c r="AZ116" s="240" t="s">
        <v>231</v>
      </c>
      <c r="BA116" s="240" t="s">
        <v>231</v>
      </c>
      <c r="BB116" s="240" t="s">
        <v>231</v>
      </c>
      <c r="BC116" s="240" t="s">
        <v>231</v>
      </c>
      <c r="BD116" s="240" t="s">
        <v>492</v>
      </c>
      <c r="BE116" s="240" t="s">
        <v>231</v>
      </c>
      <c r="BF116" s="240" t="s">
        <v>231</v>
      </c>
      <c r="BG116" s="240" t="s">
        <v>231</v>
      </c>
      <c r="BH116" s="240" t="s">
        <v>492</v>
      </c>
      <c r="BI116" s="240" t="s">
        <v>492</v>
      </c>
      <c r="BJ116" s="240" t="s">
        <v>492</v>
      </c>
      <c r="BK116" s="240" t="s">
        <v>492</v>
      </c>
      <c r="BL116" s="240" t="s">
        <v>492</v>
      </c>
      <c r="BM116" s="240" t="s">
        <v>231</v>
      </c>
      <c r="BN116" s="240" t="s">
        <v>231</v>
      </c>
      <c r="BO116" s="240" t="s">
        <v>231</v>
      </c>
      <c r="BP116" s="240" t="s">
        <v>231</v>
      </c>
      <c r="BQ116" s="240" t="s">
        <v>231</v>
      </c>
      <c r="BR116" s="240" t="s">
        <v>231</v>
      </c>
      <c r="BS116" s="240" t="s">
        <v>231</v>
      </c>
      <c r="BT116" s="240" t="s">
        <v>231</v>
      </c>
      <c r="BU116" s="240" t="s">
        <v>231</v>
      </c>
      <c r="BV116" s="240" t="s">
        <v>231</v>
      </c>
      <c r="BW116" s="240" t="s">
        <v>231</v>
      </c>
      <c r="BX116" s="240" t="s">
        <v>231</v>
      </c>
      <c r="BY116" s="240" t="s">
        <v>231</v>
      </c>
      <c r="BZ116" s="240" t="s">
        <v>231</v>
      </c>
      <c r="CA116" s="240" t="s">
        <v>231</v>
      </c>
      <c r="CB116" s="240" t="s">
        <v>231</v>
      </c>
      <c r="CC116" s="240" t="s">
        <v>231</v>
      </c>
      <c r="CD116" s="240" t="s">
        <v>231</v>
      </c>
      <c r="CE116" s="240" t="s">
        <v>231</v>
      </c>
      <c r="CF116" s="240" t="s">
        <v>231</v>
      </c>
      <c r="CG116" s="240" t="s">
        <v>231</v>
      </c>
      <c r="CH116" s="240" t="s">
        <v>231</v>
      </c>
      <c r="CI116" s="240" t="s">
        <v>231</v>
      </c>
      <c r="CJ116" s="240" t="s">
        <v>231</v>
      </c>
      <c r="CK116" s="240" t="s">
        <v>231</v>
      </c>
      <c r="CL116" s="240" t="s">
        <v>231</v>
      </c>
      <c r="CM116" s="240" t="s">
        <v>231</v>
      </c>
      <c r="CN116" s="240" t="s">
        <v>231</v>
      </c>
      <c r="CO116" s="240" t="s">
        <v>231</v>
      </c>
      <c r="CP116" s="240" t="s">
        <v>231</v>
      </c>
      <c r="CQ116" s="240" t="s">
        <v>231</v>
      </c>
      <c r="CR116" s="240" t="s">
        <v>231</v>
      </c>
      <c r="CS116" s="240" t="s">
        <v>231</v>
      </c>
      <c r="CT116" s="240" t="s">
        <v>492</v>
      </c>
      <c r="CU116" s="240" t="s">
        <v>492</v>
      </c>
      <c r="CV116" s="240" t="s">
        <v>492</v>
      </c>
      <c r="CW116" s="240" t="s">
        <v>231</v>
      </c>
      <c r="CX116" s="240" t="s">
        <v>231</v>
      </c>
      <c r="CY116" s="240" t="s">
        <v>231</v>
      </c>
      <c r="CZ116" s="240" t="s">
        <v>231</v>
      </c>
      <c r="DA116" s="240" t="s">
        <v>231</v>
      </c>
      <c r="DB116" s="240" t="s">
        <v>231</v>
      </c>
      <c r="DC116" s="240" t="s">
        <v>231</v>
      </c>
      <c r="DD116" s="240" t="s">
        <v>231</v>
      </c>
      <c r="DE116" s="240" t="s">
        <v>231</v>
      </c>
      <c r="DF116" s="240" t="s">
        <v>231</v>
      </c>
      <c r="DG116" s="240" t="s">
        <v>231</v>
      </c>
      <c r="DH116" s="240" t="s">
        <v>231</v>
      </c>
      <c r="DI116" s="240" t="s">
        <v>231</v>
      </c>
      <c r="DJ116" s="240" t="s">
        <v>231</v>
      </c>
      <c r="DK116" s="240" t="s">
        <v>231</v>
      </c>
      <c r="DL116" s="240" t="s">
        <v>231</v>
      </c>
      <c r="DM116" s="240" t="s">
        <v>231</v>
      </c>
      <c r="DN116" s="240" t="s">
        <v>231</v>
      </c>
      <c r="DO116" s="240" t="s">
        <v>231</v>
      </c>
      <c r="DP116" s="240" t="s">
        <v>231</v>
      </c>
      <c r="DQ116" s="240" t="s">
        <v>231</v>
      </c>
      <c r="DR116" s="240" t="s">
        <v>231</v>
      </c>
      <c r="DS116" s="240" t="s">
        <v>492</v>
      </c>
      <c r="DT116" s="240" t="s">
        <v>492</v>
      </c>
      <c r="DU116" s="240" t="s">
        <v>231</v>
      </c>
      <c r="DV116" s="240" t="s">
        <v>231</v>
      </c>
      <c r="DW116" s="240" t="s">
        <v>231</v>
      </c>
      <c r="DX116" s="240" t="s">
        <v>231</v>
      </c>
      <c r="DY116" s="240" t="s">
        <v>231</v>
      </c>
      <c r="DZ116" s="240" t="s">
        <v>231</v>
      </c>
      <c r="EA116" s="240" t="s">
        <v>231</v>
      </c>
      <c r="EB116" s="240" t="s">
        <v>231</v>
      </c>
      <c r="EC116" s="240" t="s">
        <v>231</v>
      </c>
      <c r="ED116" s="240" t="s">
        <v>231</v>
      </c>
      <c r="EE116" s="240" t="s">
        <v>231</v>
      </c>
      <c r="EF116" s="240" t="s">
        <v>231</v>
      </c>
      <c r="EG116" s="240" t="s">
        <v>231</v>
      </c>
      <c r="EH116" s="240" t="s">
        <v>492</v>
      </c>
      <c r="EI116" s="240" t="s">
        <v>231</v>
      </c>
      <c r="EJ116" s="240" t="s">
        <v>231</v>
      </c>
      <c r="EK116" s="240" t="s">
        <v>231</v>
      </c>
      <c r="EL116" s="240" t="s">
        <v>231</v>
      </c>
      <c r="EM116" s="240" t="s">
        <v>231</v>
      </c>
      <c r="EN116" s="240" t="s">
        <v>231</v>
      </c>
      <c r="EO116" s="240" t="s">
        <v>231</v>
      </c>
      <c r="EP116" s="240" t="s">
        <v>231</v>
      </c>
      <c r="EQ116" s="240" t="s">
        <v>492</v>
      </c>
      <c r="ER116" s="240" t="s">
        <v>231</v>
      </c>
      <c r="ES116" s="240" t="s">
        <v>231</v>
      </c>
      <c r="ET116" s="240" t="s">
        <v>231</v>
      </c>
      <c r="EU116" s="240" t="s">
        <v>231</v>
      </c>
      <c r="EV116" s="240" t="s">
        <v>231</v>
      </c>
      <c r="EW116" s="240" t="s">
        <v>231</v>
      </c>
      <c r="EX116" s="240" t="s">
        <v>231</v>
      </c>
      <c r="EY116" s="240" t="s">
        <v>231</v>
      </c>
      <c r="EZ116" s="240" t="s">
        <v>231</v>
      </c>
      <c r="FA116" s="240" t="s">
        <v>231</v>
      </c>
      <c r="FB116" s="240" t="s">
        <v>486</v>
      </c>
      <c r="FC116" s="240" t="s">
        <v>231</v>
      </c>
      <c r="FD116" s="240" t="s">
        <v>231</v>
      </c>
      <c r="FE116" s="240" t="s">
        <v>231</v>
      </c>
      <c r="FF116" s="240" t="s">
        <v>231</v>
      </c>
      <c r="FG116" s="240" t="s">
        <v>231</v>
      </c>
      <c r="FH116" s="240" t="s">
        <v>231</v>
      </c>
      <c r="FI116" s="240" t="s">
        <v>231</v>
      </c>
      <c r="FJ116" s="240" t="s">
        <v>231</v>
      </c>
      <c r="FK116" s="240" t="s">
        <v>231</v>
      </c>
      <c r="FL116" s="240" t="s">
        <v>231</v>
      </c>
      <c r="FM116" s="240" t="s">
        <v>231</v>
      </c>
      <c r="FN116" s="240" t="s">
        <v>231</v>
      </c>
      <c r="FO116" s="240" t="s">
        <v>231</v>
      </c>
      <c r="FP116" s="240" t="s">
        <v>231</v>
      </c>
      <c r="FQ116" s="240" t="s">
        <v>231</v>
      </c>
      <c r="FR116" s="240" t="s">
        <v>231</v>
      </c>
      <c r="FS116" s="240" t="s">
        <v>231</v>
      </c>
      <c r="FT116" s="240" t="s">
        <v>492</v>
      </c>
      <c r="FU116" s="240" t="s">
        <v>231</v>
      </c>
      <c r="FV116" s="240" t="s">
        <v>231</v>
      </c>
      <c r="FW116" s="240" t="s">
        <v>231</v>
      </c>
      <c r="FX116" s="240" t="s">
        <v>492</v>
      </c>
      <c r="FY116" s="240" t="s">
        <v>231</v>
      </c>
      <c r="FZ116" s="240" t="s">
        <v>231</v>
      </c>
      <c r="GA116" s="240" t="s">
        <v>231</v>
      </c>
      <c r="GB116" s="240" t="s">
        <v>231</v>
      </c>
      <c r="GC116" s="240" t="s">
        <v>231</v>
      </c>
      <c r="GD116" s="240" t="s">
        <v>231</v>
      </c>
      <c r="GE116" s="240" t="s">
        <v>231</v>
      </c>
      <c r="GF116" s="240" t="s">
        <v>231</v>
      </c>
      <c r="GG116" s="240" t="s">
        <v>231</v>
      </c>
      <c r="GH116" s="240" t="s">
        <v>231</v>
      </c>
      <c r="GI116" s="240" t="s">
        <v>231</v>
      </c>
      <c r="GJ116" s="240" t="s">
        <v>231</v>
      </c>
      <c r="GK116" s="240" t="s">
        <v>231</v>
      </c>
      <c r="GL116" s="240" t="s">
        <v>231</v>
      </c>
      <c r="GM116" s="240" t="s">
        <v>231</v>
      </c>
      <c r="GN116" s="240" t="s">
        <v>231</v>
      </c>
      <c r="GO116" s="240" t="s">
        <v>231</v>
      </c>
      <c r="GP116" s="240" t="s">
        <v>492</v>
      </c>
      <c r="GQ116" s="240" t="s">
        <v>231</v>
      </c>
      <c r="GR116" s="240" t="s">
        <v>231</v>
      </c>
      <c r="GS116" s="240" t="s">
        <v>231</v>
      </c>
      <c r="GT116" s="240" t="s">
        <v>231</v>
      </c>
      <c r="GU116" s="240" t="s">
        <v>231</v>
      </c>
      <c r="GV116" s="240" t="s">
        <v>231</v>
      </c>
      <c r="GW116" s="240" t="s">
        <v>231</v>
      </c>
      <c r="GX116" s="240" t="s">
        <v>231</v>
      </c>
      <c r="GY116" s="240" t="s">
        <v>492</v>
      </c>
      <c r="GZ116" s="240" t="s">
        <v>492</v>
      </c>
      <c r="HA116" s="240" t="s">
        <v>231</v>
      </c>
      <c r="HB116" s="240" t="s">
        <v>231</v>
      </c>
      <c r="HC116" s="240" t="s">
        <v>231</v>
      </c>
      <c r="HD116" s="240" t="s">
        <v>231</v>
      </c>
      <c r="HE116" s="240" t="s">
        <v>231</v>
      </c>
      <c r="HF116" s="240" t="s">
        <v>231</v>
      </c>
      <c r="HG116" s="240" t="s">
        <v>231</v>
      </c>
      <c r="HH116" s="240" t="s">
        <v>231</v>
      </c>
      <c r="HI116" s="240" t="s">
        <v>231</v>
      </c>
      <c r="HJ116" s="240" t="s">
        <v>231</v>
      </c>
      <c r="HK116" s="240" t="s">
        <v>492</v>
      </c>
      <c r="HL116" s="240" t="s">
        <v>231</v>
      </c>
      <c r="HM116" s="240" t="s">
        <v>231</v>
      </c>
      <c r="HN116" s="240" t="s">
        <v>231</v>
      </c>
      <c r="HO116" s="240" t="s">
        <v>231</v>
      </c>
      <c r="HP116" s="240" t="s">
        <v>231</v>
      </c>
      <c r="HQ116" s="240" t="s">
        <v>492</v>
      </c>
      <c r="HR116" s="240" t="s">
        <v>492</v>
      </c>
      <c r="HS116" s="240" t="s">
        <v>492</v>
      </c>
      <c r="HT116" s="240" t="s">
        <v>492</v>
      </c>
      <c r="HU116" s="240" t="s">
        <v>231</v>
      </c>
      <c r="HV116" s="240" t="s">
        <v>231</v>
      </c>
      <c r="HW116" s="240" t="s">
        <v>231</v>
      </c>
      <c r="HX116" s="240" t="s">
        <v>231</v>
      </c>
      <c r="HY116" s="240" t="s">
        <v>231</v>
      </c>
      <c r="HZ116" s="240" t="s">
        <v>231</v>
      </c>
      <c r="IA116" s="240" t="s">
        <v>231</v>
      </c>
      <c r="IB116" s="240" t="s">
        <v>231</v>
      </c>
      <c r="IC116" s="240" t="s">
        <v>231</v>
      </c>
      <c r="ID116" s="240" t="s">
        <v>231</v>
      </c>
      <c r="IE116" s="240" t="s">
        <v>231</v>
      </c>
      <c r="IF116" s="240" t="s">
        <v>231</v>
      </c>
      <c r="IG116" s="240" t="s">
        <v>231</v>
      </c>
      <c r="IH116" s="240" t="s">
        <v>231</v>
      </c>
      <c r="II116" s="240" t="s">
        <v>231</v>
      </c>
      <c r="IJ116" s="240" t="s">
        <v>231</v>
      </c>
      <c r="IK116" s="240" t="s">
        <v>231</v>
      </c>
      <c r="IL116" s="240" t="s">
        <v>231</v>
      </c>
      <c r="IM116" s="240" t="s">
        <v>231</v>
      </c>
      <c r="IN116" s="240" t="s">
        <v>231</v>
      </c>
      <c r="IO116" s="240" t="s">
        <v>220</v>
      </c>
      <c r="IP116" s="240" t="s">
        <v>493</v>
      </c>
      <c r="IQ116" s="240" t="s">
        <v>219</v>
      </c>
      <c r="IR116" s="240" t="s">
        <v>490</v>
      </c>
      <c r="IS116" s="240" t="s">
        <v>492</v>
      </c>
      <c r="IT116" s="240" t="s">
        <v>492</v>
      </c>
    </row>
    <row r="117" spans="1:254" ht="15" x14ac:dyDescent="0.25">
      <c r="A117" s="258" t="str">
        <f>HYPERLINK("http://www.ofsted.gov.uk/inspection-reports/find-inspection-report/provider/ELS/134400 ","Ofsted School Webpage")</f>
        <v>Ofsted School Webpage</v>
      </c>
      <c r="B117" s="237">
        <v>134400</v>
      </c>
      <c r="C117" s="237">
        <v>2096363</v>
      </c>
      <c r="D117" s="237" t="s">
        <v>801</v>
      </c>
      <c r="E117" s="237" t="s">
        <v>247</v>
      </c>
      <c r="F117" s="237" t="s">
        <v>482</v>
      </c>
      <c r="G117" s="237" t="s">
        <v>506</v>
      </c>
      <c r="H117" s="237" t="s">
        <v>506</v>
      </c>
      <c r="I117" s="237" t="s">
        <v>739</v>
      </c>
      <c r="J117" s="237" t="s">
        <v>802</v>
      </c>
      <c r="K117" s="237" t="s">
        <v>83</v>
      </c>
      <c r="L117" s="237" t="s">
        <v>84</v>
      </c>
      <c r="M117" s="237" t="s">
        <v>83</v>
      </c>
      <c r="N117" s="237" t="s">
        <v>84</v>
      </c>
      <c r="O117" s="237" t="s">
        <v>486</v>
      </c>
      <c r="P117" s="237" t="s">
        <v>487</v>
      </c>
      <c r="Q117" s="238">
        <v>10067171</v>
      </c>
      <c r="R117" s="239">
        <v>43431</v>
      </c>
      <c r="S117" s="239">
        <v>43433</v>
      </c>
      <c r="T117" s="239">
        <v>43503</v>
      </c>
      <c r="U117" s="237" t="s">
        <v>488</v>
      </c>
      <c r="V117" s="237" t="s">
        <v>489</v>
      </c>
      <c r="W117" s="237">
        <v>4</v>
      </c>
      <c r="X117" s="237">
        <v>4</v>
      </c>
      <c r="Y117" s="237">
        <v>4</v>
      </c>
      <c r="Z117" s="237">
        <v>2</v>
      </c>
      <c r="AA117" s="237">
        <v>2</v>
      </c>
      <c r="AB117" s="237">
        <v>4</v>
      </c>
      <c r="AC117" s="237" t="s">
        <v>486</v>
      </c>
      <c r="AD117" s="237" t="s">
        <v>220</v>
      </c>
      <c r="AE117" s="237" t="s">
        <v>512</v>
      </c>
      <c r="AF117" s="237" t="s">
        <v>486</v>
      </c>
      <c r="AG117" s="237" t="s">
        <v>486</v>
      </c>
      <c r="AH117" s="237" t="s">
        <v>486</v>
      </c>
      <c r="AI117" s="237" t="s">
        <v>490</v>
      </c>
      <c r="AJ117" s="237" t="s">
        <v>486</v>
      </c>
      <c r="AK117" s="237" t="s">
        <v>486</v>
      </c>
      <c r="AL117" s="237" t="s">
        <v>486</v>
      </c>
      <c r="AM117" s="237" t="s">
        <v>545</v>
      </c>
      <c r="AN117" s="237" t="s">
        <v>231</v>
      </c>
      <c r="AO117" s="237" t="s">
        <v>231</v>
      </c>
      <c r="AP117" s="237" t="s">
        <v>546</v>
      </c>
      <c r="AQ117" s="237" t="s">
        <v>546</v>
      </c>
      <c r="AR117" s="237" t="s">
        <v>546</v>
      </c>
      <c r="AS117" s="237" t="s">
        <v>231</v>
      </c>
      <c r="AT117" s="237" t="s">
        <v>231</v>
      </c>
      <c r="AU117" s="237" t="s">
        <v>546</v>
      </c>
      <c r="AV117" s="237" t="s">
        <v>231</v>
      </c>
      <c r="AW117" s="237" t="s">
        <v>231</v>
      </c>
      <c r="AX117" s="237" t="s">
        <v>231</v>
      </c>
      <c r="AY117" s="237" t="s">
        <v>231</v>
      </c>
      <c r="AZ117" s="237" t="s">
        <v>231</v>
      </c>
      <c r="BA117" s="237" t="s">
        <v>231</v>
      </c>
      <c r="BB117" s="237" t="s">
        <v>231</v>
      </c>
      <c r="BC117" s="237" t="s">
        <v>231</v>
      </c>
      <c r="BD117" s="237" t="s">
        <v>492</v>
      </c>
      <c r="BE117" s="237" t="s">
        <v>231</v>
      </c>
      <c r="BF117" s="237" t="s">
        <v>231</v>
      </c>
      <c r="BG117" s="237" t="s">
        <v>231</v>
      </c>
      <c r="BH117" s="237" t="s">
        <v>492</v>
      </c>
      <c r="BI117" s="237" t="s">
        <v>492</v>
      </c>
      <c r="BJ117" s="237" t="s">
        <v>492</v>
      </c>
      <c r="BK117" s="237" t="s">
        <v>492</v>
      </c>
      <c r="BL117" s="237" t="s">
        <v>231</v>
      </c>
      <c r="BM117" s="237" t="s">
        <v>231</v>
      </c>
      <c r="BN117" s="237" t="s">
        <v>231</v>
      </c>
      <c r="BO117" s="237" t="s">
        <v>231</v>
      </c>
      <c r="BP117" s="237" t="s">
        <v>231</v>
      </c>
      <c r="BQ117" s="237" t="s">
        <v>231</v>
      </c>
      <c r="BR117" s="237" t="s">
        <v>231</v>
      </c>
      <c r="BS117" s="237" t="s">
        <v>231</v>
      </c>
      <c r="BT117" s="237" t="s">
        <v>231</v>
      </c>
      <c r="BU117" s="237" t="s">
        <v>231</v>
      </c>
      <c r="BV117" s="237" t="s">
        <v>231</v>
      </c>
      <c r="BW117" s="237" t="s">
        <v>231</v>
      </c>
      <c r="BX117" s="237" t="s">
        <v>231</v>
      </c>
      <c r="BY117" s="237" t="s">
        <v>231</v>
      </c>
      <c r="BZ117" s="237" t="s">
        <v>231</v>
      </c>
      <c r="CA117" s="237" t="s">
        <v>231</v>
      </c>
      <c r="CB117" s="237" t="s">
        <v>231</v>
      </c>
      <c r="CC117" s="237" t="s">
        <v>231</v>
      </c>
      <c r="CD117" s="237" t="s">
        <v>231</v>
      </c>
      <c r="CE117" s="237" t="s">
        <v>231</v>
      </c>
      <c r="CF117" s="237" t="s">
        <v>231</v>
      </c>
      <c r="CG117" s="237" t="s">
        <v>231</v>
      </c>
      <c r="CH117" s="237" t="s">
        <v>231</v>
      </c>
      <c r="CI117" s="237" t="s">
        <v>231</v>
      </c>
      <c r="CJ117" s="237" t="s">
        <v>231</v>
      </c>
      <c r="CK117" s="237" t="s">
        <v>231</v>
      </c>
      <c r="CL117" s="237" t="s">
        <v>231</v>
      </c>
      <c r="CM117" s="237" t="s">
        <v>231</v>
      </c>
      <c r="CN117" s="237" t="s">
        <v>231</v>
      </c>
      <c r="CO117" s="237" t="s">
        <v>231</v>
      </c>
      <c r="CP117" s="237" t="s">
        <v>231</v>
      </c>
      <c r="CQ117" s="237" t="s">
        <v>232</v>
      </c>
      <c r="CR117" s="237" t="s">
        <v>232</v>
      </c>
      <c r="CS117" s="237" t="s">
        <v>232</v>
      </c>
      <c r="CT117" s="237" t="s">
        <v>492</v>
      </c>
      <c r="CU117" s="237" t="s">
        <v>492</v>
      </c>
      <c r="CV117" s="237" t="s">
        <v>492</v>
      </c>
      <c r="CW117" s="237" t="s">
        <v>231</v>
      </c>
      <c r="CX117" s="237" t="s">
        <v>231</v>
      </c>
      <c r="CY117" s="237" t="s">
        <v>231</v>
      </c>
      <c r="CZ117" s="237" t="s">
        <v>231</v>
      </c>
      <c r="DA117" s="237" t="s">
        <v>231</v>
      </c>
      <c r="DB117" s="237" t="s">
        <v>232</v>
      </c>
      <c r="DC117" s="237" t="s">
        <v>232</v>
      </c>
      <c r="DD117" s="237" t="s">
        <v>231</v>
      </c>
      <c r="DE117" s="237" t="s">
        <v>231</v>
      </c>
      <c r="DF117" s="237" t="s">
        <v>231</v>
      </c>
      <c r="DG117" s="237" t="s">
        <v>232</v>
      </c>
      <c r="DH117" s="237" t="s">
        <v>232</v>
      </c>
      <c r="DI117" s="237" t="s">
        <v>232</v>
      </c>
      <c r="DJ117" s="237" t="s">
        <v>231</v>
      </c>
      <c r="DK117" s="237" t="s">
        <v>231</v>
      </c>
      <c r="DL117" s="237" t="s">
        <v>231</v>
      </c>
      <c r="DM117" s="237" t="s">
        <v>231</v>
      </c>
      <c r="DN117" s="237" t="s">
        <v>231</v>
      </c>
      <c r="DO117" s="237" t="s">
        <v>231</v>
      </c>
      <c r="DP117" s="237" t="s">
        <v>231</v>
      </c>
      <c r="DQ117" s="237" t="s">
        <v>231</v>
      </c>
      <c r="DR117" s="237" t="s">
        <v>231</v>
      </c>
      <c r="DS117" s="237" t="s">
        <v>231</v>
      </c>
      <c r="DT117" s="237" t="s">
        <v>492</v>
      </c>
      <c r="DU117" s="237" t="s">
        <v>231</v>
      </c>
      <c r="DV117" s="237" t="s">
        <v>232</v>
      </c>
      <c r="DW117" s="237" t="s">
        <v>232</v>
      </c>
      <c r="DX117" s="237" t="s">
        <v>232</v>
      </c>
      <c r="DY117" s="237" t="s">
        <v>232</v>
      </c>
      <c r="DZ117" s="237" t="s">
        <v>231</v>
      </c>
      <c r="EA117" s="237" t="s">
        <v>231</v>
      </c>
      <c r="EB117" s="237" t="s">
        <v>231</v>
      </c>
      <c r="EC117" s="237" t="s">
        <v>231</v>
      </c>
      <c r="ED117" s="237" t="s">
        <v>231</v>
      </c>
      <c r="EE117" s="237" t="s">
        <v>231</v>
      </c>
      <c r="EF117" s="237" t="s">
        <v>231</v>
      </c>
      <c r="EG117" s="237" t="s">
        <v>231</v>
      </c>
      <c r="EH117" s="237" t="s">
        <v>231</v>
      </c>
      <c r="EI117" s="237" t="s">
        <v>231</v>
      </c>
      <c r="EJ117" s="237" t="s">
        <v>232</v>
      </c>
      <c r="EK117" s="237" t="s">
        <v>232</v>
      </c>
      <c r="EL117" s="237" t="s">
        <v>231</v>
      </c>
      <c r="EM117" s="237" t="s">
        <v>232</v>
      </c>
      <c r="EN117" s="237" t="s">
        <v>232</v>
      </c>
      <c r="EO117" s="237" t="s">
        <v>231</v>
      </c>
      <c r="EP117" s="237" t="s">
        <v>232</v>
      </c>
      <c r="EQ117" s="237" t="s">
        <v>232</v>
      </c>
      <c r="ER117" s="237" t="s">
        <v>231</v>
      </c>
      <c r="ES117" s="237" t="s">
        <v>232</v>
      </c>
      <c r="ET117" s="237" t="s">
        <v>231</v>
      </c>
      <c r="EU117" s="237" t="s">
        <v>231</v>
      </c>
      <c r="EV117" s="237" t="s">
        <v>231</v>
      </c>
      <c r="EW117" s="237" t="s">
        <v>231</v>
      </c>
      <c r="EX117" s="237" t="s">
        <v>231</v>
      </c>
      <c r="EY117" s="237" t="s">
        <v>231</v>
      </c>
      <c r="EZ117" s="237" t="s">
        <v>231</v>
      </c>
      <c r="FA117" s="237" t="s">
        <v>231</v>
      </c>
      <c r="FB117" s="237" t="s">
        <v>231</v>
      </c>
      <c r="FC117" s="237" t="s">
        <v>231</v>
      </c>
      <c r="FD117" s="237" t="s">
        <v>231</v>
      </c>
      <c r="FE117" s="237" t="s">
        <v>231</v>
      </c>
      <c r="FF117" s="237" t="s">
        <v>231</v>
      </c>
      <c r="FG117" s="237" t="s">
        <v>231</v>
      </c>
      <c r="FH117" s="237" t="s">
        <v>231</v>
      </c>
      <c r="FI117" s="237" t="s">
        <v>232</v>
      </c>
      <c r="FJ117" s="237" t="s">
        <v>231</v>
      </c>
      <c r="FK117" s="237" t="s">
        <v>231</v>
      </c>
      <c r="FL117" s="237" t="s">
        <v>231</v>
      </c>
      <c r="FM117" s="237" t="s">
        <v>232</v>
      </c>
      <c r="FN117" s="237" t="s">
        <v>232</v>
      </c>
      <c r="FO117" s="237" t="s">
        <v>232</v>
      </c>
      <c r="FP117" s="237" t="s">
        <v>231</v>
      </c>
      <c r="FQ117" s="237" t="s">
        <v>231</v>
      </c>
      <c r="FR117" s="237" t="s">
        <v>231</v>
      </c>
      <c r="FS117" s="237" t="s">
        <v>231</v>
      </c>
      <c r="FT117" s="237" t="s">
        <v>492</v>
      </c>
      <c r="FU117" s="237" t="s">
        <v>232</v>
      </c>
      <c r="FV117" s="237" t="s">
        <v>232</v>
      </c>
      <c r="FW117" s="237" t="s">
        <v>232</v>
      </c>
      <c r="FX117" s="237" t="s">
        <v>492</v>
      </c>
      <c r="FY117" s="237" t="s">
        <v>232</v>
      </c>
      <c r="FZ117" s="237" t="s">
        <v>232</v>
      </c>
      <c r="GA117" s="237" t="s">
        <v>231</v>
      </c>
      <c r="GB117" s="237" t="s">
        <v>231</v>
      </c>
      <c r="GC117" s="237" t="s">
        <v>231</v>
      </c>
      <c r="GD117" s="237" t="s">
        <v>231</v>
      </c>
      <c r="GE117" s="237" t="s">
        <v>232</v>
      </c>
      <c r="GF117" s="237" t="s">
        <v>231</v>
      </c>
      <c r="GG117" s="237" t="s">
        <v>232</v>
      </c>
      <c r="GH117" s="237" t="s">
        <v>231</v>
      </c>
      <c r="GI117" s="237" t="s">
        <v>231</v>
      </c>
      <c r="GJ117" s="237" t="s">
        <v>231</v>
      </c>
      <c r="GK117" s="237" t="s">
        <v>231</v>
      </c>
      <c r="GL117" s="237" t="s">
        <v>231</v>
      </c>
      <c r="GM117" s="237" t="s">
        <v>231</v>
      </c>
      <c r="GN117" s="237" t="s">
        <v>231</v>
      </c>
      <c r="GO117" s="237" t="s">
        <v>231</v>
      </c>
      <c r="GP117" s="237" t="s">
        <v>492</v>
      </c>
      <c r="GQ117" s="237" t="s">
        <v>231</v>
      </c>
      <c r="GR117" s="237" t="s">
        <v>231</v>
      </c>
      <c r="GS117" s="237" t="s">
        <v>231</v>
      </c>
      <c r="GT117" s="237" t="s">
        <v>231</v>
      </c>
      <c r="GU117" s="237" t="s">
        <v>231</v>
      </c>
      <c r="GV117" s="237" t="s">
        <v>231</v>
      </c>
      <c r="GW117" s="237" t="s">
        <v>231</v>
      </c>
      <c r="GX117" s="237" t="s">
        <v>231</v>
      </c>
      <c r="GY117" s="237" t="s">
        <v>231</v>
      </c>
      <c r="GZ117" s="237" t="s">
        <v>231</v>
      </c>
      <c r="HA117" s="237" t="s">
        <v>231</v>
      </c>
      <c r="HB117" s="237" t="s">
        <v>231</v>
      </c>
      <c r="HC117" s="237" t="s">
        <v>231</v>
      </c>
      <c r="HD117" s="237" t="s">
        <v>231</v>
      </c>
      <c r="HE117" s="237" t="s">
        <v>231</v>
      </c>
      <c r="HF117" s="237" t="s">
        <v>231</v>
      </c>
      <c r="HG117" s="237" t="s">
        <v>231</v>
      </c>
      <c r="HH117" s="237" t="s">
        <v>231</v>
      </c>
      <c r="HI117" s="237" t="s">
        <v>231</v>
      </c>
      <c r="HJ117" s="237" t="s">
        <v>231</v>
      </c>
      <c r="HK117" s="237" t="s">
        <v>231</v>
      </c>
      <c r="HL117" s="237" t="s">
        <v>231</v>
      </c>
      <c r="HM117" s="237" t="s">
        <v>231</v>
      </c>
      <c r="HN117" s="237" t="s">
        <v>231</v>
      </c>
      <c r="HO117" s="237" t="s">
        <v>231</v>
      </c>
      <c r="HP117" s="237" t="s">
        <v>231</v>
      </c>
      <c r="HQ117" s="237" t="s">
        <v>231</v>
      </c>
      <c r="HR117" s="237" t="s">
        <v>231</v>
      </c>
      <c r="HS117" s="237" t="s">
        <v>231</v>
      </c>
      <c r="HT117" s="237" t="s">
        <v>231</v>
      </c>
      <c r="HU117" s="237" t="s">
        <v>231</v>
      </c>
      <c r="HV117" s="237" t="s">
        <v>231</v>
      </c>
      <c r="HW117" s="237" t="s">
        <v>231</v>
      </c>
      <c r="HX117" s="237" t="s">
        <v>231</v>
      </c>
      <c r="HY117" s="237" t="s">
        <v>231</v>
      </c>
      <c r="HZ117" s="237" t="s">
        <v>231</v>
      </c>
      <c r="IA117" s="237" t="s">
        <v>231</v>
      </c>
      <c r="IB117" s="237" t="s">
        <v>231</v>
      </c>
      <c r="IC117" s="237" t="s">
        <v>231</v>
      </c>
      <c r="ID117" s="237" t="s">
        <v>231</v>
      </c>
      <c r="IE117" s="237" t="s">
        <v>231</v>
      </c>
      <c r="IF117" s="237" t="s">
        <v>231</v>
      </c>
      <c r="IG117" s="237" t="s">
        <v>231</v>
      </c>
      <c r="IH117" s="237" t="s">
        <v>231</v>
      </c>
      <c r="II117" s="237" t="s">
        <v>231</v>
      </c>
      <c r="IJ117" s="237" t="s">
        <v>231</v>
      </c>
      <c r="IK117" s="237" t="s">
        <v>232</v>
      </c>
      <c r="IL117" s="237" t="s">
        <v>232</v>
      </c>
      <c r="IM117" s="237" t="s">
        <v>232</v>
      </c>
      <c r="IN117" s="237" t="s">
        <v>232</v>
      </c>
      <c r="IO117" s="237" t="s">
        <v>220</v>
      </c>
      <c r="IP117" s="237" t="s">
        <v>493</v>
      </c>
      <c r="IQ117" s="237" t="s">
        <v>219</v>
      </c>
      <c r="IR117" s="237" t="s">
        <v>490</v>
      </c>
      <c r="IS117" s="237" t="s">
        <v>232</v>
      </c>
      <c r="IT117" s="237" t="s">
        <v>231</v>
      </c>
    </row>
    <row r="118" spans="1:254" ht="15" x14ac:dyDescent="0.25">
      <c r="A118" s="259" t="str">
        <f>HYPERLINK("http://www.ofsted.gov.uk/inspection-reports/find-inspection-report/provider/ELS/136954 ","Ofsted School Webpage")</f>
        <v>Ofsted School Webpage</v>
      </c>
      <c r="B118" s="240">
        <v>136954</v>
      </c>
      <c r="C118" s="240">
        <v>8306003</v>
      </c>
      <c r="D118" s="240" t="s">
        <v>803</v>
      </c>
      <c r="E118" s="240" t="s">
        <v>248</v>
      </c>
      <c r="F118" s="240" t="s">
        <v>501</v>
      </c>
      <c r="G118" s="240" t="s">
        <v>572</v>
      </c>
      <c r="H118" s="240" t="s">
        <v>572</v>
      </c>
      <c r="I118" s="240" t="s">
        <v>573</v>
      </c>
      <c r="J118" s="240" t="s">
        <v>804</v>
      </c>
      <c r="K118" s="240" t="s">
        <v>93</v>
      </c>
      <c r="L118" s="240" t="s">
        <v>93</v>
      </c>
      <c r="M118" s="240" t="s">
        <v>93</v>
      </c>
      <c r="N118" s="240" t="s">
        <v>90</v>
      </c>
      <c r="O118" s="240" t="s">
        <v>486</v>
      </c>
      <c r="P118" s="240" t="s">
        <v>487</v>
      </c>
      <c r="Q118" s="241">
        <v>10053983</v>
      </c>
      <c r="R118" s="242">
        <v>43431</v>
      </c>
      <c r="S118" s="242">
        <v>43433</v>
      </c>
      <c r="T118" s="242">
        <v>43446</v>
      </c>
      <c r="U118" s="240" t="s">
        <v>488</v>
      </c>
      <c r="V118" s="240" t="s">
        <v>489</v>
      </c>
      <c r="W118" s="240">
        <v>2</v>
      </c>
      <c r="X118" s="240">
        <v>2</v>
      </c>
      <c r="Y118" s="240">
        <v>1</v>
      </c>
      <c r="Z118" s="240">
        <v>2</v>
      </c>
      <c r="AA118" s="240">
        <v>2</v>
      </c>
      <c r="AB118" s="240" t="s">
        <v>486</v>
      </c>
      <c r="AC118" s="240">
        <v>2</v>
      </c>
      <c r="AD118" s="240" t="s">
        <v>219</v>
      </c>
      <c r="AE118" s="240" t="s">
        <v>490</v>
      </c>
      <c r="AF118" s="240" t="s">
        <v>486</v>
      </c>
      <c r="AG118" s="240" t="s">
        <v>486</v>
      </c>
      <c r="AH118" s="240" t="s">
        <v>486</v>
      </c>
      <c r="AI118" s="240" t="s">
        <v>486</v>
      </c>
      <c r="AJ118" s="240" t="s">
        <v>486</v>
      </c>
      <c r="AK118" s="240" t="s">
        <v>486</v>
      </c>
      <c r="AL118" s="240" t="s">
        <v>486</v>
      </c>
      <c r="AM118" s="240" t="s">
        <v>491</v>
      </c>
      <c r="AN118" s="240" t="s">
        <v>231</v>
      </c>
      <c r="AO118" s="240" t="s">
        <v>231</v>
      </c>
      <c r="AP118" s="240" t="s">
        <v>231</v>
      </c>
      <c r="AQ118" s="240" t="s">
        <v>231</v>
      </c>
      <c r="AR118" s="240" t="s">
        <v>231</v>
      </c>
      <c r="AS118" s="240" t="s">
        <v>231</v>
      </c>
      <c r="AT118" s="240" t="s">
        <v>231</v>
      </c>
      <c r="AU118" s="240" t="s">
        <v>231</v>
      </c>
      <c r="AV118" s="240" t="s">
        <v>231</v>
      </c>
      <c r="AW118" s="240" t="s">
        <v>231</v>
      </c>
      <c r="AX118" s="240" t="s">
        <v>231</v>
      </c>
      <c r="AY118" s="240" t="s">
        <v>231</v>
      </c>
      <c r="AZ118" s="240" t="s">
        <v>231</v>
      </c>
      <c r="BA118" s="240" t="s">
        <v>231</v>
      </c>
      <c r="BB118" s="240" t="s">
        <v>231</v>
      </c>
      <c r="BC118" s="240" t="s">
        <v>231</v>
      </c>
      <c r="BD118" s="240" t="s">
        <v>492</v>
      </c>
      <c r="BE118" s="240" t="s">
        <v>231</v>
      </c>
      <c r="BF118" s="240" t="s">
        <v>231</v>
      </c>
      <c r="BG118" s="240" t="s">
        <v>231</v>
      </c>
      <c r="BH118" s="240" t="s">
        <v>231</v>
      </c>
      <c r="BI118" s="240" t="s">
        <v>231</v>
      </c>
      <c r="BJ118" s="240" t="s">
        <v>231</v>
      </c>
      <c r="BK118" s="240" t="s">
        <v>231</v>
      </c>
      <c r="BL118" s="240" t="s">
        <v>492</v>
      </c>
      <c r="BM118" s="240" t="s">
        <v>231</v>
      </c>
      <c r="BN118" s="240" t="s">
        <v>231</v>
      </c>
      <c r="BO118" s="240" t="s">
        <v>231</v>
      </c>
      <c r="BP118" s="240" t="s">
        <v>231</v>
      </c>
      <c r="BQ118" s="240" t="s">
        <v>231</v>
      </c>
      <c r="BR118" s="240" t="s">
        <v>231</v>
      </c>
      <c r="BS118" s="240" t="s">
        <v>231</v>
      </c>
      <c r="BT118" s="240" t="s">
        <v>231</v>
      </c>
      <c r="BU118" s="240" t="s">
        <v>231</v>
      </c>
      <c r="BV118" s="240" t="s">
        <v>231</v>
      </c>
      <c r="BW118" s="240" t="s">
        <v>231</v>
      </c>
      <c r="BX118" s="240" t="s">
        <v>231</v>
      </c>
      <c r="BY118" s="240" t="s">
        <v>231</v>
      </c>
      <c r="BZ118" s="240" t="s">
        <v>231</v>
      </c>
      <c r="CA118" s="240" t="s">
        <v>231</v>
      </c>
      <c r="CB118" s="240" t="s">
        <v>231</v>
      </c>
      <c r="CC118" s="240" t="s">
        <v>231</v>
      </c>
      <c r="CD118" s="240" t="s">
        <v>231</v>
      </c>
      <c r="CE118" s="240" t="s">
        <v>231</v>
      </c>
      <c r="CF118" s="240" t="s">
        <v>231</v>
      </c>
      <c r="CG118" s="240" t="s">
        <v>231</v>
      </c>
      <c r="CH118" s="240" t="s">
        <v>231</v>
      </c>
      <c r="CI118" s="240" t="s">
        <v>231</v>
      </c>
      <c r="CJ118" s="240" t="s">
        <v>231</v>
      </c>
      <c r="CK118" s="240" t="s">
        <v>231</v>
      </c>
      <c r="CL118" s="240" t="s">
        <v>231</v>
      </c>
      <c r="CM118" s="240" t="s">
        <v>231</v>
      </c>
      <c r="CN118" s="240" t="s">
        <v>231</v>
      </c>
      <c r="CO118" s="240" t="s">
        <v>231</v>
      </c>
      <c r="CP118" s="240" t="s">
        <v>231</v>
      </c>
      <c r="CQ118" s="240" t="s">
        <v>231</v>
      </c>
      <c r="CR118" s="240" t="s">
        <v>231</v>
      </c>
      <c r="CS118" s="240" t="s">
        <v>231</v>
      </c>
      <c r="CT118" s="240" t="s">
        <v>492</v>
      </c>
      <c r="CU118" s="240" t="s">
        <v>492</v>
      </c>
      <c r="CV118" s="240" t="s">
        <v>492</v>
      </c>
      <c r="CW118" s="240" t="s">
        <v>231</v>
      </c>
      <c r="CX118" s="240" t="s">
        <v>231</v>
      </c>
      <c r="CY118" s="240" t="s">
        <v>231</v>
      </c>
      <c r="CZ118" s="240" t="s">
        <v>231</v>
      </c>
      <c r="DA118" s="240" t="s">
        <v>231</v>
      </c>
      <c r="DB118" s="240" t="s">
        <v>231</v>
      </c>
      <c r="DC118" s="240" t="s">
        <v>231</v>
      </c>
      <c r="DD118" s="240" t="s">
        <v>231</v>
      </c>
      <c r="DE118" s="240" t="s">
        <v>231</v>
      </c>
      <c r="DF118" s="240" t="s">
        <v>231</v>
      </c>
      <c r="DG118" s="240" t="s">
        <v>231</v>
      </c>
      <c r="DH118" s="240" t="s">
        <v>231</v>
      </c>
      <c r="DI118" s="240" t="s">
        <v>231</v>
      </c>
      <c r="DJ118" s="240" t="s">
        <v>231</v>
      </c>
      <c r="DK118" s="240" t="s">
        <v>231</v>
      </c>
      <c r="DL118" s="240" t="s">
        <v>231</v>
      </c>
      <c r="DM118" s="240" t="s">
        <v>231</v>
      </c>
      <c r="DN118" s="240" t="s">
        <v>231</v>
      </c>
      <c r="DO118" s="240" t="s">
        <v>231</v>
      </c>
      <c r="DP118" s="240" t="s">
        <v>231</v>
      </c>
      <c r="DQ118" s="240" t="s">
        <v>231</v>
      </c>
      <c r="DR118" s="240" t="s">
        <v>231</v>
      </c>
      <c r="DS118" s="240" t="s">
        <v>231</v>
      </c>
      <c r="DT118" s="240" t="s">
        <v>492</v>
      </c>
      <c r="DU118" s="240" t="s">
        <v>231</v>
      </c>
      <c r="DV118" s="240" t="s">
        <v>492</v>
      </c>
      <c r="DW118" s="240" t="s">
        <v>492</v>
      </c>
      <c r="DX118" s="240" t="s">
        <v>492</v>
      </c>
      <c r="DY118" s="240" t="s">
        <v>492</v>
      </c>
      <c r="DZ118" s="240" t="s">
        <v>492</v>
      </c>
      <c r="EA118" s="240" t="s">
        <v>492</v>
      </c>
      <c r="EB118" s="240" t="s">
        <v>492</v>
      </c>
      <c r="EC118" s="240" t="s">
        <v>492</v>
      </c>
      <c r="ED118" s="240" t="s">
        <v>492</v>
      </c>
      <c r="EE118" s="240" t="s">
        <v>492</v>
      </c>
      <c r="EF118" s="240" t="s">
        <v>492</v>
      </c>
      <c r="EG118" s="240" t="s">
        <v>492</v>
      </c>
      <c r="EH118" s="240" t="s">
        <v>492</v>
      </c>
      <c r="EI118" s="240" t="s">
        <v>492</v>
      </c>
      <c r="EJ118" s="240" t="s">
        <v>492</v>
      </c>
      <c r="EK118" s="240" t="s">
        <v>492</v>
      </c>
      <c r="EL118" s="240" t="s">
        <v>492</v>
      </c>
      <c r="EM118" s="240" t="s">
        <v>492</v>
      </c>
      <c r="EN118" s="240" t="s">
        <v>492</v>
      </c>
      <c r="EO118" s="240" t="s">
        <v>492</v>
      </c>
      <c r="EP118" s="240" t="s">
        <v>492</v>
      </c>
      <c r="EQ118" s="240" t="s">
        <v>492</v>
      </c>
      <c r="ER118" s="240" t="s">
        <v>492</v>
      </c>
      <c r="ES118" s="240" t="s">
        <v>231</v>
      </c>
      <c r="ET118" s="240" t="s">
        <v>231</v>
      </c>
      <c r="EU118" s="240" t="s">
        <v>231</v>
      </c>
      <c r="EV118" s="240" t="s">
        <v>231</v>
      </c>
      <c r="EW118" s="240" t="s">
        <v>231</v>
      </c>
      <c r="EX118" s="240" t="s">
        <v>231</v>
      </c>
      <c r="EY118" s="240" t="s">
        <v>231</v>
      </c>
      <c r="EZ118" s="240" t="s">
        <v>231</v>
      </c>
      <c r="FA118" s="240" t="s">
        <v>231</v>
      </c>
      <c r="FB118" s="240" t="s">
        <v>231</v>
      </c>
      <c r="FC118" s="240" t="s">
        <v>231</v>
      </c>
      <c r="FD118" s="240" t="s">
        <v>231</v>
      </c>
      <c r="FE118" s="240" t="s">
        <v>231</v>
      </c>
      <c r="FF118" s="240" t="s">
        <v>492</v>
      </c>
      <c r="FG118" s="240" t="s">
        <v>492</v>
      </c>
      <c r="FH118" s="240" t="s">
        <v>492</v>
      </c>
      <c r="FI118" s="240" t="s">
        <v>492</v>
      </c>
      <c r="FJ118" s="240" t="s">
        <v>492</v>
      </c>
      <c r="FK118" s="240" t="s">
        <v>492</v>
      </c>
      <c r="FL118" s="240" t="s">
        <v>492</v>
      </c>
      <c r="FM118" s="240" t="s">
        <v>492</v>
      </c>
      <c r="FN118" s="240" t="s">
        <v>492</v>
      </c>
      <c r="FO118" s="240" t="s">
        <v>493</v>
      </c>
      <c r="FP118" s="240" t="s">
        <v>492</v>
      </c>
      <c r="FQ118" s="240" t="s">
        <v>231</v>
      </c>
      <c r="FR118" s="240" t="s">
        <v>231</v>
      </c>
      <c r="FS118" s="240" t="s">
        <v>231</v>
      </c>
      <c r="FT118" s="240" t="s">
        <v>231</v>
      </c>
      <c r="FU118" s="240" t="s">
        <v>231</v>
      </c>
      <c r="FV118" s="240" t="s">
        <v>231</v>
      </c>
      <c r="FW118" s="240" t="s">
        <v>231</v>
      </c>
      <c r="FX118" s="240" t="s">
        <v>492</v>
      </c>
      <c r="FY118" s="240" t="s">
        <v>492</v>
      </c>
      <c r="FZ118" s="240" t="s">
        <v>231</v>
      </c>
      <c r="GA118" s="240" t="s">
        <v>231</v>
      </c>
      <c r="GB118" s="240" t="s">
        <v>231</v>
      </c>
      <c r="GC118" s="240" t="s">
        <v>231</v>
      </c>
      <c r="GD118" s="240" t="s">
        <v>231</v>
      </c>
      <c r="GE118" s="240" t="s">
        <v>231</v>
      </c>
      <c r="GF118" s="240" t="s">
        <v>231</v>
      </c>
      <c r="GG118" s="240" t="s">
        <v>231</v>
      </c>
      <c r="GH118" s="240" t="s">
        <v>231</v>
      </c>
      <c r="GI118" s="240" t="s">
        <v>231</v>
      </c>
      <c r="GJ118" s="240" t="s">
        <v>231</v>
      </c>
      <c r="GK118" s="240" t="s">
        <v>231</v>
      </c>
      <c r="GL118" s="240" t="s">
        <v>231</v>
      </c>
      <c r="GM118" s="240" t="s">
        <v>231</v>
      </c>
      <c r="GN118" s="240" t="s">
        <v>231</v>
      </c>
      <c r="GO118" s="240" t="s">
        <v>231</v>
      </c>
      <c r="GP118" s="240" t="s">
        <v>492</v>
      </c>
      <c r="GQ118" s="240" t="s">
        <v>231</v>
      </c>
      <c r="GR118" s="240" t="s">
        <v>231</v>
      </c>
      <c r="GS118" s="240" t="s">
        <v>231</v>
      </c>
      <c r="GT118" s="240" t="s">
        <v>231</v>
      </c>
      <c r="GU118" s="240" t="s">
        <v>231</v>
      </c>
      <c r="GV118" s="240" t="s">
        <v>492</v>
      </c>
      <c r="GW118" s="240" t="s">
        <v>231</v>
      </c>
      <c r="GX118" s="240" t="s">
        <v>231</v>
      </c>
      <c r="GY118" s="240" t="s">
        <v>231</v>
      </c>
      <c r="GZ118" s="240" t="s">
        <v>231</v>
      </c>
      <c r="HA118" s="240" t="s">
        <v>492</v>
      </c>
      <c r="HB118" s="240" t="s">
        <v>231</v>
      </c>
      <c r="HC118" s="240" t="s">
        <v>231</v>
      </c>
      <c r="HD118" s="240" t="s">
        <v>231</v>
      </c>
      <c r="HE118" s="240" t="s">
        <v>231</v>
      </c>
      <c r="HF118" s="240" t="s">
        <v>492</v>
      </c>
      <c r="HG118" s="240" t="s">
        <v>231</v>
      </c>
      <c r="HH118" s="240" t="s">
        <v>231</v>
      </c>
      <c r="HI118" s="240" t="s">
        <v>231</v>
      </c>
      <c r="HJ118" s="240" t="s">
        <v>231</v>
      </c>
      <c r="HK118" s="240" t="s">
        <v>231</v>
      </c>
      <c r="HL118" s="240" t="s">
        <v>231</v>
      </c>
      <c r="HM118" s="240" t="s">
        <v>231</v>
      </c>
      <c r="HN118" s="240" t="s">
        <v>231</v>
      </c>
      <c r="HO118" s="240" t="s">
        <v>231</v>
      </c>
      <c r="HP118" s="240" t="s">
        <v>231</v>
      </c>
      <c r="HQ118" s="240" t="s">
        <v>492</v>
      </c>
      <c r="HR118" s="240" t="s">
        <v>492</v>
      </c>
      <c r="HS118" s="240" t="s">
        <v>492</v>
      </c>
      <c r="HT118" s="240" t="s">
        <v>492</v>
      </c>
      <c r="HU118" s="240" t="s">
        <v>231</v>
      </c>
      <c r="HV118" s="240" t="s">
        <v>231</v>
      </c>
      <c r="HW118" s="240" t="s">
        <v>231</v>
      </c>
      <c r="HX118" s="240" t="s">
        <v>231</v>
      </c>
      <c r="HY118" s="240" t="s">
        <v>231</v>
      </c>
      <c r="HZ118" s="240" t="s">
        <v>231</v>
      </c>
      <c r="IA118" s="240" t="s">
        <v>231</v>
      </c>
      <c r="IB118" s="240" t="s">
        <v>231</v>
      </c>
      <c r="IC118" s="240" t="s">
        <v>231</v>
      </c>
      <c r="ID118" s="240" t="s">
        <v>231</v>
      </c>
      <c r="IE118" s="240" t="s">
        <v>231</v>
      </c>
      <c r="IF118" s="240" t="s">
        <v>231</v>
      </c>
      <c r="IG118" s="240" t="s">
        <v>231</v>
      </c>
      <c r="IH118" s="240" t="s">
        <v>231</v>
      </c>
      <c r="II118" s="240" t="s">
        <v>231</v>
      </c>
      <c r="IJ118" s="240" t="s">
        <v>231</v>
      </c>
      <c r="IK118" s="240" t="s">
        <v>231</v>
      </c>
      <c r="IL118" s="240" t="s">
        <v>231</v>
      </c>
      <c r="IM118" s="240" t="s">
        <v>231</v>
      </c>
      <c r="IN118" s="240" t="s">
        <v>231</v>
      </c>
      <c r="IO118" s="240" t="s">
        <v>219</v>
      </c>
      <c r="IP118" s="240" t="s">
        <v>219</v>
      </c>
      <c r="IQ118" s="240" t="s">
        <v>219</v>
      </c>
      <c r="IR118" s="240" t="s">
        <v>490</v>
      </c>
      <c r="IS118" s="240" t="s">
        <v>492</v>
      </c>
      <c r="IT118" s="240" t="s">
        <v>492</v>
      </c>
    </row>
    <row r="119" spans="1:254" ht="15" x14ac:dyDescent="0.25">
      <c r="A119" s="258" t="str">
        <f>HYPERLINK("http://www.ofsted.gov.uk/inspection-reports/find-inspection-report/provider/ELS/142413 ","Ofsted School Webpage")</f>
        <v>Ofsted School Webpage</v>
      </c>
      <c r="B119" s="237">
        <v>142413</v>
      </c>
      <c r="C119" s="237">
        <v>9196001</v>
      </c>
      <c r="D119" s="237" t="s">
        <v>805</v>
      </c>
      <c r="E119" s="237" t="s">
        <v>247</v>
      </c>
      <c r="F119" s="237" t="s">
        <v>482</v>
      </c>
      <c r="G119" s="237" t="s">
        <v>516</v>
      </c>
      <c r="H119" s="237" t="s">
        <v>516</v>
      </c>
      <c r="I119" s="237" t="s">
        <v>556</v>
      </c>
      <c r="J119" s="237" t="s">
        <v>806</v>
      </c>
      <c r="K119" s="237" t="s">
        <v>93</v>
      </c>
      <c r="L119" s="237" t="s">
        <v>93</v>
      </c>
      <c r="M119" s="237" t="s">
        <v>93</v>
      </c>
      <c r="N119" s="237" t="s">
        <v>90</v>
      </c>
      <c r="O119" s="237" t="s">
        <v>486</v>
      </c>
      <c r="P119" s="237" t="s">
        <v>487</v>
      </c>
      <c r="Q119" s="238">
        <v>10056572</v>
      </c>
      <c r="R119" s="239">
        <v>43431</v>
      </c>
      <c r="S119" s="239">
        <v>43433</v>
      </c>
      <c r="T119" s="239">
        <v>43485</v>
      </c>
      <c r="U119" s="237" t="s">
        <v>488</v>
      </c>
      <c r="V119" s="237" t="s">
        <v>489</v>
      </c>
      <c r="W119" s="237">
        <v>2</v>
      </c>
      <c r="X119" s="237">
        <v>2</v>
      </c>
      <c r="Y119" s="237">
        <v>2</v>
      </c>
      <c r="Z119" s="237">
        <v>2</v>
      </c>
      <c r="AA119" s="237">
        <v>2</v>
      </c>
      <c r="AB119" s="237">
        <v>2</v>
      </c>
      <c r="AC119" s="237" t="s">
        <v>486</v>
      </c>
      <c r="AD119" s="237" t="s">
        <v>219</v>
      </c>
      <c r="AE119" s="237" t="s">
        <v>490</v>
      </c>
      <c r="AF119" s="237" t="s">
        <v>486</v>
      </c>
      <c r="AG119" s="237" t="s">
        <v>486</v>
      </c>
      <c r="AH119" s="237" t="s">
        <v>486</v>
      </c>
      <c r="AI119" s="237" t="s">
        <v>486</v>
      </c>
      <c r="AJ119" s="237" t="s">
        <v>486</v>
      </c>
      <c r="AK119" s="237" t="s">
        <v>486</v>
      </c>
      <c r="AL119" s="237" t="s">
        <v>486</v>
      </c>
      <c r="AM119" s="237" t="s">
        <v>491</v>
      </c>
      <c r="AN119" s="237" t="s">
        <v>231</v>
      </c>
      <c r="AO119" s="237" t="s">
        <v>231</v>
      </c>
      <c r="AP119" s="237" t="s">
        <v>231</v>
      </c>
      <c r="AQ119" s="237" t="s">
        <v>231</v>
      </c>
      <c r="AR119" s="237" t="s">
        <v>231</v>
      </c>
      <c r="AS119" s="237" t="s">
        <v>231</v>
      </c>
      <c r="AT119" s="237" t="s">
        <v>231</v>
      </c>
      <c r="AU119" s="237" t="s">
        <v>231</v>
      </c>
      <c r="AV119" s="237" t="s">
        <v>231</v>
      </c>
      <c r="AW119" s="237" t="s">
        <v>231</v>
      </c>
      <c r="AX119" s="237" t="s">
        <v>231</v>
      </c>
      <c r="AY119" s="237" t="s">
        <v>231</v>
      </c>
      <c r="AZ119" s="237" t="s">
        <v>231</v>
      </c>
      <c r="BA119" s="237" t="s">
        <v>231</v>
      </c>
      <c r="BB119" s="237" t="s">
        <v>231</v>
      </c>
      <c r="BC119" s="237" t="s">
        <v>231</v>
      </c>
      <c r="BD119" s="237" t="s">
        <v>492</v>
      </c>
      <c r="BE119" s="237" t="s">
        <v>231</v>
      </c>
      <c r="BF119" s="237" t="s">
        <v>231</v>
      </c>
      <c r="BG119" s="237" t="s">
        <v>231</v>
      </c>
      <c r="BH119" s="237" t="s">
        <v>492</v>
      </c>
      <c r="BI119" s="237" t="s">
        <v>492</v>
      </c>
      <c r="BJ119" s="237" t="s">
        <v>492</v>
      </c>
      <c r="BK119" s="237" t="s">
        <v>492</v>
      </c>
      <c r="BL119" s="237" t="s">
        <v>231</v>
      </c>
      <c r="BM119" s="237" t="s">
        <v>231</v>
      </c>
      <c r="BN119" s="237" t="s">
        <v>231</v>
      </c>
      <c r="BO119" s="237" t="s">
        <v>231</v>
      </c>
      <c r="BP119" s="237" t="s">
        <v>231</v>
      </c>
      <c r="BQ119" s="237" t="s">
        <v>231</v>
      </c>
      <c r="BR119" s="237" t="s">
        <v>231</v>
      </c>
      <c r="BS119" s="237" t="s">
        <v>231</v>
      </c>
      <c r="BT119" s="237" t="s">
        <v>231</v>
      </c>
      <c r="BU119" s="237" t="s">
        <v>231</v>
      </c>
      <c r="BV119" s="237" t="s">
        <v>231</v>
      </c>
      <c r="BW119" s="237" t="s">
        <v>231</v>
      </c>
      <c r="BX119" s="237" t="s">
        <v>231</v>
      </c>
      <c r="BY119" s="237" t="s">
        <v>231</v>
      </c>
      <c r="BZ119" s="237" t="s">
        <v>231</v>
      </c>
      <c r="CA119" s="237" t="s">
        <v>231</v>
      </c>
      <c r="CB119" s="237" t="s">
        <v>231</v>
      </c>
      <c r="CC119" s="237" t="s">
        <v>231</v>
      </c>
      <c r="CD119" s="237" t="s">
        <v>231</v>
      </c>
      <c r="CE119" s="237" t="s">
        <v>231</v>
      </c>
      <c r="CF119" s="237" t="s">
        <v>231</v>
      </c>
      <c r="CG119" s="237" t="s">
        <v>231</v>
      </c>
      <c r="CH119" s="237" t="s">
        <v>231</v>
      </c>
      <c r="CI119" s="237" t="s">
        <v>231</v>
      </c>
      <c r="CJ119" s="237" t="s">
        <v>231</v>
      </c>
      <c r="CK119" s="237" t="s">
        <v>231</v>
      </c>
      <c r="CL119" s="237" t="s">
        <v>231</v>
      </c>
      <c r="CM119" s="237" t="s">
        <v>231</v>
      </c>
      <c r="CN119" s="237" t="s">
        <v>231</v>
      </c>
      <c r="CO119" s="237" t="s">
        <v>231</v>
      </c>
      <c r="CP119" s="237" t="s">
        <v>231</v>
      </c>
      <c r="CQ119" s="237" t="s">
        <v>231</v>
      </c>
      <c r="CR119" s="237" t="s">
        <v>231</v>
      </c>
      <c r="CS119" s="237" t="s">
        <v>231</v>
      </c>
      <c r="CT119" s="237" t="s">
        <v>492</v>
      </c>
      <c r="CU119" s="237" t="s">
        <v>492</v>
      </c>
      <c r="CV119" s="237" t="s">
        <v>492</v>
      </c>
      <c r="CW119" s="237" t="s">
        <v>231</v>
      </c>
      <c r="CX119" s="237" t="s">
        <v>231</v>
      </c>
      <c r="CY119" s="237" t="s">
        <v>231</v>
      </c>
      <c r="CZ119" s="237" t="s">
        <v>231</v>
      </c>
      <c r="DA119" s="237" t="s">
        <v>231</v>
      </c>
      <c r="DB119" s="237" t="s">
        <v>231</v>
      </c>
      <c r="DC119" s="237" t="s">
        <v>231</v>
      </c>
      <c r="DD119" s="237" t="s">
        <v>231</v>
      </c>
      <c r="DE119" s="237" t="s">
        <v>231</v>
      </c>
      <c r="DF119" s="237" t="s">
        <v>231</v>
      </c>
      <c r="DG119" s="237" t="s">
        <v>231</v>
      </c>
      <c r="DH119" s="237" t="s">
        <v>231</v>
      </c>
      <c r="DI119" s="237" t="s">
        <v>231</v>
      </c>
      <c r="DJ119" s="237" t="s">
        <v>231</v>
      </c>
      <c r="DK119" s="237" t="s">
        <v>231</v>
      </c>
      <c r="DL119" s="237" t="s">
        <v>231</v>
      </c>
      <c r="DM119" s="237" t="s">
        <v>231</v>
      </c>
      <c r="DN119" s="237" t="s">
        <v>231</v>
      </c>
      <c r="DO119" s="237" t="s">
        <v>231</v>
      </c>
      <c r="DP119" s="237" t="s">
        <v>231</v>
      </c>
      <c r="DQ119" s="237" t="s">
        <v>231</v>
      </c>
      <c r="DR119" s="237" t="s">
        <v>231</v>
      </c>
      <c r="DS119" s="237" t="s">
        <v>231</v>
      </c>
      <c r="DT119" s="237" t="s">
        <v>492</v>
      </c>
      <c r="DU119" s="237" t="s">
        <v>492</v>
      </c>
      <c r="DV119" s="237" t="s">
        <v>492</v>
      </c>
      <c r="DW119" s="237" t="s">
        <v>492</v>
      </c>
      <c r="DX119" s="237" t="s">
        <v>492</v>
      </c>
      <c r="DY119" s="237" t="s">
        <v>492</v>
      </c>
      <c r="DZ119" s="237" t="s">
        <v>492</v>
      </c>
      <c r="EA119" s="237" t="s">
        <v>492</v>
      </c>
      <c r="EB119" s="237" t="s">
        <v>492</v>
      </c>
      <c r="EC119" s="237" t="s">
        <v>492</v>
      </c>
      <c r="ED119" s="237" t="s">
        <v>492</v>
      </c>
      <c r="EE119" s="237" t="s">
        <v>492</v>
      </c>
      <c r="EF119" s="237" t="s">
        <v>492</v>
      </c>
      <c r="EG119" s="237" t="s">
        <v>492</v>
      </c>
      <c r="EH119" s="237" t="s">
        <v>492</v>
      </c>
      <c r="EI119" s="237" t="s">
        <v>492</v>
      </c>
      <c r="EJ119" s="237" t="s">
        <v>231</v>
      </c>
      <c r="EK119" s="237" t="s">
        <v>231</v>
      </c>
      <c r="EL119" s="237" t="s">
        <v>231</v>
      </c>
      <c r="EM119" s="237" t="s">
        <v>231</v>
      </c>
      <c r="EN119" s="237" t="s">
        <v>231</v>
      </c>
      <c r="EO119" s="237" t="s">
        <v>231</v>
      </c>
      <c r="EP119" s="237" t="s">
        <v>231</v>
      </c>
      <c r="EQ119" s="237" t="s">
        <v>231</v>
      </c>
      <c r="ER119" s="237" t="s">
        <v>231</v>
      </c>
      <c r="ES119" s="237" t="s">
        <v>231</v>
      </c>
      <c r="ET119" s="237" t="s">
        <v>231</v>
      </c>
      <c r="EU119" s="237" t="s">
        <v>231</v>
      </c>
      <c r="EV119" s="237" t="s">
        <v>231</v>
      </c>
      <c r="EW119" s="237" t="s">
        <v>231</v>
      </c>
      <c r="EX119" s="237" t="s">
        <v>231</v>
      </c>
      <c r="EY119" s="237" t="s">
        <v>231</v>
      </c>
      <c r="EZ119" s="237" t="s">
        <v>231</v>
      </c>
      <c r="FA119" s="237" t="s">
        <v>231</v>
      </c>
      <c r="FB119" s="237" t="s">
        <v>231</v>
      </c>
      <c r="FC119" s="237" t="s">
        <v>231</v>
      </c>
      <c r="FD119" s="237" t="s">
        <v>231</v>
      </c>
      <c r="FE119" s="237" t="s">
        <v>231</v>
      </c>
      <c r="FF119" s="237" t="s">
        <v>231</v>
      </c>
      <c r="FG119" s="237" t="s">
        <v>492</v>
      </c>
      <c r="FH119" s="237" t="s">
        <v>492</v>
      </c>
      <c r="FI119" s="237" t="s">
        <v>492</v>
      </c>
      <c r="FJ119" s="237" t="s">
        <v>492</v>
      </c>
      <c r="FK119" s="237" t="s">
        <v>492</v>
      </c>
      <c r="FL119" s="237" t="s">
        <v>492</v>
      </c>
      <c r="FM119" s="237" t="s">
        <v>231</v>
      </c>
      <c r="FN119" s="237" t="s">
        <v>231</v>
      </c>
      <c r="FO119" s="237" t="s">
        <v>231</v>
      </c>
      <c r="FP119" s="237" t="s">
        <v>231</v>
      </c>
      <c r="FQ119" s="237" t="s">
        <v>231</v>
      </c>
      <c r="FR119" s="237" t="s">
        <v>231</v>
      </c>
      <c r="FS119" s="237" t="s">
        <v>231</v>
      </c>
      <c r="FT119" s="237" t="s">
        <v>492</v>
      </c>
      <c r="FU119" s="237" t="s">
        <v>231</v>
      </c>
      <c r="FV119" s="237" t="s">
        <v>231</v>
      </c>
      <c r="FW119" s="237" t="s">
        <v>231</v>
      </c>
      <c r="FX119" s="237" t="s">
        <v>492</v>
      </c>
      <c r="FY119" s="237" t="s">
        <v>231</v>
      </c>
      <c r="FZ119" s="237" t="s">
        <v>231</v>
      </c>
      <c r="GA119" s="237" t="s">
        <v>231</v>
      </c>
      <c r="GB119" s="237" t="s">
        <v>231</v>
      </c>
      <c r="GC119" s="237" t="s">
        <v>231</v>
      </c>
      <c r="GD119" s="237" t="s">
        <v>231</v>
      </c>
      <c r="GE119" s="237" t="s">
        <v>231</v>
      </c>
      <c r="GF119" s="237" t="s">
        <v>231</v>
      </c>
      <c r="GG119" s="237" t="s">
        <v>231</v>
      </c>
      <c r="GH119" s="237" t="s">
        <v>231</v>
      </c>
      <c r="GI119" s="237" t="s">
        <v>231</v>
      </c>
      <c r="GJ119" s="237" t="s">
        <v>231</v>
      </c>
      <c r="GK119" s="237" t="s">
        <v>231</v>
      </c>
      <c r="GL119" s="237" t="s">
        <v>231</v>
      </c>
      <c r="GM119" s="237" t="s">
        <v>231</v>
      </c>
      <c r="GN119" s="237" t="s">
        <v>231</v>
      </c>
      <c r="GO119" s="237" t="s">
        <v>231</v>
      </c>
      <c r="GP119" s="237" t="s">
        <v>492</v>
      </c>
      <c r="GQ119" s="237" t="s">
        <v>231</v>
      </c>
      <c r="GR119" s="237" t="s">
        <v>231</v>
      </c>
      <c r="GS119" s="237" t="s">
        <v>231</v>
      </c>
      <c r="GT119" s="237" t="s">
        <v>231</v>
      </c>
      <c r="GU119" s="237" t="s">
        <v>231</v>
      </c>
      <c r="GV119" s="237" t="s">
        <v>492</v>
      </c>
      <c r="GW119" s="237" t="s">
        <v>231</v>
      </c>
      <c r="GX119" s="237" t="s">
        <v>231</v>
      </c>
      <c r="GY119" s="237" t="s">
        <v>492</v>
      </c>
      <c r="GZ119" s="237" t="s">
        <v>492</v>
      </c>
      <c r="HA119" s="237" t="s">
        <v>492</v>
      </c>
      <c r="HB119" s="237" t="s">
        <v>231</v>
      </c>
      <c r="HC119" s="237" t="s">
        <v>231</v>
      </c>
      <c r="HD119" s="237" t="s">
        <v>231</v>
      </c>
      <c r="HE119" s="237" t="s">
        <v>492</v>
      </c>
      <c r="HF119" s="237" t="s">
        <v>231</v>
      </c>
      <c r="HG119" s="237" t="s">
        <v>231</v>
      </c>
      <c r="HH119" s="237" t="s">
        <v>231</v>
      </c>
      <c r="HI119" s="237" t="s">
        <v>231</v>
      </c>
      <c r="HJ119" s="237" t="s">
        <v>231</v>
      </c>
      <c r="HK119" s="237" t="s">
        <v>231</v>
      </c>
      <c r="HL119" s="237" t="s">
        <v>231</v>
      </c>
      <c r="HM119" s="237" t="s">
        <v>231</v>
      </c>
      <c r="HN119" s="237" t="s">
        <v>492</v>
      </c>
      <c r="HO119" s="237" t="s">
        <v>231</v>
      </c>
      <c r="HP119" s="237" t="s">
        <v>492</v>
      </c>
      <c r="HQ119" s="237" t="s">
        <v>492</v>
      </c>
      <c r="HR119" s="237" t="s">
        <v>492</v>
      </c>
      <c r="HS119" s="237" t="s">
        <v>492</v>
      </c>
      <c r="HT119" s="237" t="s">
        <v>492</v>
      </c>
      <c r="HU119" s="237" t="s">
        <v>231</v>
      </c>
      <c r="HV119" s="237" t="s">
        <v>231</v>
      </c>
      <c r="HW119" s="237" t="s">
        <v>231</v>
      </c>
      <c r="HX119" s="237" t="s">
        <v>231</v>
      </c>
      <c r="HY119" s="237" t="s">
        <v>231</v>
      </c>
      <c r="HZ119" s="237" t="s">
        <v>231</v>
      </c>
      <c r="IA119" s="237" t="s">
        <v>231</v>
      </c>
      <c r="IB119" s="237" t="s">
        <v>231</v>
      </c>
      <c r="IC119" s="237" t="s">
        <v>231</v>
      </c>
      <c r="ID119" s="237" t="s">
        <v>231</v>
      </c>
      <c r="IE119" s="237" t="s">
        <v>231</v>
      </c>
      <c r="IF119" s="237" t="s">
        <v>231</v>
      </c>
      <c r="IG119" s="237" t="s">
        <v>231</v>
      </c>
      <c r="IH119" s="237" t="s">
        <v>231</v>
      </c>
      <c r="II119" s="237" t="s">
        <v>231</v>
      </c>
      <c r="IJ119" s="237" t="s">
        <v>231</v>
      </c>
      <c r="IK119" s="237" t="s">
        <v>231</v>
      </c>
      <c r="IL119" s="237" t="s">
        <v>231</v>
      </c>
      <c r="IM119" s="237" t="s">
        <v>231</v>
      </c>
      <c r="IN119" s="237" t="s">
        <v>231</v>
      </c>
      <c r="IO119" s="237" t="s">
        <v>220</v>
      </c>
      <c r="IP119" s="237" t="s">
        <v>493</v>
      </c>
      <c r="IQ119" s="237" t="s">
        <v>219</v>
      </c>
      <c r="IR119" s="237" t="s">
        <v>490</v>
      </c>
      <c r="IS119" s="237" t="s">
        <v>231</v>
      </c>
      <c r="IT119" s="237" t="s">
        <v>231</v>
      </c>
    </row>
    <row r="120" spans="1:254" ht="15" x14ac:dyDescent="0.25">
      <c r="A120" s="259" t="str">
        <f>HYPERLINK("http://www.ofsted.gov.uk/inspection-reports/find-inspection-report/provider/ELS/106817 ","Ofsted School Webpage")</f>
        <v>Ofsted School Webpage</v>
      </c>
      <c r="B120" s="240">
        <v>106817</v>
      </c>
      <c r="C120" s="240">
        <v>3716011</v>
      </c>
      <c r="D120" s="240" t="s">
        <v>807</v>
      </c>
      <c r="E120" s="240" t="s">
        <v>248</v>
      </c>
      <c r="F120" s="240" t="s">
        <v>501</v>
      </c>
      <c r="G120" s="240" t="s">
        <v>523</v>
      </c>
      <c r="H120" s="240" t="s">
        <v>524</v>
      </c>
      <c r="I120" s="240" t="s">
        <v>808</v>
      </c>
      <c r="J120" s="240" t="s">
        <v>809</v>
      </c>
      <c r="K120" s="240" t="s">
        <v>93</v>
      </c>
      <c r="L120" s="240" t="s">
        <v>93</v>
      </c>
      <c r="M120" s="240" t="s">
        <v>93</v>
      </c>
      <c r="N120" s="240" t="s">
        <v>90</v>
      </c>
      <c r="O120" s="240" t="s">
        <v>486</v>
      </c>
      <c r="P120" s="240" t="s">
        <v>487</v>
      </c>
      <c r="Q120" s="241">
        <v>10053824</v>
      </c>
      <c r="R120" s="242">
        <v>43431</v>
      </c>
      <c r="S120" s="242">
        <v>43433</v>
      </c>
      <c r="T120" s="242">
        <v>43464</v>
      </c>
      <c r="U120" s="240" t="s">
        <v>2930</v>
      </c>
      <c r="V120" s="240" t="s">
        <v>489</v>
      </c>
      <c r="W120" s="240">
        <v>2</v>
      </c>
      <c r="X120" s="240">
        <v>2</v>
      </c>
      <c r="Y120" s="240">
        <v>2</v>
      </c>
      <c r="Z120" s="240">
        <v>2</v>
      </c>
      <c r="AA120" s="240">
        <v>2</v>
      </c>
      <c r="AB120" s="240" t="s">
        <v>486</v>
      </c>
      <c r="AC120" s="240" t="s">
        <v>486</v>
      </c>
      <c r="AD120" s="240" t="s">
        <v>219</v>
      </c>
      <c r="AE120" s="240" t="s">
        <v>490</v>
      </c>
      <c r="AF120" s="240" t="s">
        <v>486</v>
      </c>
      <c r="AG120" s="240" t="s">
        <v>486</v>
      </c>
      <c r="AH120" s="240" t="s">
        <v>486</v>
      </c>
      <c r="AI120" s="240" t="s">
        <v>486</v>
      </c>
      <c r="AJ120" s="240" t="s">
        <v>486</v>
      </c>
      <c r="AK120" s="240" t="s">
        <v>486</v>
      </c>
      <c r="AL120" s="240" t="s">
        <v>486</v>
      </c>
      <c r="AM120" s="240" t="s">
        <v>491</v>
      </c>
      <c r="AN120" s="240" t="s">
        <v>231</v>
      </c>
      <c r="AO120" s="240" t="s">
        <v>231</v>
      </c>
      <c r="AP120" s="240" t="s">
        <v>231</v>
      </c>
      <c r="AQ120" s="240" t="s">
        <v>231</v>
      </c>
      <c r="AR120" s="240" t="s">
        <v>231</v>
      </c>
      <c r="AS120" s="240" t="s">
        <v>231</v>
      </c>
      <c r="AT120" s="240" t="s">
        <v>231</v>
      </c>
      <c r="AU120" s="240" t="s">
        <v>231</v>
      </c>
      <c r="AV120" s="240" t="s">
        <v>231</v>
      </c>
      <c r="AW120" s="240" t="s">
        <v>231</v>
      </c>
      <c r="AX120" s="240" t="s">
        <v>231</v>
      </c>
      <c r="AY120" s="240" t="s">
        <v>231</v>
      </c>
      <c r="AZ120" s="240" t="s">
        <v>231</v>
      </c>
      <c r="BA120" s="240" t="s">
        <v>231</v>
      </c>
      <c r="BB120" s="240" t="s">
        <v>231</v>
      </c>
      <c r="BC120" s="240" t="s">
        <v>231</v>
      </c>
      <c r="BD120" s="240" t="s">
        <v>492</v>
      </c>
      <c r="BE120" s="240" t="s">
        <v>231</v>
      </c>
      <c r="BF120" s="240" t="s">
        <v>231</v>
      </c>
      <c r="BG120" s="240" t="s">
        <v>231</v>
      </c>
      <c r="BH120" s="240" t="s">
        <v>231</v>
      </c>
      <c r="BI120" s="240" t="s">
        <v>231</v>
      </c>
      <c r="BJ120" s="240" t="s">
        <v>231</v>
      </c>
      <c r="BK120" s="240" t="s">
        <v>231</v>
      </c>
      <c r="BL120" s="240" t="s">
        <v>492</v>
      </c>
      <c r="BM120" s="240" t="s">
        <v>231</v>
      </c>
      <c r="BN120" s="240" t="s">
        <v>231</v>
      </c>
      <c r="BO120" s="240" t="s">
        <v>231</v>
      </c>
      <c r="BP120" s="240" t="s">
        <v>231</v>
      </c>
      <c r="BQ120" s="240" t="s">
        <v>231</v>
      </c>
      <c r="BR120" s="240" t="s">
        <v>231</v>
      </c>
      <c r="BS120" s="240" t="s">
        <v>231</v>
      </c>
      <c r="BT120" s="240" t="s">
        <v>231</v>
      </c>
      <c r="BU120" s="240" t="s">
        <v>231</v>
      </c>
      <c r="BV120" s="240" t="s">
        <v>231</v>
      </c>
      <c r="BW120" s="240" t="s">
        <v>231</v>
      </c>
      <c r="BX120" s="240" t="s">
        <v>231</v>
      </c>
      <c r="BY120" s="240" t="s">
        <v>231</v>
      </c>
      <c r="BZ120" s="240" t="s">
        <v>231</v>
      </c>
      <c r="CA120" s="240" t="s">
        <v>231</v>
      </c>
      <c r="CB120" s="240" t="s">
        <v>231</v>
      </c>
      <c r="CC120" s="240" t="s">
        <v>231</v>
      </c>
      <c r="CD120" s="240" t="s">
        <v>231</v>
      </c>
      <c r="CE120" s="240" t="s">
        <v>231</v>
      </c>
      <c r="CF120" s="240" t="s">
        <v>231</v>
      </c>
      <c r="CG120" s="240" t="s">
        <v>231</v>
      </c>
      <c r="CH120" s="240" t="s">
        <v>231</v>
      </c>
      <c r="CI120" s="240" t="s">
        <v>231</v>
      </c>
      <c r="CJ120" s="240" t="s">
        <v>231</v>
      </c>
      <c r="CK120" s="240" t="s">
        <v>231</v>
      </c>
      <c r="CL120" s="240" t="s">
        <v>231</v>
      </c>
      <c r="CM120" s="240" t="s">
        <v>231</v>
      </c>
      <c r="CN120" s="240" t="s">
        <v>231</v>
      </c>
      <c r="CO120" s="240" t="s">
        <v>231</v>
      </c>
      <c r="CP120" s="240" t="s">
        <v>231</v>
      </c>
      <c r="CQ120" s="240" t="s">
        <v>231</v>
      </c>
      <c r="CR120" s="240" t="s">
        <v>231</v>
      </c>
      <c r="CS120" s="240" t="s">
        <v>231</v>
      </c>
      <c r="CT120" s="240" t="s">
        <v>492</v>
      </c>
      <c r="CU120" s="240" t="s">
        <v>492</v>
      </c>
      <c r="CV120" s="240" t="s">
        <v>492</v>
      </c>
      <c r="CW120" s="240" t="s">
        <v>231</v>
      </c>
      <c r="CX120" s="240" t="s">
        <v>231</v>
      </c>
      <c r="CY120" s="240" t="s">
        <v>231</v>
      </c>
      <c r="CZ120" s="240" t="s">
        <v>231</v>
      </c>
      <c r="DA120" s="240" t="s">
        <v>231</v>
      </c>
      <c r="DB120" s="240" t="s">
        <v>231</v>
      </c>
      <c r="DC120" s="240" t="s">
        <v>231</v>
      </c>
      <c r="DD120" s="240" t="s">
        <v>231</v>
      </c>
      <c r="DE120" s="240" t="s">
        <v>231</v>
      </c>
      <c r="DF120" s="240" t="s">
        <v>231</v>
      </c>
      <c r="DG120" s="240" t="s">
        <v>231</v>
      </c>
      <c r="DH120" s="240" t="s">
        <v>231</v>
      </c>
      <c r="DI120" s="240" t="s">
        <v>231</v>
      </c>
      <c r="DJ120" s="240" t="s">
        <v>231</v>
      </c>
      <c r="DK120" s="240" t="s">
        <v>231</v>
      </c>
      <c r="DL120" s="240" t="s">
        <v>231</v>
      </c>
      <c r="DM120" s="240" t="s">
        <v>231</v>
      </c>
      <c r="DN120" s="240" t="s">
        <v>231</v>
      </c>
      <c r="DO120" s="240" t="s">
        <v>231</v>
      </c>
      <c r="DP120" s="240" t="s">
        <v>231</v>
      </c>
      <c r="DQ120" s="240" t="s">
        <v>231</v>
      </c>
      <c r="DR120" s="240" t="s">
        <v>231</v>
      </c>
      <c r="DS120" s="240" t="s">
        <v>231</v>
      </c>
      <c r="DT120" s="240" t="s">
        <v>492</v>
      </c>
      <c r="DU120" s="240" t="s">
        <v>231</v>
      </c>
      <c r="DV120" s="240" t="s">
        <v>492</v>
      </c>
      <c r="DW120" s="240" t="s">
        <v>492</v>
      </c>
      <c r="DX120" s="240" t="s">
        <v>492</v>
      </c>
      <c r="DY120" s="240" t="s">
        <v>492</v>
      </c>
      <c r="DZ120" s="240" t="s">
        <v>492</v>
      </c>
      <c r="EA120" s="240" t="s">
        <v>492</v>
      </c>
      <c r="EB120" s="240" t="s">
        <v>492</v>
      </c>
      <c r="EC120" s="240" t="s">
        <v>492</v>
      </c>
      <c r="ED120" s="240" t="s">
        <v>492</v>
      </c>
      <c r="EE120" s="240" t="s">
        <v>492</v>
      </c>
      <c r="EF120" s="240" t="s">
        <v>492</v>
      </c>
      <c r="EG120" s="240" t="s">
        <v>492</v>
      </c>
      <c r="EH120" s="240" t="s">
        <v>492</v>
      </c>
      <c r="EI120" s="240" t="s">
        <v>492</v>
      </c>
      <c r="EJ120" s="240" t="s">
        <v>231</v>
      </c>
      <c r="EK120" s="240" t="s">
        <v>231</v>
      </c>
      <c r="EL120" s="240" t="s">
        <v>231</v>
      </c>
      <c r="EM120" s="240" t="s">
        <v>231</v>
      </c>
      <c r="EN120" s="240" t="s">
        <v>231</v>
      </c>
      <c r="EO120" s="240" t="s">
        <v>231</v>
      </c>
      <c r="EP120" s="240" t="s">
        <v>231</v>
      </c>
      <c r="EQ120" s="240" t="s">
        <v>231</v>
      </c>
      <c r="ER120" s="240" t="s">
        <v>231</v>
      </c>
      <c r="ES120" s="240" t="s">
        <v>231</v>
      </c>
      <c r="ET120" s="240" t="s">
        <v>231</v>
      </c>
      <c r="EU120" s="240" t="s">
        <v>231</v>
      </c>
      <c r="EV120" s="240" t="s">
        <v>231</v>
      </c>
      <c r="EW120" s="240" t="s">
        <v>231</v>
      </c>
      <c r="EX120" s="240" t="s">
        <v>231</v>
      </c>
      <c r="EY120" s="240" t="s">
        <v>231</v>
      </c>
      <c r="EZ120" s="240" t="s">
        <v>231</v>
      </c>
      <c r="FA120" s="240" t="s">
        <v>231</v>
      </c>
      <c r="FB120" s="240" t="s">
        <v>231</v>
      </c>
      <c r="FC120" s="240" t="s">
        <v>231</v>
      </c>
      <c r="FD120" s="240" t="s">
        <v>231</v>
      </c>
      <c r="FE120" s="240" t="s">
        <v>231</v>
      </c>
      <c r="FF120" s="240" t="s">
        <v>231</v>
      </c>
      <c r="FG120" s="240" t="s">
        <v>492</v>
      </c>
      <c r="FH120" s="240" t="s">
        <v>492</v>
      </c>
      <c r="FI120" s="240" t="s">
        <v>492</v>
      </c>
      <c r="FJ120" s="240" t="s">
        <v>492</v>
      </c>
      <c r="FK120" s="240" t="s">
        <v>492</v>
      </c>
      <c r="FL120" s="240" t="s">
        <v>492</v>
      </c>
      <c r="FM120" s="240" t="s">
        <v>231</v>
      </c>
      <c r="FN120" s="240" t="s">
        <v>231</v>
      </c>
      <c r="FO120" s="240" t="s">
        <v>231</v>
      </c>
      <c r="FP120" s="240" t="s">
        <v>231</v>
      </c>
      <c r="FQ120" s="240" t="s">
        <v>231</v>
      </c>
      <c r="FR120" s="240" t="s">
        <v>231</v>
      </c>
      <c r="FS120" s="240" t="s">
        <v>231</v>
      </c>
      <c r="FT120" s="240" t="s">
        <v>231</v>
      </c>
      <c r="FU120" s="240" t="s">
        <v>231</v>
      </c>
      <c r="FV120" s="240" t="s">
        <v>231</v>
      </c>
      <c r="FW120" s="240" t="s">
        <v>231</v>
      </c>
      <c r="FX120" s="240" t="s">
        <v>492</v>
      </c>
      <c r="FY120" s="240" t="s">
        <v>231</v>
      </c>
      <c r="FZ120" s="240" t="s">
        <v>231</v>
      </c>
      <c r="GA120" s="240" t="s">
        <v>231</v>
      </c>
      <c r="GB120" s="240" t="s">
        <v>231</v>
      </c>
      <c r="GC120" s="240" t="s">
        <v>231</v>
      </c>
      <c r="GD120" s="240" t="s">
        <v>231</v>
      </c>
      <c r="GE120" s="240" t="s">
        <v>231</v>
      </c>
      <c r="GF120" s="240" t="s">
        <v>231</v>
      </c>
      <c r="GG120" s="240" t="s">
        <v>231</v>
      </c>
      <c r="GH120" s="240" t="s">
        <v>231</v>
      </c>
      <c r="GI120" s="240" t="s">
        <v>231</v>
      </c>
      <c r="GJ120" s="240" t="s">
        <v>231</v>
      </c>
      <c r="GK120" s="240" t="s">
        <v>231</v>
      </c>
      <c r="GL120" s="240" t="s">
        <v>231</v>
      </c>
      <c r="GM120" s="240" t="s">
        <v>231</v>
      </c>
      <c r="GN120" s="240" t="s">
        <v>231</v>
      </c>
      <c r="GO120" s="240" t="s">
        <v>231</v>
      </c>
      <c r="GP120" s="240" t="s">
        <v>492</v>
      </c>
      <c r="GQ120" s="240" t="s">
        <v>231</v>
      </c>
      <c r="GR120" s="240" t="s">
        <v>231</v>
      </c>
      <c r="GS120" s="240" t="s">
        <v>231</v>
      </c>
      <c r="GT120" s="240" t="s">
        <v>231</v>
      </c>
      <c r="GU120" s="240" t="s">
        <v>231</v>
      </c>
      <c r="GV120" s="240" t="s">
        <v>492</v>
      </c>
      <c r="GW120" s="240" t="s">
        <v>231</v>
      </c>
      <c r="GX120" s="240" t="s">
        <v>231</v>
      </c>
      <c r="GY120" s="240" t="s">
        <v>231</v>
      </c>
      <c r="GZ120" s="240" t="s">
        <v>231</v>
      </c>
      <c r="HA120" s="240" t="s">
        <v>231</v>
      </c>
      <c r="HB120" s="240" t="s">
        <v>231</v>
      </c>
      <c r="HC120" s="240" t="s">
        <v>231</v>
      </c>
      <c r="HD120" s="240" t="s">
        <v>231</v>
      </c>
      <c r="HE120" s="240" t="s">
        <v>492</v>
      </c>
      <c r="HF120" s="240" t="s">
        <v>231</v>
      </c>
      <c r="HG120" s="240" t="s">
        <v>492</v>
      </c>
      <c r="HH120" s="240" t="s">
        <v>231</v>
      </c>
      <c r="HI120" s="240" t="s">
        <v>231</v>
      </c>
      <c r="HJ120" s="240" t="s">
        <v>231</v>
      </c>
      <c r="HK120" s="240" t="s">
        <v>231</v>
      </c>
      <c r="HL120" s="240" t="s">
        <v>231</v>
      </c>
      <c r="HM120" s="240" t="s">
        <v>231</v>
      </c>
      <c r="HN120" s="240" t="s">
        <v>231</v>
      </c>
      <c r="HO120" s="240" t="s">
        <v>231</v>
      </c>
      <c r="HP120" s="240" t="s">
        <v>231</v>
      </c>
      <c r="HQ120" s="240" t="s">
        <v>492</v>
      </c>
      <c r="HR120" s="240" t="s">
        <v>492</v>
      </c>
      <c r="HS120" s="240" t="s">
        <v>492</v>
      </c>
      <c r="HT120" s="240" t="s">
        <v>492</v>
      </c>
      <c r="HU120" s="240" t="s">
        <v>231</v>
      </c>
      <c r="HV120" s="240" t="s">
        <v>231</v>
      </c>
      <c r="HW120" s="240" t="s">
        <v>231</v>
      </c>
      <c r="HX120" s="240" t="s">
        <v>231</v>
      </c>
      <c r="HY120" s="240" t="s">
        <v>231</v>
      </c>
      <c r="HZ120" s="240" t="s">
        <v>231</v>
      </c>
      <c r="IA120" s="240" t="s">
        <v>231</v>
      </c>
      <c r="IB120" s="240" t="s">
        <v>231</v>
      </c>
      <c r="IC120" s="240" t="s">
        <v>231</v>
      </c>
      <c r="ID120" s="240" t="s">
        <v>231</v>
      </c>
      <c r="IE120" s="240" t="s">
        <v>231</v>
      </c>
      <c r="IF120" s="240" t="s">
        <v>231</v>
      </c>
      <c r="IG120" s="240" t="s">
        <v>231</v>
      </c>
      <c r="IH120" s="240" t="s">
        <v>231</v>
      </c>
      <c r="II120" s="240" t="s">
        <v>231</v>
      </c>
      <c r="IJ120" s="240" t="s">
        <v>231</v>
      </c>
      <c r="IK120" s="240" t="s">
        <v>231</v>
      </c>
      <c r="IL120" s="240" t="s">
        <v>231</v>
      </c>
      <c r="IM120" s="240" t="s">
        <v>231</v>
      </c>
      <c r="IN120" s="240" t="s">
        <v>231</v>
      </c>
      <c r="IO120" s="240" t="s">
        <v>220</v>
      </c>
      <c r="IP120" s="240" t="s">
        <v>493</v>
      </c>
      <c r="IQ120" s="240" t="s">
        <v>219</v>
      </c>
      <c r="IR120" s="240" t="s">
        <v>490</v>
      </c>
      <c r="IS120" s="240" t="s">
        <v>492</v>
      </c>
      <c r="IT120" s="240" t="s">
        <v>492</v>
      </c>
    </row>
    <row r="121" spans="1:254" ht="15" x14ac:dyDescent="0.25">
      <c r="A121" s="258" t="str">
        <f>HYPERLINK("http://www.ofsted.gov.uk/inspection-reports/find-inspection-report/provider/ELS/142474 ","Ofsted School Webpage")</f>
        <v>Ofsted School Webpage</v>
      </c>
      <c r="B121" s="237">
        <v>142474</v>
      </c>
      <c r="C121" s="237">
        <v>8406014</v>
      </c>
      <c r="D121" s="237" t="s">
        <v>810</v>
      </c>
      <c r="E121" s="237" t="s">
        <v>247</v>
      </c>
      <c r="F121" s="237" t="s">
        <v>482</v>
      </c>
      <c r="G121" s="237" t="s">
        <v>523</v>
      </c>
      <c r="H121" s="237" t="s">
        <v>539</v>
      </c>
      <c r="I121" s="237" t="s">
        <v>649</v>
      </c>
      <c r="J121" s="237" t="s">
        <v>811</v>
      </c>
      <c r="K121" s="237" t="s">
        <v>93</v>
      </c>
      <c r="L121" s="237" t="s">
        <v>93</v>
      </c>
      <c r="M121" s="237" t="s">
        <v>93</v>
      </c>
      <c r="N121" s="237" t="s">
        <v>90</v>
      </c>
      <c r="O121" s="237" t="s">
        <v>486</v>
      </c>
      <c r="P121" s="237" t="s">
        <v>487</v>
      </c>
      <c r="Q121" s="238">
        <v>10053835</v>
      </c>
      <c r="R121" s="239">
        <v>43431</v>
      </c>
      <c r="S121" s="239">
        <v>43433</v>
      </c>
      <c r="T121" s="239">
        <v>43494</v>
      </c>
      <c r="U121" s="237" t="s">
        <v>488</v>
      </c>
      <c r="V121" s="237" t="s">
        <v>489</v>
      </c>
      <c r="W121" s="237">
        <v>4</v>
      </c>
      <c r="X121" s="237">
        <v>4</v>
      </c>
      <c r="Y121" s="237">
        <v>3</v>
      </c>
      <c r="Z121" s="237">
        <v>4</v>
      </c>
      <c r="AA121" s="237">
        <v>4</v>
      </c>
      <c r="AB121" s="237" t="s">
        <v>486</v>
      </c>
      <c r="AC121" s="237" t="s">
        <v>486</v>
      </c>
      <c r="AD121" s="237" t="s">
        <v>219</v>
      </c>
      <c r="AE121" s="237" t="s">
        <v>490</v>
      </c>
      <c r="AF121" s="237" t="s">
        <v>486</v>
      </c>
      <c r="AG121" s="237" t="s">
        <v>486</v>
      </c>
      <c r="AH121" s="237" t="s">
        <v>486</v>
      </c>
      <c r="AI121" s="237" t="s">
        <v>486</v>
      </c>
      <c r="AJ121" s="237" t="s">
        <v>486</v>
      </c>
      <c r="AK121" s="237" t="s">
        <v>486</v>
      </c>
      <c r="AL121" s="237" t="s">
        <v>486</v>
      </c>
      <c r="AM121" s="237" t="s">
        <v>545</v>
      </c>
      <c r="AN121" s="237" t="s">
        <v>546</v>
      </c>
      <c r="AO121" s="237" t="s">
        <v>231</v>
      </c>
      <c r="AP121" s="237" t="s">
        <v>231</v>
      </c>
      <c r="AQ121" s="237" t="s">
        <v>231</v>
      </c>
      <c r="AR121" s="237" t="s">
        <v>231</v>
      </c>
      <c r="AS121" s="237" t="s">
        <v>231</v>
      </c>
      <c r="AT121" s="237" t="s">
        <v>231</v>
      </c>
      <c r="AU121" s="237" t="s">
        <v>546</v>
      </c>
      <c r="AV121" s="237" t="s">
        <v>232</v>
      </c>
      <c r="AW121" s="237" t="s">
        <v>232</v>
      </c>
      <c r="AX121" s="237" t="s">
        <v>232</v>
      </c>
      <c r="AY121" s="237" t="s">
        <v>232</v>
      </c>
      <c r="AZ121" s="237" t="s">
        <v>231</v>
      </c>
      <c r="BA121" s="237" t="s">
        <v>231</v>
      </c>
      <c r="BB121" s="237" t="s">
        <v>231</v>
      </c>
      <c r="BC121" s="237" t="s">
        <v>232</v>
      </c>
      <c r="BD121" s="237" t="s">
        <v>492</v>
      </c>
      <c r="BE121" s="237" t="s">
        <v>231</v>
      </c>
      <c r="BF121" s="237" t="s">
        <v>231</v>
      </c>
      <c r="BG121" s="237" t="s">
        <v>231</v>
      </c>
      <c r="BH121" s="237" t="s">
        <v>231</v>
      </c>
      <c r="BI121" s="237" t="s">
        <v>231</v>
      </c>
      <c r="BJ121" s="237" t="s">
        <v>231</v>
      </c>
      <c r="BK121" s="237" t="s">
        <v>231</v>
      </c>
      <c r="BL121" s="237" t="s">
        <v>492</v>
      </c>
      <c r="BM121" s="237" t="s">
        <v>492</v>
      </c>
      <c r="BN121" s="237" t="s">
        <v>231</v>
      </c>
      <c r="BO121" s="237" t="s">
        <v>231</v>
      </c>
      <c r="BP121" s="237" t="s">
        <v>232</v>
      </c>
      <c r="BQ121" s="237" t="s">
        <v>232</v>
      </c>
      <c r="BR121" s="237" t="s">
        <v>231</v>
      </c>
      <c r="BS121" s="237" t="s">
        <v>232</v>
      </c>
      <c r="BT121" s="237" t="s">
        <v>232</v>
      </c>
      <c r="BU121" s="237" t="s">
        <v>231</v>
      </c>
      <c r="BV121" s="237" t="s">
        <v>231</v>
      </c>
      <c r="BW121" s="237" t="s">
        <v>231</v>
      </c>
      <c r="BX121" s="237" t="s">
        <v>231</v>
      </c>
      <c r="BY121" s="237" t="s">
        <v>231</v>
      </c>
      <c r="BZ121" s="237" t="s">
        <v>231</v>
      </c>
      <c r="CA121" s="237" t="s">
        <v>231</v>
      </c>
      <c r="CB121" s="237" t="s">
        <v>231</v>
      </c>
      <c r="CC121" s="237" t="s">
        <v>231</v>
      </c>
      <c r="CD121" s="237" t="s">
        <v>231</v>
      </c>
      <c r="CE121" s="237" t="s">
        <v>231</v>
      </c>
      <c r="CF121" s="237" t="s">
        <v>231</v>
      </c>
      <c r="CG121" s="237" t="s">
        <v>231</v>
      </c>
      <c r="CH121" s="237" t="s">
        <v>231</v>
      </c>
      <c r="CI121" s="237" t="s">
        <v>231</v>
      </c>
      <c r="CJ121" s="237" t="s">
        <v>231</v>
      </c>
      <c r="CK121" s="237" t="s">
        <v>231</v>
      </c>
      <c r="CL121" s="237" t="s">
        <v>231</v>
      </c>
      <c r="CM121" s="237" t="s">
        <v>231</v>
      </c>
      <c r="CN121" s="237" t="s">
        <v>231</v>
      </c>
      <c r="CO121" s="237" t="s">
        <v>231</v>
      </c>
      <c r="CP121" s="237" t="s">
        <v>231</v>
      </c>
      <c r="CQ121" s="237" t="s">
        <v>231</v>
      </c>
      <c r="CR121" s="237" t="s">
        <v>231</v>
      </c>
      <c r="CS121" s="237" t="s">
        <v>231</v>
      </c>
      <c r="CT121" s="237" t="s">
        <v>492</v>
      </c>
      <c r="CU121" s="237" t="s">
        <v>492</v>
      </c>
      <c r="CV121" s="237" t="s">
        <v>492</v>
      </c>
      <c r="CW121" s="237" t="s">
        <v>231</v>
      </c>
      <c r="CX121" s="237" t="s">
        <v>231</v>
      </c>
      <c r="CY121" s="237" t="s">
        <v>231</v>
      </c>
      <c r="CZ121" s="237" t="s">
        <v>231</v>
      </c>
      <c r="DA121" s="237" t="s">
        <v>231</v>
      </c>
      <c r="DB121" s="237" t="s">
        <v>231</v>
      </c>
      <c r="DC121" s="237" t="s">
        <v>231</v>
      </c>
      <c r="DD121" s="237" t="s">
        <v>231</v>
      </c>
      <c r="DE121" s="237" t="s">
        <v>231</v>
      </c>
      <c r="DF121" s="237" t="s">
        <v>231</v>
      </c>
      <c r="DG121" s="237" t="s">
        <v>231</v>
      </c>
      <c r="DH121" s="237" t="s">
        <v>231</v>
      </c>
      <c r="DI121" s="237" t="s">
        <v>231</v>
      </c>
      <c r="DJ121" s="237" t="s">
        <v>231</v>
      </c>
      <c r="DK121" s="237" t="s">
        <v>231</v>
      </c>
      <c r="DL121" s="237" t="s">
        <v>231</v>
      </c>
      <c r="DM121" s="237" t="s">
        <v>231</v>
      </c>
      <c r="DN121" s="237" t="s">
        <v>231</v>
      </c>
      <c r="DO121" s="237" t="s">
        <v>231</v>
      </c>
      <c r="DP121" s="237" t="s">
        <v>231</v>
      </c>
      <c r="DQ121" s="237" t="s">
        <v>231</v>
      </c>
      <c r="DR121" s="237" t="s">
        <v>231</v>
      </c>
      <c r="DS121" s="237" t="s">
        <v>492</v>
      </c>
      <c r="DT121" s="237" t="s">
        <v>492</v>
      </c>
      <c r="DU121" s="237" t="s">
        <v>231</v>
      </c>
      <c r="DV121" s="237" t="s">
        <v>492</v>
      </c>
      <c r="DW121" s="237" t="s">
        <v>492</v>
      </c>
      <c r="DX121" s="237" t="s">
        <v>492</v>
      </c>
      <c r="DY121" s="237" t="s">
        <v>492</v>
      </c>
      <c r="DZ121" s="237" t="s">
        <v>492</v>
      </c>
      <c r="EA121" s="237" t="s">
        <v>492</v>
      </c>
      <c r="EB121" s="237" t="s">
        <v>492</v>
      </c>
      <c r="EC121" s="237" t="s">
        <v>492</v>
      </c>
      <c r="ED121" s="237" t="s">
        <v>492</v>
      </c>
      <c r="EE121" s="237" t="s">
        <v>492</v>
      </c>
      <c r="EF121" s="237" t="s">
        <v>492</v>
      </c>
      <c r="EG121" s="237" t="s">
        <v>492</v>
      </c>
      <c r="EH121" s="237" t="s">
        <v>492</v>
      </c>
      <c r="EI121" s="237" t="s">
        <v>492</v>
      </c>
      <c r="EJ121" s="237" t="s">
        <v>492</v>
      </c>
      <c r="EK121" s="237" t="s">
        <v>492</v>
      </c>
      <c r="EL121" s="237" t="s">
        <v>492</v>
      </c>
      <c r="EM121" s="237" t="s">
        <v>492</v>
      </c>
      <c r="EN121" s="237" t="s">
        <v>492</v>
      </c>
      <c r="EO121" s="237" t="s">
        <v>492</v>
      </c>
      <c r="EP121" s="237" t="s">
        <v>492</v>
      </c>
      <c r="EQ121" s="237" t="s">
        <v>492</v>
      </c>
      <c r="ER121" s="237" t="s">
        <v>492</v>
      </c>
      <c r="ES121" s="237" t="s">
        <v>231</v>
      </c>
      <c r="ET121" s="237" t="s">
        <v>231</v>
      </c>
      <c r="EU121" s="237" t="s">
        <v>231</v>
      </c>
      <c r="EV121" s="237" t="s">
        <v>231</v>
      </c>
      <c r="EW121" s="237" t="s">
        <v>231</v>
      </c>
      <c r="EX121" s="237" t="s">
        <v>231</v>
      </c>
      <c r="EY121" s="237" t="s">
        <v>231</v>
      </c>
      <c r="EZ121" s="237" t="s">
        <v>231</v>
      </c>
      <c r="FA121" s="237" t="s">
        <v>231</v>
      </c>
      <c r="FB121" s="237" t="s">
        <v>231</v>
      </c>
      <c r="FC121" s="237" t="s">
        <v>231</v>
      </c>
      <c r="FD121" s="237" t="s">
        <v>231</v>
      </c>
      <c r="FE121" s="237" t="s">
        <v>231</v>
      </c>
      <c r="FF121" s="237" t="s">
        <v>231</v>
      </c>
      <c r="FG121" s="237" t="s">
        <v>492</v>
      </c>
      <c r="FH121" s="237" t="s">
        <v>492</v>
      </c>
      <c r="FI121" s="237" t="s">
        <v>492</v>
      </c>
      <c r="FJ121" s="237" t="s">
        <v>492</v>
      </c>
      <c r="FK121" s="237" t="s">
        <v>492</v>
      </c>
      <c r="FL121" s="237" t="s">
        <v>492</v>
      </c>
      <c r="FM121" s="237" t="s">
        <v>492</v>
      </c>
      <c r="FN121" s="237" t="s">
        <v>492</v>
      </c>
      <c r="FO121" s="237" t="s">
        <v>493</v>
      </c>
      <c r="FP121" s="237" t="s">
        <v>492</v>
      </c>
      <c r="FQ121" s="237" t="s">
        <v>231</v>
      </c>
      <c r="FR121" s="237" t="s">
        <v>231</v>
      </c>
      <c r="FS121" s="237" t="s">
        <v>231</v>
      </c>
      <c r="FT121" s="237" t="s">
        <v>231</v>
      </c>
      <c r="FU121" s="237" t="s">
        <v>231</v>
      </c>
      <c r="FV121" s="237" t="s">
        <v>231</v>
      </c>
      <c r="FW121" s="237" t="s">
        <v>231</v>
      </c>
      <c r="FX121" s="237" t="s">
        <v>492</v>
      </c>
      <c r="FY121" s="237" t="s">
        <v>231</v>
      </c>
      <c r="FZ121" s="237" t="s">
        <v>231</v>
      </c>
      <c r="GA121" s="237" t="s">
        <v>231</v>
      </c>
      <c r="GB121" s="237" t="s">
        <v>231</v>
      </c>
      <c r="GC121" s="237" t="s">
        <v>231</v>
      </c>
      <c r="GD121" s="237" t="s">
        <v>231</v>
      </c>
      <c r="GE121" s="237" t="s">
        <v>231</v>
      </c>
      <c r="GF121" s="237" t="s">
        <v>231</v>
      </c>
      <c r="GG121" s="237" t="s">
        <v>231</v>
      </c>
      <c r="GH121" s="237" t="s">
        <v>231</v>
      </c>
      <c r="GI121" s="237" t="s">
        <v>231</v>
      </c>
      <c r="GJ121" s="237" t="s">
        <v>231</v>
      </c>
      <c r="GK121" s="237" t="s">
        <v>231</v>
      </c>
      <c r="GL121" s="237" t="s">
        <v>231</v>
      </c>
      <c r="GM121" s="237" t="s">
        <v>231</v>
      </c>
      <c r="GN121" s="237" t="s">
        <v>231</v>
      </c>
      <c r="GO121" s="237" t="s">
        <v>231</v>
      </c>
      <c r="GP121" s="237" t="s">
        <v>492</v>
      </c>
      <c r="GQ121" s="237" t="s">
        <v>231</v>
      </c>
      <c r="GR121" s="237" t="s">
        <v>231</v>
      </c>
      <c r="GS121" s="237" t="s">
        <v>231</v>
      </c>
      <c r="GT121" s="237" t="s">
        <v>231</v>
      </c>
      <c r="GU121" s="237" t="s">
        <v>231</v>
      </c>
      <c r="GV121" s="237" t="s">
        <v>492</v>
      </c>
      <c r="GW121" s="237" t="s">
        <v>231</v>
      </c>
      <c r="GX121" s="237" t="s">
        <v>231</v>
      </c>
      <c r="GY121" s="237" t="s">
        <v>492</v>
      </c>
      <c r="GZ121" s="237" t="s">
        <v>492</v>
      </c>
      <c r="HA121" s="237" t="s">
        <v>231</v>
      </c>
      <c r="HB121" s="237" t="s">
        <v>231</v>
      </c>
      <c r="HC121" s="237" t="s">
        <v>231</v>
      </c>
      <c r="HD121" s="237" t="s">
        <v>231</v>
      </c>
      <c r="HE121" s="237" t="s">
        <v>231</v>
      </c>
      <c r="HF121" s="237" t="s">
        <v>492</v>
      </c>
      <c r="HG121" s="237" t="s">
        <v>492</v>
      </c>
      <c r="HH121" s="237" t="s">
        <v>231</v>
      </c>
      <c r="HI121" s="237" t="s">
        <v>231</v>
      </c>
      <c r="HJ121" s="237" t="s">
        <v>231</v>
      </c>
      <c r="HK121" s="237" t="s">
        <v>492</v>
      </c>
      <c r="HL121" s="237" t="s">
        <v>231</v>
      </c>
      <c r="HM121" s="237" t="s">
        <v>231</v>
      </c>
      <c r="HN121" s="237" t="s">
        <v>231</v>
      </c>
      <c r="HO121" s="237" t="s">
        <v>231</v>
      </c>
      <c r="HP121" s="237" t="s">
        <v>231</v>
      </c>
      <c r="HQ121" s="237" t="s">
        <v>492</v>
      </c>
      <c r="HR121" s="237" t="s">
        <v>492</v>
      </c>
      <c r="HS121" s="237" t="s">
        <v>492</v>
      </c>
      <c r="HT121" s="237" t="s">
        <v>492</v>
      </c>
      <c r="HU121" s="237" t="s">
        <v>231</v>
      </c>
      <c r="HV121" s="237" t="s">
        <v>231</v>
      </c>
      <c r="HW121" s="237" t="s">
        <v>231</v>
      </c>
      <c r="HX121" s="237" t="s">
        <v>231</v>
      </c>
      <c r="HY121" s="237" t="s">
        <v>231</v>
      </c>
      <c r="HZ121" s="237" t="s">
        <v>231</v>
      </c>
      <c r="IA121" s="237" t="s">
        <v>231</v>
      </c>
      <c r="IB121" s="237" t="s">
        <v>231</v>
      </c>
      <c r="IC121" s="237" t="s">
        <v>231</v>
      </c>
      <c r="ID121" s="237" t="s">
        <v>231</v>
      </c>
      <c r="IE121" s="237" t="s">
        <v>231</v>
      </c>
      <c r="IF121" s="237" t="s">
        <v>231</v>
      </c>
      <c r="IG121" s="237" t="s">
        <v>231</v>
      </c>
      <c r="IH121" s="237" t="s">
        <v>231</v>
      </c>
      <c r="II121" s="237" t="s">
        <v>231</v>
      </c>
      <c r="IJ121" s="237" t="s">
        <v>231</v>
      </c>
      <c r="IK121" s="237" t="s">
        <v>232</v>
      </c>
      <c r="IL121" s="237" t="s">
        <v>232</v>
      </c>
      <c r="IM121" s="237" t="s">
        <v>232</v>
      </c>
      <c r="IN121" s="237" t="s">
        <v>231</v>
      </c>
      <c r="IO121" s="237" t="s">
        <v>220</v>
      </c>
      <c r="IP121" s="237" t="s">
        <v>493</v>
      </c>
      <c r="IQ121" s="237" t="s">
        <v>219</v>
      </c>
      <c r="IR121" s="237" t="s">
        <v>490</v>
      </c>
      <c r="IS121" s="237" t="s">
        <v>231</v>
      </c>
      <c r="IT121" s="237" t="s">
        <v>231</v>
      </c>
    </row>
    <row r="122" spans="1:254" ht="15" x14ac:dyDescent="0.25">
      <c r="A122" s="259" t="str">
        <f>HYPERLINK("http://www.ofsted.gov.uk/inspection-reports/find-inspection-report/provider/ELS/135090 ","Ofsted School Webpage")</f>
        <v>Ofsted School Webpage</v>
      </c>
      <c r="B122" s="240">
        <v>135090</v>
      </c>
      <c r="C122" s="240">
        <v>3136081</v>
      </c>
      <c r="D122" s="240" t="s">
        <v>812</v>
      </c>
      <c r="E122" s="240" t="s">
        <v>247</v>
      </c>
      <c r="F122" s="240" t="s">
        <v>482</v>
      </c>
      <c r="G122" s="240" t="s">
        <v>506</v>
      </c>
      <c r="H122" s="240" t="s">
        <v>506</v>
      </c>
      <c r="I122" s="240" t="s">
        <v>813</v>
      </c>
      <c r="J122" s="240" t="s">
        <v>814</v>
      </c>
      <c r="K122" s="240" t="s">
        <v>93</v>
      </c>
      <c r="L122" s="240" t="s">
        <v>93</v>
      </c>
      <c r="M122" s="240" t="s">
        <v>93</v>
      </c>
      <c r="N122" s="240" t="s">
        <v>90</v>
      </c>
      <c r="O122" s="240" t="s">
        <v>486</v>
      </c>
      <c r="P122" s="240" t="s">
        <v>487</v>
      </c>
      <c r="Q122" s="241">
        <v>10055429</v>
      </c>
      <c r="R122" s="242">
        <v>43431</v>
      </c>
      <c r="S122" s="242">
        <v>43433</v>
      </c>
      <c r="T122" s="242">
        <v>43450</v>
      </c>
      <c r="U122" s="240" t="s">
        <v>488</v>
      </c>
      <c r="V122" s="240" t="s">
        <v>489</v>
      </c>
      <c r="W122" s="240">
        <v>2</v>
      </c>
      <c r="X122" s="240">
        <v>2</v>
      </c>
      <c r="Y122" s="240">
        <v>2</v>
      </c>
      <c r="Z122" s="240">
        <v>2</v>
      </c>
      <c r="AA122" s="240">
        <v>2</v>
      </c>
      <c r="AB122" s="240" t="s">
        <v>486</v>
      </c>
      <c r="AC122" s="240" t="s">
        <v>486</v>
      </c>
      <c r="AD122" s="240" t="s">
        <v>219</v>
      </c>
      <c r="AE122" s="240" t="s">
        <v>490</v>
      </c>
      <c r="AF122" s="240" t="s">
        <v>486</v>
      </c>
      <c r="AG122" s="240" t="s">
        <v>486</v>
      </c>
      <c r="AH122" s="240" t="s">
        <v>486</v>
      </c>
      <c r="AI122" s="240" t="s">
        <v>486</v>
      </c>
      <c r="AJ122" s="240" t="s">
        <v>486</v>
      </c>
      <c r="AK122" s="240" t="s">
        <v>486</v>
      </c>
      <c r="AL122" s="240" t="s">
        <v>486</v>
      </c>
      <c r="AM122" s="240" t="s">
        <v>491</v>
      </c>
      <c r="AN122" s="240" t="s">
        <v>231</v>
      </c>
      <c r="AO122" s="240" t="s">
        <v>231</v>
      </c>
      <c r="AP122" s="240" t="s">
        <v>231</v>
      </c>
      <c r="AQ122" s="240" t="s">
        <v>231</v>
      </c>
      <c r="AR122" s="240" t="s">
        <v>231</v>
      </c>
      <c r="AS122" s="240" t="s">
        <v>231</v>
      </c>
      <c r="AT122" s="240" t="s">
        <v>231</v>
      </c>
      <c r="AU122" s="240" t="s">
        <v>231</v>
      </c>
      <c r="AV122" s="240" t="s">
        <v>231</v>
      </c>
      <c r="AW122" s="240" t="s">
        <v>231</v>
      </c>
      <c r="AX122" s="240" t="s">
        <v>231</v>
      </c>
      <c r="AY122" s="240" t="s">
        <v>231</v>
      </c>
      <c r="AZ122" s="240" t="s">
        <v>231</v>
      </c>
      <c r="BA122" s="240" t="s">
        <v>231</v>
      </c>
      <c r="BB122" s="240" t="s">
        <v>231</v>
      </c>
      <c r="BC122" s="240" t="s">
        <v>231</v>
      </c>
      <c r="BD122" s="240" t="s">
        <v>492</v>
      </c>
      <c r="BE122" s="240" t="s">
        <v>231</v>
      </c>
      <c r="BF122" s="240" t="s">
        <v>231</v>
      </c>
      <c r="BG122" s="240" t="s">
        <v>231</v>
      </c>
      <c r="BH122" s="240" t="s">
        <v>231</v>
      </c>
      <c r="BI122" s="240" t="s">
        <v>231</v>
      </c>
      <c r="BJ122" s="240" t="s">
        <v>231</v>
      </c>
      <c r="BK122" s="240" t="s">
        <v>231</v>
      </c>
      <c r="BL122" s="240" t="s">
        <v>492</v>
      </c>
      <c r="BM122" s="240" t="s">
        <v>492</v>
      </c>
      <c r="BN122" s="240" t="s">
        <v>231</v>
      </c>
      <c r="BO122" s="240" t="s">
        <v>231</v>
      </c>
      <c r="BP122" s="240" t="s">
        <v>231</v>
      </c>
      <c r="BQ122" s="240" t="s">
        <v>231</v>
      </c>
      <c r="BR122" s="240" t="s">
        <v>231</v>
      </c>
      <c r="BS122" s="240" t="s">
        <v>231</v>
      </c>
      <c r="BT122" s="240" t="s">
        <v>231</v>
      </c>
      <c r="BU122" s="240" t="s">
        <v>231</v>
      </c>
      <c r="BV122" s="240" t="s">
        <v>231</v>
      </c>
      <c r="BW122" s="240" t="s">
        <v>231</v>
      </c>
      <c r="BX122" s="240" t="s">
        <v>231</v>
      </c>
      <c r="BY122" s="240" t="s">
        <v>231</v>
      </c>
      <c r="BZ122" s="240" t="s">
        <v>231</v>
      </c>
      <c r="CA122" s="240" t="s">
        <v>231</v>
      </c>
      <c r="CB122" s="240" t="s">
        <v>231</v>
      </c>
      <c r="CC122" s="240" t="s">
        <v>231</v>
      </c>
      <c r="CD122" s="240" t="s">
        <v>231</v>
      </c>
      <c r="CE122" s="240" t="s">
        <v>231</v>
      </c>
      <c r="CF122" s="240" t="s">
        <v>231</v>
      </c>
      <c r="CG122" s="240" t="s">
        <v>231</v>
      </c>
      <c r="CH122" s="240" t="s">
        <v>231</v>
      </c>
      <c r="CI122" s="240" t="s">
        <v>231</v>
      </c>
      <c r="CJ122" s="240" t="s">
        <v>231</v>
      </c>
      <c r="CK122" s="240" t="s">
        <v>231</v>
      </c>
      <c r="CL122" s="240" t="s">
        <v>231</v>
      </c>
      <c r="CM122" s="240" t="s">
        <v>231</v>
      </c>
      <c r="CN122" s="240" t="s">
        <v>231</v>
      </c>
      <c r="CO122" s="240" t="s">
        <v>231</v>
      </c>
      <c r="CP122" s="240" t="s">
        <v>231</v>
      </c>
      <c r="CQ122" s="240" t="s">
        <v>231</v>
      </c>
      <c r="CR122" s="240" t="s">
        <v>231</v>
      </c>
      <c r="CS122" s="240" t="s">
        <v>231</v>
      </c>
      <c r="CT122" s="240" t="s">
        <v>492</v>
      </c>
      <c r="CU122" s="240" t="s">
        <v>492</v>
      </c>
      <c r="CV122" s="240" t="s">
        <v>492</v>
      </c>
      <c r="CW122" s="240" t="s">
        <v>231</v>
      </c>
      <c r="CX122" s="240" t="s">
        <v>231</v>
      </c>
      <c r="CY122" s="240" t="s">
        <v>231</v>
      </c>
      <c r="CZ122" s="240" t="s">
        <v>231</v>
      </c>
      <c r="DA122" s="240" t="s">
        <v>231</v>
      </c>
      <c r="DB122" s="240" t="s">
        <v>231</v>
      </c>
      <c r="DC122" s="240" t="s">
        <v>231</v>
      </c>
      <c r="DD122" s="240" t="s">
        <v>231</v>
      </c>
      <c r="DE122" s="240" t="s">
        <v>231</v>
      </c>
      <c r="DF122" s="240" t="s">
        <v>231</v>
      </c>
      <c r="DG122" s="240" t="s">
        <v>231</v>
      </c>
      <c r="DH122" s="240" t="s">
        <v>231</v>
      </c>
      <c r="DI122" s="240" t="s">
        <v>231</v>
      </c>
      <c r="DJ122" s="240" t="s">
        <v>231</v>
      </c>
      <c r="DK122" s="240" t="s">
        <v>231</v>
      </c>
      <c r="DL122" s="240" t="s">
        <v>231</v>
      </c>
      <c r="DM122" s="240" t="s">
        <v>231</v>
      </c>
      <c r="DN122" s="240" t="s">
        <v>231</v>
      </c>
      <c r="DO122" s="240" t="s">
        <v>231</v>
      </c>
      <c r="DP122" s="240" t="s">
        <v>231</v>
      </c>
      <c r="DQ122" s="240" t="s">
        <v>231</v>
      </c>
      <c r="DR122" s="240" t="s">
        <v>231</v>
      </c>
      <c r="DS122" s="240" t="s">
        <v>231</v>
      </c>
      <c r="DT122" s="240" t="s">
        <v>492</v>
      </c>
      <c r="DU122" s="240" t="s">
        <v>231</v>
      </c>
      <c r="DV122" s="240" t="s">
        <v>231</v>
      </c>
      <c r="DW122" s="240" t="s">
        <v>231</v>
      </c>
      <c r="DX122" s="240" t="s">
        <v>231</v>
      </c>
      <c r="DY122" s="240" t="s">
        <v>231</v>
      </c>
      <c r="DZ122" s="240" t="s">
        <v>231</v>
      </c>
      <c r="EA122" s="240" t="s">
        <v>231</v>
      </c>
      <c r="EB122" s="240" t="s">
        <v>231</v>
      </c>
      <c r="EC122" s="240" t="s">
        <v>231</v>
      </c>
      <c r="ED122" s="240" t="s">
        <v>231</v>
      </c>
      <c r="EE122" s="240" t="s">
        <v>231</v>
      </c>
      <c r="EF122" s="240" t="s">
        <v>231</v>
      </c>
      <c r="EG122" s="240" t="s">
        <v>231</v>
      </c>
      <c r="EH122" s="240" t="s">
        <v>492</v>
      </c>
      <c r="EI122" s="240" t="s">
        <v>231</v>
      </c>
      <c r="EJ122" s="240" t="s">
        <v>231</v>
      </c>
      <c r="EK122" s="240" t="s">
        <v>231</v>
      </c>
      <c r="EL122" s="240" t="s">
        <v>231</v>
      </c>
      <c r="EM122" s="240" t="s">
        <v>231</v>
      </c>
      <c r="EN122" s="240" t="s">
        <v>231</v>
      </c>
      <c r="EO122" s="240" t="s">
        <v>231</v>
      </c>
      <c r="EP122" s="240" t="s">
        <v>231</v>
      </c>
      <c r="EQ122" s="240" t="s">
        <v>231</v>
      </c>
      <c r="ER122" s="240" t="s">
        <v>231</v>
      </c>
      <c r="ES122" s="240" t="s">
        <v>231</v>
      </c>
      <c r="ET122" s="240" t="s">
        <v>231</v>
      </c>
      <c r="EU122" s="240" t="s">
        <v>231</v>
      </c>
      <c r="EV122" s="240" t="s">
        <v>231</v>
      </c>
      <c r="EW122" s="240" t="s">
        <v>231</v>
      </c>
      <c r="EX122" s="240" t="s">
        <v>231</v>
      </c>
      <c r="EY122" s="240" t="s">
        <v>231</v>
      </c>
      <c r="EZ122" s="240" t="s">
        <v>231</v>
      </c>
      <c r="FA122" s="240" t="s">
        <v>231</v>
      </c>
      <c r="FB122" s="240" t="s">
        <v>231</v>
      </c>
      <c r="FC122" s="240" t="s">
        <v>231</v>
      </c>
      <c r="FD122" s="240" t="s">
        <v>231</v>
      </c>
      <c r="FE122" s="240" t="s">
        <v>231</v>
      </c>
      <c r="FF122" s="240" t="s">
        <v>231</v>
      </c>
      <c r="FG122" s="240" t="s">
        <v>231</v>
      </c>
      <c r="FH122" s="240" t="s">
        <v>231</v>
      </c>
      <c r="FI122" s="240" t="s">
        <v>231</v>
      </c>
      <c r="FJ122" s="240" t="s">
        <v>231</v>
      </c>
      <c r="FK122" s="240" t="s">
        <v>231</v>
      </c>
      <c r="FL122" s="240" t="s">
        <v>231</v>
      </c>
      <c r="FM122" s="240" t="s">
        <v>231</v>
      </c>
      <c r="FN122" s="240" t="s">
        <v>231</v>
      </c>
      <c r="FO122" s="240" t="s">
        <v>231</v>
      </c>
      <c r="FP122" s="240" t="s">
        <v>231</v>
      </c>
      <c r="FQ122" s="240" t="s">
        <v>231</v>
      </c>
      <c r="FR122" s="240" t="s">
        <v>231</v>
      </c>
      <c r="FS122" s="240" t="s">
        <v>231</v>
      </c>
      <c r="FT122" s="240" t="s">
        <v>231</v>
      </c>
      <c r="FU122" s="240" t="s">
        <v>231</v>
      </c>
      <c r="FV122" s="240" t="s">
        <v>231</v>
      </c>
      <c r="FW122" s="240" t="s">
        <v>231</v>
      </c>
      <c r="FX122" s="240" t="s">
        <v>492</v>
      </c>
      <c r="FY122" s="240" t="s">
        <v>231</v>
      </c>
      <c r="FZ122" s="240" t="s">
        <v>231</v>
      </c>
      <c r="GA122" s="240" t="s">
        <v>231</v>
      </c>
      <c r="GB122" s="240" t="s">
        <v>231</v>
      </c>
      <c r="GC122" s="240" t="s">
        <v>231</v>
      </c>
      <c r="GD122" s="240" t="s">
        <v>231</v>
      </c>
      <c r="GE122" s="240" t="s">
        <v>231</v>
      </c>
      <c r="GF122" s="240" t="s">
        <v>231</v>
      </c>
      <c r="GG122" s="240" t="s">
        <v>231</v>
      </c>
      <c r="GH122" s="240" t="s">
        <v>231</v>
      </c>
      <c r="GI122" s="240" t="s">
        <v>231</v>
      </c>
      <c r="GJ122" s="240" t="s">
        <v>231</v>
      </c>
      <c r="GK122" s="240" t="s">
        <v>231</v>
      </c>
      <c r="GL122" s="240" t="s">
        <v>231</v>
      </c>
      <c r="GM122" s="240" t="s">
        <v>231</v>
      </c>
      <c r="GN122" s="240" t="s">
        <v>231</v>
      </c>
      <c r="GO122" s="240" t="s">
        <v>231</v>
      </c>
      <c r="GP122" s="240" t="s">
        <v>492</v>
      </c>
      <c r="GQ122" s="240" t="s">
        <v>231</v>
      </c>
      <c r="GR122" s="240" t="s">
        <v>231</v>
      </c>
      <c r="GS122" s="240" t="s">
        <v>231</v>
      </c>
      <c r="GT122" s="240" t="s">
        <v>231</v>
      </c>
      <c r="GU122" s="240" t="s">
        <v>231</v>
      </c>
      <c r="GV122" s="240" t="s">
        <v>231</v>
      </c>
      <c r="GW122" s="240" t="s">
        <v>231</v>
      </c>
      <c r="GX122" s="240" t="s">
        <v>231</v>
      </c>
      <c r="GY122" s="240" t="s">
        <v>492</v>
      </c>
      <c r="GZ122" s="240" t="s">
        <v>231</v>
      </c>
      <c r="HA122" s="240" t="s">
        <v>231</v>
      </c>
      <c r="HB122" s="240" t="s">
        <v>231</v>
      </c>
      <c r="HC122" s="240" t="s">
        <v>231</v>
      </c>
      <c r="HD122" s="240" t="s">
        <v>231</v>
      </c>
      <c r="HE122" s="240" t="s">
        <v>231</v>
      </c>
      <c r="HF122" s="240" t="s">
        <v>492</v>
      </c>
      <c r="HG122" s="240" t="s">
        <v>231</v>
      </c>
      <c r="HH122" s="240" t="s">
        <v>231</v>
      </c>
      <c r="HI122" s="240" t="s">
        <v>231</v>
      </c>
      <c r="HJ122" s="240" t="s">
        <v>231</v>
      </c>
      <c r="HK122" s="240" t="s">
        <v>231</v>
      </c>
      <c r="HL122" s="240" t="s">
        <v>231</v>
      </c>
      <c r="HM122" s="240" t="s">
        <v>231</v>
      </c>
      <c r="HN122" s="240" t="s">
        <v>231</v>
      </c>
      <c r="HO122" s="240" t="s">
        <v>231</v>
      </c>
      <c r="HP122" s="240" t="s">
        <v>231</v>
      </c>
      <c r="HQ122" s="240" t="s">
        <v>492</v>
      </c>
      <c r="HR122" s="240" t="s">
        <v>492</v>
      </c>
      <c r="HS122" s="240" t="s">
        <v>492</v>
      </c>
      <c r="HT122" s="240" t="s">
        <v>492</v>
      </c>
      <c r="HU122" s="240" t="s">
        <v>231</v>
      </c>
      <c r="HV122" s="240" t="s">
        <v>231</v>
      </c>
      <c r="HW122" s="240" t="s">
        <v>231</v>
      </c>
      <c r="HX122" s="240" t="s">
        <v>231</v>
      </c>
      <c r="HY122" s="240" t="s">
        <v>231</v>
      </c>
      <c r="HZ122" s="240" t="s">
        <v>231</v>
      </c>
      <c r="IA122" s="240" t="s">
        <v>231</v>
      </c>
      <c r="IB122" s="240" t="s">
        <v>231</v>
      </c>
      <c r="IC122" s="240" t="s">
        <v>231</v>
      </c>
      <c r="ID122" s="240" t="s">
        <v>231</v>
      </c>
      <c r="IE122" s="240" t="s">
        <v>231</v>
      </c>
      <c r="IF122" s="240" t="s">
        <v>231</v>
      </c>
      <c r="IG122" s="240" t="s">
        <v>231</v>
      </c>
      <c r="IH122" s="240" t="s">
        <v>231</v>
      </c>
      <c r="II122" s="240" t="s">
        <v>231</v>
      </c>
      <c r="IJ122" s="240" t="s">
        <v>231</v>
      </c>
      <c r="IK122" s="240" t="s">
        <v>231</v>
      </c>
      <c r="IL122" s="240" t="s">
        <v>231</v>
      </c>
      <c r="IM122" s="240" t="s">
        <v>231</v>
      </c>
      <c r="IN122" s="240" t="s">
        <v>231</v>
      </c>
      <c r="IO122" s="240" t="s">
        <v>220</v>
      </c>
      <c r="IP122" s="240" t="s">
        <v>493</v>
      </c>
      <c r="IQ122" s="240" t="s">
        <v>219</v>
      </c>
      <c r="IR122" s="240" t="s">
        <v>490</v>
      </c>
      <c r="IS122" s="240" t="s">
        <v>492</v>
      </c>
      <c r="IT122" s="240" t="s">
        <v>492</v>
      </c>
    </row>
    <row r="123" spans="1:254" ht="15" x14ac:dyDescent="0.25">
      <c r="A123" s="258" t="str">
        <f>HYPERLINK("http://www.ofsted.gov.uk/inspection-reports/find-inspection-report/provider/ELS/103111 ","Ofsted School Webpage")</f>
        <v>Ofsted School Webpage</v>
      </c>
      <c r="B123" s="237">
        <v>103111</v>
      </c>
      <c r="C123" s="237">
        <v>3096005</v>
      </c>
      <c r="D123" s="237" t="s">
        <v>815</v>
      </c>
      <c r="E123" s="237" t="s">
        <v>247</v>
      </c>
      <c r="F123" s="237" t="s">
        <v>482</v>
      </c>
      <c r="G123" s="237" t="s">
        <v>506</v>
      </c>
      <c r="H123" s="237" t="s">
        <v>506</v>
      </c>
      <c r="I123" s="237" t="s">
        <v>595</v>
      </c>
      <c r="J123" s="237" t="s">
        <v>816</v>
      </c>
      <c r="K123" s="237" t="s">
        <v>93</v>
      </c>
      <c r="L123" s="237" t="s">
        <v>78</v>
      </c>
      <c r="M123" s="237" t="s">
        <v>78</v>
      </c>
      <c r="N123" s="237" t="s">
        <v>71</v>
      </c>
      <c r="O123" s="237" t="s">
        <v>486</v>
      </c>
      <c r="P123" s="237" t="s">
        <v>487</v>
      </c>
      <c r="Q123" s="238">
        <v>10067128</v>
      </c>
      <c r="R123" s="239">
        <v>43431</v>
      </c>
      <c r="S123" s="239">
        <v>43433</v>
      </c>
      <c r="T123" s="239">
        <v>43454</v>
      </c>
      <c r="U123" s="237" t="s">
        <v>488</v>
      </c>
      <c r="V123" s="237" t="s">
        <v>489</v>
      </c>
      <c r="W123" s="237">
        <v>2</v>
      </c>
      <c r="X123" s="237">
        <v>2</v>
      </c>
      <c r="Y123" s="237">
        <v>2</v>
      </c>
      <c r="Z123" s="237">
        <v>2</v>
      </c>
      <c r="AA123" s="237">
        <v>2</v>
      </c>
      <c r="AB123" s="237">
        <v>1</v>
      </c>
      <c r="AC123" s="237" t="s">
        <v>486</v>
      </c>
      <c r="AD123" s="237" t="s">
        <v>219</v>
      </c>
      <c r="AE123" s="237" t="s">
        <v>490</v>
      </c>
      <c r="AF123" s="237" t="s">
        <v>486</v>
      </c>
      <c r="AG123" s="237" t="s">
        <v>486</v>
      </c>
      <c r="AH123" s="237" t="s">
        <v>486</v>
      </c>
      <c r="AI123" s="237" t="s">
        <v>486</v>
      </c>
      <c r="AJ123" s="237" t="s">
        <v>486</v>
      </c>
      <c r="AK123" s="237" t="s">
        <v>486</v>
      </c>
      <c r="AL123" s="237" t="s">
        <v>486</v>
      </c>
      <c r="AM123" s="237" t="s">
        <v>491</v>
      </c>
      <c r="AN123" s="237" t="s">
        <v>231</v>
      </c>
      <c r="AO123" s="237" t="s">
        <v>231</v>
      </c>
      <c r="AP123" s="237" t="s">
        <v>231</v>
      </c>
      <c r="AQ123" s="237" t="s">
        <v>231</v>
      </c>
      <c r="AR123" s="237" t="s">
        <v>231</v>
      </c>
      <c r="AS123" s="237" t="s">
        <v>231</v>
      </c>
      <c r="AT123" s="237" t="s">
        <v>231</v>
      </c>
      <c r="AU123" s="237" t="s">
        <v>231</v>
      </c>
      <c r="AV123" s="237" t="s">
        <v>231</v>
      </c>
      <c r="AW123" s="237" t="s">
        <v>231</v>
      </c>
      <c r="AX123" s="237" t="s">
        <v>231</v>
      </c>
      <c r="AY123" s="237" t="s">
        <v>231</v>
      </c>
      <c r="AZ123" s="237" t="s">
        <v>231</v>
      </c>
      <c r="BA123" s="237" t="s">
        <v>231</v>
      </c>
      <c r="BB123" s="237" t="s">
        <v>231</v>
      </c>
      <c r="BC123" s="237" t="s">
        <v>231</v>
      </c>
      <c r="BD123" s="237" t="s">
        <v>492</v>
      </c>
      <c r="BE123" s="237" t="s">
        <v>231</v>
      </c>
      <c r="BF123" s="237" t="s">
        <v>231</v>
      </c>
      <c r="BG123" s="237" t="s">
        <v>231</v>
      </c>
      <c r="BH123" s="237" t="s">
        <v>492</v>
      </c>
      <c r="BI123" s="237" t="s">
        <v>492</v>
      </c>
      <c r="BJ123" s="237" t="s">
        <v>492</v>
      </c>
      <c r="BK123" s="237" t="s">
        <v>492</v>
      </c>
      <c r="BL123" s="237" t="s">
        <v>231</v>
      </c>
      <c r="BM123" s="237" t="s">
        <v>492</v>
      </c>
      <c r="BN123" s="237" t="s">
        <v>231</v>
      </c>
      <c r="BO123" s="237" t="s">
        <v>231</v>
      </c>
      <c r="BP123" s="237" t="s">
        <v>231</v>
      </c>
      <c r="BQ123" s="237" t="s">
        <v>231</v>
      </c>
      <c r="BR123" s="237" t="s">
        <v>231</v>
      </c>
      <c r="BS123" s="237" t="s">
        <v>231</v>
      </c>
      <c r="BT123" s="237" t="s">
        <v>231</v>
      </c>
      <c r="BU123" s="237" t="s">
        <v>231</v>
      </c>
      <c r="BV123" s="237" t="s">
        <v>231</v>
      </c>
      <c r="BW123" s="237" t="s">
        <v>231</v>
      </c>
      <c r="BX123" s="237" t="s">
        <v>231</v>
      </c>
      <c r="BY123" s="237" t="s">
        <v>231</v>
      </c>
      <c r="BZ123" s="237" t="s">
        <v>231</v>
      </c>
      <c r="CA123" s="237" t="s">
        <v>231</v>
      </c>
      <c r="CB123" s="237" t="s">
        <v>231</v>
      </c>
      <c r="CC123" s="237" t="s">
        <v>231</v>
      </c>
      <c r="CD123" s="237" t="s">
        <v>231</v>
      </c>
      <c r="CE123" s="237" t="s">
        <v>231</v>
      </c>
      <c r="CF123" s="237" t="s">
        <v>231</v>
      </c>
      <c r="CG123" s="237" t="s">
        <v>231</v>
      </c>
      <c r="CH123" s="237" t="s">
        <v>231</v>
      </c>
      <c r="CI123" s="237" t="s">
        <v>231</v>
      </c>
      <c r="CJ123" s="237" t="s">
        <v>231</v>
      </c>
      <c r="CK123" s="237" t="s">
        <v>231</v>
      </c>
      <c r="CL123" s="237" t="s">
        <v>231</v>
      </c>
      <c r="CM123" s="237" t="s">
        <v>231</v>
      </c>
      <c r="CN123" s="237" t="s">
        <v>231</v>
      </c>
      <c r="CO123" s="237" t="s">
        <v>231</v>
      </c>
      <c r="CP123" s="237" t="s">
        <v>231</v>
      </c>
      <c r="CQ123" s="237" t="s">
        <v>231</v>
      </c>
      <c r="CR123" s="237" t="s">
        <v>231</v>
      </c>
      <c r="CS123" s="237" t="s">
        <v>231</v>
      </c>
      <c r="CT123" s="237" t="s">
        <v>492</v>
      </c>
      <c r="CU123" s="237" t="s">
        <v>492</v>
      </c>
      <c r="CV123" s="237" t="s">
        <v>492</v>
      </c>
      <c r="CW123" s="237" t="s">
        <v>231</v>
      </c>
      <c r="CX123" s="237" t="s">
        <v>231</v>
      </c>
      <c r="CY123" s="237" t="s">
        <v>231</v>
      </c>
      <c r="CZ123" s="237" t="s">
        <v>231</v>
      </c>
      <c r="DA123" s="237" t="s">
        <v>231</v>
      </c>
      <c r="DB123" s="237" t="s">
        <v>231</v>
      </c>
      <c r="DC123" s="237" t="s">
        <v>231</v>
      </c>
      <c r="DD123" s="237" t="s">
        <v>231</v>
      </c>
      <c r="DE123" s="237" t="s">
        <v>231</v>
      </c>
      <c r="DF123" s="237" t="s">
        <v>231</v>
      </c>
      <c r="DG123" s="237" t="s">
        <v>231</v>
      </c>
      <c r="DH123" s="237" t="s">
        <v>231</v>
      </c>
      <c r="DI123" s="237" t="s">
        <v>231</v>
      </c>
      <c r="DJ123" s="237" t="s">
        <v>231</v>
      </c>
      <c r="DK123" s="237" t="s">
        <v>231</v>
      </c>
      <c r="DL123" s="237" t="s">
        <v>231</v>
      </c>
      <c r="DM123" s="237" t="s">
        <v>231</v>
      </c>
      <c r="DN123" s="237" t="s">
        <v>231</v>
      </c>
      <c r="DO123" s="237" t="s">
        <v>231</v>
      </c>
      <c r="DP123" s="237" t="s">
        <v>231</v>
      </c>
      <c r="DQ123" s="237" t="s">
        <v>231</v>
      </c>
      <c r="DR123" s="237" t="s">
        <v>231</v>
      </c>
      <c r="DS123" s="237" t="s">
        <v>231</v>
      </c>
      <c r="DT123" s="237" t="s">
        <v>492</v>
      </c>
      <c r="DU123" s="237" t="s">
        <v>231</v>
      </c>
      <c r="DV123" s="237" t="s">
        <v>492</v>
      </c>
      <c r="DW123" s="237" t="s">
        <v>492</v>
      </c>
      <c r="DX123" s="237" t="s">
        <v>492</v>
      </c>
      <c r="DY123" s="237" t="s">
        <v>492</v>
      </c>
      <c r="DZ123" s="237" t="s">
        <v>492</v>
      </c>
      <c r="EA123" s="237" t="s">
        <v>492</v>
      </c>
      <c r="EB123" s="237" t="s">
        <v>492</v>
      </c>
      <c r="EC123" s="237" t="s">
        <v>492</v>
      </c>
      <c r="ED123" s="237" t="s">
        <v>492</v>
      </c>
      <c r="EE123" s="237" t="s">
        <v>492</v>
      </c>
      <c r="EF123" s="237" t="s">
        <v>492</v>
      </c>
      <c r="EG123" s="237" t="s">
        <v>492</v>
      </c>
      <c r="EH123" s="237" t="s">
        <v>492</v>
      </c>
      <c r="EI123" s="237" t="s">
        <v>492</v>
      </c>
      <c r="EJ123" s="237" t="s">
        <v>231</v>
      </c>
      <c r="EK123" s="237" t="s">
        <v>231</v>
      </c>
      <c r="EL123" s="237" t="s">
        <v>231</v>
      </c>
      <c r="EM123" s="237" t="s">
        <v>231</v>
      </c>
      <c r="EN123" s="237" t="s">
        <v>231</v>
      </c>
      <c r="EO123" s="237" t="s">
        <v>231</v>
      </c>
      <c r="EP123" s="237" t="s">
        <v>231</v>
      </c>
      <c r="EQ123" s="237" t="s">
        <v>231</v>
      </c>
      <c r="ER123" s="237" t="s">
        <v>231</v>
      </c>
      <c r="ES123" s="237" t="s">
        <v>231</v>
      </c>
      <c r="ET123" s="237" t="s">
        <v>231</v>
      </c>
      <c r="EU123" s="237" t="s">
        <v>231</v>
      </c>
      <c r="EV123" s="237" t="s">
        <v>231</v>
      </c>
      <c r="EW123" s="237" t="s">
        <v>231</v>
      </c>
      <c r="EX123" s="237" t="s">
        <v>231</v>
      </c>
      <c r="EY123" s="237" t="s">
        <v>231</v>
      </c>
      <c r="EZ123" s="237" t="s">
        <v>231</v>
      </c>
      <c r="FA123" s="237" t="s">
        <v>231</v>
      </c>
      <c r="FB123" s="237" t="s">
        <v>231</v>
      </c>
      <c r="FC123" s="237" t="s">
        <v>231</v>
      </c>
      <c r="FD123" s="237" t="s">
        <v>231</v>
      </c>
      <c r="FE123" s="237" t="s">
        <v>231</v>
      </c>
      <c r="FF123" s="237" t="s">
        <v>231</v>
      </c>
      <c r="FG123" s="237" t="s">
        <v>492</v>
      </c>
      <c r="FH123" s="237" t="s">
        <v>492</v>
      </c>
      <c r="FI123" s="237" t="s">
        <v>492</v>
      </c>
      <c r="FJ123" s="237" t="s">
        <v>492</v>
      </c>
      <c r="FK123" s="237" t="s">
        <v>492</v>
      </c>
      <c r="FL123" s="237" t="s">
        <v>492</v>
      </c>
      <c r="FM123" s="237" t="s">
        <v>231</v>
      </c>
      <c r="FN123" s="237" t="s">
        <v>231</v>
      </c>
      <c r="FO123" s="237" t="s">
        <v>231</v>
      </c>
      <c r="FP123" s="237" t="s">
        <v>231</v>
      </c>
      <c r="FQ123" s="237" t="s">
        <v>231</v>
      </c>
      <c r="FR123" s="237" t="s">
        <v>231</v>
      </c>
      <c r="FS123" s="237" t="s">
        <v>231</v>
      </c>
      <c r="FT123" s="237" t="s">
        <v>492</v>
      </c>
      <c r="FU123" s="237" t="s">
        <v>231</v>
      </c>
      <c r="FV123" s="237" t="s">
        <v>231</v>
      </c>
      <c r="FW123" s="237" t="s">
        <v>231</v>
      </c>
      <c r="FX123" s="237" t="s">
        <v>492</v>
      </c>
      <c r="FY123" s="237" t="s">
        <v>231</v>
      </c>
      <c r="FZ123" s="237" t="s">
        <v>231</v>
      </c>
      <c r="GA123" s="237" t="s">
        <v>231</v>
      </c>
      <c r="GB123" s="237" t="s">
        <v>231</v>
      </c>
      <c r="GC123" s="237" t="s">
        <v>231</v>
      </c>
      <c r="GD123" s="237" t="s">
        <v>231</v>
      </c>
      <c r="GE123" s="237" t="s">
        <v>231</v>
      </c>
      <c r="GF123" s="237" t="s">
        <v>231</v>
      </c>
      <c r="GG123" s="237" t="s">
        <v>231</v>
      </c>
      <c r="GH123" s="237" t="s">
        <v>231</v>
      </c>
      <c r="GI123" s="237" t="s">
        <v>231</v>
      </c>
      <c r="GJ123" s="237" t="s">
        <v>231</v>
      </c>
      <c r="GK123" s="237" t="s">
        <v>231</v>
      </c>
      <c r="GL123" s="237" t="s">
        <v>231</v>
      </c>
      <c r="GM123" s="237" t="s">
        <v>231</v>
      </c>
      <c r="GN123" s="237" t="s">
        <v>231</v>
      </c>
      <c r="GO123" s="237" t="s">
        <v>231</v>
      </c>
      <c r="GP123" s="237" t="s">
        <v>492</v>
      </c>
      <c r="GQ123" s="237" t="s">
        <v>231</v>
      </c>
      <c r="GR123" s="237" t="s">
        <v>231</v>
      </c>
      <c r="GS123" s="237" t="s">
        <v>231</v>
      </c>
      <c r="GT123" s="237" t="s">
        <v>231</v>
      </c>
      <c r="GU123" s="237" t="s">
        <v>231</v>
      </c>
      <c r="GV123" s="237" t="s">
        <v>492</v>
      </c>
      <c r="GW123" s="237" t="s">
        <v>231</v>
      </c>
      <c r="GX123" s="237" t="s">
        <v>231</v>
      </c>
      <c r="GY123" s="237" t="s">
        <v>492</v>
      </c>
      <c r="GZ123" s="237" t="s">
        <v>492</v>
      </c>
      <c r="HA123" s="237" t="s">
        <v>231</v>
      </c>
      <c r="HB123" s="237" t="s">
        <v>231</v>
      </c>
      <c r="HC123" s="237" t="s">
        <v>231</v>
      </c>
      <c r="HD123" s="237" t="s">
        <v>492</v>
      </c>
      <c r="HE123" s="237" t="s">
        <v>492</v>
      </c>
      <c r="HF123" s="237" t="s">
        <v>492</v>
      </c>
      <c r="HG123" s="237" t="s">
        <v>231</v>
      </c>
      <c r="HH123" s="237" t="s">
        <v>231</v>
      </c>
      <c r="HI123" s="237" t="s">
        <v>231</v>
      </c>
      <c r="HJ123" s="237" t="s">
        <v>231</v>
      </c>
      <c r="HK123" s="237" t="s">
        <v>231</v>
      </c>
      <c r="HL123" s="237" t="s">
        <v>231</v>
      </c>
      <c r="HM123" s="237" t="s">
        <v>231</v>
      </c>
      <c r="HN123" s="237" t="s">
        <v>231</v>
      </c>
      <c r="HO123" s="237" t="s">
        <v>231</v>
      </c>
      <c r="HP123" s="237" t="s">
        <v>231</v>
      </c>
      <c r="HQ123" s="237" t="s">
        <v>492</v>
      </c>
      <c r="HR123" s="237" t="s">
        <v>492</v>
      </c>
      <c r="HS123" s="237" t="s">
        <v>492</v>
      </c>
      <c r="HT123" s="237" t="s">
        <v>492</v>
      </c>
      <c r="HU123" s="237" t="s">
        <v>231</v>
      </c>
      <c r="HV123" s="237" t="s">
        <v>231</v>
      </c>
      <c r="HW123" s="237" t="s">
        <v>231</v>
      </c>
      <c r="HX123" s="237" t="s">
        <v>231</v>
      </c>
      <c r="HY123" s="237" t="s">
        <v>231</v>
      </c>
      <c r="HZ123" s="237" t="s">
        <v>231</v>
      </c>
      <c r="IA123" s="237" t="s">
        <v>231</v>
      </c>
      <c r="IB123" s="237" t="s">
        <v>231</v>
      </c>
      <c r="IC123" s="237" t="s">
        <v>231</v>
      </c>
      <c r="ID123" s="237" t="s">
        <v>231</v>
      </c>
      <c r="IE123" s="237" t="s">
        <v>231</v>
      </c>
      <c r="IF123" s="237" t="s">
        <v>231</v>
      </c>
      <c r="IG123" s="237" t="s">
        <v>231</v>
      </c>
      <c r="IH123" s="237" t="s">
        <v>231</v>
      </c>
      <c r="II123" s="237" t="s">
        <v>231</v>
      </c>
      <c r="IJ123" s="237" t="s">
        <v>231</v>
      </c>
      <c r="IK123" s="237" t="s">
        <v>231</v>
      </c>
      <c r="IL123" s="237" t="s">
        <v>231</v>
      </c>
      <c r="IM123" s="237" t="s">
        <v>231</v>
      </c>
      <c r="IN123" s="237" t="s">
        <v>231</v>
      </c>
      <c r="IO123" s="237" t="s">
        <v>220</v>
      </c>
      <c r="IP123" s="237" t="s">
        <v>493</v>
      </c>
      <c r="IQ123" s="237" t="s">
        <v>219</v>
      </c>
      <c r="IR123" s="237" t="s">
        <v>490</v>
      </c>
      <c r="IS123" s="237" t="s">
        <v>231</v>
      </c>
      <c r="IT123" s="237" t="s">
        <v>231</v>
      </c>
    </row>
    <row r="124" spans="1:254" ht="15" x14ac:dyDescent="0.25">
      <c r="A124" s="259" t="str">
        <f>HYPERLINK("http://www.ofsted.gov.uk/inspection-reports/find-inspection-report/provider/ELS/138878 ","Ofsted School Webpage")</f>
        <v>Ofsted School Webpage</v>
      </c>
      <c r="B124" s="240">
        <v>138878</v>
      </c>
      <c r="C124" s="240">
        <v>3416003</v>
      </c>
      <c r="D124" s="240" t="s">
        <v>817</v>
      </c>
      <c r="E124" s="240" t="s">
        <v>247</v>
      </c>
      <c r="F124" s="240" t="s">
        <v>482</v>
      </c>
      <c r="G124" s="240" t="s">
        <v>495</v>
      </c>
      <c r="H124" s="240" t="s">
        <v>495</v>
      </c>
      <c r="I124" s="240" t="s">
        <v>736</v>
      </c>
      <c r="J124" s="240" t="s">
        <v>818</v>
      </c>
      <c r="K124" s="240" t="s">
        <v>93</v>
      </c>
      <c r="L124" s="240" t="s">
        <v>93</v>
      </c>
      <c r="M124" s="240" t="s">
        <v>93</v>
      </c>
      <c r="N124" s="240" t="s">
        <v>90</v>
      </c>
      <c r="O124" s="240" t="s">
        <v>486</v>
      </c>
      <c r="P124" s="240" t="s">
        <v>487</v>
      </c>
      <c r="Q124" s="241">
        <v>10053735</v>
      </c>
      <c r="R124" s="242">
        <v>43431</v>
      </c>
      <c r="S124" s="242">
        <v>43433</v>
      </c>
      <c r="T124" s="242">
        <v>43453</v>
      </c>
      <c r="U124" s="240" t="s">
        <v>488</v>
      </c>
      <c r="V124" s="240" t="s">
        <v>489</v>
      </c>
      <c r="W124" s="240">
        <v>2</v>
      </c>
      <c r="X124" s="240">
        <v>2</v>
      </c>
      <c r="Y124" s="240">
        <v>2</v>
      </c>
      <c r="Z124" s="240">
        <v>2</v>
      </c>
      <c r="AA124" s="240">
        <v>2</v>
      </c>
      <c r="AB124" s="240" t="s">
        <v>486</v>
      </c>
      <c r="AC124" s="240" t="s">
        <v>486</v>
      </c>
      <c r="AD124" s="240" t="s">
        <v>219</v>
      </c>
      <c r="AE124" s="240" t="s">
        <v>490</v>
      </c>
      <c r="AF124" s="240" t="s">
        <v>486</v>
      </c>
      <c r="AG124" s="240" t="s">
        <v>486</v>
      </c>
      <c r="AH124" s="240" t="s">
        <v>486</v>
      </c>
      <c r="AI124" s="240" t="s">
        <v>486</v>
      </c>
      <c r="AJ124" s="240" t="s">
        <v>486</v>
      </c>
      <c r="AK124" s="240" t="s">
        <v>486</v>
      </c>
      <c r="AL124" s="240" t="s">
        <v>486</v>
      </c>
      <c r="AM124" s="240" t="s">
        <v>491</v>
      </c>
      <c r="AN124" s="240" t="s">
        <v>231</v>
      </c>
      <c r="AO124" s="240" t="s">
        <v>231</v>
      </c>
      <c r="AP124" s="240" t="s">
        <v>231</v>
      </c>
      <c r="AQ124" s="240" t="s">
        <v>231</v>
      </c>
      <c r="AR124" s="240" t="s">
        <v>231</v>
      </c>
      <c r="AS124" s="240" t="s">
        <v>231</v>
      </c>
      <c r="AT124" s="240" t="s">
        <v>231</v>
      </c>
      <c r="AU124" s="240" t="s">
        <v>231</v>
      </c>
      <c r="AV124" s="240" t="s">
        <v>231</v>
      </c>
      <c r="AW124" s="240" t="s">
        <v>231</v>
      </c>
      <c r="AX124" s="240" t="s">
        <v>231</v>
      </c>
      <c r="AY124" s="240" t="s">
        <v>231</v>
      </c>
      <c r="AZ124" s="240" t="s">
        <v>231</v>
      </c>
      <c r="BA124" s="240" t="s">
        <v>231</v>
      </c>
      <c r="BB124" s="240" t="s">
        <v>231</v>
      </c>
      <c r="BC124" s="240" t="s">
        <v>231</v>
      </c>
      <c r="BD124" s="240" t="s">
        <v>492</v>
      </c>
      <c r="BE124" s="240" t="s">
        <v>231</v>
      </c>
      <c r="BF124" s="240" t="s">
        <v>231</v>
      </c>
      <c r="BG124" s="240" t="s">
        <v>231</v>
      </c>
      <c r="BH124" s="240" t="s">
        <v>231</v>
      </c>
      <c r="BI124" s="240" t="s">
        <v>231</v>
      </c>
      <c r="BJ124" s="240" t="s">
        <v>231</v>
      </c>
      <c r="BK124" s="240" t="s">
        <v>231</v>
      </c>
      <c r="BL124" s="240" t="s">
        <v>492</v>
      </c>
      <c r="BM124" s="240" t="s">
        <v>492</v>
      </c>
      <c r="BN124" s="240" t="s">
        <v>231</v>
      </c>
      <c r="BO124" s="240" t="s">
        <v>231</v>
      </c>
      <c r="BP124" s="240" t="s">
        <v>231</v>
      </c>
      <c r="BQ124" s="240" t="s">
        <v>231</v>
      </c>
      <c r="BR124" s="240" t="s">
        <v>231</v>
      </c>
      <c r="BS124" s="240" t="s">
        <v>231</v>
      </c>
      <c r="BT124" s="240" t="s">
        <v>231</v>
      </c>
      <c r="BU124" s="240" t="s">
        <v>231</v>
      </c>
      <c r="BV124" s="240" t="s">
        <v>231</v>
      </c>
      <c r="BW124" s="240" t="s">
        <v>231</v>
      </c>
      <c r="BX124" s="240" t="s">
        <v>231</v>
      </c>
      <c r="BY124" s="240" t="s">
        <v>231</v>
      </c>
      <c r="BZ124" s="240" t="s">
        <v>231</v>
      </c>
      <c r="CA124" s="240" t="s">
        <v>231</v>
      </c>
      <c r="CB124" s="240" t="s">
        <v>231</v>
      </c>
      <c r="CC124" s="240" t="s">
        <v>231</v>
      </c>
      <c r="CD124" s="240" t="s">
        <v>231</v>
      </c>
      <c r="CE124" s="240" t="s">
        <v>231</v>
      </c>
      <c r="CF124" s="240" t="s">
        <v>231</v>
      </c>
      <c r="CG124" s="240" t="s">
        <v>231</v>
      </c>
      <c r="CH124" s="240" t="s">
        <v>231</v>
      </c>
      <c r="CI124" s="240" t="s">
        <v>231</v>
      </c>
      <c r="CJ124" s="240" t="s">
        <v>231</v>
      </c>
      <c r="CK124" s="240" t="s">
        <v>231</v>
      </c>
      <c r="CL124" s="240" t="s">
        <v>231</v>
      </c>
      <c r="CM124" s="240" t="s">
        <v>231</v>
      </c>
      <c r="CN124" s="240" t="s">
        <v>231</v>
      </c>
      <c r="CO124" s="240" t="s">
        <v>231</v>
      </c>
      <c r="CP124" s="240" t="s">
        <v>231</v>
      </c>
      <c r="CQ124" s="240" t="s">
        <v>231</v>
      </c>
      <c r="CR124" s="240" t="s">
        <v>231</v>
      </c>
      <c r="CS124" s="240" t="s">
        <v>231</v>
      </c>
      <c r="CT124" s="240" t="s">
        <v>492</v>
      </c>
      <c r="CU124" s="240" t="s">
        <v>492</v>
      </c>
      <c r="CV124" s="240" t="s">
        <v>492</v>
      </c>
      <c r="CW124" s="240" t="s">
        <v>231</v>
      </c>
      <c r="CX124" s="240" t="s">
        <v>231</v>
      </c>
      <c r="CY124" s="240" t="s">
        <v>231</v>
      </c>
      <c r="CZ124" s="240" t="s">
        <v>231</v>
      </c>
      <c r="DA124" s="240" t="s">
        <v>231</v>
      </c>
      <c r="DB124" s="240" t="s">
        <v>231</v>
      </c>
      <c r="DC124" s="240" t="s">
        <v>231</v>
      </c>
      <c r="DD124" s="240" t="s">
        <v>231</v>
      </c>
      <c r="DE124" s="240" t="s">
        <v>231</v>
      </c>
      <c r="DF124" s="240" t="s">
        <v>231</v>
      </c>
      <c r="DG124" s="240" t="s">
        <v>231</v>
      </c>
      <c r="DH124" s="240" t="s">
        <v>231</v>
      </c>
      <c r="DI124" s="240" t="s">
        <v>231</v>
      </c>
      <c r="DJ124" s="240" t="s">
        <v>231</v>
      </c>
      <c r="DK124" s="240" t="s">
        <v>231</v>
      </c>
      <c r="DL124" s="240" t="s">
        <v>231</v>
      </c>
      <c r="DM124" s="240" t="s">
        <v>231</v>
      </c>
      <c r="DN124" s="240" t="s">
        <v>231</v>
      </c>
      <c r="DO124" s="240" t="s">
        <v>231</v>
      </c>
      <c r="DP124" s="240" t="s">
        <v>231</v>
      </c>
      <c r="DQ124" s="240" t="s">
        <v>231</v>
      </c>
      <c r="DR124" s="240" t="s">
        <v>231</v>
      </c>
      <c r="DS124" s="240" t="s">
        <v>231</v>
      </c>
      <c r="DT124" s="240" t="s">
        <v>492</v>
      </c>
      <c r="DU124" s="240" t="s">
        <v>231</v>
      </c>
      <c r="DV124" s="240" t="s">
        <v>492</v>
      </c>
      <c r="DW124" s="240" t="s">
        <v>492</v>
      </c>
      <c r="DX124" s="240" t="s">
        <v>492</v>
      </c>
      <c r="DY124" s="240" t="s">
        <v>492</v>
      </c>
      <c r="DZ124" s="240" t="s">
        <v>492</v>
      </c>
      <c r="EA124" s="240" t="s">
        <v>492</v>
      </c>
      <c r="EB124" s="240" t="s">
        <v>492</v>
      </c>
      <c r="EC124" s="240" t="s">
        <v>492</v>
      </c>
      <c r="ED124" s="240" t="s">
        <v>492</v>
      </c>
      <c r="EE124" s="240" t="s">
        <v>492</v>
      </c>
      <c r="EF124" s="240" t="s">
        <v>492</v>
      </c>
      <c r="EG124" s="240" t="s">
        <v>492</v>
      </c>
      <c r="EH124" s="240" t="s">
        <v>492</v>
      </c>
      <c r="EI124" s="240" t="s">
        <v>492</v>
      </c>
      <c r="EJ124" s="240" t="s">
        <v>492</v>
      </c>
      <c r="EK124" s="240" t="s">
        <v>492</v>
      </c>
      <c r="EL124" s="240" t="s">
        <v>492</v>
      </c>
      <c r="EM124" s="240" t="s">
        <v>492</v>
      </c>
      <c r="EN124" s="240" t="s">
        <v>492</v>
      </c>
      <c r="EO124" s="240" t="s">
        <v>492</v>
      </c>
      <c r="EP124" s="240" t="s">
        <v>492</v>
      </c>
      <c r="EQ124" s="240" t="s">
        <v>492</v>
      </c>
      <c r="ER124" s="240" t="s">
        <v>492</v>
      </c>
      <c r="ES124" s="240" t="s">
        <v>231</v>
      </c>
      <c r="ET124" s="240" t="s">
        <v>231</v>
      </c>
      <c r="EU124" s="240" t="s">
        <v>231</v>
      </c>
      <c r="EV124" s="240" t="s">
        <v>231</v>
      </c>
      <c r="EW124" s="240" t="s">
        <v>231</v>
      </c>
      <c r="EX124" s="240" t="s">
        <v>231</v>
      </c>
      <c r="EY124" s="240" t="s">
        <v>231</v>
      </c>
      <c r="EZ124" s="240" t="s">
        <v>231</v>
      </c>
      <c r="FA124" s="240" t="s">
        <v>231</v>
      </c>
      <c r="FB124" s="240" t="s">
        <v>231</v>
      </c>
      <c r="FC124" s="240" t="s">
        <v>231</v>
      </c>
      <c r="FD124" s="240" t="s">
        <v>231</v>
      </c>
      <c r="FE124" s="240" t="s">
        <v>231</v>
      </c>
      <c r="FF124" s="240" t="s">
        <v>492</v>
      </c>
      <c r="FG124" s="240" t="s">
        <v>492</v>
      </c>
      <c r="FH124" s="240" t="s">
        <v>492</v>
      </c>
      <c r="FI124" s="240" t="s">
        <v>492</v>
      </c>
      <c r="FJ124" s="240" t="s">
        <v>492</v>
      </c>
      <c r="FK124" s="240" t="s">
        <v>492</v>
      </c>
      <c r="FL124" s="240" t="s">
        <v>492</v>
      </c>
      <c r="FM124" s="240" t="s">
        <v>492</v>
      </c>
      <c r="FN124" s="240" t="s">
        <v>492</v>
      </c>
      <c r="FO124" s="240" t="s">
        <v>493</v>
      </c>
      <c r="FP124" s="240" t="s">
        <v>492</v>
      </c>
      <c r="FQ124" s="240" t="s">
        <v>231</v>
      </c>
      <c r="FR124" s="240" t="s">
        <v>231</v>
      </c>
      <c r="FS124" s="240" t="s">
        <v>231</v>
      </c>
      <c r="FT124" s="240" t="s">
        <v>231</v>
      </c>
      <c r="FU124" s="240" t="s">
        <v>231</v>
      </c>
      <c r="FV124" s="240" t="s">
        <v>231</v>
      </c>
      <c r="FW124" s="240" t="s">
        <v>231</v>
      </c>
      <c r="FX124" s="240" t="s">
        <v>492</v>
      </c>
      <c r="FY124" s="240" t="s">
        <v>231</v>
      </c>
      <c r="FZ124" s="240" t="s">
        <v>231</v>
      </c>
      <c r="GA124" s="240" t="s">
        <v>231</v>
      </c>
      <c r="GB124" s="240" t="s">
        <v>231</v>
      </c>
      <c r="GC124" s="240" t="s">
        <v>231</v>
      </c>
      <c r="GD124" s="240" t="s">
        <v>231</v>
      </c>
      <c r="GE124" s="240" t="s">
        <v>231</v>
      </c>
      <c r="GF124" s="240" t="s">
        <v>231</v>
      </c>
      <c r="GG124" s="240" t="s">
        <v>231</v>
      </c>
      <c r="GH124" s="240" t="s">
        <v>231</v>
      </c>
      <c r="GI124" s="240" t="s">
        <v>231</v>
      </c>
      <c r="GJ124" s="240" t="s">
        <v>231</v>
      </c>
      <c r="GK124" s="240" t="s">
        <v>231</v>
      </c>
      <c r="GL124" s="240" t="s">
        <v>231</v>
      </c>
      <c r="GM124" s="240" t="s">
        <v>231</v>
      </c>
      <c r="GN124" s="240" t="s">
        <v>231</v>
      </c>
      <c r="GO124" s="240" t="s">
        <v>231</v>
      </c>
      <c r="GP124" s="240" t="s">
        <v>492</v>
      </c>
      <c r="GQ124" s="240" t="s">
        <v>231</v>
      </c>
      <c r="GR124" s="240" t="s">
        <v>231</v>
      </c>
      <c r="GS124" s="240" t="s">
        <v>231</v>
      </c>
      <c r="GT124" s="240" t="s">
        <v>231</v>
      </c>
      <c r="GU124" s="240" t="s">
        <v>231</v>
      </c>
      <c r="GV124" s="240" t="s">
        <v>492</v>
      </c>
      <c r="GW124" s="240" t="s">
        <v>231</v>
      </c>
      <c r="GX124" s="240" t="s">
        <v>231</v>
      </c>
      <c r="GY124" s="240" t="s">
        <v>231</v>
      </c>
      <c r="GZ124" s="240" t="s">
        <v>492</v>
      </c>
      <c r="HA124" s="240" t="s">
        <v>492</v>
      </c>
      <c r="HB124" s="240" t="s">
        <v>231</v>
      </c>
      <c r="HC124" s="240" t="s">
        <v>231</v>
      </c>
      <c r="HD124" s="240" t="s">
        <v>231</v>
      </c>
      <c r="HE124" s="240" t="s">
        <v>231</v>
      </c>
      <c r="HF124" s="240" t="s">
        <v>492</v>
      </c>
      <c r="HG124" s="240" t="s">
        <v>492</v>
      </c>
      <c r="HH124" s="240" t="s">
        <v>231</v>
      </c>
      <c r="HI124" s="240" t="s">
        <v>231</v>
      </c>
      <c r="HJ124" s="240" t="s">
        <v>231</v>
      </c>
      <c r="HK124" s="240" t="s">
        <v>231</v>
      </c>
      <c r="HL124" s="240" t="s">
        <v>231</v>
      </c>
      <c r="HM124" s="240" t="s">
        <v>231</v>
      </c>
      <c r="HN124" s="240" t="s">
        <v>231</v>
      </c>
      <c r="HO124" s="240" t="s">
        <v>231</v>
      </c>
      <c r="HP124" s="240" t="s">
        <v>231</v>
      </c>
      <c r="HQ124" s="240" t="s">
        <v>492</v>
      </c>
      <c r="HR124" s="240" t="s">
        <v>492</v>
      </c>
      <c r="HS124" s="240" t="s">
        <v>492</v>
      </c>
      <c r="HT124" s="240" t="s">
        <v>492</v>
      </c>
      <c r="HU124" s="240" t="s">
        <v>231</v>
      </c>
      <c r="HV124" s="240" t="s">
        <v>231</v>
      </c>
      <c r="HW124" s="240" t="s">
        <v>231</v>
      </c>
      <c r="HX124" s="240" t="s">
        <v>231</v>
      </c>
      <c r="HY124" s="240" t="s">
        <v>231</v>
      </c>
      <c r="HZ124" s="240" t="s">
        <v>231</v>
      </c>
      <c r="IA124" s="240" t="s">
        <v>231</v>
      </c>
      <c r="IB124" s="240" t="s">
        <v>231</v>
      </c>
      <c r="IC124" s="240" t="s">
        <v>231</v>
      </c>
      <c r="ID124" s="240" t="s">
        <v>231</v>
      </c>
      <c r="IE124" s="240" t="s">
        <v>231</v>
      </c>
      <c r="IF124" s="240" t="s">
        <v>231</v>
      </c>
      <c r="IG124" s="240" t="s">
        <v>231</v>
      </c>
      <c r="IH124" s="240" t="s">
        <v>231</v>
      </c>
      <c r="II124" s="240" t="s">
        <v>231</v>
      </c>
      <c r="IJ124" s="240" t="s">
        <v>231</v>
      </c>
      <c r="IK124" s="240" t="s">
        <v>231</v>
      </c>
      <c r="IL124" s="240" t="s">
        <v>231</v>
      </c>
      <c r="IM124" s="240" t="s">
        <v>231</v>
      </c>
      <c r="IN124" s="240" t="s">
        <v>231</v>
      </c>
      <c r="IO124" s="240" t="s">
        <v>220</v>
      </c>
      <c r="IP124" s="240" t="s">
        <v>493</v>
      </c>
      <c r="IQ124" s="240" t="s">
        <v>219</v>
      </c>
      <c r="IR124" s="240" t="s">
        <v>490</v>
      </c>
      <c r="IS124" s="240" t="s">
        <v>492</v>
      </c>
      <c r="IT124" s="240" t="s">
        <v>661</v>
      </c>
    </row>
    <row r="125" spans="1:254" ht="15" x14ac:dyDescent="0.25">
      <c r="A125" s="258" t="str">
        <f>HYPERLINK("http://www.ofsted.gov.uk/inspection-reports/find-inspection-report/provider/ELS/101073 ","Ofsted School Webpage")</f>
        <v>Ofsted School Webpage</v>
      </c>
      <c r="B125" s="237">
        <v>101073</v>
      </c>
      <c r="C125" s="237">
        <v>2086344</v>
      </c>
      <c r="D125" s="237" t="s">
        <v>819</v>
      </c>
      <c r="E125" s="237" t="s">
        <v>247</v>
      </c>
      <c r="F125" s="237" t="s">
        <v>482</v>
      </c>
      <c r="G125" s="237" t="s">
        <v>506</v>
      </c>
      <c r="H125" s="237" t="s">
        <v>506</v>
      </c>
      <c r="I125" s="237" t="s">
        <v>820</v>
      </c>
      <c r="J125" s="237" t="s">
        <v>821</v>
      </c>
      <c r="K125" s="237" t="s">
        <v>93</v>
      </c>
      <c r="L125" s="237" t="s">
        <v>93</v>
      </c>
      <c r="M125" s="237" t="s">
        <v>93</v>
      </c>
      <c r="N125" s="237" t="s">
        <v>90</v>
      </c>
      <c r="O125" s="237" t="s">
        <v>486</v>
      </c>
      <c r="P125" s="237" t="s">
        <v>487</v>
      </c>
      <c r="Q125" s="238">
        <v>10085318</v>
      </c>
      <c r="R125" s="239">
        <v>43431</v>
      </c>
      <c r="S125" s="239">
        <v>43433</v>
      </c>
      <c r="T125" s="239">
        <v>43494</v>
      </c>
      <c r="U125" s="237" t="s">
        <v>488</v>
      </c>
      <c r="V125" s="237" t="s">
        <v>489</v>
      </c>
      <c r="W125" s="237">
        <v>4</v>
      </c>
      <c r="X125" s="237">
        <v>4</v>
      </c>
      <c r="Y125" s="237">
        <v>4</v>
      </c>
      <c r="Z125" s="237">
        <v>4</v>
      </c>
      <c r="AA125" s="237">
        <v>4</v>
      </c>
      <c r="AB125" s="237">
        <v>4</v>
      </c>
      <c r="AC125" s="237" t="s">
        <v>486</v>
      </c>
      <c r="AD125" s="237" t="s">
        <v>220</v>
      </c>
      <c r="AE125" s="237" t="s">
        <v>490</v>
      </c>
      <c r="AF125" s="237" t="s">
        <v>486</v>
      </c>
      <c r="AG125" s="237" t="s">
        <v>486</v>
      </c>
      <c r="AH125" s="237" t="s">
        <v>486</v>
      </c>
      <c r="AI125" s="237" t="s">
        <v>486</v>
      </c>
      <c r="AJ125" s="237" t="s">
        <v>486</v>
      </c>
      <c r="AK125" s="237" t="s">
        <v>486</v>
      </c>
      <c r="AL125" s="237" t="s">
        <v>486</v>
      </c>
      <c r="AM125" s="237" t="s">
        <v>545</v>
      </c>
      <c r="AN125" s="237" t="s">
        <v>546</v>
      </c>
      <c r="AO125" s="237" t="s">
        <v>546</v>
      </c>
      <c r="AP125" s="237" t="s">
        <v>546</v>
      </c>
      <c r="AQ125" s="237" t="s">
        <v>231</v>
      </c>
      <c r="AR125" s="237" t="s">
        <v>546</v>
      </c>
      <c r="AS125" s="237" t="s">
        <v>546</v>
      </c>
      <c r="AT125" s="237" t="s">
        <v>231</v>
      </c>
      <c r="AU125" s="237" t="s">
        <v>546</v>
      </c>
      <c r="AV125" s="237" t="s">
        <v>232</v>
      </c>
      <c r="AW125" s="237" t="s">
        <v>232</v>
      </c>
      <c r="AX125" s="237" t="s">
        <v>232</v>
      </c>
      <c r="AY125" s="237" t="s">
        <v>232</v>
      </c>
      <c r="AZ125" s="237" t="s">
        <v>231</v>
      </c>
      <c r="BA125" s="237" t="s">
        <v>232</v>
      </c>
      <c r="BB125" s="237" t="s">
        <v>231</v>
      </c>
      <c r="BC125" s="237" t="s">
        <v>231</v>
      </c>
      <c r="BD125" s="237" t="s">
        <v>492</v>
      </c>
      <c r="BE125" s="237" t="s">
        <v>231</v>
      </c>
      <c r="BF125" s="237" t="s">
        <v>231</v>
      </c>
      <c r="BG125" s="237" t="s">
        <v>231</v>
      </c>
      <c r="BH125" s="237" t="s">
        <v>232</v>
      </c>
      <c r="BI125" s="237" t="s">
        <v>232</v>
      </c>
      <c r="BJ125" s="237" t="s">
        <v>232</v>
      </c>
      <c r="BK125" s="237" t="s">
        <v>232</v>
      </c>
      <c r="BL125" s="237" t="s">
        <v>231</v>
      </c>
      <c r="BM125" s="237" t="s">
        <v>492</v>
      </c>
      <c r="BN125" s="237" t="s">
        <v>231</v>
      </c>
      <c r="BO125" s="237" t="s">
        <v>231</v>
      </c>
      <c r="BP125" s="237" t="s">
        <v>232</v>
      </c>
      <c r="BQ125" s="237" t="s">
        <v>232</v>
      </c>
      <c r="BR125" s="237" t="s">
        <v>231</v>
      </c>
      <c r="BS125" s="237" t="s">
        <v>232</v>
      </c>
      <c r="BT125" s="237" t="s">
        <v>232</v>
      </c>
      <c r="BU125" s="237" t="s">
        <v>231</v>
      </c>
      <c r="BV125" s="237" t="s">
        <v>231</v>
      </c>
      <c r="BW125" s="237" t="s">
        <v>232</v>
      </c>
      <c r="BX125" s="237" t="s">
        <v>231</v>
      </c>
      <c r="BY125" s="237" t="s">
        <v>231</v>
      </c>
      <c r="BZ125" s="237" t="s">
        <v>232</v>
      </c>
      <c r="CA125" s="237" t="s">
        <v>232</v>
      </c>
      <c r="CB125" s="237" t="s">
        <v>232</v>
      </c>
      <c r="CC125" s="237" t="s">
        <v>232</v>
      </c>
      <c r="CD125" s="237" t="s">
        <v>231</v>
      </c>
      <c r="CE125" s="237" t="s">
        <v>231</v>
      </c>
      <c r="CF125" s="237" t="s">
        <v>231</v>
      </c>
      <c r="CG125" s="237" t="s">
        <v>231</v>
      </c>
      <c r="CH125" s="237" t="s">
        <v>231</v>
      </c>
      <c r="CI125" s="237" t="s">
        <v>231</v>
      </c>
      <c r="CJ125" s="237" t="s">
        <v>231</v>
      </c>
      <c r="CK125" s="237" t="s">
        <v>231</v>
      </c>
      <c r="CL125" s="237" t="s">
        <v>231</v>
      </c>
      <c r="CM125" s="237" t="s">
        <v>231</v>
      </c>
      <c r="CN125" s="237" t="s">
        <v>231</v>
      </c>
      <c r="CO125" s="237" t="s">
        <v>231</v>
      </c>
      <c r="CP125" s="237" t="s">
        <v>231</v>
      </c>
      <c r="CQ125" s="237" t="s">
        <v>232</v>
      </c>
      <c r="CR125" s="237" t="s">
        <v>232</v>
      </c>
      <c r="CS125" s="237" t="s">
        <v>232</v>
      </c>
      <c r="CT125" s="237" t="s">
        <v>492</v>
      </c>
      <c r="CU125" s="237" t="s">
        <v>492</v>
      </c>
      <c r="CV125" s="237" t="s">
        <v>492</v>
      </c>
      <c r="CW125" s="237" t="s">
        <v>232</v>
      </c>
      <c r="CX125" s="237" t="s">
        <v>231</v>
      </c>
      <c r="CY125" s="237" t="s">
        <v>232</v>
      </c>
      <c r="CZ125" s="237" t="s">
        <v>232</v>
      </c>
      <c r="DA125" s="237" t="s">
        <v>232</v>
      </c>
      <c r="DB125" s="237" t="s">
        <v>232</v>
      </c>
      <c r="DC125" s="237" t="s">
        <v>232</v>
      </c>
      <c r="DD125" s="237" t="s">
        <v>232</v>
      </c>
      <c r="DE125" s="237" t="s">
        <v>231</v>
      </c>
      <c r="DF125" s="237" t="s">
        <v>232</v>
      </c>
      <c r="DG125" s="237" t="s">
        <v>232</v>
      </c>
      <c r="DH125" s="237" t="s">
        <v>232</v>
      </c>
      <c r="DI125" s="237" t="s">
        <v>232</v>
      </c>
      <c r="DJ125" s="237" t="s">
        <v>231</v>
      </c>
      <c r="DK125" s="237" t="s">
        <v>231</v>
      </c>
      <c r="DL125" s="237" t="s">
        <v>231</v>
      </c>
      <c r="DM125" s="237" t="s">
        <v>231</v>
      </c>
      <c r="DN125" s="237" t="s">
        <v>231</v>
      </c>
      <c r="DO125" s="237" t="s">
        <v>231</v>
      </c>
      <c r="DP125" s="237" t="s">
        <v>231</v>
      </c>
      <c r="DQ125" s="237" t="s">
        <v>231</v>
      </c>
      <c r="DR125" s="237" t="s">
        <v>231</v>
      </c>
      <c r="DS125" s="237" t="s">
        <v>231</v>
      </c>
      <c r="DT125" s="237" t="s">
        <v>492</v>
      </c>
      <c r="DU125" s="237" t="s">
        <v>231</v>
      </c>
      <c r="DV125" s="237" t="s">
        <v>492</v>
      </c>
      <c r="DW125" s="237" t="s">
        <v>492</v>
      </c>
      <c r="DX125" s="237" t="s">
        <v>492</v>
      </c>
      <c r="DY125" s="237" t="s">
        <v>492</v>
      </c>
      <c r="DZ125" s="237" t="s">
        <v>492</v>
      </c>
      <c r="EA125" s="237" t="s">
        <v>492</v>
      </c>
      <c r="EB125" s="237" t="s">
        <v>492</v>
      </c>
      <c r="EC125" s="237" t="s">
        <v>492</v>
      </c>
      <c r="ED125" s="237" t="s">
        <v>492</v>
      </c>
      <c r="EE125" s="237" t="s">
        <v>492</v>
      </c>
      <c r="EF125" s="237" t="s">
        <v>492</v>
      </c>
      <c r="EG125" s="237" t="s">
        <v>492</v>
      </c>
      <c r="EH125" s="237" t="s">
        <v>492</v>
      </c>
      <c r="EI125" s="237" t="s">
        <v>492</v>
      </c>
      <c r="EJ125" s="237" t="s">
        <v>231</v>
      </c>
      <c r="EK125" s="237" t="s">
        <v>231</v>
      </c>
      <c r="EL125" s="237" t="s">
        <v>231</v>
      </c>
      <c r="EM125" s="237" t="s">
        <v>231</v>
      </c>
      <c r="EN125" s="237" t="s">
        <v>231</v>
      </c>
      <c r="EO125" s="237" t="s">
        <v>231</v>
      </c>
      <c r="EP125" s="237" t="s">
        <v>231</v>
      </c>
      <c r="EQ125" s="237" t="s">
        <v>231</v>
      </c>
      <c r="ER125" s="237" t="s">
        <v>231</v>
      </c>
      <c r="ES125" s="237" t="s">
        <v>231</v>
      </c>
      <c r="ET125" s="237" t="s">
        <v>231</v>
      </c>
      <c r="EU125" s="237" t="s">
        <v>231</v>
      </c>
      <c r="EV125" s="237" t="s">
        <v>231</v>
      </c>
      <c r="EW125" s="237" t="s">
        <v>231</v>
      </c>
      <c r="EX125" s="237" t="s">
        <v>231</v>
      </c>
      <c r="EY125" s="237" t="s">
        <v>231</v>
      </c>
      <c r="EZ125" s="237" t="s">
        <v>231</v>
      </c>
      <c r="FA125" s="237" t="s">
        <v>231</v>
      </c>
      <c r="FB125" s="237" t="s">
        <v>231</v>
      </c>
      <c r="FC125" s="237" t="s">
        <v>231</v>
      </c>
      <c r="FD125" s="237" t="s">
        <v>231</v>
      </c>
      <c r="FE125" s="237" t="s">
        <v>231</v>
      </c>
      <c r="FF125" s="237" t="s">
        <v>231</v>
      </c>
      <c r="FG125" s="237" t="s">
        <v>492</v>
      </c>
      <c r="FH125" s="237" t="s">
        <v>492</v>
      </c>
      <c r="FI125" s="237" t="s">
        <v>492</v>
      </c>
      <c r="FJ125" s="237" t="s">
        <v>492</v>
      </c>
      <c r="FK125" s="237" t="s">
        <v>492</v>
      </c>
      <c r="FL125" s="237" t="s">
        <v>492</v>
      </c>
      <c r="FM125" s="237" t="s">
        <v>231</v>
      </c>
      <c r="FN125" s="237" t="s">
        <v>231</v>
      </c>
      <c r="FO125" s="237" t="s">
        <v>231</v>
      </c>
      <c r="FP125" s="237" t="s">
        <v>231</v>
      </c>
      <c r="FQ125" s="237" t="s">
        <v>231</v>
      </c>
      <c r="FR125" s="237" t="s">
        <v>231</v>
      </c>
      <c r="FS125" s="237" t="s">
        <v>231</v>
      </c>
      <c r="FT125" s="237" t="s">
        <v>231</v>
      </c>
      <c r="FU125" s="237" t="s">
        <v>232</v>
      </c>
      <c r="FV125" s="237" t="s">
        <v>231</v>
      </c>
      <c r="FW125" s="237" t="s">
        <v>232</v>
      </c>
      <c r="FX125" s="237" t="s">
        <v>492</v>
      </c>
      <c r="FY125" s="237" t="s">
        <v>231</v>
      </c>
      <c r="FZ125" s="237" t="s">
        <v>232</v>
      </c>
      <c r="GA125" s="237" t="s">
        <v>231</v>
      </c>
      <c r="GB125" s="237" t="s">
        <v>231</v>
      </c>
      <c r="GC125" s="237" t="s">
        <v>231</v>
      </c>
      <c r="GD125" s="237" t="s">
        <v>231</v>
      </c>
      <c r="GE125" s="237" t="s">
        <v>232</v>
      </c>
      <c r="GF125" s="237" t="s">
        <v>231</v>
      </c>
      <c r="GG125" s="237" t="s">
        <v>231</v>
      </c>
      <c r="GH125" s="237" t="s">
        <v>231</v>
      </c>
      <c r="GI125" s="237" t="s">
        <v>232</v>
      </c>
      <c r="GJ125" s="237" t="s">
        <v>231</v>
      </c>
      <c r="GK125" s="237" t="s">
        <v>231</v>
      </c>
      <c r="GL125" s="237" t="s">
        <v>231</v>
      </c>
      <c r="GM125" s="237" t="s">
        <v>231</v>
      </c>
      <c r="GN125" s="237" t="s">
        <v>231</v>
      </c>
      <c r="GO125" s="237" t="s">
        <v>231</v>
      </c>
      <c r="GP125" s="237" t="s">
        <v>492</v>
      </c>
      <c r="GQ125" s="237" t="s">
        <v>232</v>
      </c>
      <c r="GR125" s="237" t="s">
        <v>232</v>
      </c>
      <c r="GS125" s="237" t="s">
        <v>232</v>
      </c>
      <c r="GT125" s="237" t="s">
        <v>231</v>
      </c>
      <c r="GU125" s="237" t="s">
        <v>231</v>
      </c>
      <c r="GV125" s="237" t="s">
        <v>492</v>
      </c>
      <c r="GW125" s="237" t="s">
        <v>231</v>
      </c>
      <c r="GX125" s="237" t="s">
        <v>231</v>
      </c>
      <c r="GY125" s="237" t="s">
        <v>492</v>
      </c>
      <c r="GZ125" s="237" t="s">
        <v>492</v>
      </c>
      <c r="HA125" s="237" t="s">
        <v>492</v>
      </c>
      <c r="HB125" s="237" t="s">
        <v>232</v>
      </c>
      <c r="HC125" s="237" t="s">
        <v>231</v>
      </c>
      <c r="HD125" s="237" t="s">
        <v>232</v>
      </c>
      <c r="HE125" s="237" t="s">
        <v>492</v>
      </c>
      <c r="HF125" s="237" t="s">
        <v>232</v>
      </c>
      <c r="HG125" s="237" t="s">
        <v>492</v>
      </c>
      <c r="HH125" s="237" t="s">
        <v>231</v>
      </c>
      <c r="HI125" s="237" t="s">
        <v>232</v>
      </c>
      <c r="HJ125" s="237" t="s">
        <v>231</v>
      </c>
      <c r="HK125" s="237" t="s">
        <v>232</v>
      </c>
      <c r="HL125" s="237" t="s">
        <v>231</v>
      </c>
      <c r="HM125" s="237" t="s">
        <v>231</v>
      </c>
      <c r="HN125" s="237" t="s">
        <v>492</v>
      </c>
      <c r="HO125" s="237" t="s">
        <v>231</v>
      </c>
      <c r="HP125" s="237" t="s">
        <v>231</v>
      </c>
      <c r="HQ125" s="237" t="s">
        <v>492</v>
      </c>
      <c r="HR125" s="237" t="s">
        <v>492</v>
      </c>
      <c r="HS125" s="237" t="s">
        <v>492</v>
      </c>
      <c r="HT125" s="237" t="s">
        <v>492</v>
      </c>
      <c r="HU125" s="237" t="s">
        <v>231</v>
      </c>
      <c r="HV125" s="237" t="s">
        <v>231</v>
      </c>
      <c r="HW125" s="237" t="s">
        <v>231</v>
      </c>
      <c r="HX125" s="237" t="s">
        <v>231</v>
      </c>
      <c r="HY125" s="237" t="s">
        <v>231</v>
      </c>
      <c r="HZ125" s="237" t="s">
        <v>231</v>
      </c>
      <c r="IA125" s="237" t="s">
        <v>231</v>
      </c>
      <c r="IB125" s="237" t="s">
        <v>231</v>
      </c>
      <c r="IC125" s="237" t="s">
        <v>231</v>
      </c>
      <c r="ID125" s="237" t="s">
        <v>231</v>
      </c>
      <c r="IE125" s="237" t="s">
        <v>231</v>
      </c>
      <c r="IF125" s="237" t="s">
        <v>231</v>
      </c>
      <c r="IG125" s="237" t="s">
        <v>231</v>
      </c>
      <c r="IH125" s="237" t="s">
        <v>231</v>
      </c>
      <c r="II125" s="237" t="s">
        <v>231</v>
      </c>
      <c r="IJ125" s="237" t="s">
        <v>231</v>
      </c>
      <c r="IK125" s="237" t="s">
        <v>232</v>
      </c>
      <c r="IL125" s="237" t="s">
        <v>232</v>
      </c>
      <c r="IM125" s="237" t="s">
        <v>232</v>
      </c>
      <c r="IN125" s="237" t="s">
        <v>232</v>
      </c>
      <c r="IO125" s="237" t="s">
        <v>220</v>
      </c>
      <c r="IP125" s="237" t="s">
        <v>493</v>
      </c>
      <c r="IQ125" s="237" t="s">
        <v>219</v>
      </c>
      <c r="IR125" s="237" t="s">
        <v>512</v>
      </c>
      <c r="IS125" s="237" t="s">
        <v>232</v>
      </c>
      <c r="IT125" s="237" t="s">
        <v>232</v>
      </c>
    </row>
    <row r="126" spans="1:254" ht="15" x14ac:dyDescent="0.25">
      <c r="A126" s="259" t="str">
        <f>HYPERLINK("http://www.ofsted.gov.uk/inspection-reports/find-inspection-report/provider/ELS/132066 ","Ofsted School Webpage")</f>
        <v>Ofsted School Webpage</v>
      </c>
      <c r="B126" s="240">
        <v>132066</v>
      </c>
      <c r="C126" s="240">
        <v>2036299</v>
      </c>
      <c r="D126" s="240" t="s">
        <v>822</v>
      </c>
      <c r="E126" s="240" t="s">
        <v>247</v>
      </c>
      <c r="F126" s="240" t="s">
        <v>482</v>
      </c>
      <c r="G126" s="240" t="s">
        <v>506</v>
      </c>
      <c r="H126" s="240" t="s">
        <v>506</v>
      </c>
      <c r="I126" s="240" t="s">
        <v>823</v>
      </c>
      <c r="J126" s="240" t="s">
        <v>824</v>
      </c>
      <c r="K126" s="240" t="s">
        <v>93</v>
      </c>
      <c r="L126" s="240" t="s">
        <v>93</v>
      </c>
      <c r="M126" s="240" t="s">
        <v>93</v>
      </c>
      <c r="N126" s="240" t="s">
        <v>90</v>
      </c>
      <c r="O126" s="240" t="s">
        <v>486</v>
      </c>
      <c r="P126" s="240" t="s">
        <v>487</v>
      </c>
      <c r="Q126" s="241">
        <v>10085335</v>
      </c>
      <c r="R126" s="242">
        <v>43431</v>
      </c>
      <c r="S126" s="242">
        <v>43433</v>
      </c>
      <c r="T126" s="242">
        <v>43494</v>
      </c>
      <c r="U126" s="240" t="s">
        <v>488</v>
      </c>
      <c r="V126" s="240" t="s">
        <v>489</v>
      </c>
      <c r="W126" s="240">
        <v>3</v>
      </c>
      <c r="X126" s="240">
        <v>2</v>
      </c>
      <c r="Y126" s="240">
        <v>2</v>
      </c>
      <c r="Z126" s="240">
        <v>3</v>
      </c>
      <c r="AA126" s="240">
        <v>3</v>
      </c>
      <c r="AB126" s="240">
        <v>1</v>
      </c>
      <c r="AC126" s="240" t="s">
        <v>486</v>
      </c>
      <c r="AD126" s="240" t="s">
        <v>219</v>
      </c>
      <c r="AE126" s="240" t="s">
        <v>490</v>
      </c>
      <c r="AF126" s="240" t="s">
        <v>486</v>
      </c>
      <c r="AG126" s="240" t="s">
        <v>486</v>
      </c>
      <c r="AH126" s="240" t="s">
        <v>486</v>
      </c>
      <c r="AI126" s="240" t="s">
        <v>486</v>
      </c>
      <c r="AJ126" s="240" t="s">
        <v>486</v>
      </c>
      <c r="AK126" s="240" t="s">
        <v>486</v>
      </c>
      <c r="AL126" s="240" t="s">
        <v>486</v>
      </c>
      <c r="AM126" s="240" t="s">
        <v>491</v>
      </c>
      <c r="AN126" s="240" t="s">
        <v>231</v>
      </c>
      <c r="AO126" s="240" t="s">
        <v>231</v>
      </c>
      <c r="AP126" s="240" t="s">
        <v>231</v>
      </c>
      <c r="AQ126" s="240" t="s">
        <v>231</v>
      </c>
      <c r="AR126" s="240" t="s">
        <v>231</v>
      </c>
      <c r="AS126" s="240" t="s">
        <v>231</v>
      </c>
      <c r="AT126" s="240" t="s">
        <v>231</v>
      </c>
      <c r="AU126" s="240" t="s">
        <v>231</v>
      </c>
      <c r="AV126" s="240" t="s">
        <v>231</v>
      </c>
      <c r="AW126" s="240" t="s">
        <v>231</v>
      </c>
      <c r="AX126" s="240" t="s">
        <v>231</v>
      </c>
      <c r="AY126" s="240" t="s">
        <v>231</v>
      </c>
      <c r="AZ126" s="240" t="s">
        <v>231</v>
      </c>
      <c r="BA126" s="240" t="s">
        <v>231</v>
      </c>
      <c r="BB126" s="240" t="s">
        <v>231</v>
      </c>
      <c r="BC126" s="240" t="s">
        <v>231</v>
      </c>
      <c r="BD126" s="240" t="s">
        <v>492</v>
      </c>
      <c r="BE126" s="240" t="s">
        <v>231</v>
      </c>
      <c r="BF126" s="240" t="s">
        <v>231</v>
      </c>
      <c r="BG126" s="240" t="s">
        <v>231</v>
      </c>
      <c r="BH126" s="240" t="s">
        <v>231</v>
      </c>
      <c r="BI126" s="240" t="s">
        <v>231</v>
      </c>
      <c r="BJ126" s="240" t="s">
        <v>231</v>
      </c>
      <c r="BK126" s="240" t="s">
        <v>231</v>
      </c>
      <c r="BL126" s="240" t="s">
        <v>231</v>
      </c>
      <c r="BM126" s="240" t="s">
        <v>231</v>
      </c>
      <c r="BN126" s="240" t="s">
        <v>231</v>
      </c>
      <c r="BO126" s="240" t="s">
        <v>231</v>
      </c>
      <c r="BP126" s="240" t="s">
        <v>231</v>
      </c>
      <c r="BQ126" s="240" t="s">
        <v>231</v>
      </c>
      <c r="BR126" s="240" t="s">
        <v>231</v>
      </c>
      <c r="BS126" s="240" t="s">
        <v>231</v>
      </c>
      <c r="BT126" s="240" t="s">
        <v>231</v>
      </c>
      <c r="BU126" s="240" t="s">
        <v>231</v>
      </c>
      <c r="BV126" s="240" t="s">
        <v>231</v>
      </c>
      <c r="BW126" s="240" t="s">
        <v>231</v>
      </c>
      <c r="BX126" s="240" t="s">
        <v>231</v>
      </c>
      <c r="BY126" s="240" t="s">
        <v>231</v>
      </c>
      <c r="BZ126" s="240" t="s">
        <v>231</v>
      </c>
      <c r="CA126" s="240" t="s">
        <v>231</v>
      </c>
      <c r="CB126" s="240" t="s">
        <v>231</v>
      </c>
      <c r="CC126" s="240" t="s">
        <v>231</v>
      </c>
      <c r="CD126" s="240" t="s">
        <v>231</v>
      </c>
      <c r="CE126" s="240" t="s">
        <v>231</v>
      </c>
      <c r="CF126" s="240" t="s">
        <v>231</v>
      </c>
      <c r="CG126" s="240" t="s">
        <v>231</v>
      </c>
      <c r="CH126" s="240" t="s">
        <v>231</v>
      </c>
      <c r="CI126" s="240" t="s">
        <v>231</v>
      </c>
      <c r="CJ126" s="240" t="s">
        <v>231</v>
      </c>
      <c r="CK126" s="240" t="s">
        <v>231</v>
      </c>
      <c r="CL126" s="240" t="s">
        <v>231</v>
      </c>
      <c r="CM126" s="240" t="s">
        <v>231</v>
      </c>
      <c r="CN126" s="240" t="s">
        <v>231</v>
      </c>
      <c r="CO126" s="240" t="s">
        <v>231</v>
      </c>
      <c r="CP126" s="240" t="s">
        <v>231</v>
      </c>
      <c r="CQ126" s="240" t="s">
        <v>231</v>
      </c>
      <c r="CR126" s="240" t="s">
        <v>231</v>
      </c>
      <c r="CS126" s="240" t="s">
        <v>231</v>
      </c>
      <c r="CT126" s="240" t="s">
        <v>231</v>
      </c>
      <c r="CU126" s="240" t="s">
        <v>492</v>
      </c>
      <c r="CV126" s="240" t="s">
        <v>492</v>
      </c>
      <c r="CW126" s="240" t="s">
        <v>231</v>
      </c>
      <c r="CX126" s="240" t="s">
        <v>231</v>
      </c>
      <c r="CY126" s="240" t="s">
        <v>231</v>
      </c>
      <c r="CZ126" s="240" t="s">
        <v>231</v>
      </c>
      <c r="DA126" s="240" t="s">
        <v>231</v>
      </c>
      <c r="DB126" s="240" t="s">
        <v>231</v>
      </c>
      <c r="DC126" s="240" t="s">
        <v>231</v>
      </c>
      <c r="DD126" s="240" t="s">
        <v>231</v>
      </c>
      <c r="DE126" s="240" t="s">
        <v>231</v>
      </c>
      <c r="DF126" s="240" t="s">
        <v>231</v>
      </c>
      <c r="DG126" s="240" t="s">
        <v>231</v>
      </c>
      <c r="DH126" s="240" t="s">
        <v>231</v>
      </c>
      <c r="DI126" s="240" t="s">
        <v>231</v>
      </c>
      <c r="DJ126" s="240" t="s">
        <v>231</v>
      </c>
      <c r="DK126" s="240" t="s">
        <v>231</v>
      </c>
      <c r="DL126" s="240" t="s">
        <v>231</v>
      </c>
      <c r="DM126" s="240" t="s">
        <v>231</v>
      </c>
      <c r="DN126" s="240" t="s">
        <v>231</v>
      </c>
      <c r="DO126" s="240" t="s">
        <v>231</v>
      </c>
      <c r="DP126" s="240" t="s">
        <v>231</v>
      </c>
      <c r="DQ126" s="240" t="s">
        <v>231</v>
      </c>
      <c r="DR126" s="240" t="s">
        <v>231</v>
      </c>
      <c r="DS126" s="240" t="s">
        <v>231</v>
      </c>
      <c r="DT126" s="240" t="s">
        <v>492</v>
      </c>
      <c r="DU126" s="240" t="s">
        <v>231</v>
      </c>
      <c r="DV126" s="240" t="s">
        <v>231</v>
      </c>
      <c r="DW126" s="240" t="s">
        <v>231</v>
      </c>
      <c r="DX126" s="240" t="s">
        <v>231</v>
      </c>
      <c r="DY126" s="240" t="s">
        <v>231</v>
      </c>
      <c r="DZ126" s="240" t="s">
        <v>231</v>
      </c>
      <c r="EA126" s="240" t="s">
        <v>231</v>
      </c>
      <c r="EB126" s="240" t="s">
        <v>231</v>
      </c>
      <c r="EC126" s="240" t="s">
        <v>231</v>
      </c>
      <c r="ED126" s="240" t="s">
        <v>231</v>
      </c>
      <c r="EE126" s="240" t="s">
        <v>231</v>
      </c>
      <c r="EF126" s="240" t="s">
        <v>231</v>
      </c>
      <c r="EG126" s="240" t="s">
        <v>231</v>
      </c>
      <c r="EH126" s="240" t="s">
        <v>492</v>
      </c>
      <c r="EI126" s="240" t="s">
        <v>231</v>
      </c>
      <c r="EJ126" s="240" t="s">
        <v>231</v>
      </c>
      <c r="EK126" s="240" t="s">
        <v>231</v>
      </c>
      <c r="EL126" s="240" t="s">
        <v>231</v>
      </c>
      <c r="EM126" s="240" t="s">
        <v>231</v>
      </c>
      <c r="EN126" s="240" t="s">
        <v>231</v>
      </c>
      <c r="EO126" s="240" t="s">
        <v>231</v>
      </c>
      <c r="EP126" s="240" t="s">
        <v>231</v>
      </c>
      <c r="EQ126" s="240" t="s">
        <v>231</v>
      </c>
      <c r="ER126" s="240" t="s">
        <v>231</v>
      </c>
      <c r="ES126" s="240" t="s">
        <v>231</v>
      </c>
      <c r="ET126" s="240" t="s">
        <v>231</v>
      </c>
      <c r="EU126" s="240" t="s">
        <v>231</v>
      </c>
      <c r="EV126" s="240" t="s">
        <v>231</v>
      </c>
      <c r="EW126" s="240" t="s">
        <v>231</v>
      </c>
      <c r="EX126" s="240" t="s">
        <v>231</v>
      </c>
      <c r="EY126" s="240" t="s">
        <v>231</v>
      </c>
      <c r="EZ126" s="240" t="s">
        <v>231</v>
      </c>
      <c r="FA126" s="240" t="s">
        <v>231</v>
      </c>
      <c r="FB126" s="240" t="s">
        <v>231</v>
      </c>
      <c r="FC126" s="240" t="s">
        <v>231</v>
      </c>
      <c r="FD126" s="240" t="s">
        <v>231</v>
      </c>
      <c r="FE126" s="240" t="s">
        <v>231</v>
      </c>
      <c r="FF126" s="240" t="s">
        <v>231</v>
      </c>
      <c r="FG126" s="240" t="s">
        <v>231</v>
      </c>
      <c r="FH126" s="240" t="s">
        <v>231</v>
      </c>
      <c r="FI126" s="240" t="s">
        <v>231</v>
      </c>
      <c r="FJ126" s="240" t="s">
        <v>231</v>
      </c>
      <c r="FK126" s="240" t="s">
        <v>231</v>
      </c>
      <c r="FL126" s="240" t="s">
        <v>231</v>
      </c>
      <c r="FM126" s="240" t="s">
        <v>231</v>
      </c>
      <c r="FN126" s="240" t="s">
        <v>231</v>
      </c>
      <c r="FO126" s="240" t="s">
        <v>231</v>
      </c>
      <c r="FP126" s="240" t="s">
        <v>231</v>
      </c>
      <c r="FQ126" s="240" t="s">
        <v>231</v>
      </c>
      <c r="FR126" s="240" t="s">
        <v>231</v>
      </c>
      <c r="FS126" s="240" t="s">
        <v>231</v>
      </c>
      <c r="FT126" s="240" t="s">
        <v>231</v>
      </c>
      <c r="FU126" s="240" t="s">
        <v>231</v>
      </c>
      <c r="FV126" s="240" t="s">
        <v>231</v>
      </c>
      <c r="FW126" s="240" t="s">
        <v>231</v>
      </c>
      <c r="FX126" s="240" t="s">
        <v>492</v>
      </c>
      <c r="FY126" s="240" t="s">
        <v>231</v>
      </c>
      <c r="FZ126" s="240" t="s">
        <v>231</v>
      </c>
      <c r="GA126" s="240" t="s">
        <v>231</v>
      </c>
      <c r="GB126" s="240" t="s">
        <v>231</v>
      </c>
      <c r="GC126" s="240" t="s">
        <v>231</v>
      </c>
      <c r="GD126" s="240" t="s">
        <v>231</v>
      </c>
      <c r="GE126" s="240" t="s">
        <v>231</v>
      </c>
      <c r="GF126" s="240" t="s">
        <v>231</v>
      </c>
      <c r="GG126" s="240" t="s">
        <v>231</v>
      </c>
      <c r="GH126" s="240" t="s">
        <v>231</v>
      </c>
      <c r="GI126" s="240" t="s">
        <v>231</v>
      </c>
      <c r="GJ126" s="240" t="s">
        <v>231</v>
      </c>
      <c r="GK126" s="240" t="s">
        <v>231</v>
      </c>
      <c r="GL126" s="240" t="s">
        <v>231</v>
      </c>
      <c r="GM126" s="240" t="s">
        <v>231</v>
      </c>
      <c r="GN126" s="240" t="s">
        <v>231</v>
      </c>
      <c r="GO126" s="240" t="s">
        <v>231</v>
      </c>
      <c r="GP126" s="240" t="s">
        <v>492</v>
      </c>
      <c r="GQ126" s="240" t="s">
        <v>231</v>
      </c>
      <c r="GR126" s="240" t="s">
        <v>231</v>
      </c>
      <c r="GS126" s="240" t="s">
        <v>231</v>
      </c>
      <c r="GT126" s="240" t="s">
        <v>231</v>
      </c>
      <c r="GU126" s="240" t="s">
        <v>231</v>
      </c>
      <c r="GV126" s="240" t="s">
        <v>231</v>
      </c>
      <c r="GW126" s="240" t="s">
        <v>231</v>
      </c>
      <c r="GX126" s="240" t="s">
        <v>231</v>
      </c>
      <c r="GY126" s="240" t="s">
        <v>231</v>
      </c>
      <c r="GZ126" s="240" t="s">
        <v>231</v>
      </c>
      <c r="HA126" s="240" t="s">
        <v>231</v>
      </c>
      <c r="HB126" s="240" t="s">
        <v>231</v>
      </c>
      <c r="HC126" s="240" t="s">
        <v>231</v>
      </c>
      <c r="HD126" s="240" t="s">
        <v>231</v>
      </c>
      <c r="HE126" s="240" t="s">
        <v>492</v>
      </c>
      <c r="HF126" s="240" t="s">
        <v>231</v>
      </c>
      <c r="HG126" s="240" t="s">
        <v>231</v>
      </c>
      <c r="HH126" s="240" t="s">
        <v>231</v>
      </c>
      <c r="HI126" s="240" t="s">
        <v>231</v>
      </c>
      <c r="HJ126" s="240" t="s">
        <v>231</v>
      </c>
      <c r="HK126" s="240" t="s">
        <v>231</v>
      </c>
      <c r="HL126" s="240" t="s">
        <v>231</v>
      </c>
      <c r="HM126" s="240" t="s">
        <v>231</v>
      </c>
      <c r="HN126" s="240" t="s">
        <v>231</v>
      </c>
      <c r="HO126" s="240" t="s">
        <v>231</v>
      </c>
      <c r="HP126" s="240" t="s">
        <v>231</v>
      </c>
      <c r="HQ126" s="240" t="s">
        <v>231</v>
      </c>
      <c r="HR126" s="240" t="s">
        <v>231</v>
      </c>
      <c r="HS126" s="240" t="s">
        <v>231</v>
      </c>
      <c r="HT126" s="240" t="s">
        <v>231</v>
      </c>
      <c r="HU126" s="240" t="s">
        <v>231</v>
      </c>
      <c r="HV126" s="240" t="s">
        <v>231</v>
      </c>
      <c r="HW126" s="240" t="s">
        <v>231</v>
      </c>
      <c r="HX126" s="240" t="s">
        <v>231</v>
      </c>
      <c r="HY126" s="240" t="s">
        <v>231</v>
      </c>
      <c r="HZ126" s="240" t="s">
        <v>231</v>
      </c>
      <c r="IA126" s="240" t="s">
        <v>231</v>
      </c>
      <c r="IB126" s="240" t="s">
        <v>231</v>
      </c>
      <c r="IC126" s="240" t="s">
        <v>231</v>
      </c>
      <c r="ID126" s="240" t="s">
        <v>231</v>
      </c>
      <c r="IE126" s="240" t="s">
        <v>231</v>
      </c>
      <c r="IF126" s="240" t="s">
        <v>231</v>
      </c>
      <c r="IG126" s="240" t="s">
        <v>231</v>
      </c>
      <c r="IH126" s="240" t="s">
        <v>231</v>
      </c>
      <c r="II126" s="240" t="s">
        <v>231</v>
      </c>
      <c r="IJ126" s="240" t="s">
        <v>231</v>
      </c>
      <c r="IK126" s="240" t="s">
        <v>231</v>
      </c>
      <c r="IL126" s="240" t="s">
        <v>231</v>
      </c>
      <c r="IM126" s="240" t="s">
        <v>231</v>
      </c>
      <c r="IN126" s="240" t="s">
        <v>231</v>
      </c>
      <c r="IO126" s="240" t="s">
        <v>220</v>
      </c>
      <c r="IP126" s="240" t="s">
        <v>493</v>
      </c>
      <c r="IQ126" s="240" t="s">
        <v>219</v>
      </c>
      <c r="IR126" s="240" t="s">
        <v>490</v>
      </c>
      <c r="IS126" s="240" t="s">
        <v>231</v>
      </c>
      <c r="IT126" s="240" t="s">
        <v>231</v>
      </c>
    </row>
    <row r="127" spans="1:254" ht="15" x14ac:dyDescent="0.25">
      <c r="A127" s="258" t="str">
        <f>HYPERLINK("http://www.ofsted.gov.uk/inspection-reports/find-inspection-report/provider/ELS/137567 ","Ofsted School Webpage")</f>
        <v>Ofsted School Webpage</v>
      </c>
      <c r="B127" s="237">
        <v>137567</v>
      </c>
      <c r="C127" s="237">
        <v>3066000</v>
      </c>
      <c r="D127" s="237" t="s">
        <v>825</v>
      </c>
      <c r="E127" s="237" t="s">
        <v>247</v>
      </c>
      <c r="F127" s="237" t="s">
        <v>482</v>
      </c>
      <c r="G127" s="237" t="s">
        <v>506</v>
      </c>
      <c r="H127" s="237" t="s">
        <v>506</v>
      </c>
      <c r="I127" s="237" t="s">
        <v>826</v>
      </c>
      <c r="J127" s="237" t="s">
        <v>827</v>
      </c>
      <c r="K127" s="237" t="s">
        <v>93</v>
      </c>
      <c r="L127" s="237" t="s">
        <v>93</v>
      </c>
      <c r="M127" s="237" t="s">
        <v>93</v>
      </c>
      <c r="N127" s="237" t="s">
        <v>90</v>
      </c>
      <c r="O127" s="237" t="s">
        <v>486</v>
      </c>
      <c r="P127" s="237" t="s">
        <v>487</v>
      </c>
      <c r="Q127" s="238">
        <v>10054301</v>
      </c>
      <c r="R127" s="239">
        <v>43431</v>
      </c>
      <c r="S127" s="239">
        <v>43433</v>
      </c>
      <c r="T127" s="239">
        <v>43472</v>
      </c>
      <c r="U127" s="237" t="s">
        <v>488</v>
      </c>
      <c r="V127" s="237" t="s">
        <v>489</v>
      </c>
      <c r="W127" s="237">
        <v>2</v>
      </c>
      <c r="X127" s="237">
        <v>2</v>
      </c>
      <c r="Y127" s="237">
        <v>2</v>
      </c>
      <c r="Z127" s="237">
        <v>2</v>
      </c>
      <c r="AA127" s="237">
        <v>2</v>
      </c>
      <c r="AB127" s="237" t="s">
        <v>486</v>
      </c>
      <c r="AC127" s="237">
        <v>2</v>
      </c>
      <c r="AD127" s="237" t="s">
        <v>219</v>
      </c>
      <c r="AE127" s="237" t="s">
        <v>490</v>
      </c>
      <c r="AF127" s="237" t="s">
        <v>486</v>
      </c>
      <c r="AG127" s="237" t="s">
        <v>486</v>
      </c>
      <c r="AH127" s="237" t="s">
        <v>486</v>
      </c>
      <c r="AI127" s="237" t="s">
        <v>486</v>
      </c>
      <c r="AJ127" s="237" t="s">
        <v>486</v>
      </c>
      <c r="AK127" s="237" t="s">
        <v>486</v>
      </c>
      <c r="AL127" s="237" t="s">
        <v>486</v>
      </c>
      <c r="AM127" s="237" t="s">
        <v>491</v>
      </c>
      <c r="AN127" s="237" t="s">
        <v>231</v>
      </c>
      <c r="AO127" s="237" t="s">
        <v>231</v>
      </c>
      <c r="AP127" s="237" t="s">
        <v>231</v>
      </c>
      <c r="AQ127" s="237" t="s">
        <v>231</v>
      </c>
      <c r="AR127" s="237" t="s">
        <v>231</v>
      </c>
      <c r="AS127" s="237" t="s">
        <v>231</v>
      </c>
      <c r="AT127" s="237" t="s">
        <v>231</v>
      </c>
      <c r="AU127" s="237" t="s">
        <v>231</v>
      </c>
      <c r="AV127" s="237" t="s">
        <v>231</v>
      </c>
      <c r="AW127" s="237" t="s">
        <v>231</v>
      </c>
      <c r="AX127" s="237" t="s">
        <v>231</v>
      </c>
      <c r="AY127" s="237" t="s">
        <v>231</v>
      </c>
      <c r="AZ127" s="237" t="s">
        <v>231</v>
      </c>
      <c r="BA127" s="237" t="s">
        <v>231</v>
      </c>
      <c r="BB127" s="237" t="s">
        <v>231</v>
      </c>
      <c r="BC127" s="237" t="s">
        <v>231</v>
      </c>
      <c r="BD127" s="237" t="s">
        <v>492</v>
      </c>
      <c r="BE127" s="237" t="s">
        <v>231</v>
      </c>
      <c r="BF127" s="237" t="s">
        <v>231</v>
      </c>
      <c r="BG127" s="237" t="s">
        <v>231</v>
      </c>
      <c r="BH127" s="237" t="s">
        <v>231</v>
      </c>
      <c r="BI127" s="237" t="s">
        <v>231</v>
      </c>
      <c r="BJ127" s="237" t="s">
        <v>231</v>
      </c>
      <c r="BK127" s="237" t="s">
        <v>231</v>
      </c>
      <c r="BL127" s="237" t="s">
        <v>492</v>
      </c>
      <c r="BM127" s="237" t="s">
        <v>231</v>
      </c>
      <c r="BN127" s="237" t="s">
        <v>231</v>
      </c>
      <c r="BO127" s="237" t="s">
        <v>231</v>
      </c>
      <c r="BP127" s="237" t="s">
        <v>231</v>
      </c>
      <c r="BQ127" s="237" t="s">
        <v>231</v>
      </c>
      <c r="BR127" s="237" t="s">
        <v>231</v>
      </c>
      <c r="BS127" s="237" t="s">
        <v>231</v>
      </c>
      <c r="BT127" s="237" t="s">
        <v>231</v>
      </c>
      <c r="BU127" s="237" t="s">
        <v>231</v>
      </c>
      <c r="BV127" s="237" t="s">
        <v>231</v>
      </c>
      <c r="BW127" s="237" t="s">
        <v>231</v>
      </c>
      <c r="BX127" s="237" t="s">
        <v>231</v>
      </c>
      <c r="BY127" s="237" t="s">
        <v>231</v>
      </c>
      <c r="BZ127" s="237" t="s">
        <v>231</v>
      </c>
      <c r="CA127" s="237" t="s">
        <v>231</v>
      </c>
      <c r="CB127" s="237" t="s">
        <v>231</v>
      </c>
      <c r="CC127" s="237" t="s">
        <v>231</v>
      </c>
      <c r="CD127" s="237" t="s">
        <v>231</v>
      </c>
      <c r="CE127" s="237" t="s">
        <v>231</v>
      </c>
      <c r="CF127" s="237" t="s">
        <v>231</v>
      </c>
      <c r="CG127" s="237" t="s">
        <v>231</v>
      </c>
      <c r="CH127" s="237" t="s">
        <v>231</v>
      </c>
      <c r="CI127" s="237" t="s">
        <v>231</v>
      </c>
      <c r="CJ127" s="237" t="s">
        <v>231</v>
      </c>
      <c r="CK127" s="237" t="s">
        <v>231</v>
      </c>
      <c r="CL127" s="237" t="s">
        <v>231</v>
      </c>
      <c r="CM127" s="237" t="s">
        <v>231</v>
      </c>
      <c r="CN127" s="237" t="s">
        <v>231</v>
      </c>
      <c r="CO127" s="237" t="s">
        <v>231</v>
      </c>
      <c r="CP127" s="237" t="s">
        <v>231</v>
      </c>
      <c r="CQ127" s="237" t="s">
        <v>231</v>
      </c>
      <c r="CR127" s="237" t="s">
        <v>231</v>
      </c>
      <c r="CS127" s="237" t="s">
        <v>231</v>
      </c>
      <c r="CT127" s="237" t="s">
        <v>492</v>
      </c>
      <c r="CU127" s="237" t="s">
        <v>492</v>
      </c>
      <c r="CV127" s="237" t="s">
        <v>492</v>
      </c>
      <c r="CW127" s="237" t="s">
        <v>231</v>
      </c>
      <c r="CX127" s="237" t="s">
        <v>231</v>
      </c>
      <c r="CY127" s="237" t="s">
        <v>231</v>
      </c>
      <c r="CZ127" s="237" t="s">
        <v>231</v>
      </c>
      <c r="DA127" s="237" t="s">
        <v>231</v>
      </c>
      <c r="DB127" s="237" t="s">
        <v>231</v>
      </c>
      <c r="DC127" s="237" t="s">
        <v>231</v>
      </c>
      <c r="DD127" s="237" t="s">
        <v>231</v>
      </c>
      <c r="DE127" s="237" t="s">
        <v>231</v>
      </c>
      <c r="DF127" s="237" t="s">
        <v>231</v>
      </c>
      <c r="DG127" s="237" t="s">
        <v>231</v>
      </c>
      <c r="DH127" s="237" t="s">
        <v>231</v>
      </c>
      <c r="DI127" s="237" t="s">
        <v>231</v>
      </c>
      <c r="DJ127" s="237" t="s">
        <v>231</v>
      </c>
      <c r="DK127" s="237" t="s">
        <v>231</v>
      </c>
      <c r="DL127" s="237" t="s">
        <v>231</v>
      </c>
      <c r="DM127" s="237" t="s">
        <v>231</v>
      </c>
      <c r="DN127" s="237" t="s">
        <v>231</v>
      </c>
      <c r="DO127" s="237" t="s">
        <v>231</v>
      </c>
      <c r="DP127" s="237" t="s">
        <v>231</v>
      </c>
      <c r="DQ127" s="237" t="s">
        <v>231</v>
      </c>
      <c r="DR127" s="237" t="s">
        <v>231</v>
      </c>
      <c r="DS127" s="237" t="s">
        <v>231</v>
      </c>
      <c r="DT127" s="237" t="s">
        <v>492</v>
      </c>
      <c r="DU127" s="237" t="s">
        <v>231</v>
      </c>
      <c r="DV127" s="237" t="s">
        <v>492</v>
      </c>
      <c r="DW127" s="237" t="s">
        <v>492</v>
      </c>
      <c r="DX127" s="237" t="s">
        <v>492</v>
      </c>
      <c r="DY127" s="237" t="s">
        <v>492</v>
      </c>
      <c r="DZ127" s="237" t="s">
        <v>492</v>
      </c>
      <c r="EA127" s="237" t="s">
        <v>492</v>
      </c>
      <c r="EB127" s="237" t="s">
        <v>492</v>
      </c>
      <c r="EC127" s="237" t="s">
        <v>492</v>
      </c>
      <c r="ED127" s="237" t="s">
        <v>492</v>
      </c>
      <c r="EE127" s="237" t="s">
        <v>492</v>
      </c>
      <c r="EF127" s="237" t="s">
        <v>492</v>
      </c>
      <c r="EG127" s="237" t="s">
        <v>492</v>
      </c>
      <c r="EH127" s="237" t="s">
        <v>492</v>
      </c>
      <c r="EI127" s="237" t="s">
        <v>492</v>
      </c>
      <c r="EJ127" s="237" t="s">
        <v>231</v>
      </c>
      <c r="EK127" s="237" t="s">
        <v>231</v>
      </c>
      <c r="EL127" s="237" t="s">
        <v>231</v>
      </c>
      <c r="EM127" s="237" t="s">
        <v>231</v>
      </c>
      <c r="EN127" s="237" t="s">
        <v>231</v>
      </c>
      <c r="EO127" s="237" t="s">
        <v>231</v>
      </c>
      <c r="EP127" s="237" t="s">
        <v>231</v>
      </c>
      <c r="EQ127" s="237" t="s">
        <v>231</v>
      </c>
      <c r="ER127" s="237" t="s">
        <v>231</v>
      </c>
      <c r="ES127" s="237" t="s">
        <v>231</v>
      </c>
      <c r="ET127" s="237" t="s">
        <v>231</v>
      </c>
      <c r="EU127" s="237" t="s">
        <v>231</v>
      </c>
      <c r="EV127" s="237" t="s">
        <v>231</v>
      </c>
      <c r="EW127" s="237" t="s">
        <v>231</v>
      </c>
      <c r="EX127" s="237" t="s">
        <v>231</v>
      </c>
      <c r="EY127" s="237" t="s">
        <v>231</v>
      </c>
      <c r="EZ127" s="237" t="s">
        <v>231</v>
      </c>
      <c r="FA127" s="237" t="s">
        <v>231</v>
      </c>
      <c r="FB127" s="237" t="s">
        <v>231</v>
      </c>
      <c r="FC127" s="237" t="s">
        <v>231</v>
      </c>
      <c r="FD127" s="237" t="s">
        <v>231</v>
      </c>
      <c r="FE127" s="237" t="s">
        <v>231</v>
      </c>
      <c r="FF127" s="237" t="s">
        <v>231</v>
      </c>
      <c r="FG127" s="237" t="s">
        <v>492</v>
      </c>
      <c r="FH127" s="237" t="s">
        <v>492</v>
      </c>
      <c r="FI127" s="237" t="s">
        <v>492</v>
      </c>
      <c r="FJ127" s="237" t="s">
        <v>492</v>
      </c>
      <c r="FK127" s="237" t="s">
        <v>492</v>
      </c>
      <c r="FL127" s="237" t="s">
        <v>492</v>
      </c>
      <c r="FM127" s="237" t="s">
        <v>231</v>
      </c>
      <c r="FN127" s="237" t="s">
        <v>492</v>
      </c>
      <c r="FO127" s="237" t="s">
        <v>493</v>
      </c>
      <c r="FP127" s="237" t="s">
        <v>492</v>
      </c>
      <c r="FQ127" s="237" t="s">
        <v>231</v>
      </c>
      <c r="FR127" s="237" t="s">
        <v>231</v>
      </c>
      <c r="FS127" s="237" t="s">
        <v>231</v>
      </c>
      <c r="FT127" s="237" t="s">
        <v>492</v>
      </c>
      <c r="FU127" s="237" t="s">
        <v>231</v>
      </c>
      <c r="FV127" s="237" t="s">
        <v>231</v>
      </c>
      <c r="FW127" s="237" t="s">
        <v>231</v>
      </c>
      <c r="FX127" s="237" t="s">
        <v>492</v>
      </c>
      <c r="FY127" s="237" t="s">
        <v>492</v>
      </c>
      <c r="FZ127" s="237" t="s">
        <v>231</v>
      </c>
      <c r="GA127" s="237" t="s">
        <v>231</v>
      </c>
      <c r="GB127" s="237" t="s">
        <v>231</v>
      </c>
      <c r="GC127" s="237" t="s">
        <v>231</v>
      </c>
      <c r="GD127" s="237" t="s">
        <v>231</v>
      </c>
      <c r="GE127" s="237" t="s">
        <v>231</v>
      </c>
      <c r="GF127" s="237" t="s">
        <v>231</v>
      </c>
      <c r="GG127" s="237" t="s">
        <v>231</v>
      </c>
      <c r="GH127" s="237" t="s">
        <v>231</v>
      </c>
      <c r="GI127" s="237" t="s">
        <v>231</v>
      </c>
      <c r="GJ127" s="237" t="s">
        <v>231</v>
      </c>
      <c r="GK127" s="237" t="s">
        <v>231</v>
      </c>
      <c r="GL127" s="237" t="s">
        <v>231</v>
      </c>
      <c r="GM127" s="237" t="s">
        <v>492</v>
      </c>
      <c r="GN127" s="237" t="s">
        <v>492</v>
      </c>
      <c r="GO127" s="237" t="s">
        <v>492</v>
      </c>
      <c r="GP127" s="237" t="s">
        <v>492</v>
      </c>
      <c r="GQ127" s="237" t="s">
        <v>231</v>
      </c>
      <c r="GR127" s="237" t="s">
        <v>231</v>
      </c>
      <c r="GS127" s="237" t="s">
        <v>231</v>
      </c>
      <c r="GT127" s="237" t="s">
        <v>231</v>
      </c>
      <c r="GU127" s="237" t="s">
        <v>231</v>
      </c>
      <c r="GV127" s="237" t="s">
        <v>492</v>
      </c>
      <c r="GW127" s="237" t="s">
        <v>231</v>
      </c>
      <c r="GX127" s="237" t="s">
        <v>231</v>
      </c>
      <c r="GY127" s="237" t="s">
        <v>492</v>
      </c>
      <c r="GZ127" s="237" t="s">
        <v>492</v>
      </c>
      <c r="HA127" s="237" t="s">
        <v>231</v>
      </c>
      <c r="HB127" s="237" t="s">
        <v>231</v>
      </c>
      <c r="HC127" s="237" t="s">
        <v>231</v>
      </c>
      <c r="HD127" s="237" t="s">
        <v>231</v>
      </c>
      <c r="HE127" s="237" t="s">
        <v>231</v>
      </c>
      <c r="HF127" s="237" t="s">
        <v>492</v>
      </c>
      <c r="HG127" s="237" t="s">
        <v>492</v>
      </c>
      <c r="HH127" s="237" t="s">
        <v>231</v>
      </c>
      <c r="HI127" s="237" t="s">
        <v>231</v>
      </c>
      <c r="HJ127" s="237" t="s">
        <v>231</v>
      </c>
      <c r="HK127" s="237" t="s">
        <v>231</v>
      </c>
      <c r="HL127" s="237" t="s">
        <v>231</v>
      </c>
      <c r="HM127" s="237" t="s">
        <v>231</v>
      </c>
      <c r="HN127" s="237" t="s">
        <v>231</v>
      </c>
      <c r="HO127" s="237" t="s">
        <v>231</v>
      </c>
      <c r="HP127" s="237" t="s">
        <v>231</v>
      </c>
      <c r="HQ127" s="237" t="s">
        <v>231</v>
      </c>
      <c r="HR127" s="237" t="s">
        <v>231</v>
      </c>
      <c r="HS127" s="237" t="s">
        <v>231</v>
      </c>
      <c r="HT127" s="237" t="s">
        <v>231</v>
      </c>
      <c r="HU127" s="237" t="s">
        <v>231</v>
      </c>
      <c r="HV127" s="237" t="s">
        <v>231</v>
      </c>
      <c r="HW127" s="237" t="s">
        <v>231</v>
      </c>
      <c r="HX127" s="237" t="s">
        <v>231</v>
      </c>
      <c r="HY127" s="237" t="s">
        <v>231</v>
      </c>
      <c r="HZ127" s="237" t="s">
        <v>231</v>
      </c>
      <c r="IA127" s="237" t="s">
        <v>231</v>
      </c>
      <c r="IB127" s="237" t="s">
        <v>231</v>
      </c>
      <c r="IC127" s="237" t="s">
        <v>231</v>
      </c>
      <c r="ID127" s="237" t="s">
        <v>231</v>
      </c>
      <c r="IE127" s="237" t="s">
        <v>231</v>
      </c>
      <c r="IF127" s="237" t="s">
        <v>231</v>
      </c>
      <c r="IG127" s="237" t="s">
        <v>231</v>
      </c>
      <c r="IH127" s="237" t="s">
        <v>231</v>
      </c>
      <c r="II127" s="237" t="s">
        <v>231</v>
      </c>
      <c r="IJ127" s="237" t="s">
        <v>231</v>
      </c>
      <c r="IK127" s="237" t="s">
        <v>231</v>
      </c>
      <c r="IL127" s="237" t="s">
        <v>231</v>
      </c>
      <c r="IM127" s="237" t="s">
        <v>231</v>
      </c>
      <c r="IN127" s="237" t="s">
        <v>231</v>
      </c>
      <c r="IO127" s="237" t="s">
        <v>220</v>
      </c>
      <c r="IP127" s="237" t="s">
        <v>493</v>
      </c>
      <c r="IQ127" s="237" t="s">
        <v>219</v>
      </c>
      <c r="IR127" s="237" t="s">
        <v>490</v>
      </c>
      <c r="IS127" s="237" t="s">
        <v>492</v>
      </c>
      <c r="IT127" s="237" t="s">
        <v>492</v>
      </c>
    </row>
    <row r="128" spans="1:254" ht="15" x14ac:dyDescent="0.25">
      <c r="A128" s="259" t="str">
        <f>HYPERLINK("http://www.ofsted.gov.uk/inspection-reports/find-inspection-report/provider/ELS/126139 ","Ofsted School Webpage")</f>
        <v>Ofsted School Webpage</v>
      </c>
      <c r="B128" s="240">
        <v>126139</v>
      </c>
      <c r="C128" s="240">
        <v>9386217</v>
      </c>
      <c r="D128" s="240" t="s">
        <v>828</v>
      </c>
      <c r="E128" s="240" t="s">
        <v>248</v>
      </c>
      <c r="F128" s="240" t="s">
        <v>501</v>
      </c>
      <c r="G128" s="240" t="s">
        <v>581</v>
      </c>
      <c r="H128" s="240" t="s">
        <v>581</v>
      </c>
      <c r="I128" s="240" t="s">
        <v>829</v>
      </c>
      <c r="J128" s="240" t="s">
        <v>830</v>
      </c>
      <c r="K128" s="240" t="s">
        <v>93</v>
      </c>
      <c r="L128" s="240" t="s">
        <v>93</v>
      </c>
      <c r="M128" s="240" t="s">
        <v>93</v>
      </c>
      <c r="N128" s="240" t="s">
        <v>90</v>
      </c>
      <c r="O128" s="240" t="s">
        <v>486</v>
      </c>
      <c r="P128" s="240" t="s">
        <v>487</v>
      </c>
      <c r="Q128" s="241">
        <v>10054076</v>
      </c>
      <c r="R128" s="242">
        <v>43437</v>
      </c>
      <c r="S128" s="242">
        <v>43439</v>
      </c>
      <c r="T128" s="242">
        <v>43478</v>
      </c>
      <c r="U128" s="240" t="s">
        <v>624</v>
      </c>
      <c r="V128" s="240" t="s">
        <v>489</v>
      </c>
      <c r="W128" s="240">
        <v>3</v>
      </c>
      <c r="X128" s="240">
        <v>3</v>
      </c>
      <c r="Y128" s="240">
        <v>2</v>
      </c>
      <c r="Z128" s="240">
        <v>2</v>
      </c>
      <c r="AA128" s="240">
        <v>2</v>
      </c>
      <c r="AB128" s="240" t="s">
        <v>486</v>
      </c>
      <c r="AC128" s="240">
        <v>2</v>
      </c>
      <c r="AD128" s="240" t="s">
        <v>219</v>
      </c>
      <c r="AE128" s="240" t="s">
        <v>490</v>
      </c>
      <c r="AF128" s="240" t="s">
        <v>486</v>
      </c>
      <c r="AG128" s="240" t="s">
        <v>486</v>
      </c>
      <c r="AH128" s="240" t="s">
        <v>486</v>
      </c>
      <c r="AI128" s="240" t="s">
        <v>486</v>
      </c>
      <c r="AJ128" s="240" t="s">
        <v>486</v>
      </c>
      <c r="AK128" s="240" t="s">
        <v>486</v>
      </c>
      <c r="AL128" s="240" t="s">
        <v>486</v>
      </c>
      <c r="AM128" s="240" t="s">
        <v>545</v>
      </c>
      <c r="AN128" s="240" t="s">
        <v>231</v>
      </c>
      <c r="AO128" s="240" t="s">
        <v>231</v>
      </c>
      <c r="AP128" s="240" t="s">
        <v>231</v>
      </c>
      <c r="AQ128" s="240" t="s">
        <v>546</v>
      </c>
      <c r="AR128" s="240" t="s">
        <v>231</v>
      </c>
      <c r="AS128" s="240" t="s">
        <v>231</v>
      </c>
      <c r="AT128" s="240" t="s">
        <v>231</v>
      </c>
      <c r="AU128" s="240" t="s">
        <v>546</v>
      </c>
      <c r="AV128" s="240" t="s">
        <v>231</v>
      </c>
      <c r="AW128" s="240" t="s">
        <v>231</v>
      </c>
      <c r="AX128" s="240" t="s">
        <v>231</v>
      </c>
      <c r="AY128" s="240" t="s">
        <v>231</v>
      </c>
      <c r="AZ128" s="240" t="s">
        <v>231</v>
      </c>
      <c r="BA128" s="240" t="s">
        <v>231</v>
      </c>
      <c r="BB128" s="240" t="s">
        <v>231</v>
      </c>
      <c r="BC128" s="240" t="s">
        <v>231</v>
      </c>
      <c r="BD128" s="240" t="s">
        <v>231</v>
      </c>
      <c r="BE128" s="240" t="s">
        <v>231</v>
      </c>
      <c r="BF128" s="240" t="s">
        <v>231</v>
      </c>
      <c r="BG128" s="240" t="s">
        <v>231</v>
      </c>
      <c r="BH128" s="240" t="s">
        <v>231</v>
      </c>
      <c r="BI128" s="240" t="s">
        <v>231</v>
      </c>
      <c r="BJ128" s="240" t="s">
        <v>231</v>
      </c>
      <c r="BK128" s="240" t="s">
        <v>231</v>
      </c>
      <c r="BL128" s="240" t="s">
        <v>492</v>
      </c>
      <c r="BM128" s="240" t="s">
        <v>231</v>
      </c>
      <c r="BN128" s="240" t="s">
        <v>231</v>
      </c>
      <c r="BO128" s="240" t="s">
        <v>231</v>
      </c>
      <c r="BP128" s="240" t="s">
        <v>231</v>
      </c>
      <c r="BQ128" s="240" t="s">
        <v>231</v>
      </c>
      <c r="BR128" s="240" t="s">
        <v>231</v>
      </c>
      <c r="BS128" s="240" t="s">
        <v>231</v>
      </c>
      <c r="BT128" s="240" t="s">
        <v>231</v>
      </c>
      <c r="BU128" s="240" t="s">
        <v>231</v>
      </c>
      <c r="BV128" s="240" t="s">
        <v>231</v>
      </c>
      <c r="BW128" s="240" t="s">
        <v>231</v>
      </c>
      <c r="BX128" s="240" t="s">
        <v>231</v>
      </c>
      <c r="BY128" s="240" t="s">
        <v>231</v>
      </c>
      <c r="BZ128" s="240" t="s">
        <v>231</v>
      </c>
      <c r="CA128" s="240" t="s">
        <v>231</v>
      </c>
      <c r="CB128" s="240" t="s">
        <v>231</v>
      </c>
      <c r="CC128" s="240" t="s">
        <v>231</v>
      </c>
      <c r="CD128" s="240" t="s">
        <v>231</v>
      </c>
      <c r="CE128" s="240" t="s">
        <v>231</v>
      </c>
      <c r="CF128" s="240" t="s">
        <v>231</v>
      </c>
      <c r="CG128" s="240" t="s">
        <v>231</v>
      </c>
      <c r="CH128" s="240" t="s">
        <v>231</v>
      </c>
      <c r="CI128" s="240" t="s">
        <v>231</v>
      </c>
      <c r="CJ128" s="240" t="s">
        <v>231</v>
      </c>
      <c r="CK128" s="240" t="s">
        <v>231</v>
      </c>
      <c r="CL128" s="240" t="s">
        <v>231</v>
      </c>
      <c r="CM128" s="240" t="s">
        <v>231</v>
      </c>
      <c r="CN128" s="240" t="s">
        <v>231</v>
      </c>
      <c r="CO128" s="240" t="s">
        <v>231</v>
      </c>
      <c r="CP128" s="240" t="s">
        <v>231</v>
      </c>
      <c r="CQ128" s="240" t="s">
        <v>231</v>
      </c>
      <c r="CR128" s="240" t="s">
        <v>231</v>
      </c>
      <c r="CS128" s="240" t="s">
        <v>231</v>
      </c>
      <c r="CT128" s="240" t="s">
        <v>231</v>
      </c>
      <c r="CU128" s="240" t="s">
        <v>231</v>
      </c>
      <c r="CV128" s="240" t="s">
        <v>231</v>
      </c>
      <c r="CW128" s="240" t="s">
        <v>231</v>
      </c>
      <c r="CX128" s="240" t="s">
        <v>231</v>
      </c>
      <c r="CY128" s="240" t="s">
        <v>231</v>
      </c>
      <c r="CZ128" s="240" t="s">
        <v>231</v>
      </c>
      <c r="DA128" s="240" t="s">
        <v>231</v>
      </c>
      <c r="DB128" s="240" t="s">
        <v>231</v>
      </c>
      <c r="DC128" s="240" t="s">
        <v>231</v>
      </c>
      <c r="DD128" s="240" t="s">
        <v>231</v>
      </c>
      <c r="DE128" s="240" t="s">
        <v>231</v>
      </c>
      <c r="DF128" s="240" t="s">
        <v>231</v>
      </c>
      <c r="DG128" s="240" t="s">
        <v>231</v>
      </c>
      <c r="DH128" s="240" t="s">
        <v>231</v>
      </c>
      <c r="DI128" s="240" t="s">
        <v>231</v>
      </c>
      <c r="DJ128" s="240" t="s">
        <v>232</v>
      </c>
      <c r="DK128" s="240" t="s">
        <v>231</v>
      </c>
      <c r="DL128" s="240" t="s">
        <v>231</v>
      </c>
      <c r="DM128" s="240" t="s">
        <v>232</v>
      </c>
      <c r="DN128" s="240" t="s">
        <v>231</v>
      </c>
      <c r="DO128" s="240" t="s">
        <v>232</v>
      </c>
      <c r="DP128" s="240" t="s">
        <v>231</v>
      </c>
      <c r="DQ128" s="240" t="s">
        <v>231</v>
      </c>
      <c r="DR128" s="240" t="s">
        <v>231</v>
      </c>
      <c r="DS128" s="240" t="s">
        <v>231</v>
      </c>
      <c r="DT128" s="240" t="s">
        <v>231</v>
      </c>
      <c r="DU128" s="240" t="s">
        <v>231</v>
      </c>
      <c r="DV128" s="240" t="s">
        <v>231</v>
      </c>
      <c r="DW128" s="240" t="s">
        <v>231</v>
      </c>
      <c r="DX128" s="240" t="s">
        <v>231</v>
      </c>
      <c r="DY128" s="240" t="s">
        <v>231</v>
      </c>
      <c r="DZ128" s="240" t="s">
        <v>231</v>
      </c>
      <c r="EA128" s="240" t="s">
        <v>231</v>
      </c>
      <c r="EB128" s="240" t="s">
        <v>231</v>
      </c>
      <c r="EC128" s="240" t="s">
        <v>231</v>
      </c>
      <c r="ED128" s="240" t="s">
        <v>231</v>
      </c>
      <c r="EE128" s="240" t="s">
        <v>231</v>
      </c>
      <c r="EF128" s="240" t="s">
        <v>231</v>
      </c>
      <c r="EG128" s="240" t="s">
        <v>231</v>
      </c>
      <c r="EH128" s="240" t="s">
        <v>231</v>
      </c>
      <c r="EI128" s="240" t="s">
        <v>231</v>
      </c>
      <c r="EJ128" s="240" t="s">
        <v>231</v>
      </c>
      <c r="EK128" s="240" t="s">
        <v>231</v>
      </c>
      <c r="EL128" s="240" t="s">
        <v>231</v>
      </c>
      <c r="EM128" s="240" t="s">
        <v>231</v>
      </c>
      <c r="EN128" s="240" t="s">
        <v>231</v>
      </c>
      <c r="EO128" s="240" t="s">
        <v>231</v>
      </c>
      <c r="EP128" s="240" t="s">
        <v>231</v>
      </c>
      <c r="EQ128" s="240" t="s">
        <v>231</v>
      </c>
      <c r="ER128" s="240" t="s">
        <v>231</v>
      </c>
      <c r="ES128" s="240" t="s">
        <v>231</v>
      </c>
      <c r="ET128" s="240" t="s">
        <v>231</v>
      </c>
      <c r="EU128" s="240" t="s">
        <v>231</v>
      </c>
      <c r="EV128" s="240" t="s">
        <v>231</v>
      </c>
      <c r="EW128" s="240" t="s">
        <v>231</v>
      </c>
      <c r="EX128" s="240" t="s">
        <v>231</v>
      </c>
      <c r="EY128" s="240" t="s">
        <v>231</v>
      </c>
      <c r="EZ128" s="240" t="s">
        <v>231</v>
      </c>
      <c r="FA128" s="240" t="s">
        <v>231</v>
      </c>
      <c r="FB128" s="240" t="s">
        <v>231</v>
      </c>
      <c r="FC128" s="240" t="s">
        <v>231</v>
      </c>
      <c r="FD128" s="240" t="s">
        <v>231</v>
      </c>
      <c r="FE128" s="240" t="s">
        <v>231</v>
      </c>
      <c r="FF128" s="240" t="s">
        <v>231</v>
      </c>
      <c r="FG128" s="240" t="s">
        <v>231</v>
      </c>
      <c r="FH128" s="240" t="s">
        <v>231</v>
      </c>
      <c r="FI128" s="240" t="s">
        <v>231</v>
      </c>
      <c r="FJ128" s="240" t="s">
        <v>231</v>
      </c>
      <c r="FK128" s="240" t="s">
        <v>231</v>
      </c>
      <c r="FL128" s="240" t="s">
        <v>231</v>
      </c>
      <c r="FM128" s="240" t="s">
        <v>231</v>
      </c>
      <c r="FN128" s="240" t="s">
        <v>231</v>
      </c>
      <c r="FO128" s="240" t="s">
        <v>231</v>
      </c>
      <c r="FP128" s="240" t="s">
        <v>231</v>
      </c>
      <c r="FQ128" s="240" t="s">
        <v>231</v>
      </c>
      <c r="FR128" s="240" t="s">
        <v>231</v>
      </c>
      <c r="FS128" s="240" t="s">
        <v>231</v>
      </c>
      <c r="FT128" s="240" t="s">
        <v>231</v>
      </c>
      <c r="FU128" s="240" t="s">
        <v>231</v>
      </c>
      <c r="FV128" s="240" t="s">
        <v>231</v>
      </c>
      <c r="FW128" s="240" t="s">
        <v>231</v>
      </c>
      <c r="FX128" s="240" t="s">
        <v>231</v>
      </c>
      <c r="FY128" s="240" t="s">
        <v>231</v>
      </c>
      <c r="FZ128" s="240" t="s">
        <v>231</v>
      </c>
      <c r="GA128" s="240" t="s">
        <v>231</v>
      </c>
      <c r="GB128" s="240" t="s">
        <v>231</v>
      </c>
      <c r="GC128" s="240" t="s">
        <v>231</v>
      </c>
      <c r="GD128" s="240" t="s">
        <v>231</v>
      </c>
      <c r="GE128" s="240" t="s">
        <v>231</v>
      </c>
      <c r="GF128" s="240" t="s">
        <v>231</v>
      </c>
      <c r="GG128" s="240" t="s">
        <v>231</v>
      </c>
      <c r="GH128" s="240" t="s">
        <v>231</v>
      </c>
      <c r="GI128" s="240" t="s">
        <v>231</v>
      </c>
      <c r="GJ128" s="240" t="s">
        <v>231</v>
      </c>
      <c r="GK128" s="240" t="s">
        <v>231</v>
      </c>
      <c r="GL128" s="240" t="s">
        <v>231</v>
      </c>
      <c r="GM128" s="240" t="s">
        <v>231</v>
      </c>
      <c r="GN128" s="240" t="s">
        <v>231</v>
      </c>
      <c r="GO128" s="240" t="s">
        <v>231</v>
      </c>
      <c r="GP128" s="240" t="s">
        <v>231</v>
      </c>
      <c r="GQ128" s="240" t="s">
        <v>231</v>
      </c>
      <c r="GR128" s="240" t="s">
        <v>231</v>
      </c>
      <c r="GS128" s="240" t="s">
        <v>231</v>
      </c>
      <c r="GT128" s="240" t="s">
        <v>231</v>
      </c>
      <c r="GU128" s="240" t="s">
        <v>231</v>
      </c>
      <c r="GV128" s="240" t="s">
        <v>231</v>
      </c>
      <c r="GW128" s="240" t="s">
        <v>231</v>
      </c>
      <c r="GX128" s="240" t="s">
        <v>231</v>
      </c>
      <c r="GY128" s="240" t="s">
        <v>231</v>
      </c>
      <c r="GZ128" s="240" t="s">
        <v>231</v>
      </c>
      <c r="HA128" s="240" t="s">
        <v>231</v>
      </c>
      <c r="HB128" s="240" t="s">
        <v>231</v>
      </c>
      <c r="HC128" s="240" t="s">
        <v>231</v>
      </c>
      <c r="HD128" s="240" t="s">
        <v>231</v>
      </c>
      <c r="HE128" s="240" t="s">
        <v>492</v>
      </c>
      <c r="HF128" s="240" t="s">
        <v>231</v>
      </c>
      <c r="HG128" s="240" t="s">
        <v>231</v>
      </c>
      <c r="HH128" s="240" t="s">
        <v>231</v>
      </c>
      <c r="HI128" s="240" t="s">
        <v>231</v>
      </c>
      <c r="HJ128" s="240" t="s">
        <v>231</v>
      </c>
      <c r="HK128" s="240" t="s">
        <v>231</v>
      </c>
      <c r="HL128" s="240" t="s">
        <v>231</v>
      </c>
      <c r="HM128" s="240" t="s">
        <v>231</v>
      </c>
      <c r="HN128" s="240" t="s">
        <v>231</v>
      </c>
      <c r="HO128" s="240" t="s">
        <v>231</v>
      </c>
      <c r="HP128" s="240" t="s">
        <v>231</v>
      </c>
      <c r="HQ128" s="240" t="s">
        <v>492</v>
      </c>
      <c r="HR128" s="240" t="s">
        <v>492</v>
      </c>
      <c r="HS128" s="240" t="s">
        <v>492</v>
      </c>
      <c r="HT128" s="240" t="s">
        <v>492</v>
      </c>
      <c r="HU128" s="240" t="s">
        <v>231</v>
      </c>
      <c r="HV128" s="240" t="s">
        <v>231</v>
      </c>
      <c r="HW128" s="240" t="s">
        <v>231</v>
      </c>
      <c r="HX128" s="240" t="s">
        <v>231</v>
      </c>
      <c r="HY128" s="240" t="s">
        <v>231</v>
      </c>
      <c r="HZ128" s="240" t="s">
        <v>231</v>
      </c>
      <c r="IA128" s="240" t="s">
        <v>231</v>
      </c>
      <c r="IB128" s="240" t="s">
        <v>231</v>
      </c>
      <c r="IC128" s="240" t="s">
        <v>231</v>
      </c>
      <c r="ID128" s="240" t="s">
        <v>231</v>
      </c>
      <c r="IE128" s="240" t="s">
        <v>231</v>
      </c>
      <c r="IF128" s="240" t="s">
        <v>231</v>
      </c>
      <c r="IG128" s="240" t="s">
        <v>231</v>
      </c>
      <c r="IH128" s="240" t="s">
        <v>231</v>
      </c>
      <c r="II128" s="240" t="s">
        <v>231</v>
      </c>
      <c r="IJ128" s="240" t="s">
        <v>231</v>
      </c>
      <c r="IK128" s="240" t="s">
        <v>232</v>
      </c>
      <c r="IL128" s="240" t="s">
        <v>232</v>
      </c>
      <c r="IM128" s="240" t="s">
        <v>232</v>
      </c>
      <c r="IN128" s="240" t="s">
        <v>231</v>
      </c>
      <c r="IO128" s="240" t="s">
        <v>220</v>
      </c>
      <c r="IP128" s="240" t="s">
        <v>493</v>
      </c>
      <c r="IQ128" s="240" t="s">
        <v>219</v>
      </c>
      <c r="IR128" s="240" t="s">
        <v>490</v>
      </c>
      <c r="IS128" s="240" t="s">
        <v>492</v>
      </c>
      <c r="IT128" s="240" t="s">
        <v>492</v>
      </c>
    </row>
    <row r="129" spans="1:254" ht="15" x14ac:dyDescent="0.25">
      <c r="A129" s="258" t="str">
        <f>HYPERLINK("http://www.ofsted.gov.uk/inspection-reports/find-inspection-report/provider/ELS/122941 ","Ofsted School Webpage")</f>
        <v>Ofsted School Webpage</v>
      </c>
      <c r="B129" s="237">
        <v>122941</v>
      </c>
      <c r="C129" s="237">
        <v>8926010</v>
      </c>
      <c r="D129" s="237" t="s">
        <v>831</v>
      </c>
      <c r="E129" s="237" t="s">
        <v>247</v>
      </c>
      <c r="F129" s="237" t="s">
        <v>482</v>
      </c>
      <c r="G129" s="237" t="s">
        <v>572</v>
      </c>
      <c r="H129" s="237" t="s">
        <v>572</v>
      </c>
      <c r="I129" s="237" t="s">
        <v>758</v>
      </c>
      <c r="J129" s="237" t="s">
        <v>832</v>
      </c>
      <c r="K129" s="237" t="s">
        <v>93</v>
      </c>
      <c r="L129" s="237" t="s">
        <v>93</v>
      </c>
      <c r="M129" s="237" t="s">
        <v>93</v>
      </c>
      <c r="N129" s="237" t="s">
        <v>90</v>
      </c>
      <c r="O129" s="237" t="s">
        <v>486</v>
      </c>
      <c r="P129" s="237" t="s">
        <v>487</v>
      </c>
      <c r="Q129" s="238">
        <v>10085193</v>
      </c>
      <c r="R129" s="239">
        <v>43438</v>
      </c>
      <c r="S129" s="239">
        <v>43440</v>
      </c>
      <c r="T129" s="239">
        <v>43487</v>
      </c>
      <c r="U129" s="237" t="s">
        <v>488</v>
      </c>
      <c r="V129" s="237" t="s">
        <v>489</v>
      </c>
      <c r="W129" s="237">
        <v>3</v>
      </c>
      <c r="X129" s="237">
        <v>3</v>
      </c>
      <c r="Y129" s="237">
        <v>2</v>
      </c>
      <c r="Z129" s="237">
        <v>3</v>
      </c>
      <c r="AA129" s="237">
        <v>3</v>
      </c>
      <c r="AB129" s="237">
        <v>3</v>
      </c>
      <c r="AC129" s="237" t="s">
        <v>486</v>
      </c>
      <c r="AD129" s="237" t="s">
        <v>219</v>
      </c>
      <c r="AE129" s="237" t="s">
        <v>490</v>
      </c>
      <c r="AF129" s="237" t="s">
        <v>486</v>
      </c>
      <c r="AG129" s="237" t="s">
        <v>486</v>
      </c>
      <c r="AH129" s="237" t="s">
        <v>486</v>
      </c>
      <c r="AI129" s="237" t="s">
        <v>486</v>
      </c>
      <c r="AJ129" s="237" t="s">
        <v>486</v>
      </c>
      <c r="AK129" s="237" t="s">
        <v>486</v>
      </c>
      <c r="AL129" s="237" t="s">
        <v>486</v>
      </c>
      <c r="AM129" s="237" t="s">
        <v>545</v>
      </c>
      <c r="AN129" s="237" t="s">
        <v>546</v>
      </c>
      <c r="AO129" s="237" t="s">
        <v>231</v>
      </c>
      <c r="AP129" s="237" t="s">
        <v>231</v>
      </c>
      <c r="AQ129" s="237" t="s">
        <v>231</v>
      </c>
      <c r="AR129" s="237" t="s">
        <v>231</v>
      </c>
      <c r="AS129" s="237" t="s">
        <v>231</v>
      </c>
      <c r="AT129" s="237" t="s">
        <v>231</v>
      </c>
      <c r="AU129" s="237" t="s">
        <v>546</v>
      </c>
      <c r="AV129" s="237" t="s">
        <v>231</v>
      </c>
      <c r="AW129" s="237" t="s">
        <v>231</v>
      </c>
      <c r="AX129" s="237" t="s">
        <v>231</v>
      </c>
      <c r="AY129" s="237" t="s">
        <v>231</v>
      </c>
      <c r="AZ129" s="237" t="s">
        <v>231</v>
      </c>
      <c r="BA129" s="237" t="s">
        <v>231</v>
      </c>
      <c r="BB129" s="237" t="s">
        <v>231</v>
      </c>
      <c r="BC129" s="237" t="s">
        <v>231</v>
      </c>
      <c r="BD129" s="237" t="s">
        <v>231</v>
      </c>
      <c r="BE129" s="237" t="s">
        <v>231</v>
      </c>
      <c r="BF129" s="237" t="s">
        <v>231</v>
      </c>
      <c r="BG129" s="237" t="s">
        <v>231</v>
      </c>
      <c r="BH129" s="237" t="s">
        <v>492</v>
      </c>
      <c r="BI129" s="237" t="s">
        <v>492</v>
      </c>
      <c r="BJ129" s="237" t="s">
        <v>492</v>
      </c>
      <c r="BK129" s="237" t="s">
        <v>492</v>
      </c>
      <c r="BL129" s="237" t="s">
        <v>492</v>
      </c>
      <c r="BM129" s="237" t="s">
        <v>492</v>
      </c>
      <c r="BN129" s="237" t="s">
        <v>231</v>
      </c>
      <c r="BO129" s="237" t="s">
        <v>231</v>
      </c>
      <c r="BP129" s="237" t="s">
        <v>232</v>
      </c>
      <c r="BQ129" s="237" t="s">
        <v>232</v>
      </c>
      <c r="BR129" s="237" t="s">
        <v>231</v>
      </c>
      <c r="BS129" s="237" t="s">
        <v>232</v>
      </c>
      <c r="BT129" s="237" t="s">
        <v>232</v>
      </c>
      <c r="BU129" s="237" t="s">
        <v>232</v>
      </c>
      <c r="BV129" s="237" t="s">
        <v>231</v>
      </c>
      <c r="BW129" s="237" t="s">
        <v>232</v>
      </c>
      <c r="BX129" s="237" t="s">
        <v>231</v>
      </c>
      <c r="BY129" s="237" t="s">
        <v>231</v>
      </c>
      <c r="BZ129" s="237" t="s">
        <v>231</v>
      </c>
      <c r="CA129" s="237" t="s">
        <v>232</v>
      </c>
      <c r="CB129" s="237" t="s">
        <v>231</v>
      </c>
      <c r="CC129" s="237" t="s">
        <v>231</v>
      </c>
      <c r="CD129" s="237" t="s">
        <v>231</v>
      </c>
      <c r="CE129" s="237" t="s">
        <v>231</v>
      </c>
      <c r="CF129" s="237" t="s">
        <v>231</v>
      </c>
      <c r="CG129" s="237" t="s">
        <v>231</v>
      </c>
      <c r="CH129" s="237" t="s">
        <v>231</v>
      </c>
      <c r="CI129" s="237" t="s">
        <v>231</v>
      </c>
      <c r="CJ129" s="237" t="s">
        <v>231</v>
      </c>
      <c r="CK129" s="237" t="s">
        <v>231</v>
      </c>
      <c r="CL129" s="237" t="s">
        <v>231</v>
      </c>
      <c r="CM129" s="237" t="s">
        <v>231</v>
      </c>
      <c r="CN129" s="237" t="s">
        <v>231</v>
      </c>
      <c r="CO129" s="237" t="s">
        <v>231</v>
      </c>
      <c r="CP129" s="237" t="s">
        <v>231</v>
      </c>
      <c r="CQ129" s="237" t="s">
        <v>231</v>
      </c>
      <c r="CR129" s="237" t="s">
        <v>231</v>
      </c>
      <c r="CS129" s="237" t="s">
        <v>231</v>
      </c>
      <c r="CT129" s="237" t="s">
        <v>492</v>
      </c>
      <c r="CU129" s="237" t="s">
        <v>492</v>
      </c>
      <c r="CV129" s="237" t="s">
        <v>492</v>
      </c>
      <c r="CW129" s="237" t="s">
        <v>231</v>
      </c>
      <c r="CX129" s="237" t="s">
        <v>231</v>
      </c>
      <c r="CY129" s="237" t="s">
        <v>231</v>
      </c>
      <c r="CZ129" s="237" t="s">
        <v>231</v>
      </c>
      <c r="DA129" s="237" t="s">
        <v>231</v>
      </c>
      <c r="DB129" s="237" t="s">
        <v>231</v>
      </c>
      <c r="DC129" s="237" t="s">
        <v>231</v>
      </c>
      <c r="DD129" s="237" t="s">
        <v>231</v>
      </c>
      <c r="DE129" s="237" t="s">
        <v>231</v>
      </c>
      <c r="DF129" s="237" t="s">
        <v>231</v>
      </c>
      <c r="DG129" s="237" t="s">
        <v>231</v>
      </c>
      <c r="DH129" s="237" t="s">
        <v>231</v>
      </c>
      <c r="DI129" s="237" t="s">
        <v>231</v>
      </c>
      <c r="DJ129" s="237" t="s">
        <v>231</v>
      </c>
      <c r="DK129" s="237" t="s">
        <v>231</v>
      </c>
      <c r="DL129" s="237" t="s">
        <v>231</v>
      </c>
      <c r="DM129" s="237" t="s">
        <v>231</v>
      </c>
      <c r="DN129" s="237" t="s">
        <v>231</v>
      </c>
      <c r="DO129" s="237" t="s">
        <v>231</v>
      </c>
      <c r="DP129" s="237" t="s">
        <v>231</v>
      </c>
      <c r="DQ129" s="237" t="s">
        <v>231</v>
      </c>
      <c r="DR129" s="237" t="s">
        <v>231</v>
      </c>
      <c r="DS129" s="237" t="s">
        <v>231</v>
      </c>
      <c r="DT129" s="237" t="s">
        <v>492</v>
      </c>
      <c r="DU129" s="237" t="s">
        <v>231</v>
      </c>
      <c r="DV129" s="237" t="s">
        <v>231</v>
      </c>
      <c r="DW129" s="237" t="s">
        <v>231</v>
      </c>
      <c r="DX129" s="237" t="s">
        <v>231</v>
      </c>
      <c r="DY129" s="237" t="s">
        <v>231</v>
      </c>
      <c r="DZ129" s="237" t="s">
        <v>231</v>
      </c>
      <c r="EA129" s="237" t="s">
        <v>231</v>
      </c>
      <c r="EB129" s="237" t="s">
        <v>231</v>
      </c>
      <c r="EC129" s="237" t="s">
        <v>231</v>
      </c>
      <c r="ED129" s="237" t="s">
        <v>231</v>
      </c>
      <c r="EE129" s="237" t="s">
        <v>231</v>
      </c>
      <c r="EF129" s="237" t="s">
        <v>231</v>
      </c>
      <c r="EG129" s="237" t="s">
        <v>231</v>
      </c>
      <c r="EH129" s="237" t="s">
        <v>231</v>
      </c>
      <c r="EI129" s="237" t="s">
        <v>231</v>
      </c>
      <c r="EJ129" s="237" t="s">
        <v>231</v>
      </c>
      <c r="EK129" s="237" t="s">
        <v>231</v>
      </c>
      <c r="EL129" s="237" t="s">
        <v>231</v>
      </c>
      <c r="EM129" s="237" t="s">
        <v>231</v>
      </c>
      <c r="EN129" s="237" t="s">
        <v>231</v>
      </c>
      <c r="EO129" s="237" t="s">
        <v>231</v>
      </c>
      <c r="EP129" s="237" t="s">
        <v>231</v>
      </c>
      <c r="EQ129" s="237" t="s">
        <v>231</v>
      </c>
      <c r="ER129" s="237" t="s">
        <v>231</v>
      </c>
      <c r="ES129" s="237" t="s">
        <v>231</v>
      </c>
      <c r="ET129" s="237" t="s">
        <v>231</v>
      </c>
      <c r="EU129" s="237" t="s">
        <v>231</v>
      </c>
      <c r="EV129" s="237" t="s">
        <v>231</v>
      </c>
      <c r="EW129" s="237" t="s">
        <v>231</v>
      </c>
      <c r="EX129" s="237" t="s">
        <v>231</v>
      </c>
      <c r="EY129" s="237" t="s">
        <v>231</v>
      </c>
      <c r="EZ129" s="237" t="s">
        <v>231</v>
      </c>
      <c r="FA129" s="237" t="s">
        <v>231</v>
      </c>
      <c r="FB129" s="237" t="s">
        <v>231</v>
      </c>
      <c r="FC129" s="237" t="s">
        <v>231</v>
      </c>
      <c r="FD129" s="237" t="s">
        <v>231</v>
      </c>
      <c r="FE129" s="237" t="s">
        <v>231</v>
      </c>
      <c r="FF129" s="237" t="s">
        <v>231</v>
      </c>
      <c r="FG129" s="237" t="s">
        <v>231</v>
      </c>
      <c r="FH129" s="237" t="s">
        <v>231</v>
      </c>
      <c r="FI129" s="237" t="s">
        <v>231</v>
      </c>
      <c r="FJ129" s="237" t="s">
        <v>231</v>
      </c>
      <c r="FK129" s="237" t="s">
        <v>231</v>
      </c>
      <c r="FL129" s="237" t="s">
        <v>231</v>
      </c>
      <c r="FM129" s="237" t="s">
        <v>231</v>
      </c>
      <c r="FN129" s="237" t="s">
        <v>231</v>
      </c>
      <c r="FO129" s="237" t="s">
        <v>231</v>
      </c>
      <c r="FP129" s="237" t="s">
        <v>231</v>
      </c>
      <c r="FQ129" s="237" t="s">
        <v>231</v>
      </c>
      <c r="FR129" s="237" t="s">
        <v>231</v>
      </c>
      <c r="FS129" s="237" t="s">
        <v>231</v>
      </c>
      <c r="FT129" s="237" t="s">
        <v>231</v>
      </c>
      <c r="FU129" s="237" t="s">
        <v>231</v>
      </c>
      <c r="FV129" s="237" t="s">
        <v>231</v>
      </c>
      <c r="FW129" s="237" t="s">
        <v>231</v>
      </c>
      <c r="FX129" s="237" t="s">
        <v>492</v>
      </c>
      <c r="FY129" s="237" t="s">
        <v>231</v>
      </c>
      <c r="FZ129" s="237" t="s">
        <v>231</v>
      </c>
      <c r="GA129" s="237" t="s">
        <v>231</v>
      </c>
      <c r="GB129" s="237" t="s">
        <v>231</v>
      </c>
      <c r="GC129" s="237" t="s">
        <v>231</v>
      </c>
      <c r="GD129" s="237" t="s">
        <v>231</v>
      </c>
      <c r="GE129" s="237" t="s">
        <v>231</v>
      </c>
      <c r="GF129" s="237" t="s">
        <v>231</v>
      </c>
      <c r="GG129" s="237" t="s">
        <v>231</v>
      </c>
      <c r="GH129" s="237" t="s">
        <v>231</v>
      </c>
      <c r="GI129" s="237" t="s">
        <v>231</v>
      </c>
      <c r="GJ129" s="237" t="s">
        <v>231</v>
      </c>
      <c r="GK129" s="237" t="s">
        <v>231</v>
      </c>
      <c r="GL129" s="237" t="s">
        <v>231</v>
      </c>
      <c r="GM129" s="237" t="s">
        <v>231</v>
      </c>
      <c r="GN129" s="237" t="s">
        <v>231</v>
      </c>
      <c r="GO129" s="237" t="s">
        <v>231</v>
      </c>
      <c r="GP129" s="237" t="s">
        <v>492</v>
      </c>
      <c r="GQ129" s="237" t="s">
        <v>231</v>
      </c>
      <c r="GR129" s="237" t="s">
        <v>231</v>
      </c>
      <c r="GS129" s="237" t="s">
        <v>231</v>
      </c>
      <c r="GT129" s="237" t="s">
        <v>231</v>
      </c>
      <c r="GU129" s="237" t="s">
        <v>231</v>
      </c>
      <c r="GV129" s="237" t="s">
        <v>231</v>
      </c>
      <c r="GW129" s="237" t="s">
        <v>231</v>
      </c>
      <c r="GX129" s="237" t="s">
        <v>231</v>
      </c>
      <c r="GY129" s="237" t="s">
        <v>231</v>
      </c>
      <c r="GZ129" s="237" t="s">
        <v>231</v>
      </c>
      <c r="HA129" s="237" t="s">
        <v>231</v>
      </c>
      <c r="HB129" s="237" t="s">
        <v>231</v>
      </c>
      <c r="HC129" s="237" t="s">
        <v>231</v>
      </c>
      <c r="HD129" s="237" t="s">
        <v>231</v>
      </c>
      <c r="HE129" s="237" t="s">
        <v>231</v>
      </c>
      <c r="HF129" s="237" t="s">
        <v>231</v>
      </c>
      <c r="HG129" s="237" t="s">
        <v>231</v>
      </c>
      <c r="HH129" s="237" t="s">
        <v>231</v>
      </c>
      <c r="HI129" s="237" t="s">
        <v>231</v>
      </c>
      <c r="HJ129" s="237" t="s">
        <v>231</v>
      </c>
      <c r="HK129" s="237" t="s">
        <v>231</v>
      </c>
      <c r="HL129" s="237" t="s">
        <v>231</v>
      </c>
      <c r="HM129" s="237" t="s">
        <v>231</v>
      </c>
      <c r="HN129" s="237" t="s">
        <v>232</v>
      </c>
      <c r="HO129" s="237" t="s">
        <v>231</v>
      </c>
      <c r="HP129" s="237" t="s">
        <v>231</v>
      </c>
      <c r="HQ129" s="237" t="s">
        <v>231</v>
      </c>
      <c r="HR129" s="237" t="s">
        <v>231</v>
      </c>
      <c r="HS129" s="237" t="s">
        <v>231</v>
      </c>
      <c r="HT129" s="237" t="s">
        <v>231</v>
      </c>
      <c r="HU129" s="237" t="s">
        <v>231</v>
      </c>
      <c r="HV129" s="237" t="s">
        <v>231</v>
      </c>
      <c r="HW129" s="237" t="s">
        <v>231</v>
      </c>
      <c r="HX129" s="237" t="s">
        <v>231</v>
      </c>
      <c r="HY129" s="237" t="s">
        <v>231</v>
      </c>
      <c r="HZ129" s="237" t="s">
        <v>231</v>
      </c>
      <c r="IA129" s="237" t="s">
        <v>231</v>
      </c>
      <c r="IB129" s="237" t="s">
        <v>231</v>
      </c>
      <c r="IC129" s="237" t="s">
        <v>231</v>
      </c>
      <c r="ID129" s="237" t="s">
        <v>231</v>
      </c>
      <c r="IE129" s="237" t="s">
        <v>231</v>
      </c>
      <c r="IF129" s="237" t="s">
        <v>231</v>
      </c>
      <c r="IG129" s="237" t="s">
        <v>231</v>
      </c>
      <c r="IH129" s="237" t="s">
        <v>231</v>
      </c>
      <c r="II129" s="237" t="s">
        <v>231</v>
      </c>
      <c r="IJ129" s="237" t="s">
        <v>231</v>
      </c>
      <c r="IK129" s="237" t="s">
        <v>232</v>
      </c>
      <c r="IL129" s="237" t="s">
        <v>232</v>
      </c>
      <c r="IM129" s="237" t="s">
        <v>232</v>
      </c>
      <c r="IN129" s="237" t="s">
        <v>231</v>
      </c>
      <c r="IO129" s="237" t="s">
        <v>220</v>
      </c>
      <c r="IP129" s="237" t="s">
        <v>493</v>
      </c>
      <c r="IQ129" s="237" t="s">
        <v>219</v>
      </c>
      <c r="IR129" s="237" t="s">
        <v>490</v>
      </c>
      <c r="IS129" s="237" t="s">
        <v>231</v>
      </c>
      <c r="IT129" s="237" t="s">
        <v>492</v>
      </c>
    </row>
    <row r="130" spans="1:254" ht="15" x14ac:dyDescent="0.25">
      <c r="A130" s="259" t="str">
        <f>HYPERLINK("http://www.ofsted.gov.uk/inspection-reports/find-inspection-report/provider/ELS/145290 ","Ofsted School Webpage")</f>
        <v>Ofsted School Webpage</v>
      </c>
      <c r="B130" s="240">
        <v>145290</v>
      </c>
      <c r="C130" s="240">
        <v>3576005</v>
      </c>
      <c r="D130" s="240" t="s">
        <v>833</v>
      </c>
      <c r="E130" s="240" t="s">
        <v>248</v>
      </c>
      <c r="F130" s="240" t="s">
        <v>501</v>
      </c>
      <c r="G130" s="240" t="s">
        <v>495</v>
      </c>
      <c r="H130" s="240" t="s">
        <v>495</v>
      </c>
      <c r="I130" s="240" t="s">
        <v>834</v>
      </c>
      <c r="J130" s="240" t="s">
        <v>835</v>
      </c>
      <c r="K130" s="240" t="s">
        <v>93</v>
      </c>
      <c r="L130" s="240" t="s">
        <v>93</v>
      </c>
      <c r="M130" s="240" t="s">
        <v>93</v>
      </c>
      <c r="N130" s="240" t="s">
        <v>90</v>
      </c>
      <c r="O130" s="240" t="s">
        <v>486</v>
      </c>
      <c r="P130" s="240" t="s">
        <v>487</v>
      </c>
      <c r="Q130" s="241">
        <v>10053743</v>
      </c>
      <c r="R130" s="242">
        <v>43438</v>
      </c>
      <c r="S130" s="242">
        <v>43440</v>
      </c>
      <c r="T130" s="242">
        <v>43488</v>
      </c>
      <c r="U130" s="240" t="s">
        <v>499</v>
      </c>
      <c r="V130" s="240" t="s">
        <v>489</v>
      </c>
      <c r="W130" s="240">
        <v>3</v>
      </c>
      <c r="X130" s="240">
        <v>3</v>
      </c>
      <c r="Y130" s="240">
        <v>3</v>
      </c>
      <c r="Z130" s="240">
        <v>3</v>
      </c>
      <c r="AA130" s="240">
        <v>3</v>
      </c>
      <c r="AB130" s="240" t="s">
        <v>486</v>
      </c>
      <c r="AC130" s="240" t="s">
        <v>486</v>
      </c>
      <c r="AD130" s="240" t="s">
        <v>219</v>
      </c>
      <c r="AE130" s="240" t="s">
        <v>490</v>
      </c>
      <c r="AF130" s="240" t="s">
        <v>486</v>
      </c>
      <c r="AG130" s="240" t="s">
        <v>486</v>
      </c>
      <c r="AH130" s="240" t="s">
        <v>486</v>
      </c>
      <c r="AI130" s="240" t="s">
        <v>486</v>
      </c>
      <c r="AJ130" s="240" t="s">
        <v>486</v>
      </c>
      <c r="AK130" s="240" t="s">
        <v>486</v>
      </c>
      <c r="AL130" s="240" t="s">
        <v>486</v>
      </c>
      <c r="AM130" s="240" t="s">
        <v>491</v>
      </c>
      <c r="AN130" s="240" t="s">
        <v>231</v>
      </c>
      <c r="AO130" s="240" t="s">
        <v>231</v>
      </c>
      <c r="AP130" s="240" t="s">
        <v>231</v>
      </c>
      <c r="AQ130" s="240" t="s">
        <v>231</v>
      </c>
      <c r="AR130" s="240" t="s">
        <v>231</v>
      </c>
      <c r="AS130" s="240" t="s">
        <v>231</v>
      </c>
      <c r="AT130" s="240" t="s">
        <v>231</v>
      </c>
      <c r="AU130" s="240" t="s">
        <v>231</v>
      </c>
      <c r="AV130" s="240" t="s">
        <v>231</v>
      </c>
      <c r="AW130" s="240" t="s">
        <v>231</v>
      </c>
      <c r="AX130" s="240" t="s">
        <v>231</v>
      </c>
      <c r="AY130" s="240" t="s">
        <v>231</v>
      </c>
      <c r="AZ130" s="240" t="s">
        <v>231</v>
      </c>
      <c r="BA130" s="240" t="s">
        <v>231</v>
      </c>
      <c r="BB130" s="240" t="s">
        <v>231</v>
      </c>
      <c r="BC130" s="240" t="s">
        <v>231</v>
      </c>
      <c r="BD130" s="240" t="s">
        <v>492</v>
      </c>
      <c r="BE130" s="240" t="s">
        <v>231</v>
      </c>
      <c r="BF130" s="240" t="s">
        <v>231</v>
      </c>
      <c r="BG130" s="240" t="s">
        <v>231</v>
      </c>
      <c r="BH130" s="240" t="s">
        <v>231</v>
      </c>
      <c r="BI130" s="240" t="s">
        <v>231</v>
      </c>
      <c r="BJ130" s="240" t="s">
        <v>231</v>
      </c>
      <c r="BK130" s="240" t="s">
        <v>231</v>
      </c>
      <c r="BL130" s="240" t="s">
        <v>492</v>
      </c>
      <c r="BM130" s="240" t="s">
        <v>492</v>
      </c>
      <c r="BN130" s="240" t="s">
        <v>231</v>
      </c>
      <c r="BO130" s="240" t="s">
        <v>231</v>
      </c>
      <c r="BP130" s="240" t="s">
        <v>231</v>
      </c>
      <c r="BQ130" s="240" t="s">
        <v>231</v>
      </c>
      <c r="BR130" s="240" t="s">
        <v>231</v>
      </c>
      <c r="BS130" s="240" t="s">
        <v>231</v>
      </c>
      <c r="BT130" s="240" t="s">
        <v>231</v>
      </c>
      <c r="BU130" s="240" t="s">
        <v>231</v>
      </c>
      <c r="BV130" s="240" t="s">
        <v>231</v>
      </c>
      <c r="BW130" s="240" t="s">
        <v>231</v>
      </c>
      <c r="BX130" s="240" t="s">
        <v>231</v>
      </c>
      <c r="BY130" s="240" t="s">
        <v>231</v>
      </c>
      <c r="BZ130" s="240" t="s">
        <v>231</v>
      </c>
      <c r="CA130" s="240" t="s">
        <v>231</v>
      </c>
      <c r="CB130" s="240" t="s">
        <v>231</v>
      </c>
      <c r="CC130" s="240" t="s">
        <v>231</v>
      </c>
      <c r="CD130" s="240" t="s">
        <v>231</v>
      </c>
      <c r="CE130" s="240" t="s">
        <v>231</v>
      </c>
      <c r="CF130" s="240" t="s">
        <v>231</v>
      </c>
      <c r="CG130" s="240" t="s">
        <v>231</v>
      </c>
      <c r="CH130" s="240" t="s">
        <v>231</v>
      </c>
      <c r="CI130" s="240" t="s">
        <v>231</v>
      </c>
      <c r="CJ130" s="240" t="s">
        <v>231</v>
      </c>
      <c r="CK130" s="240" t="s">
        <v>231</v>
      </c>
      <c r="CL130" s="240" t="s">
        <v>231</v>
      </c>
      <c r="CM130" s="240" t="s">
        <v>231</v>
      </c>
      <c r="CN130" s="240" t="s">
        <v>231</v>
      </c>
      <c r="CO130" s="240" t="s">
        <v>231</v>
      </c>
      <c r="CP130" s="240" t="s">
        <v>231</v>
      </c>
      <c r="CQ130" s="240" t="s">
        <v>231</v>
      </c>
      <c r="CR130" s="240" t="s">
        <v>231</v>
      </c>
      <c r="CS130" s="240" t="s">
        <v>231</v>
      </c>
      <c r="CT130" s="240" t="s">
        <v>492</v>
      </c>
      <c r="CU130" s="240" t="s">
        <v>492</v>
      </c>
      <c r="CV130" s="240" t="s">
        <v>492</v>
      </c>
      <c r="CW130" s="240" t="s">
        <v>231</v>
      </c>
      <c r="CX130" s="240" t="s">
        <v>231</v>
      </c>
      <c r="CY130" s="240" t="s">
        <v>231</v>
      </c>
      <c r="CZ130" s="240" t="s">
        <v>231</v>
      </c>
      <c r="DA130" s="240" t="s">
        <v>231</v>
      </c>
      <c r="DB130" s="240" t="s">
        <v>231</v>
      </c>
      <c r="DC130" s="240" t="s">
        <v>231</v>
      </c>
      <c r="DD130" s="240" t="s">
        <v>231</v>
      </c>
      <c r="DE130" s="240" t="s">
        <v>231</v>
      </c>
      <c r="DF130" s="240" t="s">
        <v>231</v>
      </c>
      <c r="DG130" s="240" t="s">
        <v>231</v>
      </c>
      <c r="DH130" s="240" t="s">
        <v>231</v>
      </c>
      <c r="DI130" s="240" t="s">
        <v>231</v>
      </c>
      <c r="DJ130" s="240" t="s">
        <v>231</v>
      </c>
      <c r="DK130" s="240" t="s">
        <v>231</v>
      </c>
      <c r="DL130" s="240" t="s">
        <v>231</v>
      </c>
      <c r="DM130" s="240" t="s">
        <v>231</v>
      </c>
      <c r="DN130" s="240" t="s">
        <v>231</v>
      </c>
      <c r="DO130" s="240" t="s">
        <v>231</v>
      </c>
      <c r="DP130" s="240" t="s">
        <v>231</v>
      </c>
      <c r="DQ130" s="240" t="s">
        <v>231</v>
      </c>
      <c r="DR130" s="240" t="s">
        <v>231</v>
      </c>
      <c r="DS130" s="240" t="s">
        <v>231</v>
      </c>
      <c r="DT130" s="240" t="s">
        <v>492</v>
      </c>
      <c r="DU130" s="240" t="s">
        <v>231</v>
      </c>
      <c r="DV130" s="240" t="s">
        <v>231</v>
      </c>
      <c r="DW130" s="240" t="s">
        <v>231</v>
      </c>
      <c r="DX130" s="240" t="s">
        <v>231</v>
      </c>
      <c r="DY130" s="240" t="s">
        <v>231</v>
      </c>
      <c r="DZ130" s="240" t="s">
        <v>231</v>
      </c>
      <c r="EA130" s="240" t="s">
        <v>231</v>
      </c>
      <c r="EB130" s="240" t="s">
        <v>231</v>
      </c>
      <c r="EC130" s="240" t="s">
        <v>231</v>
      </c>
      <c r="ED130" s="240" t="s">
        <v>231</v>
      </c>
      <c r="EE130" s="240" t="s">
        <v>231</v>
      </c>
      <c r="EF130" s="240" t="s">
        <v>231</v>
      </c>
      <c r="EG130" s="240" t="s">
        <v>231</v>
      </c>
      <c r="EH130" s="240" t="s">
        <v>492</v>
      </c>
      <c r="EI130" s="240" t="s">
        <v>492</v>
      </c>
      <c r="EJ130" s="240" t="s">
        <v>231</v>
      </c>
      <c r="EK130" s="240" t="s">
        <v>231</v>
      </c>
      <c r="EL130" s="240" t="s">
        <v>231</v>
      </c>
      <c r="EM130" s="240" t="s">
        <v>231</v>
      </c>
      <c r="EN130" s="240" t="s">
        <v>231</v>
      </c>
      <c r="EO130" s="240" t="s">
        <v>231</v>
      </c>
      <c r="EP130" s="240" t="s">
        <v>231</v>
      </c>
      <c r="EQ130" s="240" t="s">
        <v>231</v>
      </c>
      <c r="ER130" s="240" t="s">
        <v>231</v>
      </c>
      <c r="ES130" s="240" t="s">
        <v>231</v>
      </c>
      <c r="ET130" s="240" t="s">
        <v>231</v>
      </c>
      <c r="EU130" s="240" t="s">
        <v>231</v>
      </c>
      <c r="EV130" s="240" t="s">
        <v>231</v>
      </c>
      <c r="EW130" s="240" t="s">
        <v>231</v>
      </c>
      <c r="EX130" s="240" t="s">
        <v>231</v>
      </c>
      <c r="EY130" s="240" t="s">
        <v>231</v>
      </c>
      <c r="EZ130" s="240" t="s">
        <v>231</v>
      </c>
      <c r="FA130" s="240" t="s">
        <v>231</v>
      </c>
      <c r="FB130" s="240" t="s">
        <v>231</v>
      </c>
      <c r="FC130" s="240" t="s">
        <v>231</v>
      </c>
      <c r="FD130" s="240" t="s">
        <v>231</v>
      </c>
      <c r="FE130" s="240" t="s">
        <v>231</v>
      </c>
      <c r="FF130" s="240" t="s">
        <v>231</v>
      </c>
      <c r="FG130" s="240" t="s">
        <v>231</v>
      </c>
      <c r="FH130" s="240" t="s">
        <v>231</v>
      </c>
      <c r="FI130" s="240" t="s">
        <v>231</v>
      </c>
      <c r="FJ130" s="240" t="s">
        <v>231</v>
      </c>
      <c r="FK130" s="240" t="s">
        <v>231</v>
      </c>
      <c r="FL130" s="240" t="s">
        <v>231</v>
      </c>
      <c r="FM130" s="240" t="s">
        <v>231</v>
      </c>
      <c r="FN130" s="240" t="s">
        <v>231</v>
      </c>
      <c r="FO130" s="240" t="s">
        <v>231</v>
      </c>
      <c r="FP130" s="240" t="s">
        <v>231</v>
      </c>
      <c r="FQ130" s="240" t="s">
        <v>231</v>
      </c>
      <c r="FR130" s="240" t="s">
        <v>231</v>
      </c>
      <c r="FS130" s="240" t="s">
        <v>231</v>
      </c>
      <c r="FT130" s="240" t="s">
        <v>492</v>
      </c>
      <c r="FU130" s="240" t="s">
        <v>231</v>
      </c>
      <c r="FV130" s="240" t="s">
        <v>231</v>
      </c>
      <c r="FW130" s="240" t="s">
        <v>231</v>
      </c>
      <c r="FX130" s="240" t="s">
        <v>231</v>
      </c>
      <c r="FY130" s="240" t="s">
        <v>231</v>
      </c>
      <c r="FZ130" s="240" t="s">
        <v>231</v>
      </c>
      <c r="GA130" s="240" t="s">
        <v>231</v>
      </c>
      <c r="GB130" s="240" t="s">
        <v>231</v>
      </c>
      <c r="GC130" s="240" t="s">
        <v>231</v>
      </c>
      <c r="GD130" s="240" t="s">
        <v>231</v>
      </c>
      <c r="GE130" s="240" t="s">
        <v>231</v>
      </c>
      <c r="GF130" s="240" t="s">
        <v>231</v>
      </c>
      <c r="GG130" s="240" t="s">
        <v>231</v>
      </c>
      <c r="GH130" s="240" t="s">
        <v>231</v>
      </c>
      <c r="GI130" s="240" t="s">
        <v>231</v>
      </c>
      <c r="GJ130" s="240" t="s">
        <v>231</v>
      </c>
      <c r="GK130" s="240" t="s">
        <v>231</v>
      </c>
      <c r="GL130" s="240" t="s">
        <v>231</v>
      </c>
      <c r="GM130" s="240" t="s">
        <v>231</v>
      </c>
      <c r="GN130" s="240" t="s">
        <v>231</v>
      </c>
      <c r="GO130" s="240" t="s">
        <v>231</v>
      </c>
      <c r="GP130" s="240" t="s">
        <v>231</v>
      </c>
      <c r="GQ130" s="240" t="s">
        <v>231</v>
      </c>
      <c r="GR130" s="240" t="s">
        <v>231</v>
      </c>
      <c r="GS130" s="240" t="s">
        <v>231</v>
      </c>
      <c r="GT130" s="240" t="s">
        <v>231</v>
      </c>
      <c r="GU130" s="240" t="s">
        <v>231</v>
      </c>
      <c r="GV130" s="240" t="s">
        <v>492</v>
      </c>
      <c r="GW130" s="240" t="s">
        <v>231</v>
      </c>
      <c r="GX130" s="240" t="s">
        <v>231</v>
      </c>
      <c r="GY130" s="240" t="s">
        <v>492</v>
      </c>
      <c r="GZ130" s="240" t="s">
        <v>492</v>
      </c>
      <c r="HA130" s="240" t="s">
        <v>231</v>
      </c>
      <c r="HB130" s="240" t="s">
        <v>231</v>
      </c>
      <c r="HC130" s="240" t="s">
        <v>231</v>
      </c>
      <c r="HD130" s="240" t="s">
        <v>231</v>
      </c>
      <c r="HE130" s="240" t="s">
        <v>231</v>
      </c>
      <c r="HF130" s="240" t="s">
        <v>231</v>
      </c>
      <c r="HG130" s="240" t="s">
        <v>231</v>
      </c>
      <c r="HH130" s="240" t="s">
        <v>231</v>
      </c>
      <c r="HI130" s="240" t="s">
        <v>231</v>
      </c>
      <c r="HJ130" s="240" t="s">
        <v>231</v>
      </c>
      <c r="HK130" s="240" t="s">
        <v>231</v>
      </c>
      <c r="HL130" s="240" t="s">
        <v>231</v>
      </c>
      <c r="HM130" s="240" t="s">
        <v>231</v>
      </c>
      <c r="HN130" s="240" t="s">
        <v>492</v>
      </c>
      <c r="HO130" s="240" t="s">
        <v>231</v>
      </c>
      <c r="HP130" s="240" t="s">
        <v>492</v>
      </c>
      <c r="HQ130" s="240" t="s">
        <v>231</v>
      </c>
      <c r="HR130" s="240" t="s">
        <v>231</v>
      </c>
      <c r="HS130" s="240" t="s">
        <v>231</v>
      </c>
      <c r="HT130" s="240" t="s">
        <v>231</v>
      </c>
      <c r="HU130" s="240" t="s">
        <v>231</v>
      </c>
      <c r="HV130" s="240" t="s">
        <v>231</v>
      </c>
      <c r="HW130" s="240" t="s">
        <v>231</v>
      </c>
      <c r="HX130" s="240" t="s">
        <v>231</v>
      </c>
      <c r="HY130" s="240" t="s">
        <v>231</v>
      </c>
      <c r="HZ130" s="240" t="s">
        <v>231</v>
      </c>
      <c r="IA130" s="240" t="s">
        <v>231</v>
      </c>
      <c r="IB130" s="240" t="s">
        <v>231</v>
      </c>
      <c r="IC130" s="240" t="s">
        <v>231</v>
      </c>
      <c r="ID130" s="240" t="s">
        <v>231</v>
      </c>
      <c r="IE130" s="240" t="s">
        <v>231</v>
      </c>
      <c r="IF130" s="240" t="s">
        <v>231</v>
      </c>
      <c r="IG130" s="240" t="s">
        <v>231</v>
      </c>
      <c r="IH130" s="240" t="s">
        <v>231</v>
      </c>
      <c r="II130" s="240" t="s">
        <v>231</v>
      </c>
      <c r="IJ130" s="240" t="s">
        <v>231</v>
      </c>
      <c r="IK130" s="240" t="s">
        <v>231</v>
      </c>
      <c r="IL130" s="240" t="s">
        <v>231</v>
      </c>
      <c r="IM130" s="240" t="s">
        <v>231</v>
      </c>
      <c r="IN130" s="240" t="s">
        <v>231</v>
      </c>
      <c r="IO130" s="240" t="s">
        <v>220</v>
      </c>
      <c r="IP130" s="240" t="s">
        <v>493</v>
      </c>
      <c r="IQ130" s="240" t="s">
        <v>219</v>
      </c>
      <c r="IR130" s="240" t="s">
        <v>490</v>
      </c>
      <c r="IS130" s="240" t="s">
        <v>492</v>
      </c>
      <c r="IT130" s="240" t="s">
        <v>492</v>
      </c>
    </row>
    <row r="131" spans="1:254" ht="15" x14ac:dyDescent="0.25">
      <c r="A131" s="258" t="str">
        <f>HYPERLINK("http://www.ofsted.gov.uk/inspection-reports/find-inspection-report/provider/ELS/134145 ","Ofsted School Webpage")</f>
        <v>Ofsted School Webpage</v>
      </c>
      <c r="B131" s="237">
        <v>134145</v>
      </c>
      <c r="C131" s="237">
        <v>2126405</v>
      </c>
      <c r="D131" s="237" t="s">
        <v>836</v>
      </c>
      <c r="E131" s="237" t="s">
        <v>248</v>
      </c>
      <c r="F131" s="237" t="s">
        <v>501</v>
      </c>
      <c r="G131" s="237" t="s">
        <v>506</v>
      </c>
      <c r="H131" s="237" t="s">
        <v>506</v>
      </c>
      <c r="I131" s="237" t="s">
        <v>837</v>
      </c>
      <c r="J131" s="237" t="s">
        <v>838</v>
      </c>
      <c r="K131" s="237" t="s">
        <v>93</v>
      </c>
      <c r="L131" s="237" t="s">
        <v>93</v>
      </c>
      <c r="M131" s="237" t="s">
        <v>93</v>
      </c>
      <c r="N131" s="237" t="s">
        <v>90</v>
      </c>
      <c r="O131" s="237" t="s">
        <v>486</v>
      </c>
      <c r="P131" s="237" t="s">
        <v>487</v>
      </c>
      <c r="Q131" s="238">
        <v>10055475</v>
      </c>
      <c r="R131" s="239">
        <v>43438</v>
      </c>
      <c r="S131" s="239">
        <v>43440</v>
      </c>
      <c r="T131" s="239">
        <v>43453</v>
      </c>
      <c r="U131" s="237" t="s">
        <v>488</v>
      </c>
      <c r="V131" s="237" t="s">
        <v>489</v>
      </c>
      <c r="W131" s="237">
        <v>1</v>
      </c>
      <c r="X131" s="237">
        <v>1</v>
      </c>
      <c r="Y131" s="237">
        <v>1</v>
      </c>
      <c r="Z131" s="237">
        <v>1</v>
      </c>
      <c r="AA131" s="237">
        <v>1</v>
      </c>
      <c r="AB131" s="237" t="s">
        <v>486</v>
      </c>
      <c r="AC131" s="237" t="s">
        <v>486</v>
      </c>
      <c r="AD131" s="237" t="s">
        <v>219</v>
      </c>
      <c r="AE131" s="237" t="s">
        <v>490</v>
      </c>
      <c r="AF131" s="237" t="s">
        <v>486</v>
      </c>
      <c r="AG131" s="237" t="s">
        <v>486</v>
      </c>
      <c r="AH131" s="237" t="s">
        <v>486</v>
      </c>
      <c r="AI131" s="237" t="s">
        <v>486</v>
      </c>
      <c r="AJ131" s="237" t="s">
        <v>486</v>
      </c>
      <c r="AK131" s="237" t="s">
        <v>486</v>
      </c>
      <c r="AL131" s="237" t="s">
        <v>486</v>
      </c>
      <c r="AM131" s="237" t="s">
        <v>491</v>
      </c>
      <c r="AN131" s="237" t="s">
        <v>231</v>
      </c>
      <c r="AO131" s="237" t="s">
        <v>231</v>
      </c>
      <c r="AP131" s="237" t="s">
        <v>231</v>
      </c>
      <c r="AQ131" s="237" t="s">
        <v>231</v>
      </c>
      <c r="AR131" s="237" t="s">
        <v>231</v>
      </c>
      <c r="AS131" s="237" t="s">
        <v>231</v>
      </c>
      <c r="AT131" s="237" t="s">
        <v>231</v>
      </c>
      <c r="AU131" s="237" t="s">
        <v>231</v>
      </c>
      <c r="AV131" s="237" t="s">
        <v>231</v>
      </c>
      <c r="AW131" s="237" t="s">
        <v>231</v>
      </c>
      <c r="AX131" s="237" t="s">
        <v>231</v>
      </c>
      <c r="AY131" s="237" t="s">
        <v>231</v>
      </c>
      <c r="AZ131" s="237" t="s">
        <v>231</v>
      </c>
      <c r="BA131" s="237" t="s">
        <v>231</v>
      </c>
      <c r="BB131" s="237" t="s">
        <v>231</v>
      </c>
      <c r="BC131" s="237" t="s">
        <v>231</v>
      </c>
      <c r="BD131" s="237" t="s">
        <v>492</v>
      </c>
      <c r="BE131" s="237" t="s">
        <v>231</v>
      </c>
      <c r="BF131" s="237" t="s">
        <v>231</v>
      </c>
      <c r="BG131" s="237" t="s">
        <v>231</v>
      </c>
      <c r="BH131" s="237" t="s">
        <v>231</v>
      </c>
      <c r="BI131" s="237" t="s">
        <v>231</v>
      </c>
      <c r="BJ131" s="237" t="s">
        <v>231</v>
      </c>
      <c r="BK131" s="237" t="s">
        <v>231</v>
      </c>
      <c r="BL131" s="237" t="s">
        <v>492</v>
      </c>
      <c r="BM131" s="237" t="s">
        <v>492</v>
      </c>
      <c r="BN131" s="237" t="s">
        <v>231</v>
      </c>
      <c r="BO131" s="237" t="s">
        <v>231</v>
      </c>
      <c r="BP131" s="237" t="s">
        <v>231</v>
      </c>
      <c r="BQ131" s="237" t="s">
        <v>231</v>
      </c>
      <c r="BR131" s="237" t="s">
        <v>231</v>
      </c>
      <c r="BS131" s="237" t="s">
        <v>231</v>
      </c>
      <c r="BT131" s="237" t="s">
        <v>231</v>
      </c>
      <c r="BU131" s="237" t="s">
        <v>231</v>
      </c>
      <c r="BV131" s="237" t="s">
        <v>231</v>
      </c>
      <c r="BW131" s="237" t="s">
        <v>231</v>
      </c>
      <c r="BX131" s="237" t="s">
        <v>231</v>
      </c>
      <c r="BY131" s="237" t="s">
        <v>231</v>
      </c>
      <c r="BZ131" s="237" t="s">
        <v>231</v>
      </c>
      <c r="CA131" s="237" t="s">
        <v>231</v>
      </c>
      <c r="CB131" s="237" t="s">
        <v>231</v>
      </c>
      <c r="CC131" s="237" t="s">
        <v>231</v>
      </c>
      <c r="CD131" s="237" t="s">
        <v>231</v>
      </c>
      <c r="CE131" s="237" t="s">
        <v>231</v>
      </c>
      <c r="CF131" s="237" t="s">
        <v>231</v>
      </c>
      <c r="CG131" s="237" t="s">
        <v>231</v>
      </c>
      <c r="CH131" s="237" t="s">
        <v>231</v>
      </c>
      <c r="CI131" s="237" t="s">
        <v>231</v>
      </c>
      <c r="CJ131" s="237" t="s">
        <v>231</v>
      </c>
      <c r="CK131" s="237" t="s">
        <v>231</v>
      </c>
      <c r="CL131" s="237" t="s">
        <v>231</v>
      </c>
      <c r="CM131" s="237" t="s">
        <v>231</v>
      </c>
      <c r="CN131" s="237" t="s">
        <v>231</v>
      </c>
      <c r="CO131" s="237" t="s">
        <v>231</v>
      </c>
      <c r="CP131" s="237" t="s">
        <v>231</v>
      </c>
      <c r="CQ131" s="237" t="s">
        <v>231</v>
      </c>
      <c r="CR131" s="237" t="s">
        <v>231</v>
      </c>
      <c r="CS131" s="237" t="s">
        <v>231</v>
      </c>
      <c r="CT131" s="237" t="s">
        <v>492</v>
      </c>
      <c r="CU131" s="237" t="s">
        <v>492</v>
      </c>
      <c r="CV131" s="237" t="s">
        <v>492</v>
      </c>
      <c r="CW131" s="237" t="s">
        <v>231</v>
      </c>
      <c r="CX131" s="237" t="s">
        <v>231</v>
      </c>
      <c r="CY131" s="237" t="s">
        <v>231</v>
      </c>
      <c r="CZ131" s="237" t="s">
        <v>231</v>
      </c>
      <c r="DA131" s="237" t="s">
        <v>231</v>
      </c>
      <c r="DB131" s="237" t="s">
        <v>231</v>
      </c>
      <c r="DC131" s="237" t="s">
        <v>231</v>
      </c>
      <c r="DD131" s="237" t="s">
        <v>231</v>
      </c>
      <c r="DE131" s="237" t="s">
        <v>231</v>
      </c>
      <c r="DF131" s="237" t="s">
        <v>231</v>
      </c>
      <c r="DG131" s="237" t="s">
        <v>231</v>
      </c>
      <c r="DH131" s="237" t="s">
        <v>231</v>
      </c>
      <c r="DI131" s="237" t="s">
        <v>231</v>
      </c>
      <c r="DJ131" s="237" t="s">
        <v>231</v>
      </c>
      <c r="DK131" s="237" t="s">
        <v>231</v>
      </c>
      <c r="DL131" s="237" t="s">
        <v>231</v>
      </c>
      <c r="DM131" s="237" t="s">
        <v>231</v>
      </c>
      <c r="DN131" s="237" t="s">
        <v>231</v>
      </c>
      <c r="DO131" s="237" t="s">
        <v>231</v>
      </c>
      <c r="DP131" s="237" t="s">
        <v>231</v>
      </c>
      <c r="DQ131" s="237" t="s">
        <v>231</v>
      </c>
      <c r="DR131" s="237" t="s">
        <v>231</v>
      </c>
      <c r="DS131" s="237" t="s">
        <v>231</v>
      </c>
      <c r="DT131" s="237" t="s">
        <v>492</v>
      </c>
      <c r="DU131" s="237" t="s">
        <v>231</v>
      </c>
      <c r="DV131" s="237" t="s">
        <v>231</v>
      </c>
      <c r="DW131" s="237" t="s">
        <v>231</v>
      </c>
      <c r="DX131" s="237" t="s">
        <v>231</v>
      </c>
      <c r="DY131" s="237" t="s">
        <v>231</v>
      </c>
      <c r="DZ131" s="237" t="s">
        <v>231</v>
      </c>
      <c r="EA131" s="237" t="s">
        <v>231</v>
      </c>
      <c r="EB131" s="237" t="s">
        <v>231</v>
      </c>
      <c r="EC131" s="237" t="s">
        <v>231</v>
      </c>
      <c r="ED131" s="237" t="s">
        <v>231</v>
      </c>
      <c r="EE131" s="237" t="s">
        <v>231</v>
      </c>
      <c r="EF131" s="237" t="s">
        <v>231</v>
      </c>
      <c r="EG131" s="237" t="s">
        <v>231</v>
      </c>
      <c r="EH131" s="237" t="s">
        <v>492</v>
      </c>
      <c r="EI131" s="237" t="s">
        <v>231</v>
      </c>
      <c r="EJ131" s="237" t="s">
        <v>231</v>
      </c>
      <c r="EK131" s="237" t="s">
        <v>231</v>
      </c>
      <c r="EL131" s="237" t="s">
        <v>231</v>
      </c>
      <c r="EM131" s="237" t="s">
        <v>231</v>
      </c>
      <c r="EN131" s="237" t="s">
        <v>231</v>
      </c>
      <c r="EO131" s="237" t="s">
        <v>231</v>
      </c>
      <c r="EP131" s="237" t="s">
        <v>231</v>
      </c>
      <c r="EQ131" s="237" t="s">
        <v>231</v>
      </c>
      <c r="ER131" s="237" t="s">
        <v>231</v>
      </c>
      <c r="ES131" s="237" t="s">
        <v>231</v>
      </c>
      <c r="ET131" s="237" t="s">
        <v>231</v>
      </c>
      <c r="EU131" s="237" t="s">
        <v>231</v>
      </c>
      <c r="EV131" s="237" t="s">
        <v>231</v>
      </c>
      <c r="EW131" s="237" t="s">
        <v>231</v>
      </c>
      <c r="EX131" s="237" t="s">
        <v>231</v>
      </c>
      <c r="EY131" s="237" t="s">
        <v>231</v>
      </c>
      <c r="EZ131" s="237" t="s">
        <v>231</v>
      </c>
      <c r="FA131" s="237" t="s">
        <v>231</v>
      </c>
      <c r="FB131" s="237" t="s">
        <v>231</v>
      </c>
      <c r="FC131" s="237" t="s">
        <v>231</v>
      </c>
      <c r="FD131" s="237" t="s">
        <v>231</v>
      </c>
      <c r="FE131" s="237" t="s">
        <v>231</v>
      </c>
      <c r="FF131" s="237" t="s">
        <v>231</v>
      </c>
      <c r="FG131" s="237" t="s">
        <v>231</v>
      </c>
      <c r="FH131" s="237" t="s">
        <v>231</v>
      </c>
      <c r="FI131" s="237" t="s">
        <v>231</v>
      </c>
      <c r="FJ131" s="237" t="s">
        <v>231</v>
      </c>
      <c r="FK131" s="237" t="s">
        <v>231</v>
      </c>
      <c r="FL131" s="237" t="s">
        <v>231</v>
      </c>
      <c r="FM131" s="237" t="s">
        <v>231</v>
      </c>
      <c r="FN131" s="237" t="s">
        <v>231</v>
      </c>
      <c r="FO131" s="237" t="s">
        <v>231</v>
      </c>
      <c r="FP131" s="237" t="s">
        <v>231</v>
      </c>
      <c r="FQ131" s="237" t="s">
        <v>231</v>
      </c>
      <c r="FR131" s="237" t="s">
        <v>231</v>
      </c>
      <c r="FS131" s="237" t="s">
        <v>231</v>
      </c>
      <c r="FT131" s="237" t="s">
        <v>231</v>
      </c>
      <c r="FU131" s="237" t="s">
        <v>231</v>
      </c>
      <c r="FV131" s="237" t="s">
        <v>231</v>
      </c>
      <c r="FW131" s="237" t="s">
        <v>231</v>
      </c>
      <c r="FX131" s="237" t="s">
        <v>231</v>
      </c>
      <c r="FY131" s="237" t="s">
        <v>231</v>
      </c>
      <c r="FZ131" s="237" t="s">
        <v>231</v>
      </c>
      <c r="GA131" s="237" t="s">
        <v>231</v>
      </c>
      <c r="GB131" s="237" t="s">
        <v>231</v>
      </c>
      <c r="GC131" s="237" t="s">
        <v>231</v>
      </c>
      <c r="GD131" s="237" t="s">
        <v>231</v>
      </c>
      <c r="GE131" s="237" t="s">
        <v>231</v>
      </c>
      <c r="GF131" s="237" t="s">
        <v>231</v>
      </c>
      <c r="GG131" s="237" t="s">
        <v>231</v>
      </c>
      <c r="GH131" s="237" t="s">
        <v>231</v>
      </c>
      <c r="GI131" s="237" t="s">
        <v>231</v>
      </c>
      <c r="GJ131" s="237" t="s">
        <v>231</v>
      </c>
      <c r="GK131" s="237" t="s">
        <v>231</v>
      </c>
      <c r="GL131" s="237" t="s">
        <v>231</v>
      </c>
      <c r="GM131" s="237" t="s">
        <v>231</v>
      </c>
      <c r="GN131" s="237" t="s">
        <v>231</v>
      </c>
      <c r="GO131" s="237" t="s">
        <v>231</v>
      </c>
      <c r="GP131" s="237" t="s">
        <v>492</v>
      </c>
      <c r="GQ131" s="237" t="s">
        <v>231</v>
      </c>
      <c r="GR131" s="237" t="s">
        <v>231</v>
      </c>
      <c r="GS131" s="237" t="s">
        <v>231</v>
      </c>
      <c r="GT131" s="237" t="s">
        <v>231</v>
      </c>
      <c r="GU131" s="237" t="s">
        <v>231</v>
      </c>
      <c r="GV131" s="237" t="s">
        <v>492</v>
      </c>
      <c r="GW131" s="237" t="s">
        <v>231</v>
      </c>
      <c r="GX131" s="237" t="s">
        <v>231</v>
      </c>
      <c r="GY131" s="237" t="s">
        <v>492</v>
      </c>
      <c r="GZ131" s="237" t="s">
        <v>231</v>
      </c>
      <c r="HA131" s="237" t="s">
        <v>231</v>
      </c>
      <c r="HB131" s="237" t="s">
        <v>231</v>
      </c>
      <c r="HC131" s="237" t="s">
        <v>231</v>
      </c>
      <c r="HD131" s="237" t="s">
        <v>231</v>
      </c>
      <c r="HE131" s="237" t="s">
        <v>231</v>
      </c>
      <c r="HF131" s="237" t="s">
        <v>231</v>
      </c>
      <c r="HG131" s="237" t="s">
        <v>231</v>
      </c>
      <c r="HH131" s="237" t="s">
        <v>231</v>
      </c>
      <c r="HI131" s="237" t="s">
        <v>231</v>
      </c>
      <c r="HJ131" s="237" t="s">
        <v>231</v>
      </c>
      <c r="HK131" s="237" t="s">
        <v>231</v>
      </c>
      <c r="HL131" s="237" t="s">
        <v>231</v>
      </c>
      <c r="HM131" s="237" t="s">
        <v>231</v>
      </c>
      <c r="HN131" s="237" t="s">
        <v>231</v>
      </c>
      <c r="HO131" s="237" t="s">
        <v>231</v>
      </c>
      <c r="HP131" s="237" t="s">
        <v>231</v>
      </c>
      <c r="HQ131" s="237" t="s">
        <v>492</v>
      </c>
      <c r="HR131" s="237" t="s">
        <v>492</v>
      </c>
      <c r="HS131" s="237" t="s">
        <v>492</v>
      </c>
      <c r="HT131" s="237" t="s">
        <v>492</v>
      </c>
      <c r="HU131" s="237" t="s">
        <v>231</v>
      </c>
      <c r="HV131" s="237" t="s">
        <v>231</v>
      </c>
      <c r="HW131" s="237" t="s">
        <v>231</v>
      </c>
      <c r="HX131" s="237" t="s">
        <v>231</v>
      </c>
      <c r="HY131" s="237" t="s">
        <v>231</v>
      </c>
      <c r="HZ131" s="237" t="s">
        <v>231</v>
      </c>
      <c r="IA131" s="237" t="s">
        <v>231</v>
      </c>
      <c r="IB131" s="237" t="s">
        <v>231</v>
      </c>
      <c r="IC131" s="237" t="s">
        <v>231</v>
      </c>
      <c r="ID131" s="237" t="s">
        <v>231</v>
      </c>
      <c r="IE131" s="237" t="s">
        <v>231</v>
      </c>
      <c r="IF131" s="237" t="s">
        <v>231</v>
      </c>
      <c r="IG131" s="237" t="s">
        <v>231</v>
      </c>
      <c r="IH131" s="237" t="s">
        <v>231</v>
      </c>
      <c r="II131" s="237" t="s">
        <v>231</v>
      </c>
      <c r="IJ131" s="237" t="s">
        <v>231</v>
      </c>
      <c r="IK131" s="237" t="s">
        <v>231</v>
      </c>
      <c r="IL131" s="237" t="s">
        <v>231</v>
      </c>
      <c r="IM131" s="237" t="s">
        <v>231</v>
      </c>
      <c r="IN131" s="237" t="s">
        <v>231</v>
      </c>
      <c r="IO131" s="237" t="s">
        <v>220</v>
      </c>
      <c r="IP131" s="237" t="s">
        <v>493</v>
      </c>
      <c r="IQ131" s="237" t="s">
        <v>219</v>
      </c>
      <c r="IR131" s="237" t="s">
        <v>490</v>
      </c>
      <c r="IS131" s="237" t="s">
        <v>492</v>
      </c>
      <c r="IT131" s="237" t="s">
        <v>492</v>
      </c>
    </row>
    <row r="132" spans="1:254" ht="15" x14ac:dyDescent="0.25">
      <c r="A132" s="259" t="str">
        <f>HYPERLINK("http://www.ofsted.gov.uk/inspection-reports/find-inspection-report/provider/ELS/131119 ","Ofsted School Webpage")</f>
        <v>Ofsted School Webpage</v>
      </c>
      <c r="B132" s="240">
        <v>131119</v>
      </c>
      <c r="C132" s="240">
        <v>8926012</v>
      </c>
      <c r="D132" s="240" t="s">
        <v>839</v>
      </c>
      <c r="E132" s="240" t="s">
        <v>247</v>
      </c>
      <c r="F132" s="240" t="s">
        <v>482</v>
      </c>
      <c r="G132" s="240" t="s">
        <v>572</v>
      </c>
      <c r="H132" s="240" t="s">
        <v>572</v>
      </c>
      <c r="I132" s="240" t="s">
        <v>758</v>
      </c>
      <c r="J132" s="240" t="s">
        <v>840</v>
      </c>
      <c r="K132" s="240" t="s">
        <v>93</v>
      </c>
      <c r="L132" s="240" t="s">
        <v>84</v>
      </c>
      <c r="M132" s="240" t="s">
        <v>84</v>
      </c>
      <c r="N132" s="240" t="s">
        <v>84</v>
      </c>
      <c r="O132" s="240" t="s">
        <v>486</v>
      </c>
      <c r="P132" s="240" t="s">
        <v>487</v>
      </c>
      <c r="Q132" s="241">
        <v>10081294</v>
      </c>
      <c r="R132" s="242">
        <v>43438</v>
      </c>
      <c r="S132" s="242">
        <v>43440</v>
      </c>
      <c r="T132" s="242">
        <v>43494</v>
      </c>
      <c r="U132" s="240" t="s">
        <v>488</v>
      </c>
      <c r="V132" s="240" t="s">
        <v>489</v>
      </c>
      <c r="W132" s="240">
        <v>4</v>
      </c>
      <c r="X132" s="240">
        <v>4</v>
      </c>
      <c r="Y132" s="240">
        <v>4</v>
      </c>
      <c r="Z132" s="240">
        <v>2</v>
      </c>
      <c r="AA132" s="240">
        <v>2</v>
      </c>
      <c r="AB132" s="240" t="s">
        <v>486</v>
      </c>
      <c r="AC132" s="240">
        <v>4</v>
      </c>
      <c r="AD132" s="240" t="s">
        <v>220</v>
      </c>
      <c r="AE132" s="240" t="s">
        <v>490</v>
      </c>
      <c r="AF132" s="240" t="s">
        <v>486</v>
      </c>
      <c r="AG132" s="240" t="s">
        <v>486</v>
      </c>
      <c r="AH132" s="240" t="s">
        <v>486</v>
      </c>
      <c r="AI132" s="240" t="s">
        <v>486</v>
      </c>
      <c r="AJ132" s="240" t="s">
        <v>486</v>
      </c>
      <c r="AK132" s="240" t="s">
        <v>486</v>
      </c>
      <c r="AL132" s="240" t="s">
        <v>486</v>
      </c>
      <c r="AM132" s="240" t="s">
        <v>545</v>
      </c>
      <c r="AN132" s="240" t="s">
        <v>546</v>
      </c>
      <c r="AO132" s="240" t="s">
        <v>546</v>
      </c>
      <c r="AP132" s="240" t="s">
        <v>546</v>
      </c>
      <c r="AQ132" s="240" t="s">
        <v>231</v>
      </c>
      <c r="AR132" s="240" t="s">
        <v>546</v>
      </c>
      <c r="AS132" s="240" t="s">
        <v>231</v>
      </c>
      <c r="AT132" s="240" t="s">
        <v>231</v>
      </c>
      <c r="AU132" s="240" t="s">
        <v>546</v>
      </c>
      <c r="AV132" s="240" t="s">
        <v>232</v>
      </c>
      <c r="AW132" s="240" t="s">
        <v>232</v>
      </c>
      <c r="AX132" s="240" t="s">
        <v>231</v>
      </c>
      <c r="AY132" s="240" t="s">
        <v>231</v>
      </c>
      <c r="AZ132" s="240" t="s">
        <v>231</v>
      </c>
      <c r="BA132" s="240" t="s">
        <v>232</v>
      </c>
      <c r="BB132" s="240" t="s">
        <v>232</v>
      </c>
      <c r="BC132" s="240" t="s">
        <v>231</v>
      </c>
      <c r="BD132" s="240" t="s">
        <v>492</v>
      </c>
      <c r="BE132" s="240" t="s">
        <v>232</v>
      </c>
      <c r="BF132" s="240" t="s">
        <v>232</v>
      </c>
      <c r="BG132" s="240" t="s">
        <v>232</v>
      </c>
      <c r="BH132" s="240" t="s">
        <v>231</v>
      </c>
      <c r="BI132" s="240" t="s">
        <v>231</v>
      </c>
      <c r="BJ132" s="240" t="s">
        <v>231</v>
      </c>
      <c r="BK132" s="240" t="s">
        <v>231</v>
      </c>
      <c r="BL132" s="240" t="s">
        <v>492</v>
      </c>
      <c r="BM132" s="240" t="s">
        <v>231</v>
      </c>
      <c r="BN132" s="240" t="s">
        <v>231</v>
      </c>
      <c r="BO132" s="240" t="s">
        <v>232</v>
      </c>
      <c r="BP132" s="240" t="s">
        <v>231</v>
      </c>
      <c r="BQ132" s="240" t="s">
        <v>231</v>
      </c>
      <c r="BR132" s="240" t="s">
        <v>231</v>
      </c>
      <c r="BS132" s="240" t="s">
        <v>231</v>
      </c>
      <c r="BT132" s="240" t="s">
        <v>231</v>
      </c>
      <c r="BU132" s="240" t="s">
        <v>231</v>
      </c>
      <c r="BV132" s="240" t="s">
        <v>231</v>
      </c>
      <c r="BW132" s="240" t="s">
        <v>231</v>
      </c>
      <c r="BX132" s="240" t="s">
        <v>231</v>
      </c>
      <c r="BY132" s="240" t="s">
        <v>231</v>
      </c>
      <c r="BZ132" s="240" t="s">
        <v>231</v>
      </c>
      <c r="CA132" s="240" t="s">
        <v>231</v>
      </c>
      <c r="CB132" s="240" t="s">
        <v>232</v>
      </c>
      <c r="CC132" s="240" t="s">
        <v>232</v>
      </c>
      <c r="CD132" s="240" t="s">
        <v>232</v>
      </c>
      <c r="CE132" s="240" t="s">
        <v>231</v>
      </c>
      <c r="CF132" s="240" t="s">
        <v>231</v>
      </c>
      <c r="CG132" s="240" t="s">
        <v>232</v>
      </c>
      <c r="CH132" s="240" t="s">
        <v>232</v>
      </c>
      <c r="CI132" s="240" t="s">
        <v>232</v>
      </c>
      <c r="CJ132" s="240" t="s">
        <v>232</v>
      </c>
      <c r="CK132" s="240" t="s">
        <v>231</v>
      </c>
      <c r="CL132" s="240" t="s">
        <v>231</v>
      </c>
      <c r="CM132" s="240" t="s">
        <v>231</v>
      </c>
      <c r="CN132" s="240" t="s">
        <v>231</v>
      </c>
      <c r="CO132" s="240" t="s">
        <v>231</v>
      </c>
      <c r="CP132" s="240" t="s">
        <v>231</v>
      </c>
      <c r="CQ132" s="240" t="s">
        <v>232</v>
      </c>
      <c r="CR132" s="240" t="s">
        <v>232</v>
      </c>
      <c r="CS132" s="240" t="s">
        <v>232</v>
      </c>
      <c r="CT132" s="240" t="s">
        <v>661</v>
      </c>
      <c r="CU132" s="240" t="s">
        <v>661</v>
      </c>
      <c r="CV132" s="240" t="s">
        <v>661</v>
      </c>
      <c r="CW132" s="240" t="s">
        <v>232</v>
      </c>
      <c r="CX132" s="240" t="s">
        <v>231</v>
      </c>
      <c r="CY132" s="240" t="s">
        <v>232</v>
      </c>
      <c r="CZ132" s="240" t="s">
        <v>232</v>
      </c>
      <c r="DA132" s="240" t="s">
        <v>231</v>
      </c>
      <c r="DB132" s="240" t="s">
        <v>232</v>
      </c>
      <c r="DC132" s="240" t="s">
        <v>231</v>
      </c>
      <c r="DD132" s="240" t="s">
        <v>232</v>
      </c>
      <c r="DE132" s="240" t="s">
        <v>231</v>
      </c>
      <c r="DF132" s="240" t="s">
        <v>232</v>
      </c>
      <c r="DG132" s="240" t="s">
        <v>232</v>
      </c>
      <c r="DH132" s="240" t="s">
        <v>232</v>
      </c>
      <c r="DI132" s="240" t="s">
        <v>232</v>
      </c>
      <c r="DJ132" s="240" t="s">
        <v>231</v>
      </c>
      <c r="DK132" s="240" t="s">
        <v>231</v>
      </c>
      <c r="DL132" s="240" t="s">
        <v>231</v>
      </c>
      <c r="DM132" s="240" t="s">
        <v>231</v>
      </c>
      <c r="DN132" s="240" t="s">
        <v>231</v>
      </c>
      <c r="DO132" s="240" t="s">
        <v>231</v>
      </c>
      <c r="DP132" s="240" t="s">
        <v>231</v>
      </c>
      <c r="DQ132" s="240" t="s">
        <v>231</v>
      </c>
      <c r="DR132" s="240" t="s">
        <v>231</v>
      </c>
      <c r="DS132" s="240" t="s">
        <v>231</v>
      </c>
      <c r="DT132" s="240" t="s">
        <v>231</v>
      </c>
      <c r="DU132" s="240" t="s">
        <v>231</v>
      </c>
      <c r="DV132" s="240" t="s">
        <v>492</v>
      </c>
      <c r="DW132" s="240" t="s">
        <v>492</v>
      </c>
      <c r="DX132" s="240" t="s">
        <v>492</v>
      </c>
      <c r="DY132" s="240" t="s">
        <v>492</v>
      </c>
      <c r="DZ132" s="240" t="s">
        <v>492</v>
      </c>
      <c r="EA132" s="240" t="s">
        <v>492</v>
      </c>
      <c r="EB132" s="240" t="s">
        <v>492</v>
      </c>
      <c r="EC132" s="240" t="s">
        <v>492</v>
      </c>
      <c r="ED132" s="240" t="s">
        <v>492</v>
      </c>
      <c r="EE132" s="240" t="s">
        <v>492</v>
      </c>
      <c r="EF132" s="240" t="s">
        <v>492</v>
      </c>
      <c r="EG132" s="240" t="s">
        <v>492</v>
      </c>
      <c r="EH132" s="240" t="s">
        <v>492</v>
      </c>
      <c r="EI132" s="240" t="s">
        <v>492</v>
      </c>
      <c r="EJ132" s="240" t="s">
        <v>231</v>
      </c>
      <c r="EK132" s="240" t="s">
        <v>231</v>
      </c>
      <c r="EL132" s="240" t="s">
        <v>231</v>
      </c>
      <c r="EM132" s="240" t="s">
        <v>231</v>
      </c>
      <c r="EN132" s="240" t="s">
        <v>231</v>
      </c>
      <c r="EO132" s="240" t="s">
        <v>231</v>
      </c>
      <c r="EP132" s="240" t="s">
        <v>231</v>
      </c>
      <c r="EQ132" s="240" t="s">
        <v>231</v>
      </c>
      <c r="ER132" s="240" t="s">
        <v>231</v>
      </c>
      <c r="ES132" s="240" t="s">
        <v>231</v>
      </c>
      <c r="ET132" s="240" t="s">
        <v>231</v>
      </c>
      <c r="EU132" s="240" t="s">
        <v>231</v>
      </c>
      <c r="EV132" s="240" t="s">
        <v>231</v>
      </c>
      <c r="EW132" s="240" t="s">
        <v>231</v>
      </c>
      <c r="EX132" s="240" t="s">
        <v>231</v>
      </c>
      <c r="EY132" s="240" t="s">
        <v>231</v>
      </c>
      <c r="EZ132" s="240" t="s">
        <v>231</v>
      </c>
      <c r="FA132" s="240" t="s">
        <v>231</v>
      </c>
      <c r="FB132" s="240" t="s">
        <v>231</v>
      </c>
      <c r="FC132" s="240" t="s">
        <v>231</v>
      </c>
      <c r="FD132" s="240" t="s">
        <v>231</v>
      </c>
      <c r="FE132" s="240" t="s">
        <v>231</v>
      </c>
      <c r="FF132" s="240" t="s">
        <v>231</v>
      </c>
      <c r="FG132" s="240" t="s">
        <v>492</v>
      </c>
      <c r="FH132" s="240" t="s">
        <v>492</v>
      </c>
      <c r="FI132" s="240" t="s">
        <v>492</v>
      </c>
      <c r="FJ132" s="240" t="s">
        <v>492</v>
      </c>
      <c r="FK132" s="240" t="s">
        <v>492</v>
      </c>
      <c r="FL132" s="240" t="s">
        <v>492</v>
      </c>
      <c r="FM132" s="240" t="s">
        <v>231</v>
      </c>
      <c r="FN132" s="240" t="s">
        <v>231</v>
      </c>
      <c r="FO132" s="240" t="s">
        <v>231</v>
      </c>
      <c r="FP132" s="240" t="s">
        <v>231</v>
      </c>
      <c r="FQ132" s="240" t="s">
        <v>232</v>
      </c>
      <c r="FR132" s="240" t="s">
        <v>232</v>
      </c>
      <c r="FS132" s="240" t="s">
        <v>231</v>
      </c>
      <c r="FT132" s="240" t="s">
        <v>231</v>
      </c>
      <c r="FU132" s="240" t="s">
        <v>232</v>
      </c>
      <c r="FV132" s="240" t="s">
        <v>231</v>
      </c>
      <c r="FW132" s="240" t="s">
        <v>232</v>
      </c>
      <c r="FX132" s="240" t="s">
        <v>492</v>
      </c>
      <c r="FY132" s="240" t="s">
        <v>231</v>
      </c>
      <c r="FZ132" s="240" t="s">
        <v>232</v>
      </c>
      <c r="GA132" s="240" t="s">
        <v>231</v>
      </c>
      <c r="GB132" s="240" t="s">
        <v>231</v>
      </c>
      <c r="GC132" s="240" t="s">
        <v>231</v>
      </c>
      <c r="GD132" s="240" t="s">
        <v>231</v>
      </c>
      <c r="GE132" s="240" t="s">
        <v>231</v>
      </c>
      <c r="GF132" s="240" t="s">
        <v>231</v>
      </c>
      <c r="GG132" s="240" t="s">
        <v>232</v>
      </c>
      <c r="GH132" s="240" t="s">
        <v>231</v>
      </c>
      <c r="GI132" s="240" t="s">
        <v>231</v>
      </c>
      <c r="GJ132" s="240" t="s">
        <v>231</v>
      </c>
      <c r="GK132" s="240" t="s">
        <v>231</v>
      </c>
      <c r="GL132" s="240" t="s">
        <v>231</v>
      </c>
      <c r="GM132" s="240" t="s">
        <v>231</v>
      </c>
      <c r="GN132" s="240" t="s">
        <v>231</v>
      </c>
      <c r="GO132" s="240" t="s">
        <v>231</v>
      </c>
      <c r="GP132" s="240" t="s">
        <v>661</v>
      </c>
      <c r="GQ132" s="240" t="s">
        <v>231</v>
      </c>
      <c r="GR132" s="240" t="s">
        <v>231</v>
      </c>
      <c r="GS132" s="240" t="s">
        <v>231</v>
      </c>
      <c r="GT132" s="240" t="s">
        <v>231</v>
      </c>
      <c r="GU132" s="240" t="s">
        <v>231</v>
      </c>
      <c r="GV132" s="240" t="s">
        <v>231</v>
      </c>
      <c r="GW132" s="240" t="s">
        <v>231</v>
      </c>
      <c r="GX132" s="240" t="s">
        <v>231</v>
      </c>
      <c r="GY132" s="240" t="s">
        <v>492</v>
      </c>
      <c r="GZ132" s="240" t="s">
        <v>492</v>
      </c>
      <c r="HA132" s="240" t="s">
        <v>492</v>
      </c>
      <c r="HB132" s="240" t="s">
        <v>231</v>
      </c>
      <c r="HC132" s="240" t="s">
        <v>231</v>
      </c>
      <c r="HD132" s="240" t="s">
        <v>231</v>
      </c>
      <c r="HE132" s="240" t="s">
        <v>492</v>
      </c>
      <c r="HF132" s="240" t="s">
        <v>231</v>
      </c>
      <c r="HG132" s="240" t="s">
        <v>231</v>
      </c>
      <c r="HH132" s="240" t="s">
        <v>231</v>
      </c>
      <c r="HI132" s="240" t="s">
        <v>231</v>
      </c>
      <c r="HJ132" s="240" t="s">
        <v>231</v>
      </c>
      <c r="HK132" s="240" t="s">
        <v>231</v>
      </c>
      <c r="HL132" s="240" t="s">
        <v>231</v>
      </c>
      <c r="HM132" s="240" t="s">
        <v>231</v>
      </c>
      <c r="HN132" s="240" t="s">
        <v>231</v>
      </c>
      <c r="HO132" s="240" t="s">
        <v>231</v>
      </c>
      <c r="HP132" s="240" t="s">
        <v>231</v>
      </c>
      <c r="HQ132" s="240" t="s">
        <v>492</v>
      </c>
      <c r="HR132" s="240" t="s">
        <v>492</v>
      </c>
      <c r="HS132" s="240" t="s">
        <v>492</v>
      </c>
      <c r="HT132" s="240" t="s">
        <v>492</v>
      </c>
      <c r="HU132" s="240" t="s">
        <v>231</v>
      </c>
      <c r="HV132" s="240" t="s">
        <v>231</v>
      </c>
      <c r="HW132" s="240" t="s">
        <v>231</v>
      </c>
      <c r="HX132" s="240" t="s">
        <v>231</v>
      </c>
      <c r="HY132" s="240" t="s">
        <v>231</v>
      </c>
      <c r="HZ132" s="240" t="s">
        <v>231</v>
      </c>
      <c r="IA132" s="240" t="s">
        <v>231</v>
      </c>
      <c r="IB132" s="240" t="s">
        <v>231</v>
      </c>
      <c r="IC132" s="240" t="s">
        <v>231</v>
      </c>
      <c r="ID132" s="240" t="s">
        <v>231</v>
      </c>
      <c r="IE132" s="240" t="s">
        <v>231</v>
      </c>
      <c r="IF132" s="240" t="s">
        <v>231</v>
      </c>
      <c r="IG132" s="240" t="s">
        <v>231</v>
      </c>
      <c r="IH132" s="240" t="s">
        <v>231</v>
      </c>
      <c r="II132" s="240" t="s">
        <v>231</v>
      </c>
      <c r="IJ132" s="240" t="s">
        <v>231</v>
      </c>
      <c r="IK132" s="240" t="s">
        <v>232</v>
      </c>
      <c r="IL132" s="240" t="s">
        <v>232</v>
      </c>
      <c r="IM132" s="240" t="s">
        <v>232</v>
      </c>
      <c r="IN132" s="240" t="s">
        <v>232</v>
      </c>
      <c r="IO132" s="240" t="s">
        <v>219</v>
      </c>
      <c r="IP132" s="240" t="s">
        <v>493</v>
      </c>
      <c r="IQ132" s="240" t="s">
        <v>219</v>
      </c>
      <c r="IR132" s="240" t="s">
        <v>490</v>
      </c>
      <c r="IS132" s="240" t="s">
        <v>492</v>
      </c>
      <c r="IT132" s="240" t="s">
        <v>492</v>
      </c>
    </row>
    <row r="133" spans="1:254" ht="15" x14ac:dyDescent="0.25">
      <c r="A133" s="258" t="str">
        <f>HYPERLINK("http://www.ofsted.gov.uk/inspection-reports/find-inspection-report/provider/ELS/145463 ","Ofsted School Webpage")</f>
        <v>Ofsted School Webpage</v>
      </c>
      <c r="B133" s="237">
        <v>145463</v>
      </c>
      <c r="C133" s="237">
        <v>3416013</v>
      </c>
      <c r="D133" s="237" t="s">
        <v>841</v>
      </c>
      <c r="E133" s="237" t="s">
        <v>247</v>
      </c>
      <c r="F133" s="237" t="s">
        <v>482</v>
      </c>
      <c r="G133" s="237" t="s">
        <v>495</v>
      </c>
      <c r="H133" s="237" t="s">
        <v>495</v>
      </c>
      <c r="I133" s="237" t="s">
        <v>736</v>
      </c>
      <c r="J133" s="237" t="s">
        <v>842</v>
      </c>
      <c r="K133" s="237" t="s">
        <v>93</v>
      </c>
      <c r="L133" s="237" t="s">
        <v>93</v>
      </c>
      <c r="M133" s="237" t="s">
        <v>93</v>
      </c>
      <c r="N133" s="237" t="s">
        <v>90</v>
      </c>
      <c r="O133" s="237" t="s">
        <v>486</v>
      </c>
      <c r="P133" s="237" t="s">
        <v>487</v>
      </c>
      <c r="Q133" s="238">
        <v>10056436</v>
      </c>
      <c r="R133" s="239">
        <v>43438</v>
      </c>
      <c r="S133" s="239">
        <v>43440</v>
      </c>
      <c r="T133" s="239">
        <v>43480</v>
      </c>
      <c r="U133" s="237" t="s">
        <v>499</v>
      </c>
      <c r="V133" s="237" t="s">
        <v>489</v>
      </c>
      <c r="W133" s="237">
        <v>2</v>
      </c>
      <c r="X133" s="237">
        <v>2</v>
      </c>
      <c r="Y133" s="237">
        <v>2</v>
      </c>
      <c r="Z133" s="237">
        <v>2</v>
      </c>
      <c r="AA133" s="237">
        <v>2</v>
      </c>
      <c r="AB133" s="237" t="s">
        <v>486</v>
      </c>
      <c r="AC133" s="237" t="s">
        <v>486</v>
      </c>
      <c r="AD133" s="237" t="s">
        <v>219</v>
      </c>
      <c r="AE133" s="237" t="s">
        <v>490</v>
      </c>
      <c r="AF133" s="237" t="s">
        <v>486</v>
      </c>
      <c r="AG133" s="237" t="s">
        <v>486</v>
      </c>
      <c r="AH133" s="237" t="s">
        <v>486</v>
      </c>
      <c r="AI133" s="237" t="s">
        <v>486</v>
      </c>
      <c r="AJ133" s="237" t="s">
        <v>486</v>
      </c>
      <c r="AK133" s="237" t="s">
        <v>486</v>
      </c>
      <c r="AL133" s="237" t="s">
        <v>486</v>
      </c>
      <c r="AM133" s="237" t="s">
        <v>491</v>
      </c>
      <c r="AN133" s="237" t="s">
        <v>231</v>
      </c>
      <c r="AO133" s="237" t="s">
        <v>231</v>
      </c>
      <c r="AP133" s="237" t="s">
        <v>231</v>
      </c>
      <c r="AQ133" s="237" t="s">
        <v>231</v>
      </c>
      <c r="AR133" s="237" t="s">
        <v>231</v>
      </c>
      <c r="AS133" s="237" t="s">
        <v>231</v>
      </c>
      <c r="AT133" s="237" t="s">
        <v>231</v>
      </c>
      <c r="AU133" s="237" t="s">
        <v>231</v>
      </c>
      <c r="AV133" s="237" t="s">
        <v>231</v>
      </c>
      <c r="AW133" s="237" t="s">
        <v>231</v>
      </c>
      <c r="AX133" s="237" t="s">
        <v>231</v>
      </c>
      <c r="AY133" s="237" t="s">
        <v>231</v>
      </c>
      <c r="AZ133" s="237" t="s">
        <v>231</v>
      </c>
      <c r="BA133" s="237" t="s">
        <v>231</v>
      </c>
      <c r="BB133" s="237" t="s">
        <v>231</v>
      </c>
      <c r="BC133" s="237" t="s">
        <v>231</v>
      </c>
      <c r="BD133" s="237" t="s">
        <v>492</v>
      </c>
      <c r="BE133" s="237" t="s">
        <v>231</v>
      </c>
      <c r="BF133" s="237" t="s">
        <v>231</v>
      </c>
      <c r="BG133" s="237" t="s">
        <v>231</v>
      </c>
      <c r="BH133" s="237" t="s">
        <v>231</v>
      </c>
      <c r="BI133" s="237" t="s">
        <v>231</v>
      </c>
      <c r="BJ133" s="237" t="s">
        <v>231</v>
      </c>
      <c r="BK133" s="237" t="s">
        <v>231</v>
      </c>
      <c r="BL133" s="237" t="s">
        <v>492</v>
      </c>
      <c r="BM133" s="237" t="s">
        <v>231</v>
      </c>
      <c r="BN133" s="237" t="s">
        <v>231</v>
      </c>
      <c r="BO133" s="237" t="s">
        <v>231</v>
      </c>
      <c r="BP133" s="237" t="s">
        <v>231</v>
      </c>
      <c r="BQ133" s="237" t="s">
        <v>231</v>
      </c>
      <c r="BR133" s="237" t="s">
        <v>231</v>
      </c>
      <c r="BS133" s="237" t="s">
        <v>231</v>
      </c>
      <c r="BT133" s="237" t="s">
        <v>231</v>
      </c>
      <c r="BU133" s="237" t="s">
        <v>231</v>
      </c>
      <c r="BV133" s="237" t="s">
        <v>231</v>
      </c>
      <c r="BW133" s="237" t="s">
        <v>231</v>
      </c>
      <c r="BX133" s="237" t="s">
        <v>231</v>
      </c>
      <c r="BY133" s="237" t="s">
        <v>231</v>
      </c>
      <c r="BZ133" s="237" t="s">
        <v>231</v>
      </c>
      <c r="CA133" s="237" t="s">
        <v>231</v>
      </c>
      <c r="CB133" s="237" t="s">
        <v>231</v>
      </c>
      <c r="CC133" s="237" t="s">
        <v>231</v>
      </c>
      <c r="CD133" s="237" t="s">
        <v>231</v>
      </c>
      <c r="CE133" s="237" t="s">
        <v>231</v>
      </c>
      <c r="CF133" s="237" t="s">
        <v>231</v>
      </c>
      <c r="CG133" s="237" t="s">
        <v>231</v>
      </c>
      <c r="CH133" s="237" t="s">
        <v>231</v>
      </c>
      <c r="CI133" s="237" t="s">
        <v>231</v>
      </c>
      <c r="CJ133" s="237" t="s">
        <v>231</v>
      </c>
      <c r="CK133" s="237" t="s">
        <v>231</v>
      </c>
      <c r="CL133" s="237" t="s">
        <v>231</v>
      </c>
      <c r="CM133" s="237" t="s">
        <v>231</v>
      </c>
      <c r="CN133" s="237" t="s">
        <v>231</v>
      </c>
      <c r="CO133" s="237" t="s">
        <v>231</v>
      </c>
      <c r="CP133" s="237" t="s">
        <v>231</v>
      </c>
      <c r="CQ133" s="237" t="s">
        <v>231</v>
      </c>
      <c r="CR133" s="237" t="s">
        <v>231</v>
      </c>
      <c r="CS133" s="237" t="s">
        <v>231</v>
      </c>
      <c r="CT133" s="237" t="s">
        <v>492</v>
      </c>
      <c r="CU133" s="237" t="s">
        <v>492</v>
      </c>
      <c r="CV133" s="237" t="s">
        <v>492</v>
      </c>
      <c r="CW133" s="237" t="s">
        <v>231</v>
      </c>
      <c r="CX133" s="237" t="s">
        <v>231</v>
      </c>
      <c r="CY133" s="237" t="s">
        <v>231</v>
      </c>
      <c r="CZ133" s="237" t="s">
        <v>231</v>
      </c>
      <c r="DA133" s="237" t="s">
        <v>231</v>
      </c>
      <c r="DB133" s="237" t="s">
        <v>231</v>
      </c>
      <c r="DC133" s="237" t="s">
        <v>231</v>
      </c>
      <c r="DD133" s="237" t="s">
        <v>231</v>
      </c>
      <c r="DE133" s="237" t="s">
        <v>231</v>
      </c>
      <c r="DF133" s="237" t="s">
        <v>231</v>
      </c>
      <c r="DG133" s="237" t="s">
        <v>231</v>
      </c>
      <c r="DH133" s="237" t="s">
        <v>231</v>
      </c>
      <c r="DI133" s="237" t="s">
        <v>231</v>
      </c>
      <c r="DJ133" s="237" t="s">
        <v>231</v>
      </c>
      <c r="DK133" s="237" t="s">
        <v>231</v>
      </c>
      <c r="DL133" s="237" t="s">
        <v>231</v>
      </c>
      <c r="DM133" s="237" t="s">
        <v>231</v>
      </c>
      <c r="DN133" s="237" t="s">
        <v>231</v>
      </c>
      <c r="DO133" s="237" t="s">
        <v>231</v>
      </c>
      <c r="DP133" s="237" t="s">
        <v>231</v>
      </c>
      <c r="DQ133" s="237" t="s">
        <v>231</v>
      </c>
      <c r="DR133" s="237" t="s">
        <v>231</v>
      </c>
      <c r="DS133" s="237" t="s">
        <v>231</v>
      </c>
      <c r="DT133" s="237" t="s">
        <v>492</v>
      </c>
      <c r="DU133" s="237" t="s">
        <v>231</v>
      </c>
      <c r="DV133" s="237" t="s">
        <v>231</v>
      </c>
      <c r="DW133" s="237" t="s">
        <v>231</v>
      </c>
      <c r="DX133" s="237" t="s">
        <v>231</v>
      </c>
      <c r="DY133" s="237" t="s">
        <v>231</v>
      </c>
      <c r="DZ133" s="237" t="s">
        <v>231</v>
      </c>
      <c r="EA133" s="237" t="s">
        <v>231</v>
      </c>
      <c r="EB133" s="237" t="s">
        <v>231</v>
      </c>
      <c r="EC133" s="237" t="s">
        <v>231</v>
      </c>
      <c r="ED133" s="237" t="s">
        <v>231</v>
      </c>
      <c r="EE133" s="237" t="s">
        <v>231</v>
      </c>
      <c r="EF133" s="237" t="s">
        <v>231</v>
      </c>
      <c r="EG133" s="237" t="s">
        <v>231</v>
      </c>
      <c r="EH133" s="237" t="s">
        <v>492</v>
      </c>
      <c r="EI133" s="237" t="s">
        <v>231</v>
      </c>
      <c r="EJ133" s="237" t="s">
        <v>231</v>
      </c>
      <c r="EK133" s="237" t="s">
        <v>231</v>
      </c>
      <c r="EL133" s="237" t="s">
        <v>231</v>
      </c>
      <c r="EM133" s="237" t="s">
        <v>231</v>
      </c>
      <c r="EN133" s="237" t="s">
        <v>231</v>
      </c>
      <c r="EO133" s="237" t="s">
        <v>231</v>
      </c>
      <c r="EP133" s="237" t="s">
        <v>231</v>
      </c>
      <c r="EQ133" s="237" t="s">
        <v>492</v>
      </c>
      <c r="ER133" s="237" t="s">
        <v>231</v>
      </c>
      <c r="ES133" s="237" t="s">
        <v>231</v>
      </c>
      <c r="ET133" s="237" t="s">
        <v>231</v>
      </c>
      <c r="EU133" s="237" t="s">
        <v>231</v>
      </c>
      <c r="EV133" s="237" t="s">
        <v>231</v>
      </c>
      <c r="EW133" s="237" t="s">
        <v>231</v>
      </c>
      <c r="EX133" s="237" t="s">
        <v>231</v>
      </c>
      <c r="EY133" s="237" t="s">
        <v>231</v>
      </c>
      <c r="EZ133" s="237" t="s">
        <v>231</v>
      </c>
      <c r="FA133" s="237" t="s">
        <v>231</v>
      </c>
      <c r="FB133" s="237" t="s">
        <v>231</v>
      </c>
      <c r="FC133" s="237" t="s">
        <v>231</v>
      </c>
      <c r="FD133" s="237" t="s">
        <v>231</v>
      </c>
      <c r="FE133" s="237" t="s">
        <v>231</v>
      </c>
      <c r="FF133" s="237" t="s">
        <v>492</v>
      </c>
      <c r="FG133" s="237" t="s">
        <v>231</v>
      </c>
      <c r="FH133" s="237" t="s">
        <v>231</v>
      </c>
      <c r="FI133" s="237" t="s">
        <v>231</v>
      </c>
      <c r="FJ133" s="237" t="s">
        <v>231</v>
      </c>
      <c r="FK133" s="237" t="s">
        <v>231</v>
      </c>
      <c r="FL133" s="237" t="s">
        <v>231</v>
      </c>
      <c r="FM133" s="237" t="s">
        <v>231</v>
      </c>
      <c r="FN133" s="237" t="s">
        <v>492</v>
      </c>
      <c r="FO133" s="237" t="s">
        <v>493</v>
      </c>
      <c r="FP133" s="237" t="s">
        <v>492</v>
      </c>
      <c r="FQ133" s="237" t="s">
        <v>231</v>
      </c>
      <c r="FR133" s="237" t="s">
        <v>231</v>
      </c>
      <c r="FS133" s="237" t="s">
        <v>231</v>
      </c>
      <c r="FT133" s="237" t="s">
        <v>231</v>
      </c>
      <c r="FU133" s="237" t="s">
        <v>231</v>
      </c>
      <c r="FV133" s="237" t="s">
        <v>231</v>
      </c>
      <c r="FW133" s="237" t="s">
        <v>231</v>
      </c>
      <c r="FX133" s="237" t="s">
        <v>492</v>
      </c>
      <c r="FY133" s="237" t="s">
        <v>231</v>
      </c>
      <c r="FZ133" s="237" t="s">
        <v>231</v>
      </c>
      <c r="GA133" s="237" t="s">
        <v>231</v>
      </c>
      <c r="GB133" s="237" t="s">
        <v>231</v>
      </c>
      <c r="GC133" s="237" t="s">
        <v>231</v>
      </c>
      <c r="GD133" s="237" t="s">
        <v>231</v>
      </c>
      <c r="GE133" s="237" t="s">
        <v>231</v>
      </c>
      <c r="GF133" s="237" t="s">
        <v>231</v>
      </c>
      <c r="GG133" s="237" t="s">
        <v>231</v>
      </c>
      <c r="GH133" s="237" t="s">
        <v>231</v>
      </c>
      <c r="GI133" s="237" t="s">
        <v>231</v>
      </c>
      <c r="GJ133" s="237" t="s">
        <v>231</v>
      </c>
      <c r="GK133" s="237" t="s">
        <v>231</v>
      </c>
      <c r="GL133" s="237" t="s">
        <v>231</v>
      </c>
      <c r="GM133" s="237" t="s">
        <v>231</v>
      </c>
      <c r="GN133" s="237" t="s">
        <v>231</v>
      </c>
      <c r="GO133" s="237" t="s">
        <v>231</v>
      </c>
      <c r="GP133" s="237" t="s">
        <v>231</v>
      </c>
      <c r="GQ133" s="237" t="s">
        <v>231</v>
      </c>
      <c r="GR133" s="237" t="s">
        <v>231</v>
      </c>
      <c r="GS133" s="237" t="s">
        <v>231</v>
      </c>
      <c r="GT133" s="237" t="s">
        <v>231</v>
      </c>
      <c r="GU133" s="237" t="s">
        <v>231</v>
      </c>
      <c r="GV133" s="237" t="s">
        <v>492</v>
      </c>
      <c r="GW133" s="237" t="s">
        <v>231</v>
      </c>
      <c r="GX133" s="237" t="s">
        <v>231</v>
      </c>
      <c r="GY133" s="237" t="s">
        <v>231</v>
      </c>
      <c r="GZ133" s="237" t="s">
        <v>231</v>
      </c>
      <c r="HA133" s="237" t="s">
        <v>231</v>
      </c>
      <c r="HB133" s="237" t="s">
        <v>231</v>
      </c>
      <c r="HC133" s="237" t="s">
        <v>231</v>
      </c>
      <c r="HD133" s="237" t="s">
        <v>231</v>
      </c>
      <c r="HE133" s="237" t="s">
        <v>492</v>
      </c>
      <c r="HF133" s="237" t="s">
        <v>231</v>
      </c>
      <c r="HG133" s="237" t="s">
        <v>492</v>
      </c>
      <c r="HH133" s="237" t="s">
        <v>231</v>
      </c>
      <c r="HI133" s="237" t="s">
        <v>231</v>
      </c>
      <c r="HJ133" s="237" t="s">
        <v>231</v>
      </c>
      <c r="HK133" s="237" t="s">
        <v>231</v>
      </c>
      <c r="HL133" s="237" t="s">
        <v>231</v>
      </c>
      <c r="HM133" s="237" t="s">
        <v>231</v>
      </c>
      <c r="HN133" s="237" t="s">
        <v>231</v>
      </c>
      <c r="HO133" s="237" t="s">
        <v>231</v>
      </c>
      <c r="HP133" s="237" t="s">
        <v>231</v>
      </c>
      <c r="HQ133" s="237" t="s">
        <v>492</v>
      </c>
      <c r="HR133" s="237" t="s">
        <v>492</v>
      </c>
      <c r="HS133" s="237" t="s">
        <v>492</v>
      </c>
      <c r="HT133" s="237" t="s">
        <v>492</v>
      </c>
      <c r="HU133" s="237" t="s">
        <v>231</v>
      </c>
      <c r="HV133" s="237" t="s">
        <v>231</v>
      </c>
      <c r="HW133" s="237" t="s">
        <v>231</v>
      </c>
      <c r="HX133" s="237" t="s">
        <v>231</v>
      </c>
      <c r="HY133" s="237" t="s">
        <v>231</v>
      </c>
      <c r="HZ133" s="237" t="s">
        <v>231</v>
      </c>
      <c r="IA133" s="237" t="s">
        <v>231</v>
      </c>
      <c r="IB133" s="237" t="s">
        <v>231</v>
      </c>
      <c r="IC133" s="237" t="s">
        <v>231</v>
      </c>
      <c r="ID133" s="237" t="s">
        <v>231</v>
      </c>
      <c r="IE133" s="237" t="s">
        <v>231</v>
      </c>
      <c r="IF133" s="237" t="s">
        <v>231</v>
      </c>
      <c r="IG133" s="237" t="s">
        <v>231</v>
      </c>
      <c r="IH133" s="237" t="s">
        <v>231</v>
      </c>
      <c r="II133" s="237" t="s">
        <v>231</v>
      </c>
      <c r="IJ133" s="237" t="s">
        <v>231</v>
      </c>
      <c r="IK133" s="237" t="s">
        <v>231</v>
      </c>
      <c r="IL133" s="237" t="s">
        <v>231</v>
      </c>
      <c r="IM133" s="237" t="s">
        <v>231</v>
      </c>
      <c r="IN133" s="237" t="s">
        <v>231</v>
      </c>
      <c r="IO133" s="237" t="s">
        <v>220</v>
      </c>
      <c r="IP133" s="237" t="s">
        <v>493</v>
      </c>
      <c r="IQ133" s="237" t="s">
        <v>219</v>
      </c>
      <c r="IR133" s="237" t="s">
        <v>490</v>
      </c>
      <c r="IS133" s="237" t="s">
        <v>492</v>
      </c>
      <c r="IT133" s="237" t="s">
        <v>492</v>
      </c>
    </row>
    <row r="134" spans="1:254" ht="15" x14ac:dyDescent="0.25">
      <c r="A134" s="259" t="str">
        <f>HYPERLINK("http://www.ofsted.gov.uk/inspection-reports/find-inspection-report/provider/ELS/135543 ","Ofsted School Webpage")</f>
        <v>Ofsted School Webpage</v>
      </c>
      <c r="B134" s="240">
        <v>135543</v>
      </c>
      <c r="C134" s="240">
        <v>8886041</v>
      </c>
      <c r="D134" s="240" t="s">
        <v>843</v>
      </c>
      <c r="E134" s="240" t="s">
        <v>248</v>
      </c>
      <c r="F134" s="240" t="s">
        <v>501</v>
      </c>
      <c r="G134" s="240" t="s">
        <v>495</v>
      </c>
      <c r="H134" s="240" t="s">
        <v>495</v>
      </c>
      <c r="I134" s="240" t="s">
        <v>534</v>
      </c>
      <c r="J134" s="240" t="s">
        <v>844</v>
      </c>
      <c r="K134" s="240" t="s">
        <v>93</v>
      </c>
      <c r="L134" s="240" t="s">
        <v>93</v>
      </c>
      <c r="M134" s="240" t="s">
        <v>93</v>
      </c>
      <c r="N134" s="240" t="s">
        <v>90</v>
      </c>
      <c r="O134" s="240" t="s">
        <v>486</v>
      </c>
      <c r="P134" s="240" t="s">
        <v>487</v>
      </c>
      <c r="Q134" s="241">
        <v>10067899</v>
      </c>
      <c r="R134" s="242">
        <v>43438</v>
      </c>
      <c r="S134" s="242">
        <v>43440</v>
      </c>
      <c r="T134" s="242">
        <v>43460</v>
      </c>
      <c r="U134" s="240" t="s">
        <v>488</v>
      </c>
      <c r="V134" s="240" t="s">
        <v>489</v>
      </c>
      <c r="W134" s="240">
        <v>1</v>
      </c>
      <c r="X134" s="240">
        <v>1</v>
      </c>
      <c r="Y134" s="240">
        <v>1</v>
      </c>
      <c r="Z134" s="240">
        <v>1</v>
      </c>
      <c r="AA134" s="240">
        <v>1</v>
      </c>
      <c r="AB134" s="240" t="s">
        <v>486</v>
      </c>
      <c r="AC134" s="240" t="s">
        <v>486</v>
      </c>
      <c r="AD134" s="240" t="s">
        <v>219</v>
      </c>
      <c r="AE134" s="240" t="s">
        <v>490</v>
      </c>
      <c r="AF134" s="240" t="s">
        <v>486</v>
      </c>
      <c r="AG134" s="240" t="s">
        <v>486</v>
      </c>
      <c r="AH134" s="240" t="s">
        <v>486</v>
      </c>
      <c r="AI134" s="240" t="s">
        <v>486</v>
      </c>
      <c r="AJ134" s="240" t="s">
        <v>486</v>
      </c>
      <c r="AK134" s="240" t="s">
        <v>486</v>
      </c>
      <c r="AL134" s="240" t="s">
        <v>486</v>
      </c>
      <c r="AM134" s="240" t="s">
        <v>491</v>
      </c>
      <c r="AN134" s="240" t="s">
        <v>231</v>
      </c>
      <c r="AO134" s="240" t="s">
        <v>231</v>
      </c>
      <c r="AP134" s="240" t="s">
        <v>231</v>
      </c>
      <c r="AQ134" s="240" t="s">
        <v>231</v>
      </c>
      <c r="AR134" s="240" t="s">
        <v>231</v>
      </c>
      <c r="AS134" s="240" t="s">
        <v>231</v>
      </c>
      <c r="AT134" s="240" t="s">
        <v>231</v>
      </c>
      <c r="AU134" s="240" t="s">
        <v>231</v>
      </c>
      <c r="AV134" s="240" t="s">
        <v>231</v>
      </c>
      <c r="AW134" s="240" t="s">
        <v>231</v>
      </c>
      <c r="AX134" s="240" t="s">
        <v>231</v>
      </c>
      <c r="AY134" s="240" t="s">
        <v>231</v>
      </c>
      <c r="AZ134" s="240" t="s">
        <v>231</v>
      </c>
      <c r="BA134" s="240" t="s">
        <v>231</v>
      </c>
      <c r="BB134" s="240" t="s">
        <v>231</v>
      </c>
      <c r="BC134" s="240" t="s">
        <v>231</v>
      </c>
      <c r="BD134" s="240" t="s">
        <v>492</v>
      </c>
      <c r="BE134" s="240" t="s">
        <v>231</v>
      </c>
      <c r="BF134" s="240" t="s">
        <v>231</v>
      </c>
      <c r="BG134" s="240" t="s">
        <v>231</v>
      </c>
      <c r="BH134" s="240" t="s">
        <v>492</v>
      </c>
      <c r="BI134" s="240" t="s">
        <v>492</v>
      </c>
      <c r="BJ134" s="240" t="s">
        <v>492</v>
      </c>
      <c r="BK134" s="240" t="s">
        <v>492</v>
      </c>
      <c r="BL134" s="240" t="s">
        <v>492</v>
      </c>
      <c r="BM134" s="240" t="s">
        <v>492</v>
      </c>
      <c r="BN134" s="240" t="s">
        <v>231</v>
      </c>
      <c r="BO134" s="240" t="s">
        <v>231</v>
      </c>
      <c r="BP134" s="240" t="s">
        <v>231</v>
      </c>
      <c r="BQ134" s="240" t="s">
        <v>231</v>
      </c>
      <c r="BR134" s="240" t="s">
        <v>231</v>
      </c>
      <c r="BS134" s="240" t="s">
        <v>231</v>
      </c>
      <c r="BT134" s="240" t="s">
        <v>231</v>
      </c>
      <c r="BU134" s="240" t="s">
        <v>231</v>
      </c>
      <c r="BV134" s="240" t="s">
        <v>231</v>
      </c>
      <c r="BW134" s="240" t="s">
        <v>231</v>
      </c>
      <c r="BX134" s="240" t="s">
        <v>231</v>
      </c>
      <c r="BY134" s="240" t="s">
        <v>231</v>
      </c>
      <c r="BZ134" s="240" t="s">
        <v>231</v>
      </c>
      <c r="CA134" s="240" t="s">
        <v>231</v>
      </c>
      <c r="CB134" s="240" t="s">
        <v>231</v>
      </c>
      <c r="CC134" s="240" t="s">
        <v>231</v>
      </c>
      <c r="CD134" s="240" t="s">
        <v>231</v>
      </c>
      <c r="CE134" s="240" t="s">
        <v>231</v>
      </c>
      <c r="CF134" s="240" t="s">
        <v>231</v>
      </c>
      <c r="CG134" s="240" t="s">
        <v>231</v>
      </c>
      <c r="CH134" s="240" t="s">
        <v>231</v>
      </c>
      <c r="CI134" s="240" t="s">
        <v>231</v>
      </c>
      <c r="CJ134" s="240" t="s">
        <v>231</v>
      </c>
      <c r="CK134" s="240" t="s">
        <v>231</v>
      </c>
      <c r="CL134" s="240" t="s">
        <v>231</v>
      </c>
      <c r="CM134" s="240" t="s">
        <v>231</v>
      </c>
      <c r="CN134" s="240" t="s">
        <v>231</v>
      </c>
      <c r="CO134" s="240" t="s">
        <v>231</v>
      </c>
      <c r="CP134" s="240" t="s">
        <v>231</v>
      </c>
      <c r="CQ134" s="240" t="s">
        <v>231</v>
      </c>
      <c r="CR134" s="240" t="s">
        <v>231</v>
      </c>
      <c r="CS134" s="240" t="s">
        <v>231</v>
      </c>
      <c r="CT134" s="240" t="s">
        <v>492</v>
      </c>
      <c r="CU134" s="240" t="s">
        <v>492</v>
      </c>
      <c r="CV134" s="240" t="s">
        <v>492</v>
      </c>
      <c r="CW134" s="240" t="s">
        <v>231</v>
      </c>
      <c r="CX134" s="240" t="s">
        <v>231</v>
      </c>
      <c r="CY134" s="240" t="s">
        <v>231</v>
      </c>
      <c r="CZ134" s="240" t="s">
        <v>231</v>
      </c>
      <c r="DA134" s="240" t="s">
        <v>231</v>
      </c>
      <c r="DB134" s="240" t="s">
        <v>231</v>
      </c>
      <c r="DC134" s="240" t="s">
        <v>231</v>
      </c>
      <c r="DD134" s="240" t="s">
        <v>231</v>
      </c>
      <c r="DE134" s="240" t="s">
        <v>231</v>
      </c>
      <c r="DF134" s="240" t="s">
        <v>231</v>
      </c>
      <c r="DG134" s="240" t="s">
        <v>231</v>
      </c>
      <c r="DH134" s="240" t="s">
        <v>231</v>
      </c>
      <c r="DI134" s="240" t="s">
        <v>231</v>
      </c>
      <c r="DJ134" s="240" t="s">
        <v>231</v>
      </c>
      <c r="DK134" s="240" t="s">
        <v>231</v>
      </c>
      <c r="DL134" s="240" t="s">
        <v>231</v>
      </c>
      <c r="DM134" s="240" t="s">
        <v>231</v>
      </c>
      <c r="DN134" s="240" t="s">
        <v>231</v>
      </c>
      <c r="DO134" s="240" t="s">
        <v>231</v>
      </c>
      <c r="DP134" s="240" t="s">
        <v>231</v>
      </c>
      <c r="DQ134" s="240" t="s">
        <v>231</v>
      </c>
      <c r="DR134" s="240" t="s">
        <v>231</v>
      </c>
      <c r="DS134" s="240" t="s">
        <v>231</v>
      </c>
      <c r="DT134" s="240" t="s">
        <v>492</v>
      </c>
      <c r="DU134" s="240" t="s">
        <v>231</v>
      </c>
      <c r="DV134" s="240" t="s">
        <v>231</v>
      </c>
      <c r="DW134" s="240" t="s">
        <v>231</v>
      </c>
      <c r="DX134" s="240" t="s">
        <v>231</v>
      </c>
      <c r="DY134" s="240" t="s">
        <v>231</v>
      </c>
      <c r="DZ134" s="240" t="s">
        <v>231</v>
      </c>
      <c r="EA134" s="240" t="s">
        <v>231</v>
      </c>
      <c r="EB134" s="240" t="s">
        <v>231</v>
      </c>
      <c r="EC134" s="240" t="s">
        <v>231</v>
      </c>
      <c r="ED134" s="240" t="s">
        <v>231</v>
      </c>
      <c r="EE134" s="240" t="s">
        <v>231</v>
      </c>
      <c r="EF134" s="240" t="s">
        <v>231</v>
      </c>
      <c r="EG134" s="240" t="s">
        <v>231</v>
      </c>
      <c r="EH134" s="240" t="s">
        <v>492</v>
      </c>
      <c r="EI134" s="240" t="s">
        <v>231</v>
      </c>
      <c r="EJ134" s="240" t="s">
        <v>231</v>
      </c>
      <c r="EK134" s="240" t="s">
        <v>231</v>
      </c>
      <c r="EL134" s="240" t="s">
        <v>231</v>
      </c>
      <c r="EM134" s="240" t="s">
        <v>231</v>
      </c>
      <c r="EN134" s="240" t="s">
        <v>231</v>
      </c>
      <c r="EO134" s="240" t="s">
        <v>231</v>
      </c>
      <c r="EP134" s="240" t="s">
        <v>231</v>
      </c>
      <c r="EQ134" s="240" t="s">
        <v>231</v>
      </c>
      <c r="ER134" s="240" t="s">
        <v>231</v>
      </c>
      <c r="ES134" s="240" t="s">
        <v>231</v>
      </c>
      <c r="ET134" s="240" t="s">
        <v>231</v>
      </c>
      <c r="EU134" s="240" t="s">
        <v>231</v>
      </c>
      <c r="EV134" s="240" t="s">
        <v>231</v>
      </c>
      <c r="EW134" s="240" t="s">
        <v>231</v>
      </c>
      <c r="EX134" s="240" t="s">
        <v>231</v>
      </c>
      <c r="EY134" s="240" t="s">
        <v>231</v>
      </c>
      <c r="EZ134" s="240" t="s">
        <v>231</v>
      </c>
      <c r="FA134" s="240" t="s">
        <v>231</v>
      </c>
      <c r="FB134" s="240" t="s">
        <v>231</v>
      </c>
      <c r="FC134" s="240" t="s">
        <v>231</v>
      </c>
      <c r="FD134" s="240" t="s">
        <v>231</v>
      </c>
      <c r="FE134" s="240" t="s">
        <v>231</v>
      </c>
      <c r="FF134" s="240" t="s">
        <v>492</v>
      </c>
      <c r="FG134" s="240" t="s">
        <v>231</v>
      </c>
      <c r="FH134" s="240" t="s">
        <v>231</v>
      </c>
      <c r="FI134" s="240" t="s">
        <v>231</v>
      </c>
      <c r="FJ134" s="240" t="s">
        <v>231</v>
      </c>
      <c r="FK134" s="240" t="s">
        <v>231</v>
      </c>
      <c r="FL134" s="240" t="s">
        <v>231</v>
      </c>
      <c r="FM134" s="240" t="s">
        <v>231</v>
      </c>
      <c r="FN134" s="240" t="s">
        <v>231</v>
      </c>
      <c r="FO134" s="240" t="s">
        <v>231</v>
      </c>
      <c r="FP134" s="240" t="s">
        <v>231</v>
      </c>
      <c r="FQ134" s="240" t="s">
        <v>231</v>
      </c>
      <c r="FR134" s="240" t="s">
        <v>231</v>
      </c>
      <c r="FS134" s="240" t="s">
        <v>231</v>
      </c>
      <c r="FT134" s="240" t="s">
        <v>231</v>
      </c>
      <c r="FU134" s="240" t="s">
        <v>231</v>
      </c>
      <c r="FV134" s="240" t="s">
        <v>231</v>
      </c>
      <c r="FW134" s="240" t="s">
        <v>231</v>
      </c>
      <c r="FX134" s="240" t="s">
        <v>231</v>
      </c>
      <c r="FY134" s="240" t="s">
        <v>231</v>
      </c>
      <c r="FZ134" s="240" t="s">
        <v>231</v>
      </c>
      <c r="GA134" s="240" t="s">
        <v>231</v>
      </c>
      <c r="GB134" s="240" t="s">
        <v>231</v>
      </c>
      <c r="GC134" s="240" t="s">
        <v>231</v>
      </c>
      <c r="GD134" s="240" t="s">
        <v>231</v>
      </c>
      <c r="GE134" s="240" t="s">
        <v>231</v>
      </c>
      <c r="GF134" s="240" t="s">
        <v>231</v>
      </c>
      <c r="GG134" s="240" t="s">
        <v>231</v>
      </c>
      <c r="GH134" s="240" t="s">
        <v>231</v>
      </c>
      <c r="GI134" s="240" t="s">
        <v>231</v>
      </c>
      <c r="GJ134" s="240" t="s">
        <v>231</v>
      </c>
      <c r="GK134" s="240" t="s">
        <v>231</v>
      </c>
      <c r="GL134" s="240" t="s">
        <v>231</v>
      </c>
      <c r="GM134" s="240" t="s">
        <v>231</v>
      </c>
      <c r="GN134" s="240" t="s">
        <v>231</v>
      </c>
      <c r="GO134" s="240" t="s">
        <v>231</v>
      </c>
      <c r="GP134" s="240" t="s">
        <v>492</v>
      </c>
      <c r="GQ134" s="240" t="s">
        <v>231</v>
      </c>
      <c r="GR134" s="240" t="s">
        <v>231</v>
      </c>
      <c r="GS134" s="240" t="s">
        <v>231</v>
      </c>
      <c r="GT134" s="240" t="s">
        <v>231</v>
      </c>
      <c r="GU134" s="240" t="s">
        <v>231</v>
      </c>
      <c r="GV134" s="240" t="s">
        <v>231</v>
      </c>
      <c r="GW134" s="240" t="s">
        <v>231</v>
      </c>
      <c r="GX134" s="240" t="s">
        <v>231</v>
      </c>
      <c r="GY134" s="240" t="s">
        <v>231</v>
      </c>
      <c r="GZ134" s="240" t="s">
        <v>231</v>
      </c>
      <c r="HA134" s="240" t="s">
        <v>231</v>
      </c>
      <c r="HB134" s="240" t="s">
        <v>231</v>
      </c>
      <c r="HC134" s="240" t="s">
        <v>231</v>
      </c>
      <c r="HD134" s="240" t="s">
        <v>231</v>
      </c>
      <c r="HE134" s="240" t="s">
        <v>231</v>
      </c>
      <c r="HF134" s="240" t="s">
        <v>231</v>
      </c>
      <c r="HG134" s="240" t="s">
        <v>231</v>
      </c>
      <c r="HH134" s="240" t="s">
        <v>231</v>
      </c>
      <c r="HI134" s="240" t="s">
        <v>231</v>
      </c>
      <c r="HJ134" s="240" t="s">
        <v>231</v>
      </c>
      <c r="HK134" s="240" t="s">
        <v>231</v>
      </c>
      <c r="HL134" s="240" t="s">
        <v>231</v>
      </c>
      <c r="HM134" s="240" t="s">
        <v>231</v>
      </c>
      <c r="HN134" s="240" t="s">
        <v>231</v>
      </c>
      <c r="HO134" s="240" t="s">
        <v>231</v>
      </c>
      <c r="HP134" s="240" t="s">
        <v>231</v>
      </c>
      <c r="HQ134" s="240" t="s">
        <v>492</v>
      </c>
      <c r="HR134" s="240" t="s">
        <v>492</v>
      </c>
      <c r="HS134" s="240" t="s">
        <v>492</v>
      </c>
      <c r="HT134" s="240" t="s">
        <v>492</v>
      </c>
      <c r="HU134" s="240" t="s">
        <v>231</v>
      </c>
      <c r="HV134" s="240" t="s">
        <v>231</v>
      </c>
      <c r="HW134" s="240" t="s">
        <v>231</v>
      </c>
      <c r="HX134" s="240" t="s">
        <v>231</v>
      </c>
      <c r="HY134" s="240" t="s">
        <v>231</v>
      </c>
      <c r="HZ134" s="240" t="s">
        <v>231</v>
      </c>
      <c r="IA134" s="240" t="s">
        <v>231</v>
      </c>
      <c r="IB134" s="240" t="s">
        <v>231</v>
      </c>
      <c r="IC134" s="240" t="s">
        <v>231</v>
      </c>
      <c r="ID134" s="240" t="s">
        <v>231</v>
      </c>
      <c r="IE134" s="240" t="s">
        <v>231</v>
      </c>
      <c r="IF134" s="240" t="s">
        <v>231</v>
      </c>
      <c r="IG134" s="240" t="s">
        <v>231</v>
      </c>
      <c r="IH134" s="240" t="s">
        <v>231</v>
      </c>
      <c r="II134" s="240" t="s">
        <v>231</v>
      </c>
      <c r="IJ134" s="240" t="s">
        <v>231</v>
      </c>
      <c r="IK134" s="240" t="s">
        <v>231</v>
      </c>
      <c r="IL134" s="240" t="s">
        <v>231</v>
      </c>
      <c r="IM134" s="240" t="s">
        <v>231</v>
      </c>
      <c r="IN134" s="240" t="s">
        <v>231</v>
      </c>
      <c r="IO134" s="240" t="s">
        <v>220</v>
      </c>
      <c r="IP134" s="240" t="s">
        <v>493</v>
      </c>
      <c r="IQ134" s="240" t="s">
        <v>219</v>
      </c>
      <c r="IR134" s="240" t="s">
        <v>490</v>
      </c>
      <c r="IS134" s="240" t="s">
        <v>492</v>
      </c>
      <c r="IT134" s="240" t="s">
        <v>492</v>
      </c>
    </row>
    <row r="135" spans="1:254" ht="15" x14ac:dyDescent="0.25">
      <c r="A135" s="258" t="str">
        <f>HYPERLINK("http://www.ofsted.gov.uk/inspection-reports/find-inspection-report/provider/ELS/121753 ","Ofsted School Webpage")</f>
        <v>Ofsted School Webpage</v>
      </c>
      <c r="B135" s="237">
        <v>121753</v>
      </c>
      <c r="C135" s="237">
        <v>8156023</v>
      </c>
      <c r="D135" s="237" t="s">
        <v>845</v>
      </c>
      <c r="E135" s="237" t="s">
        <v>247</v>
      </c>
      <c r="F135" s="237" t="s">
        <v>482</v>
      </c>
      <c r="G135" s="237" t="s">
        <v>523</v>
      </c>
      <c r="H135" s="237" t="s">
        <v>524</v>
      </c>
      <c r="I135" s="237" t="s">
        <v>846</v>
      </c>
      <c r="J135" s="237" t="s">
        <v>847</v>
      </c>
      <c r="K135" s="237" t="s">
        <v>93</v>
      </c>
      <c r="L135" s="237" t="s">
        <v>93</v>
      </c>
      <c r="M135" s="237" t="s">
        <v>93</v>
      </c>
      <c r="N135" s="237" t="s">
        <v>90</v>
      </c>
      <c r="O135" s="237" t="s">
        <v>486</v>
      </c>
      <c r="P135" s="237" t="s">
        <v>487</v>
      </c>
      <c r="Q135" s="238">
        <v>10085373</v>
      </c>
      <c r="R135" s="239">
        <v>43438</v>
      </c>
      <c r="S135" s="239">
        <v>43440</v>
      </c>
      <c r="T135" s="239">
        <v>43495</v>
      </c>
      <c r="U135" s="237" t="s">
        <v>488</v>
      </c>
      <c r="V135" s="237" t="s">
        <v>489</v>
      </c>
      <c r="W135" s="237">
        <v>3</v>
      </c>
      <c r="X135" s="237">
        <v>3</v>
      </c>
      <c r="Y135" s="237">
        <v>3</v>
      </c>
      <c r="Z135" s="237">
        <v>3</v>
      </c>
      <c r="AA135" s="237">
        <v>3</v>
      </c>
      <c r="AB135" s="237">
        <v>3</v>
      </c>
      <c r="AC135" s="237" t="s">
        <v>486</v>
      </c>
      <c r="AD135" s="237" t="s">
        <v>219</v>
      </c>
      <c r="AE135" s="237" t="s">
        <v>490</v>
      </c>
      <c r="AF135" s="237" t="s">
        <v>486</v>
      </c>
      <c r="AG135" s="237" t="s">
        <v>486</v>
      </c>
      <c r="AH135" s="237" t="s">
        <v>486</v>
      </c>
      <c r="AI135" s="237" t="s">
        <v>486</v>
      </c>
      <c r="AJ135" s="237" t="s">
        <v>486</v>
      </c>
      <c r="AK135" s="237" t="s">
        <v>486</v>
      </c>
      <c r="AL135" s="237" t="s">
        <v>486</v>
      </c>
      <c r="AM135" s="237" t="s">
        <v>545</v>
      </c>
      <c r="AN135" s="237" t="s">
        <v>231</v>
      </c>
      <c r="AO135" s="237" t="s">
        <v>231</v>
      </c>
      <c r="AP135" s="237" t="s">
        <v>546</v>
      </c>
      <c r="AQ135" s="237" t="s">
        <v>231</v>
      </c>
      <c r="AR135" s="237" t="s">
        <v>231</v>
      </c>
      <c r="AS135" s="237" t="s">
        <v>231</v>
      </c>
      <c r="AT135" s="237" t="s">
        <v>231</v>
      </c>
      <c r="AU135" s="237" t="s">
        <v>546</v>
      </c>
      <c r="AV135" s="237" t="s">
        <v>231</v>
      </c>
      <c r="AW135" s="237" t="s">
        <v>231</v>
      </c>
      <c r="AX135" s="237" t="s">
        <v>231</v>
      </c>
      <c r="AY135" s="237" t="s">
        <v>231</v>
      </c>
      <c r="AZ135" s="237" t="s">
        <v>231</v>
      </c>
      <c r="BA135" s="237" t="s">
        <v>231</v>
      </c>
      <c r="BB135" s="237" t="s">
        <v>231</v>
      </c>
      <c r="BC135" s="237" t="s">
        <v>231</v>
      </c>
      <c r="BD135" s="237" t="s">
        <v>492</v>
      </c>
      <c r="BE135" s="237" t="s">
        <v>231</v>
      </c>
      <c r="BF135" s="237" t="s">
        <v>231</v>
      </c>
      <c r="BG135" s="237" t="s">
        <v>231</v>
      </c>
      <c r="BH135" s="237" t="s">
        <v>492</v>
      </c>
      <c r="BI135" s="237" t="s">
        <v>492</v>
      </c>
      <c r="BJ135" s="237" t="s">
        <v>492</v>
      </c>
      <c r="BK135" s="237" t="s">
        <v>231</v>
      </c>
      <c r="BL135" s="237" t="s">
        <v>231</v>
      </c>
      <c r="BM135" s="237" t="s">
        <v>492</v>
      </c>
      <c r="BN135" s="237" t="s">
        <v>231</v>
      </c>
      <c r="BO135" s="237" t="s">
        <v>231</v>
      </c>
      <c r="BP135" s="237" t="s">
        <v>231</v>
      </c>
      <c r="BQ135" s="237" t="s">
        <v>231</v>
      </c>
      <c r="BR135" s="237" t="s">
        <v>231</v>
      </c>
      <c r="BS135" s="237" t="s">
        <v>231</v>
      </c>
      <c r="BT135" s="237" t="s">
        <v>231</v>
      </c>
      <c r="BU135" s="237" t="s">
        <v>231</v>
      </c>
      <c r="BV135" s="237" t="s">
        <v>231</v>
      </c>
      <c r="BW135" s="237" t="s">
        <v>231</v>
      </c>
      <c r="BX135" s="237" t="s">
        <v>231</v>
      </c>
      <c r="BY135" s="237" t="s">
        <v>231</v>
      </c>
      <c r="BZ135" s="237" t="s">
        <v>231</v>
      </c>
      <c r="CA135" s="237" t="s">
        <v>231</v>
      </c>
      <c r="CB135" s="237" t="s">
        <v>231</v>
      </c>
      <c r="CC135" s="237" t="s">
        <v>231</v>
      </c>
      <c r="CD135" s="237" t="s">
        <v>231</v>
      </c>
      <c r="CE135" s="237" t="s">
        <v>231</v>
      </c>
      <c r="CF135" s="237" t="s">
        <v>231</v>
      </c>
      <c r="CG135" s="237" t="s">
        <v>231</v>
      </c>
      <c r="CH135" s="237" t="s">
        <v>231</v>
      </c>
      <c r="CI135" s="237" t="s">
        <v>231</v>
      </c>
      <c r="CJ135" s="237" t="s">
        <v>231</v>
      </c>
      <c r="CK135" s="237" t="s">
        <v>231</v>
      </c>
      <c r="CL135" s="237" t="s">
        <v>231</v>
      </c>
      <c r="CM135" s="237" t="s">
        <v>231</v>
      </c>
      <c r="CN135" s="237" t="s">
        <v>231</v>
      </c>
      <c r="CO135" s="237" t="s">
        <v>231</v>
      </c>
      <c r="CP135" s="237" t="s">
        <v>231</v>
      </c>
      <c r="CQ135" s="237" t="s">
        <v>231</v>
      </c>
      <c r="CR135" s="237" t="s">
        <v>231</v>
      </c>
      <c r="CS135" s="237" t="s">
        <v>231</v>
      </c>
      <c r="CT135" s="237" t="s">
        <v>492</v>
      </c>
      <c r="CU135" s="237" t="s">
        <v>492</v>
      </c>
      <c r="CV135" s="237" t="s">
        <v>492</v>
      </c>
      <c r="CW135" s="237" t="s">
        <v>231</v>
      </c>
      <c r="CX135" s="237" t="s">
        <v>231</v>
      </c>
      <c r="CY135" s="237" t="s">
        <v>231</v>
      </c>
      <c r="CZ135" s="237" t="s">
        <v>231</v>
      </c>
      <c r="DA135" s="237" t="s">
        <v>231</v>
      </c>
      <c r="DB135" s="237" t="s">
        <v>231</v>
      </c>
      <c r="DC135" s="237" t="s">
        <v>231</v>
      </c>
      <c r="DD135" s="237" t="s">
        <v>231</v>
      </c>
      <c r="DE135" s="237" t="s">
        <v>231</v>
      </c>
      <c r="DF135" s="237" t="s">
        <v>232</v>
      </c>
      <c r="DG135" s="237" t="s">
        <v>232</v>
      </c>
      <c r="DH135" s="237" t="s">
        <v>232</v>
      </c>
      <c r="DI135" s="237" t="s">
        <v>231</v>
      </c>
      <c r="DJ135" s="237" t="s">
        <v>231</v>
      </c>
      <c r="DK135" s="237" t="s">
        <v>231</v>
      </c>
      <c r="DL135" s="237" t="s">
        <v>231</v>
      </c>
      <c r="DM135" s="237" t="s">
        <v>231</v>
      </c>
      <c r="DN135" s="237" t="s">
        <v>231</v>
      </c>
      <c r="DO135" s="237" t="s">
        <v>231</v>
      </c>
      <c r="DP135" s="237" t="s">
        <v>231</v>
      </c>
      <c r="DQ135" s="237" t="s">
        <v>231</v>
      </c>
      <c r="DR135" s="237" t="s">
        <v>231</v>
      </c>
      <c r="DS135" s="237" t="s">
        <v>231</v>
      </c>
      <c r="DT135" s="237" t="s">
        <v>492</v>
      </c>
      <c r="DU135" s="237" t="s">
        <v>231</v>
      </c>
      <c r="DV135" s="237" t="s">
        <v>492</v>
      </c>
      <c r="DW135" s="237" t="s">
        <v>492</v>
      </c>
      <c r="DX135" s="237" t="s">
        <v>492</v>
      </c>
      <c r="DY135" s="237" t="s">
        <v>492</v>
      </c>
      <c r="DZ135" s="237" t="s">
        <v>492</v>
      </c>
      <c r="EA135" s="237" t="s">
        <v>492</v>
      </c>
      <c r="EB135" s="237" t="s">
        <v>492</v>
      </c>
      <c r="EC135" s="237" t="s">
        <v>492</v>
      </c>
      <c r="ED135" s="237" t="s">
        <v>492</v>
      </c>
      <c r="EE135" s="237" t="s">
        <v>492</v>
      </c>
      <c r="EF135" s="237" t="s">
        <v>492</v>
      </c>
      <c r="EG135" s="237" t="s">
        <v>492</v>
      </c>
      <c r="EH135" s="237" t="s">
        <v>492</v>
      </c>
      <c r="EI135" s="237" t="s">
        <v>492</v>
      </c>
      <c r="EJ135" s="237" t="s">
        <v>231</v>
      </c>
      <c r="EK135" s="237" t="s">
        <v>231</v>
      </c>
      <c r="EL135" s="237" t="s">
        <v>231</v>
      </c>
      <c r="EM135" s="237" t="s">
        <v>231</v>
      </c>
      <c r="EN135" s="237" t="s">
        <v>231</v>
      </c>
      <c r="EO135" s="237" t="s">
        <v>231</v>
      </c>
      <c r="EP135" s="237" t="s">
        <v>231</v>
      </c>
      <c r="EQ135" s="237" t="s">
        <v>231</v>
      </c>
      <c r="ER135" s="237" t="s">
        <v>231</v>
      </c>
      <c r="ES135" s="237" t="s">
        <v>231</v>
      </c>
      <c r="ET135" s="237" t="s">
        <v>231</v>
      </c>
      <c r="EU135" s="237" t="s">
        <v>231</v>
      </c>
      <c r="EV135" s="237" t="s">
        <v>231</v>
      </c>
      <c r="EW135" s="237" t="s">
        <v>231</v>
      </c>
      <c r="EX135" s="237" t="s">
        <v>231</v>
      </c>
      <c r="EY135" s="237" t="s">
        <v>231</v>
      </c>
      <c r="EZ135" s="237" t="s">
        <v>231</v>
      </c>
      <c r="FA135" s="237" t="s">
        <v>231</v>
      </c>
      <c r="FB135" s="237" t="s">
        <v>231</v>
      </c>
      <c r="FC135" s="237" t="s">
        <v>231</v>
      </c>
      <c r="FD135" s="237" t="s">
        <v>231</v>
      </c>
      <c r="FE135" s="237" t="s">
        <v>231</v>
      </c>
      <c r="FF135" s="237" t="s">
        <v>231</v>
      </c>
      <c r="FG135" s="237" t="s">
        <v>492</v>
      </c>
      <c r="FH135" s="237" t="s">
        <v>492</v>
      </c>
      <c r="FI135" s="237" t="s">
        <v>492</v>
      </c>
      <c r="FJ135" s="237" t="s">
        <v>492</v>
      </c>
      <c r="FK135" s="237" t="s">
        <v>492</v>
      </c>
      <c r="FL135" s="237" t="s">
        <v>492</v>
      </c>
      <c r="FM135" s="237" t="s">
        <v>231</v>
      </c>
      <c r="FN135" s="237" t="s">
        <v>231</v>
      </c>
      <c r="FO135" s="237" t="s">
        <v>231</v>
      </c>
      <c r="FP135" s="237" t="s">
        <v>231</v>
      </c>
      <c r="FQ135" s="237" t="s">
        <v>231</v>
      </c>
      <c r="FR135" s="237" t="s">
        <v>231</v>
      </c>
      <c r="FS135" s="237" t="s">
        <v>231</v>
      </c>
      <c r="FT135" s="237" t="s">
        <v>231</v>
      </c>
      <c r="FU135" s="237" t="s">
        <v>231</v>
      </c>
      <c r="FV135" s="237" t="s">
        <v>231</v>
      </c>
      <c r="FW135" s="237" t="s">
        <v>231</v>
      </c>
      <c r="FX135" s="237" t="s">
        <v>492</v>
      </c>
      <c r="FY135" s="237" t="s">
        <v>231</v>
      </c>
      <c r="FZ135" s="237" t="s">
        <v>231</v>
      </c>
      <c r="GA135" s="237" t="s">
        <v>231</v>
      </c>
      <c r="GB135" s="237" t="s">
        <v>231</v>
      </c>
      <c r="GC135" s="237" t="s">
        <v>231</v>
      </c>
      <c r="GD135" s="237" t="s">
        <v>231</v>
      </c>
      <c r="GE135" s="237" t="s">
        <v>231</v>
      </c>
      <c r="GF135" s="237" t="s">
        <v>231</v>
      </c>
      <c r="GG135" s="237" t="s">
        <v>231</v>
      </c>
      <c r="GH135" s="237" t="s">
        <v>231</v>
      </c>
      <c r="GI135" s="237" t="s">
        <v>231</v>
      </c>
      <c r="GJ135" s="237" t="s">
        <v>231</v>
      </c>
      <c r="GK135" s="237" t="s">
        <v>231</v>
      </c>
      <c r="GL135" s="237" t="s">
        <v>231</v>
      </c>
      <c r="GM135" s="237" t="s">
        <v>231</v>
      </c>
      <c r="GN135" s="237" t="s">
        <v>231</v>
      </c>
      <c r="GO135" s="237" t="s">
        <v>231</v>
      </c>
      <c r="GP135" s="237" t="s">
        <v>492</v>
      </c>
      <c r="GQ135" s="237" t="s">
        <v>231</v>
      </c>
      <c r="GR135" s="237" t="s">
        <v>231</v>
      </c>
      <c r="GS135" s="237" t="s">
        <v>231</v>
      </c>
      <c r="GT135" s="237" t="s">
        <v>231</v>
      </c>
      <c r="GU135" s="237" t="s">
        <v>231</v>
      </c>
      <c r="GV135" s="237" t="s">
        <v>231</v>
      </c>
      <c r="GW135" s="237" t="s">
        <v>231</v>
      </c>
      <c r="GX135" s="237" t="s">
        <v>231</v>
      </c>
      <c r="GY135" s="237" t="s">
        <v>231</v>
      </c>
      <c r="GZ135" s="237" t="s">
        <v>231</v>
      </c>
      <c r="HA135" s="237" t="s">
        <v>231</v>
      </c>
      <c r="HB135" s="237" t="s">
        <v>231</v>
      </c>
      <c r="HC135" s="237" t="s">
        <v>231</v>
      </c>
      <c r="HD135" s="237" t="s">
        <v>231</v>
      </c>
      <c r="HE135" s="237" t="s">
        <v>231</v>
      </c>
      <c r="HF135" s="237" t="s">
        <v>231</v>
      </c>
      <c r="HG135" s="237" t="s">
        <v>231</v>
      </c>
      <c r="HH135" s="237" t="s">
        <v>231</v>
      </c>
      <c r="HI135" s="237" t="s">
        <v>231</v>
      </c>
      <c r="HJ135" s="237" t="s">
        <v>231</v>
      </c>
      <c r="HK135" s="237" t="s">
        <v>231</v>
      </c>
      <c r="HL135" s="237" t="s">
        <v>231</v>
      </c>
      <c r="HM135" s="237" t="s">
        <v>231</v>
      </c>
      <c r="HN135" s="237" t="s">
        <v>231</v>
      </c>
      <c r="HO135" s="237" t="s">
        <v>231</v>
      </c>
      <c r="HP135" s="237" t="s">
        <v>231</v>
      </c>
      <c r="HQ135" s="237" t="s">
        <v>231</v>
      </c>
      <c r="HR135" s="237" t="s">
        <v>231</v>
      </c>
      <c r="HS135" s="237" t="s">
        <v>231</v>
      </c>
      <c r="HT135" s="237" t="s">
        <v>231</v>
      </c>
      <c r="HU135" s="237" t="s">
        <v>231</v>
      </c>
      <c r="HV135" s="237" t="s">
        <v>231</v>
      </c>
      <c r="HW135" s="237" t="s">
        <v>231</v>
      </c>
      <c r="HX135" s="237" t="s">
        <v>231</v>
      </c>
      <c r="HY135" s="237" t="s">
        <v>231</v>
      </c>
      <c r="HZ135" s="237" t="s">
        <v>231</v>
      </c>
      <c r="IA135" s="237" t="s">
        <v>231</v>
      </c>
      <c r="IB135" s="237" t="s">
        <v>231</v>
      </c>
      <c r="IC135" s="237" t="s">
        <v>231</v>
      </c>
      <c r="ID135" s="237" t="s">
        <v>231</v>
      </c>
      <c r="IE135" s="237" t="s">
        <v>231</v>
      </c>
      <c r="IF135" s="237" t="s">
        <v>231</v>
      </c>
      <c r="IG135" s="237" t="s">
        <v>231</v>
      </c>
      <c r="IH135" s="237" t="s">
        <v>231</v>
      </c>
      <c r="II135" s="237" t="s">
        <v>231</v>
      </c>
      <c r="IJ135" s="237" t="s">
        <v>231</v>
      </c>
      <c r="IK135" s="237" t="s">
        <v>232</v>
      </c>
      <c r="IL135" s="237" t="s">
        <v>232</v>
      </c>
      <c r="IM135" s="237" t="s">
        <v>232</v>
      </c>
      <c r="IN135" s="237" t="s">
        <v>232</v>
      </c>
      <c r="IO135" s="237" t="s">
        <v>220</v>
      </c>
      <c r="IP135" s="237" t="s">
        <v>493</v>
      </c>
      <c r="IQ135" s="237" t="s">
        <v>219</v>
      </c>
      <c r="IR135" s="237" t="s">
        <v>490</v>
      </c>
      <c r="IS135" s="237" t="s">
        <v>231</v>
      </c>
      <c r="IT135" s="237" t="s">
        <v>492</v>
      </c>
    </row>
    <row r="136" spans="1:254" ht="15" x14ac:dyDescent="0.25">
      <c r="A136" s="259" t="str">
        <f>HYPERLINK("http://www.ofsted.gov.uk/inspection-reports/find-inspection-report/provider/ELS/133307 ","Ofsted School Webpage")</f>
        <v>Ofsted School Webpage</v>
      </c>
      <c r="B136" s="240">
        <v>133307</v>
      </c>
      <c r="C136" s="240">
        <v>2116391</v>
      </c>
      <c r="D136" s="240" t="s">
        <v>848</v>
      </c>
      <c r="E136" s="240" t="s">
        <v>247</v>
      </c>
      <c r="F136" s="240" t="s">
        <v>482</v>
      </c>
      <c r="G136" s="240" t="s">
        <v>506</v>
      </c>
      <c r="H136" s="240" t="s">
        <v>506</v>
      </c>
      <c r="I136" s="240" t="s">
        <v>849</v>
      </c>
      <c r="J136" s="240" t="s">
        <v>850</v>
      </c>
      <c r="K136" s="240" t="s">
        <v>93</v>
      </c>
      <c r="L136" s="240" t="s">
        <v>83</v>
      </c>
      <c r="M136" s="240" t="s">
        <v>83</v>
      </c>
      <c r="N136" s="240" t="s">
        <v>84</v>
      </c>
      <c r="O136" s="240" t="s">
        <v>486</v>
      </c>
      <c r="P136" s="240" t="s">
        <v>487</v>
      </c>
      <c r="Q136" s="241">
        <v>10055530</v>
      </c>
      <c r="R136" s="242">
        <v>43438</v>
      </c>
      <c r="S136" s="242">
        <v>43440</v>
      </c>
      <c r="T136" s="242">
        <v>43488</v>
      </c>
      <c r="U136" s="240" t="s">
        <v>488</v>
      </c>
      <c r="V136" s="240" t="s">
        <v>489</v>
      </c>
      <c r="W136" s="240">
        <v>3</v>
      </c>
      <c r="X136" s="240">
        <v>3</v>
      </c>
      <c r="Y136" s="240">
        <v>3</v>
      </c>
      <c r="Z136" s="240">
        <v>3</v>
      </c>
      <c r="AA136" s="240">
        <v>3</v>
      </c>
      <c r="AB136" s="240" t="s">
        <v>486</v>
      </c>
      <c r="AC136" s="240" t="s">
        <v>486</v>
      </c>
      <c r="AD136" s="240" t="s">
        <v>219</v>
      </c>
      <c r="AE136" s="240" t="s">
        <v>490</v>
      </c>
      <c r="AF136" s="240" t="s">
        <v>486</v>
      </c>
      <c r="AG136" s="240" t="s">
        <v>486</v>
      </c>
      <c r="AH136" s="240" t="s">
        <v>486</v>
      </c>
      <c r="AI136" s="240" t="s">
        <v>486</v>
      </c>
      <c r="AJ136" s="240" t="s">
        <v>486</v>
      </c>
      <c r="AK136" s="240" t="s">
        <v>486</v>
      </c>
      <c r="AL136" s="240" t="s">
        <v>486</v>
      </c>
      <c r="AM136" s="240" t="s">
        <v>491</v>
      </c>
      <c r="AN136" s="240" t="s">
        <v>231</v>
      </c>
      <c r="AO136" s="240" t="s">
        <v>231</v>
      </c>
      <c r="AP136" s="240" t="s">
        <v>231</v>
      </c>
      <c r="AQ136" s="240" t="s">
        <v>231</v>
      </c>
      <c r="AR136" s="240" t="s">
        <v>231</v>
      </c>
      <c r="AS136" s="240" t="s">
        <v>231</v>
      </c>
      <c r="AT136" s="240" t="s">
        <v>231</v>
      </c>
      <c r="AU136" s="240" t="s">
        <v>231</v>
      </c>
      <c r="AV136" s="240" t="s">
        <v>231</v>
      </c>
      <c r="AW136" s="240" t="s">
        <v>231</v>
      </c>
      <c r="AX136" s="240" t="s">
        <v>231</v>
      </c>
      <c r="AY136" s="240" t="s">
        <v>231</v>
      </c>
      <c r="AZ136" s="240" t="s">
        <v>231</v>
      </c>
      <c r="BA136" s="240" t="s">
        <v>231</v>
      </c>
      <c r="BB136" s="240" t="s">
        <v>231</v>
      </c>
      <c r="BC136" s="240" t="s">
        <v>231</v>
      </c>
      <c r="BD136" s="240" t="s">
        <v>492</v>
      </c>
      <c r="BE136" s="240" t="s">
        <v>231</v>
      </c>
      <c r="BF136" s="240" t="s">
        <v>231</v>
      </c>
      <c r="BG136" s="240" t="s">
        <v>231</v>
      </c>
      <c r="BH136" s="240" t="s">
        <v>231</v>
      </c>
      <c r="BI136" s="240" t="s">
        <v>231</v>
      </c>
      <c r="BJ136" s="240" t="s">
        <v>231</v>
      </c>
      <c r="BK136" s="240" t="s">
        <v>231</v>
      </c>
      <c r="BL136" s="240" t="s">
        <v>492</v>
      </c>
      <c r="BM136" s="240" t="s">
        <v>492</v>
      </c>
      <c r="BN136" s="240" t="s">
        <v>231</v>
      </c>
      <c r="BO136" s="240" t="s">
        <v>231</v>
      </c>
      <c r="BP136" s="240" t="s">
        <v>231</v>
      </c>
      <c r="BQ136" s="240" t="s">
        <v>231</v>
      </c>
      <c r="BR136" s="240" t="s">
        <v>231</v>
      </c>
      <c r="BS136" s="240" t="s">
        <v>231</v>
      </c>
      <c r="BT136" s="240" t="s">
        <v>231</v>
      </c>
      <c r="BU136" s="240" t="s">
        <v>231</v>
      </c>
      <c r="BV136" s="240" t="s">
        <v>231</v>
      </c>
      <c r="BW136" s="240" t="s">
        <v>231</v>
      </c>
      <c r="BX136" s="240" t="s">
        <v>231</v>
      </c>
      <c r="BY136" s="240" t="s">
        <v>231</v>
      </c>
      <c r="BZ136" s="240" t="s">
        <v>231</v>
      </c>
      <c r="CA136" s="240" t="s">
        <v>231</v>
      </c>
      <c r="CB136" s="240" t="s">
        <v>231</v>
      </c>
      <c r="CC136" s="240" t="s">
        <v>231</v>
      </c>
      <c r="CD136" s="240" t="s">
        <v>231</v>
      </c>
      <c r="CE136" s="240" t="s">
        <v>231</v>
      </c>
      <c r="CF136" s="240" t="s">
        <v>231</v>
      </c>
      <c r="CG136" s="240" t="s">
        <v>231</v>
      </c>
      <c r="CH136" s="240" t="s">
        <v>231</v>
      </c>
      <c r="CI136" s="240" t="s">
        <v>231</v>
      </c>
      <c r="CJ136" s="240" t="s">
        <v>231</v>
      </c>
      <c r="CK136" s="240" t="s">
        <v>231</v>
      </c>
      <c r="CL136" s="240" t="s">
        <v>231</v>
      </c>
      <c r="CM136" s="240" t="s">
        <v>231</v>
      </c>
      <c r="CN136" s="240" t="s">
        <v>231</v>
      </c>
      <c r="CO136" s="240" t="s">
        <v>231</v>
      </c>
      <c r="CP136" s="240" t="s">
        <v>231</v>
      </c>
      <c r="CQ136" s="240" t="s">
        <v>231</v>
      </c>
      <c r="CR136" s="240" t="s">
        <v>231</v>
      </c>
      <c r="CS136" s="240" t="s">
        <v>231</v>
      </c>
      <c r="CT136" s="240" t="s">
        <v>492</v>
      </c>
      <c r="CU136" s="240" t="s">
        <v>492</v>
      </c>
      <c r="CV136" s="240" t="s">
        <v>492</v>
      </c>
      <c r="CW136" s="240" t="s">
        <v>231</v>
      </c>
      <c r="CX136" s="240" t="s">
        <v>231</v>
      </c>
      <c r="CY136" s="240" t="s">
        <v>231</v>
      </c>
      <c r="CZ136" s="240" t="s">
        <v>231</v>
      </c>
      <c r="DA136" s="240" t="s">
        <v>231</v>
      </c>
      <c r="DB136" s="240" t="s">
        <v>231</v>
      </c>
      <c r="DC136" s="240" t="s">
        <v>231</v>
      </c>
      <c r="DD136" s="240" t="s">
        <v>231</v>
      </c>
      <c r="DE136" s="240" t="s">
        <v>231</v>
      </c>
      <c r="DF136" s="240" t="s">
        <v>231</v>
      </c>
      <c r="DG136" s="240" t="s">
        <v>231</v>
      </c>
      <c r="DH136" s="240" t="s">
        <v>231</v>
      </c>
      <c r="DI136" s="240" t="s">
        <v>231</v>
      </c>
      <c r="DJ136" s="240" t="s">
        <v>231</v>
      </c>
      <c r="DK136" s="240" t="s">
        <v>231</v>
      </c>
      <c r="DL136" s="240" t="s">
        <v>231</v>
      </c>
      <c r="DM136" s="240" t="s">
        <v>231</v>
      </c>
      <c r="DN136" s="240" t="s">
        <v>231</v>
      </c>
      <c r="DO136" s="240" t="s">
        <v>231</v>
      </c>
      <c r="DP136" s="240" t="s">
        <v>231</v>
      </c>
      <c r="DQ136" s="240" t="s">
        <v>231</v>
      </c>
      <c r="DR136" s="240" t="s">
        <v>231</v>
      </c>
      <c r="DS136" s="240" t="s">
        <v>231</v>
      </c>
      <c r="DT136" s="240" t="s">
        <v>492</v>
      </c>
      <c r="DU136" s="240" t="s">
        <v>231</v>
      </c>
      <c r="DV136" s="240" t="s">
        <v>492</v>
      </c>
      <c r="DW136" s="240" t="s">
        <v>492</v>
      </c>
      <c r="DX136" s="240" t="s">
        <v>492</v>
      </c>
      <c r="DY136" s="240" t="s">
        <v>492</v>
      </c>
      <c r="DZ136" s="240" t="s">
        <v>492</v>
      </c>
      <c r="EA136" s="240" t="s">
        <v>492</v>
      </c>
      <c r="EB136" s="240" t="s">
        <v>492</v>
      </c>
      <c r="EC136" s="240" t="s">
        <v>492</v>
      </c>
      <c r="ED136" s="240" t="s">
        <v>492</v>
      </c>
      <c r="EE136" s="240" t="s">
        <v>492</v>
      </c>
      <c r="EF136" s="240" t="s">
        <v>492</v>
      </c>
      <c r="EG136" s="240" t="s">
        <v>492</v>
      </c>
      <c r="EH136" s="240" t="s">
        <v>492</v>
      </c>
      <c r="EI136" s="240" t="s">
        <v>231</v>
      </c>
      <c r="EJ136" s="240" t="s">
        <v>231</v>
      </c>
      <c r="EK136" s="240" t="s">
        <v>231</v>
      </c>
      <c r="EL136" s="240" t="s">
        <v>231</v>
      </c>
      <c r="EM136" s="240" t="s">
        <v>231</v>
      </c>
      <c r="EN136" s="240" t="s">
        <v>231</v>
      </c>
      <c r="EO136" s="240" t="s">
        <v>231</v>
      </c>
      <c r="EP136" s="240" t="s">
        <v>231</v>
      </c>
      <c r="EQ136" s="240" t="s">
        <v>231</v>
      </c>
      <c r="ER136" s="240" t="s">
        <v>231</v>
      </c>
      <c r="ES136" s="240" t="s">
        <v>231</v>
      </c>
      <c r="ET136" s="240" t="s">
        <v>231</v>
      </c>
      <c r="EU136" s="240" t="s">
        <v>231</v>
      </c>
      <c r="EV136" s="240" t="s">
        <v>231</v>
      </c>
      <c r="EW136" s="240" t="s">
        <v>231</v>
      </c>
      <c r="EX136" s="240" t="s">
        <v>231</v>
      </c>
      <c r="EY136" s="240" t="s">
        <v>231</v>
      </c>
      <c r="EZ136" s="240" t="s">
        <v>231</v>
      </c>
      <c r="FA136" s="240" t="s">
        <v>231</v>
      </c>
      <c r="FB136" s="240" t="s">
        <v>231</v>
      </c>
      <c r="FC136" s="240" t="s">
        <v>231</v>
      </c>
      <c r="FD136" s="240" t="s">
        <v>231</v>
      </c>
      <c r="FE136" s="240" t="s">
        <v>231</v>
      </c>
      <c r="FF136" s="240" t="s">
        <v>231</v>
      </c>
      <c r="FG136" s="240" t="s">
        <v>492</v>
      </c>
      <c r="FH136" s="240" t="s">
        <v>492</v>
      </c>
      <c r="FI136" s="240" t="s">
        <v>492</v>
      </c>
      <c r="FJ136" s="240" t="s">
        <v>492</v>
      </c>
      <c r="FK136" s="240" t="s">
        <v>492</v>
      </c>
      <c r="FL136" s="240" t="s">
        <v>492</v>
      </c>
      <c r="FM136" s="240" t="s">
        <v>231</v>
      </c>
      <c r="FN136" s="240" t="s">
        <v>231</v>
      </c>
      <c r="FO136" s="240" t="s">
        <v>231</v>
      </c>
      <c r="FP136" s="240" t="s">
        <v>231</v>
      </c>
      <c r="FQ136" s="240" t="s">
        <v>231</v>
      </c>
      <c r="FR136" s="240" t="s">
        <v>231</v>
      </c>
      <c r="FS136" s="240" t="s">
        <v>492</v>
      </c>
      <c r="FT136" s="240" t="s">
        <v>231</v>
      </c>
      <c r="FU136" s="240" t="s">
        <v>231</v>
      </c>
      <c r="FV136" s="240" t="s">
        <v>231</v>
      </c>
      <c r="FW136" s="240" t="s">
        <v>231</v>
      </c>
      <c r="FX136" s="240" t="s">
        <v>492</v>
      </c>
      <c r="FY136" s="240" t="s">
        <v>231</v>
      </c>
      <c r="FZ136" s="240" t="s">
        <v>231</v>
      </c>
      <c r="GA136" s="240" t="s">
        <v>231</v>
      </c>
      <c r="GB136" s="240" t="s">
        <v>231</v>
      </c>
      <c r="GC136" s="240" t="s">
        <v>231</v>
      </c>
      <c r="GD136" s="240" t="s">
        <v>231</v>
      </c>
      <c r="GE136" s="240" t="s">
        <v>231</v>
      </c>
      <c r="GF136" s="240" t="s">
        <v>231</v>
      </c>
      <c r="GG136" s="240" t="s">
        <v>231</v>
      </c>
      <c r="GH136" s="240" t="s">
        <v>231</v>
      </c>
      <c r="GI136" s="240" t="s">
        <v>231</v>
      </c>
      <c r="GJ136" s="240" t="s">
        <v>231</v>
      </c>
      <c r="GK136" s="240" t="s">
        <v>231</v>
      </c>
      <c r="GL136" s="240" t="s">
        <v>231</v>
      </c>
      <c r="GM136" s="240" t="s">
        <v>231</v>
      </c>
      <c r="GN136" s="240" t="s">
        <v>231</v>
      </c>
      <c r="GO136" s="240" t="s">
        <v>231</v>
      </c>
      <c r="GP136" s="240" t="s">
        <v>492</v>
      </c>
      <c r="GQ136" s="240" t="s">
        <v>231</v>
      </c>
      <c r="GR136" s="240" t="s">
        <v>231</v>
      </c>
      <c r="GS136" s="240" t="s">
        <v>231</v>
      </c>
      <c r="GT136" s="240" t="s">
        <v>231</v>
      </c>
      <c r="GU136" s="240" t="s">
        <v>231</v>
      </c>
      <c r="GV136" s="240" t="s">
        <v>492</v>
      </c>
      <c r="GW136" s="240" t="s">
        <v>231</v>
      </c>
      <c r="GX136" s="240" t="s">
        <v>231</v>
      </c>
      <c r="GY136" s="240" t="s">
        <v>492</v>
      </c>
      <c r="GZ136" s="240" t="s">
        <v>492</v>
      </c>
      <c r="HA136" s="240" t="s">
        <v>492</v>
      </c>
      <c r="HB136" s="240" t="s">
        <v>231</v>
      </c>
      <c r="HC136" s="240" t="s">
        <v>231</v>
      </c>
      <c r="HD136" s="240" t="s">
        <v>231</v>
      </c>
      <c r="HE136" s="240" t="s">
        <v>492</v>
      </c>
      <c r="HF136" s="240" t="s">
        <v>231</v>
      </c>
      <c r="HG136" s="240" t="s">
        <v>492</v>
      </c>
      <c r="HH136" s="240" t="s">
        <v>231</v>
      </c>
      <c r="HI136" s="240" t="s">
        <v>231</v>
      </c>
      <c r="HJ136" s="240" t="s">
        <v>231</v>
      </c>
      <c r="HK136" s="240" t="s">
        <v>231</v>
      </c>
      <c r="HL136" s="240" t="s">
        <v>231</v>
      </c>
      <c r="HM136" s="240" t="s">
        <v>231</v>
      </c>
      <c r="HN136" s="240" t="s">
        <v>231</v>
      </c>
      <c r="HO136" s="240" t="s">
        <v>231</v>
      </c>
      <c r="HP136" s="240" t="s">
        <v>231</v>
      </c>
      <c r="HQ136" s="240" t="s">
        <v>492</v>
      </c>
      <c r="HR136" s="240" t="s">
        <v>492</v>
      </c>
      <c r="HS136" s="240" t="s">
        <v>492</v>
      </c>
      <c r="HT136" s="240" t="s">
        <v>492</v>
      </c>
      <c r="HU136" s="240" t="s">
        <v>231</v>
      </c>
      <c r="HV136" s="240" t="s">
        <v>231</v>
      </c>
      <c r="HW136" s="240" t="s">
        <v>231</v>
      </c>
      <c r="HX136" s="240" t="s">
        <v>231</v>
      </c>
      <c r="HY136" s="240" t="s">
        <v>231</v>
      </c>
      <c r="HZ136" s="240" t="s">
        <v>231</v>
      </c>
      <c r="IA136" s="240" t="s">
        <v>231</v>
      </c>
      <c r="IB136" s="240" t="s">
        <v>231</v>
      </c>
      <c r="IC136" s="240" t="s">
        <v>231</v>
      </c>
      <c r="ID136" s="240" t="s">
        <v>231</v>
      </c>
      <c r="IE136" s="240" t="s">
        <v>231</v>
      </c>
      <c r="IF136" s="240" t="s">
        <v>231</v>
      </c>
      <c r="IG136" s="240" t="s">
        <v>231</v>
      </c>
      <c r="IH136" s="240" t="s">
        <v>231</v>
      </c>
      <c r="II136" s="240" t="s">
        <v>231</v>
      </c>
      <c r="IJ136" s="240" t="s">
        <v>231</v>
      </c>
      <c r="IK136" s="240" t="s">
        <v>231</v>
      </c>
      <c r="IL136" s="240" t="s">
        <v>231</v>
      </c>
      <c r="IM136" s="240" t="s">
        <v>231</v>
      </c>
      <c r="IN136" s="240" t="s">
        <v>231</v>
      </c>
      <c r="IO136" s="240" t="s">
        <v>220</v>
      </c>
      <c r="IP136" s="240" t="s">
        <v>493</v>
      </c>
      <c r="IQ136" s="240" t="s">
        <v>219</v>
      </c>
      <c r="IR136" s="240" t="s">
        <v>490</v>
      </c>
      <c r="IS136" s="240" t="s">
        <v>492</v>
      </c>
      <c r="IT136" s="240" t="s">
        <v>492</v>
      </c>
    </row>
    <row r="137" spans="1:254" ht="15" x14ac:dyDescent="0.25">
      <c r="A137" s="258" t="str">
        <f>HYPERLINK("http://www.ofsted.gov.uk/inspection-reports/find-inspection-report/provider/ELS/145546 ","Ofsted School Webpage")</f>
        <v>Ofsted School Webpage</v>
      </c>
      <c r="B137" s="237">
        <v>145546</v>
      </c>
      <c r="C137" s="237">
        <v>8916038</v>
      </c>
      <c r="D137" s="237" t="s">
        <v>851</v>
      </c>
      <c r="E137" s="237" t="s">
        <v>248</v>
      </c>
      <c r="F137" s="237" t="s">
        <v>501</v>
      </c>
      <c r="G137" s="237" t="s">
        <v>572</v>
      </c>
      <c r="H137" s="237" t="s">
        <v>572</v>
      </c>
      <c r="I137" s="237" t="s">
        <v>852</v>
      </c>
      <c r="J137" s="237" t="s">
        <v>853</v>
      </c>
      <c r="K137" s="237" t="s">
        <v>93</v>
      </c>
      <c r="L137" s="237" t="s">
        <v>93</v>
      </c>
      <c r="M137" s="237" t="s">
        <v>93</v>
      </c>
      <c r="N137" s="237" t="s">
        <v>90</v>
      </c>
      <c r="O137" s="237" t="s">
        <v>486</v>
      </c>
      <c r="P137" s="237" t="s">
        <v>487</v>
      </c>
      <c r="Q137" s="238">
        <v>10077992</v>
      </c>
      <c r="R137" s="239">
        <v>43438</v>
      </c>
      <c r="S137" s="239">
        <v>43440</v>
      </c>
      <c r="T137" s="239">
        <v>43485</v>
      </c>
      <c r="U137" s="237" t="s">
        <v>499</v>
      </c>
      <c r="V137" s="237" t="s">
        <v>489</v>
      </c>
      <c r="W137" s="237">
        <v>2</v>
      </c>
      <c r="X137" s="237">
        <v>2</v>
      </c>
      <c r="Y137" s="237">
        <v>2</v>
      </c>
      <c r="Z137" s="237">
        <v>2</v>
      </c>
      <c r="AA137" s="237">
        <v>2</v>
      </c>
      <c r="AB137" s="237" t="s">
        <v>486</v>
      </c>
      <c r="AC137" s="237" t="s">
        <v>486</v>
      </c>
      <c r="AD137" s="237" t="s">
        <v>219</v>
      </c>
      <c r="AE137" s="237" t="s">
        <v>490</v>
      </c>
      <c r="AF137" s="237" t="s">
        <v>486</v>
      </c>
      <c r="AG137" s="237" t="s">
        <v>486</v>
      </c>
      <c r="AH137" s="237" t="s">
        <v>486</v>
      </c>
      <c r="AI137" s="237" t="s">
        <v>486</v>
      </c>
      <c r="AJ137" s="237" t="s">
        <v>486</v>
      </c>
      <c r="AK137" s="237" t="s">
        <v>486</v>
      </c>
      <c r="AL137" s="237" t="s">
        <v>486</v>
      </c>
      <c r="AM137" s="237" t="s">
        <v>491</v>
      </c>
      <c r="AN137" s="237" t="s">
        <v>231</v>
      </c>
      <c r="AO137" s="237" t="s">
        <v>231</v>
      </c>
      <c r="AP137" s="237" t="s">
        <v>231</v>
      </c>
      <c r="AQ137" s="237" t="s">
        <v>231</v>
      </c>
      <c r="AR137" s="237" t="s">
        <v>231</v>
      </c>
      <c r="AS137" s="237" t="s">
        <v>231</v>
      </c>
      <c r="AT137" s="237" t="s">
        <v>231</v>
      </c>
      <c r="AU137" s="237" t="s">
        <v>231</v>
      </c>
      <c r="AV137" s="237" t="s">
        <v>231</v>
      </c>
      <c r="AW137" s="237" t="s">
        <v>231</v>
      </c>
      <c r="AX137" s="237" t="s">
        <v>231</v>
      </c>
      <c r="AY137" s="237" t="s">
        <v>231</v>
      </c>
      <c r="AZ137" s="237" t="s">
        <v>231</v>
      </c>
      <c r="BA137" s="237" t="s">
        <v>231</v>
      </c>
      <c r="BB137" s="237" t="s">
        <v>231</v>
      </c>
      <c r="BC137" s="237" t="s">
        <v>231</v>
      </c>
      <c r="BD137" s="237" t="s">
        <v>492</v>
      </c>
      <c r="BE137" s="237" t="s">
        <v>231</v>
      </c>
      <c r="BF137" s="237" t="s">
        <v>231</v>
      </c>
      <c r="BG137" s="237" t="s">
        <v>231</v>
      </c>
      <c r="BH137" s="237" t="s">
        <v>231</v>
      </c>
      <c r="BI137" s="237" t="s">
        <v>231</v>
      </c>
      <c r="BJ137" s="237" t="s">
        <v>231</v>
      </c>
      <c r="BK137" s="237" t="s">
        <v>231</v>
      </c>
      <c r="BL137" s="237" t="s">
        <v>492</v>
      </c>
      <c r="BM137" s="237" t="s">
        <v>231</v>
      </c>
      <c r="BN137" s="237" t="s">
        <v>231</v>
      </c>
      <c r="BO137" s="237" t="s">
        <v>231</v>
      </c>
      <c r="BP137" s="237" t="s">
        <v>231</v>
      </c>
      <c r="BQ137" s="237" t="s">
        <v>231</v>
      </c>
      <c r="BR137" s="237" t="s">
        <v>231</v>
      </c>
      <c r="BS137" s="237" t="s">
        <v>231</v>
      </c>
      <c r="BT137" s="237" t="s">
        <v>231</v>
      </c>
      <c r="BU137" s="237" t="s">
        <v>231</v>
      </c>
      <c r="BV137" s="237" t="s">
        <v>231</v>
      </c>
      <c r="BW137" s="237" t="s">
        <v>231</v>
      </c>
      <c r="BX137" s="237" t="s">
        <v>231</v>
      </c>
      <c r="BY137" s="237" t="s">
        <v>231</v>
      </c>
      <c r="BZ137" s="237" t="s">
        <v>231</v>
      </c>
      <c r="CA137" s="237" t="s">
        <v>231</v>
      </c>
      <c r="CB137" s="237" t="s">
        <v>231</v>
      </c>
      <c r="CC137" s="237" t="s">
        <v>231</v>
      </c>
      <c r="CD137" s="237" t="s">
        <v>231</v>
      </c>
      <c r="CE137" s="237" t="s">
        <v>231</v>
      </c>
      <c r="CF137" s="237" t="s">
        <v>231</v>
      </c>
      <c r="CG137" s="237" t="s">
        <v>231</v>
      </c>
      <c r="CH137" s="237" t="s">
        <v>231</v>
      </c>
      <c r="CI137" s="237" t="s">
        <v>231</v>
      </c>
      <c r="CJ137" s="237" t="s">
        <v>231</v>
      </c>
      <c r="CK137" s="237" t="s">
        <v>231</v>
      </c>
      <c r="CL137" s="237" t="s">
        <v>231</v>
      </c>
      <c r="CM137" s="237" t="s">
        <v>231</v>
      </c>
      <c r="CN137" s="237" t="s">
        <v>231</v>
      </c>
      <c r="CO137" s="237" t="s">
        <v>231</v>
      </c>
      <c r="CP137" s="237" t="s">
        <v>231</v>
      </c>
      <c r="CQ137" s="237" t="s">
        <v>231</v>
      </c>
      <c r="CR137" s="237" t="s">
        <v>231</v>
      </c>
      <c r="CS137" s="237" t="s">
        <v>231</v>
      </c>
      <c r="CT137" s="237" t="s">
        <v>492</v>
      </c>
      <c r="CU137" s="237" t="s">
        <v>492</v>
      </c>
      <c r="CV137" s="237" t="s">
        <v>492</v>
      </c>
      <c r="CW137" s="237" t="s">
        <v>231</v>
      </c>
      <c r="CX137" s="237" t="s">
        <v>231</v>
      </c>
      <c r="CY137" s="237" t="s">
        <v>231</v>
      </c>
      <c r="CZ137" s="237" t="s">
        <v>231</v>
      </c>
      <c r="DA137" s="237" t="s">
        <v>231</v>
      </c>
      <c r="DB137" s="237" t="s">
        <v>231</v>
      </c>
      <c r="DC137" s="237" t="s">
        <v>231</v>
      </c>
      <c r="DD137" s="237" t="s">
        <v>231</v>
      </c>
      <c r="DE137" s="237" t="s">
        <v>231</v>
      </c>
      <c r="DF137" s="237" t="s">
        <v>231</v>
      </c>
      <c r="DG137" s="237" t="s">
        <v>231</v>
      </c>
      <c r="DH137" s="237" t="s">
        <v>231</v>
      </c>
      <c r="DI137" s="237" t="s">
        <v>231</v>
      </c>
      <c r="DJ137" s="237" t="s">
        <v>231</v>
      </c>
      <c r="DK137" s="237" t="s">
        <v>231</v>
      </c>
      <c r="DL137" s="237" t="s">
        <v>231</v>
      </c>
      <c r="DM137" s="237" t="s">
        <v>231</v>
      </c>
      <c r="DN137" s="237" t="s">
        <v>231</v>
      </c>
      <c r="DO137" s="237" t="s">
        <v>231</v>
      </c>
      <c r="DP137" s="237" t="s">
        <v>231</v>
      </c>
      <c r="DQ137" s="237" t="s">
        <v>231</v>
      </c>
      <c r="DR137" s="237" t="s">
        <v>231</v>
      </c>
      <c r="DS137" s="237" t="s">
        <v>231</v>
      </c>
      <c r="DT137" s="237" t="s">
        <v>492</v>
      </c>
      <c r="DU137" s="237" t="s">
        <v>231</v>
      </c>
      <c r="DV137" s="237" t="s">
        <v>492</v>
      </c>
      <c r="DW137" s="237" t="s">
        <v>492</v>
      </c>
      <c r="DX137" s="237" t="s">
        <v>492</v>
      </c>
      <c r="DY137" s="237" t="s">
        <v>492</v>
      </c>
      <c r="DZ137" s="237" t="s">
        <v>492</v>
      </c>
      <c r="EA137" s="237" t="s">
        <v>492</v>
      </c>
      <c r="EB137" s="237" t="s">
        <v>492</v>
      </c>
      <c r="EC137" s="237" t="s">
        <v>492</v>
      </c>
      <c r="ED137" s="237" t="s">
        <v>492</v>
      </c>
      <c r="EE137" s="237" t="s">
        <v>492</v>
      </c>
      <c r="EF137" s="237" t="s">
        <v>492</v>
      </c>
      <c r="EG137" s="237" t="s">
        <v>492</v>
      </c>
      <c r="EH137" s="237" t="s">
        <v>492</v>
      </c>
      <c r="EI137" s="237" t="s">
        <v>492</v>
      </c>
      <c r="EJ137" s="237" t="s">
        <v>231</v>
      </c>
      <c r="EK137" s="237" t="s">
        <v>231</v>
      </c>
      <c r="EL137" s="237" t="s">
        <v>231</v>
      </c>
      <c r="EM137" s="237" t="s">
        <v>231</v>
      </c>
      <c r="EN137" s="237" t="s">
        <v>231</v>
      </c>
      <c r="EO137" s="237" t="s">
        <v>231</v>
      </c>
      <c r="EP137" s="237" t="s">
        <v>231</v>
      </c>
      <c r="EQ137" s="237" t="s">
        <v>231</v>
      </c>
      <c r="ER137" s="237" t="s">
        <v>231</v>
      </c>
      <c r="ES137" s="237" t="s">
        <v>231</v>
      </c>
      <c r="ET137" s="237" t="s">
        <v>231</v>
      </c>
      <c r="EU137" s="237" t="s">
        <v>231</v>
      </c>
      <c r="EV137" s="237" t="s">
        <v>231</v>
      </c>
      <c r="EW137" s="237" t="s">
        <v>231</v>
      </c>
      <c r="EX137" s="237" t="s">
        <v>231</v>
      </c>
      <c r="EY137" s="237" t="s">
        <v>231</v>
      </c>
      <c r="EZ137" s="237" t="s">
        <v>231</v>
      </c>
      <c r="FA137" s="237" t="s">
        <v>231</v>
      </c>
      <c r="FB137" s="237" t="s">
        <v>231</v>
      </c>
      <c r="FC137" s="237" t="s">
        <v>231</v>
      </c>
      <c r="FD137" s="237" t="s">
        <v>231</v>
      </c>
      <c r="FE137" s="237" t="s">
        <v>231</v>
      </c>
      <c r="FF137" s="237" t="s">
        <v>231</v>
      </c>
      <c r="FG137" s="237" t="s">
        <v>492</v>
      </c>
      <c r="FH137" s="237" t="s">
        <v>492</v>
      </c>
      <c r="FI137" s="237" t="s">
        <v>492</v>
      </c>
      <c r="FJ137" s="237" t="s">
        <v>492</v>
      </c>
      <c r="FK137" s="237" t="s">
        <v>492</v>
      </c>
      <c r="FL137" s="237" t="s">
        <v>492</v>
      </c>
      <c r="FM137" s="237" t="s">
        <v>231</v>
      </c>
      <c r="FN137" s="237" t="s">
        <v>492</v>
      </c>
      <c r="FO137" s="237" t="s">
        <v>231</v>
      </c>
      <c r="FP137" s="237" t="s">
        <v>231</v>
      </c>
      <c r="FQ137" s="237" t="s">
        <v>231</v>
      </c>
      <c r="FR137" s="237" t="s">
        <v>231</v>
      </c>
      <c r="FS137" s="237" t="s">
        <v>231</v>
      </c>
      <c r="FT137" s="237" t="s">
        <v>231</v>
      </c>
      <c r="FU137" s="237" t="s">
        <v>231</v>
      </c>
      <c r="FV137" s="237" t="s">
        <v>231</v>
      </c>
      <c r="FW137" s="237" t="s">
        <v>231</v>
      </c>
      <c r="FX137" s="237" t="s">
        <v>492</v>
      </c>
      <c r="FY137" s="237" t="s">
        <v>231</v>
      </c>
      <c r="FZ137" s="237" t="s">
        <v>231</v>
      </c>
      <c r="GA137" s="237" t="s">
        <v>231</v>
      </c>
      <c r="GB137" s="237" t="s">
        <v>231</v>
      </c>
      <c r="GC137" s="237" t="s">
        <v>231</v>
      </c>
      <c r="GD137" s="237" t="s">
        <v>231</v>
      </c>
      <c r="GE137" s="237" t="s">
        <v>231</v>
      </c>
      <c r="GF137" s="237" t="s">
        <v>231</v>
      </c>
      <c r="GG137" s="237" t="s">
        <v>231</v>
      </c>
      <c r="GH137" s="237" t="s">
        <v>231</v>
      </c>
      <c r="GI137" s="237" t="s">
        <v>231</v>
      </c>
      <c r="GJ137" s="237" t="s">
        <v>231</v>
      </c>
      <c r="GK137" s="237" t="s">
        <v>231</v>
      </c>
      <c r="GL137" s="237" t="s">
        <v>231</v>
      </c>
      <c r="GM137" s="237" t="s">
        <v>231</v>
      </c>
      <c r="GN137" s="237" t="s">
        <v>231</v>
      </c>
      <c r="GO137" s="237" t="s">
        <v>231</v>
      </c>
      <c r="GP137" s="237" t="s">
        <v>492</v>
      </c>
      <c r="GQ137" s="237" t="s">
        <v>231</v>
      </c>
      <c r="GR137" s="237" t="s">
        <v>231</v>
      </c>
      <c r="GS137" s="237" t="s">
        <v>231</v>
      </c>
      <c r="GT137" s="237" t="s">
        <v>231</v>
      </c>
      <c r="GU137" s="237" t="s">
        <v>492</v>
      </c>
      <c r="GV137" s="237" t="s">
        <v>492</v>
      </c>
      <c r="GW137" s="237" t="s">
        <v>231</v>
      </c>
      <c r="GX137" s="237" t="s">
        <v>231</v>
      </c>
      <c r="GY137" s="237" t="s">
        <v>492</v>
      </c>
      <c r="GZ137" s="237" t="s">
        <v>492</v>
      </c>
      <c r="HA137" s="237" t="s">
        <v>231</v>
      </c>
      <c r="HB137" s="237" t="s">
        <v>231</v>
      </c>
      <c r="HC137" s="237" t="s">
        <v>231</v>
      </c>
      <c r="HD137" s="237" t="s">
        <v>231</v>
      </c>
      <c r="HE137" s="237" t="s">
        <v>231</v>
      </c>
      <c r="HF137" s="237" t="s">
        <v>231</v>
      </c>
      <c r="HG137" s="237" t="s">
        <v>231</v>
      </c>
      <c r="HH137" s="237" t="s">
        <v>231</v>
      </c>
      <c r="HI137" s="237" t="s">
        <v>231</v>
      </c>
      <c r="HJ137" s="237" t="s">
        <v>231</v>
      </c>
      <c r="HK137" s="237" t="s">
        <v>231</v>
      </c>
      <c r="HL137" s="237" t="s">
        <v>231</v>
      </c>
      <c r="HM137" s="237" t="s">
        <v>231</v>
      </c>
      <c r="HN137" s="237" t="s">
        <v>492</v>
      </c>
      <c r="HO137" s="237" t="s">
        <v>231</v>
      </c>
      <c r="HP137" s="237" t="s">
        <v>492</v>
      </c>
      <c r="HQ137" s="237" t="s">
        <v>231</v>
      </c>
      <c r="HR137" s="237" t="s">
        <v>492</v>
      </c>
      <c r="HS137" s="237" t="s">
        <v>492</v>
      </c>
      <c r="HT137" s="237" t="s">
        <v>492</v>
      </c>
      <c r="HU137" s="237" t="s">
        <v>231</v>
      </c>
      <c r="HV137" s="237" t="s">
        <v>231</v>
      </c>
      <c r="HW137" s="237" t="s">
        <v>231</v>
      </c>
      <c r="HX137" s="237" t="s">
        <v>231</v>
      </c>
      <c r="HY137" s="237" t="s">
        <v>231</v>
      </c>
      <c r="HZ137" s="237" t="s">
        <v>231</v>
      </c>
      <c r="IA137" s="237" t="s">
        <v>231</v>
      </c>
      <c r="IB137" s="237" t="s">
        <v>231</v>
      </c>
      <c r="IC137" s="237" t="s">
        <v>231</v>
      </c>
      <c r="ID137" s="237" t="s">
        <v>231</v>
      </c>
      <c r="IE137" s="237" t="s">
        <v>231</v>
      </c>
      <c r="IF137" s="237" t="s">
        <v>231</v>
      </c>
      <c r="IG137" s="237" t="s">
        <v>231</v>
      </c>
      <c r="IH137" s="237" t="s">
        <v>231</v>
      </c>
      <c r="II137" s="237" t="s">
        <v>231</v>
      </c>
      <c r="IJ137" s="237" t="s">
        <v>231</v>
      </c>
      <c r="IK137" s="237" t="s">
        <v>231</v>
      </c>
      <c r="IL137" s="237" t="s">
        <v>231</v>
      </c>
      <c r="IM137" s="237" t="s">
        <v>231</v>
      </c>
      <c r="IN137" s="237" t="s">
        <v>231</v>
      </c>
      <c r="IO137" s="237" t="s">
        <v>220</v>
      </c>
      <c r="IP137" s="237" t="s">
        <v>493</v>
      </c>
      <c r="IQ137" s="237" t="s">
        <v>219</v>
      </c>
      <c r="IR137" s="237" t="s">
        <v>490</v>
      </c>
      <c r="IS137" s="237" t="s">
        <v>492</v>
      </c>
      <c r="IT137" s="237" t="s">
        <v>492</v>
      </c>
    </row>
    <row r="138" spans="1:254" ht="15" x14ac:dyDescent="0.25">
      <c r="A138" s="259" t="str">
        <f>HYPERLINK("http://www.ofsted.gov.uk/inspection-reports/find-inspection-report/provider/ELS/142322 ","Ofsted School Webpage")</f>
        <v>Ofsted School Webpage</v>
      </c>
      <c r="B138" s="240">
        <v>142322</v>
      </c>
      <c r="C138" s="240">
        <v>8266015</v>
      </c>
      <c r="D138" s="240" t="s">
        <v>854</v>
      </c>
      <c r="E138" s="240" t="s">
        <v>248</v>
      </c>
      <c r="F138" s="240" t="s">
        <v>501</v>
      </c>
      <c r="G138" s="240" t="s">
        <v>581</v>
      </c>
      <c r="H138" s="240" t="s">
        <v>581</v>
      </c>
      <c r="I138" s="240" t="s">
        <v>855</v>
      </c>
      <c r="J138" s="240" t="s">
        <v>856</v>
      </c>
      <c r="K138" s="240" t="s">
        <v>93</v>
      </c>
      <c r="L138" s="240" t="s">
        <v>93</v>
      </c>
      <c r="M138" s="240" t="s">
        <v>93</v>
      </c>
      <c r="N138" s="240" t="s">
        <v>90</v>
      </c>
      <c r="O138" s="240" t="s">
        <v>486</v>
      </c>
      <c r="P138" s="240" t="s">
        <v>487</v>
      </c>
      <c r="Q138" s="241">
        <v>10055031</v>
      </c>
      <c r="R138" s="242">
        <v>43438</v>
      </c>
      <c r="S138" s="242">
        <v>43440</v>
      </c>
      <c r="T138" s="242">
        <v>43486</v>
      </c>
      <c r="U138" s="240" t="s">
        <v>488</v>
      </c>
      <c r="V138" s="240" t="s">
        <v>489</v>
      </c>
      <c r="W138" s="240">
        <v>4</v>
      </c>
      <c r="X138" s="240">
        <v>4</v>
      </c>
      <c r="Y138" s="240">
        <v>4</v>
      </c>
      <c r="Z138" s="240">
        <v>2</v>
      </c>
      <c r="AA138" s="240">
        <v>2</v>
      </c>
      <c r="AB138" s="240" t="s">
        <v>486</v>
      </c>
      <c r="AC138" s="240">
        <v>4</v>
      </c>
      <c r="AD138" s="240" t="s">
        <v>220</v>
      </c>
      <c r="AE138" s="240" t="s">
        <v>490</v>
      </c>
      <c r="AF138" s="240" t="s">
        <v>486</v>
      </c>
      <c r="AG138" s="240" t="s">
        <v>486</v>
      </c>
      <c r="AH138" s="240" t="s">
        <v>486</v>
      </c>
      <c r="AI138" s="240" t="s">
        <v>486</v>
      </c>
      <c r="AJ138" s="240" t="s">
        <v>486</v>
      </c>
      <c r="AK138" s="240" t="s">
        <v>486</v>
      </c>
      <c r="AL138" s="240" t="s">
        <v>486</v>
      </c>
      <c r="AM138" s="240" t="s">
        <v>545</v>
      </c>
      <c r="AN138" s="240" t="s">
        <v>231</v>
      </c>
      <c r="AO138" s="240" t="s">
        <v>231</v>
      </c>
      <c r="AP138" s="240" t="s">
        <v>546</v>
      </c>
      <c r="AQ138" s="240" t="s">
        <v>546</v>
      </c>
      <c r="AR138" s="240" t="s">
        <v>231</v>
      </c>
      <c r="AS138" s="240" t="s">
        <v>231</v>
      </c>
      <c r="AT138" s="240" t="s">
        <v>231</v>
      </c>
      <c r="AU138" s="240" t="s">
        <v>546</v>
      </c>
      <c r="AV138" s="240" t="s">
        <v>231</v>
      </c>
      <c r="AW138" s="240" t="s">
        <v>231</v>
      </c>
      <c r="AX138" s="240" t="s">
        <v>231</v>
      </c>
      <c r="AY138" s="240" t="s">
        <v>231</v>
      </c>
      <c r="AZ138" s="240" t="s">
        <v>231</v>
      </c>
      <c r="BA138" s="240" t="s">
        <v>231</v>
      </c>
      <c r="BB138" s="240" t="s">
        <v>231</v>
      </c>
      <c r="BC138" s="240" t="s">
        <v>231</v>
      </c>
      <c r="BD138" s="240" t="s">
        <v>492</v>
      </c>
      <c r="BE138" s="240" t="s">
        <v>231</v>
      </c>
      <c r="BF138" s="240" t="s">
        <v>231</v>
      </c>
      <c r="BG138" s="240" t="s">
        <v>231</v>
      </c>
      <c r="BH138" s="240" t="s">
        <v>231</v>
      </c>
      <c r="BI138" s="240" t="s">
        <v>231</v>
      </c>
      <c r="BJ138" s="240" t="s">
        <v>231</v>
      </c>
      <c r="BK138" s="240" t="s">
        <v>231</v>
      </c>
      <c r="BL138" s="240" t="s">
        <v>492</v>
      </c>
      <c r="BM138" s="240" t="s">
        <v>231</v>
      </c>
      <c r="BN138" s="240" t="s">
        <v>231</v>
      </c>
      <c r="BO138" s="240" t="s">
        <v>231</v>
      </c>
      <c r="BP138" s="240" t="s">
        <v>231</v>
      </c>
      <c r="BQ138" s="240" t="s">
        <v>231</v>
      </c>
      <c r="BR138" s="240" t="s">
        <v>231</v>
      </c>
      <c r="BS138" s="240" t="s">
        <v>231</v>
      </c>
      <c r="BT138" s="240" t="s">
        <v>231</v>
      </c>
      <c r="BU138" s="240" t="s">
        <v>231</v>
      </c>
      <c r="BV138" s="240" t="s">
        <v>231</v>
      </c>
      <c r="BW138" s="240" t="s">
        <v>231</v>
      </c>
      <c r="BX138" s="240" t="s">
        <v>231</v>
      </c>
      <c r="BY138" s="240" t="s">
        <v>231</v>
      </c>
      <c r="BZ138" s="240" t="s">
        <v>231</v>
      </c>
      <c r="CA138" s="240" t="s">
        <v>231</v>
      </c>
      <c r="CB138" s="240" t="s">
        <v>231</v>
      </c>
      <c r="CC138" s="240" t="s">
        <v>231</v>
      </c>
      <c r="CD138" s="240" t="s">
        <v>231</v>
      </c>
      <c r="CE138" s="240" t="s">
        <v>231</v>
      </c>
      <c r="CF138" s="240" t="s">
        <v>231</v>
      </c>
      <c r="CG138" s="240" t="s">
        <v>231</v>
      </c>
      <c r="CH138" s="240" t="s">
        <v>231</v>
      </c>
      <c r="CI138" s="240" t="s">
        <v>231</v>
      </c>
      <c r="CJ138" s="240" t="s">
        <v>231</v>
      </c>
      <c r="CK138" s="240" t="s">
        <v>231</v>
      </c>
      <c r="CL138" s="240" t="s">
        <v>231</v>
      </c>
      <c r="CM138" s="240" t="s">
        <v>231</v>
      </c>
      <c r="CN138" s="240" t="s">
        <v>231</v>
      </c>
      <c r="CO138" s="240" t="s">
        <v>231</v>
      </c>
      <c r="CP138" s="240" t="s">
        <v>231</v>
      </c>
      <c r="CQ138" s="240" t="s">
        <v>232</v>
      </c>
      <c r="CR138" s="240" t="s">
        <v>232</v>
      </c>
      <c r="CS138" s="240" t="s">
        <v>232</v>
      </c>
      <c r="CT138" s="240" t="s">
        <v>492</v>
      </c>
      <c r="CU138" s="240" t="s">
        <v>492</v>
      </c>
      <c r="CV138" s="240" t="s">
        <v>492</v>
      </c>
      <c r="CW138" s="240" t="s">
        <v>231</v>
      </c>
      <c r="CX138" s="240" t="s">
        <v>231</v>
      </c>
      <c r="CY138" s="240" t="s">
        <v>231</v>
      </c>
      <c r="CZ138" s="240" t="s">
        <v>231</v>
      </c>
      <c r="DA138" s="240" t="s">
        <v>231</v>
      </c>
      <c r="DB138" s="240" t="s">
        <v>231</v>
      </c>
      <c r="DC138" s="240" t="s">
        <v>231</v>
      </c>
      <c r="DD138" s="240" t="s">
        <v>231</v>
      </c>
      <c r="DE138" s="240" t="s">
        <v>231</v>
      </c>
      <c r="DF138" s="240" t="s">
        <v>231</v>
      </c>
      <c r="DG138" s="240" t="s">
        <v>231</v>
      </c>
      <c r="DH138" s="240" t="s">
        <v>231</v>
      </c>
      <c r="DI138" s="240" t="s">
        <v>231</v>
      </c>
      <c r="DJ138" s="240" t="s">
        <v>232</v>
      </c>
      <c r="DK138" s="240" t="s">
        <v>231</v>
      </c>
      <c r="DL138" s="240" t="s">
        <v>232</v>
      </c>
      <c r="DM138" s="240" t="s">
        <v>231</v>
      </c>
      <c r="DN138" s="240" t="s">
        <v>231</v>
      </c>
      <c r="DO138" s="240" t="s">
        <v>231</v>
      </c>
      <c r="DP138" s="240" t="s">
        <v>231</v>
      </c>
      <c r="DQ138" s="240" t="s">
        <v>231</v>
      </c>
      <c r="DR138" s="240" t="s">
        <v>231</v>
      </c>
      <c r="DS138" s="240" t="s">
        <v>231</v>
      </c>
      <c r="DT138" s="240" t="s">
        <v>492</v>
      </c>
      <c r="DU138" s="240" t="s">
        <v>231</v>
      </c>
      <c r="DV138" s="240" t="s">
        <v>231</v>
      </c>
      <c r="DW138" s="240" t="s">
        <v>231</v>
      </c>
      <c r="DX138" s="240" t="s">
        <v>231</v>
      </c>
      <c r="DY138" s="240" t="s">
        <v>231</v>
      </c>
      <c r="DZ138" s="240" t="s">
        <v>231</v>
      </c>
      <c r="EA138" s="240" t="s">
        <v>231</v>
      </c>
      <c r="EB138" s="240" t="s">
        <v>231</v>
      </c>
      <c r="EC138" s="240" t="s">
        <v>231</v>
      </c>
      <c r="ED138" s="240" t="s">
        <v>231</v>
      </c>
      <c r="EE138" s="240" t="s">
        <v>231</v>
      </c>
      <c r="EF138" s="240" t="s">
        <v>231</v>
      </c>
      <c r="EG138" s="240" t="s">
        <v>231</v>
      </c>
      <c r="EH138" s="240" t="s">
        <v>492</v>
      </c>
      <c r="EI138" s="240" t="s">
        <v>231</v>
      </c>
      <c r="EJ138" s="240" t="s">
        <v>231</v>
      </c>
      <c r="EK138" s="240" t="s">
        <v>231</v>
      </c>
      <c r="EL138" s="240" t="s">
        <v>231</v>
      </c>
      <c r="EM138" s="240" t="s">
        <v>231</v>
      </c>
      <c r="EN138" s="240" t="s">
        <v>231</v>
      </c>
      <c r="EO138" s="240" t="s">
        <v>231</v>
      </c>
      <c r="EP138" s="240" t="s">
        <v>231</v>
      </c>
      <c r="EQ138" s="240" t="s">
        <v>231</v>
      </c>
      <c r="ER138" s="240" t="s">
        <v>231</v>
      </c>
      <c r="ES138" s="240" t="s">
        <v>231</v>
      </c>
      <c r="ET138" s="240" t="s">
        <v>231</v>
      </c>
      <c r="EU138" s="240" t="s">
        <v>232</v>
      </c>
      <c r="EV138" s="240" t="s">
        <v>232</v>
      </c>
      <c r="EW138" s="240" t="s">
        <v>231</v>
      </c>
      <c r="EX138" s="240" t="s">
        <v>231</v>
      </c>
      <c r="EY138" s="240" t="s">
        <v>232</v>
      </c>
      <c r="EZ138" s="240" t="s">
        <v>231</v>
      </c>
      <c r="FA138" s="240" t="s">
        <v>231</v>
      </c>
      <c r="FB138" s="240" t="s">
        <v>231</v>
      </c>
      <c r="FC138" s="240" t="s">
        <v>231</v>
      </c>
      <c r="FD138" s="240" t="s">
        <v>231</v>
      </c>
      <c r="FE138" s="240" t="s">
        <v>232</v>
      </c>
      <c r="FF138" s="240" t="s">
        <v>231</v>
      </c>
      <c r="FG138" s="240" t="s">
        <v>231</v>
      </c>
      <c r="FH138" s="240" t="s">
        <v>231</v>
      </c>
      <c r="FI138" s="240" t="s">
        <v>231</v>
      </c>
      <c r="FJ138" s="240" t="s">
        <v>231</v>
      </c>
      <c r="FK138" s="240" t="s">
        <v>231</v>
      </c>
      <c r="FL138" s="240" t="s">
        <v>231</v>
      </c>
      <c r="FM138" s="240" t="s">
        <v>231</v>
      </c>
      <c r="FN138" s="240" t="s">
        <v>231</v>
      </c>
      <c r="FO138" s="240" t="s">
        <v>231</v>
      </c>
      <c r="FP138" s="240" t="s">
        <v>231</v>
      </c>
      <c r="FQ138" s="240" t="s">
        <v>231</v>
      </c>
      <c r="FR138" s="240" t="s">
        <v>231</v>
      </c>
      <c r="FS138" s="240" t="s">
        <v>231</v>
      </c>
      <c r="FT138" s="240" t="s">
        <v>231</v>
      </c>
      <c r="FU138" s="240" t="s">
        <v>231</v>
      </c>
      <c r="FV138" s="240" t="s">
        <v>231</v>
      </c>
      <c r="FW138" s="240" t="s">
        <v>231</v>
      </c>
      <c r="FX138" s="240" t="s">
        <v>231</v>
      </c>
      <c r="FY138" s="240" t="s">
        <v>231</v>
      </c>
      <c r="FZ138" s="240" t="s">
        <v>231</v>
      </c>
      <c r="GA138" s="240" t="s">
        <v>231</v>
      </c>
      <c r="GB138" s="240" t="s">
        <v>231</v>
      </c>
      <c r="GC138" s="240" t="s">
        <v>231</v>
      </c>
      <c r="GD138" s="240" t="s">
        <v>231</v>
      </c>
      <c r="GE138" s="240" t="s">
        <v>231</v>
      </c>
      <c r="GF138" s="240" t="s">
        <v>231</v>
      </c>
      <c r="GG138" s="240" t="s">
        <v>231</v>
      </c>
      <c r="GH138" s="240" t="s">
        <v>231</v>
      </c>
      <c r="GI138" s="240" t="s">
        <v>231</v>
      </c>
      <c r="GJ138" s="240" t="s">
        <v>231</v>
      </c>
      <c r="GK138" s="240" t="s">
        <v>231</v>
      </c>
      <c r="GL138" s="240" t="s">
        <v>231</v>
      </c>
      <c r="GM138" s="240" t="s">
        <v>231</v>
      </c>
      <c r="GN138" s="240" t="s">
        <v>231</v>
      </c>
      <c r="GO138" s="240" t="s">
        <v>231</v>
      </c>
      <c r="GP138" s="240" t="s">
        <v>492</v>
      </c>
      <c r="GQ138" s="240" t="s">
        <v>231</v>
      </c>
      <c r="GR138" s="240" t="s">
        <v>231</v>
      </c>
      <c r="GS138" s="240" t="s">
        <v>231</v>
      </c>
      <c r="GT138" s="240" t="s">
        <v>231</v>
      </c>
      <c r="GU138" s="240" t="s">
        <v>231</v>
      </c>
      <c r="GV138" s="240" t="s">
        <v>231</v>
      </c>
      <c r="GW138" s="240" t="s">
        <v>231</v>
      </c>
      <c r="GX138" s="240" t="s">
        <v>231</v>
      </c>
      <c r="GY138" s="240" t="s">
        <v>231</v>
      </c>
      <c r="GZ138" s="240" t="s">
        <v>231</v>
      </c>
      <c r="HA138" s="240" t="s">
        <v>231</v>
      </c>
      <c r="HB138" s="240" t="s">
        <v>231</v>
      </c>
      <c r="HC138" s="240" t="s">
        <v>231</v>
      </c>
      <c r="HD138" s="240" t="s">
        <v>231</v>
      </c>
      <c r="HE138" s="240" t="s">
        <v>492</v>
      </c>
      <c r="HF138" s="240" t="s">
        <v>231</v>
      </c>
      <c r="HG138" s="240" t="s">
        <v>492</v>
      </c>
      <c r="HH138" s="240" t="s">
        <v>231</v>
      </c>
      <c r="HI138" s="240" t="s">
        <v>231</v>
      </c>
      <c r="HJ138" s="240" t="s">
        <v>231</v>
      </c>
      <c r="HK138" s="240" t="s">
        <v>231</v>
      </c>
      <c r="HL138" s="240" t="s">
        <v>231</v>
      </c>
      <c r="HM138" s="240" t="s">
        <v>231</v>
      </c>
      <c r="HN138" s="240" t="s">
        <v>231</v>
      </c>
      <c r="HO138" s="240" t="s">
        <v>231</v>
      </c>
      <c r="HP138" s="240" t="s">
        <v>231</v>
      </c>
      <c r="HQ138" s="240" t="s">
        <v>231</v>
      </c>
      <c r="HR138" s="240" t="s">
        <v>231</v>
      </c>
      <c r="HS138" s="240" t="s">
        <v>231</v>
      </c>
      <c r="HT138" s="240" t="s">
        <v>231</v>
      </c>
      <c r="HU138" s="240" t="s">
        <v>231</v>
      </c>
      <c r="HV138" s="240" t="s">
        <v>231</v>
      </c>
      <c r="HW138" s="240" t="s">
        <v>231</v>
      </c>
      <c r="HX138" s="240" t="s">
        <v>231</v>
      </c>
      <c r="HY138" s="240" t="s">
        <v>231</v>
      </c>
      <c r="HZ138" s="240" t="s">
        <v>231</v>
      </c>
      <c r="IA138" s="240" t="s">
        <v>231</v>
      </c>
      <c r="IB138" s="240" t="s">
        <v>231</v>
      </c>
      <c r="IC138" s="240" t="s">
        <v>231</v>
      </c>
      <c r="ID138" s="240" t="s">
        <v>231</v>
      </c>
      <c r="IE138" s="240" t="s">
        <v>231</v>
      </c>
      <c r="IF138" s="240" t="s">
        <v>231</v>
      </c>
      <c r="IG138" s="240" t="s">
        <v>231</v>
      </c>
      <c r="IH138" s="240" t="s">
        <v>231</v>
      </c>
      <c r="II138" s="240" t="s">
        <v>231</v>
      </c>
      <c r="IJ138" s="240" t="s">
        <v>231</v>
      </c>
      <c r="IK138" s="240" t="s">
        <v>232</v>
      </c>
      <c r="IL138" s="240" t="s">
        <v>232</v>
      </c>
      <c r="IM138" s="240" t="s">
        <v>232</v>
      </c>
      <c r="IN138" s="240" t="s">
        <v>232</v>
      </c>
      <c r="IO138" s="240" t="s">
        <v>220</v>
      </c>
      <c r="IP138" s="240" t="s">
        <v>493</v>
      </c>
      <c r="IQ138" s="240" t="s">
        <v>219</v>
      </c>
      <c r="IR138" s="240" t="s">
        <v>490</v>
      </c>
      <c r="IS138" s="240" t="s">
        <v>492</v>
      </c>
      <c r="IT138" s="240" t="s">
        <v>492</v>
      </c>
    </row>
    <row r="139" spans="1:254" ht="15" x14ac:dyDescent="0.25">
      <c r="A139" s="258" t="str">
        <f>HYPERLINK("http://www.ofsted.gov.uk/inspection-reports/find-inspection-report/provider/ELS/142534 ","Ofsted School Webpage")</f>
        <v>Ofsted School Webpage</v>
      </c>
      <c r="B139" s="237">
        <v>142534</v>
      </c>
      <c r="C139" s="237">
        <v>3086005</v>
      </c>
      <c r="D139" s="237" t="s">
        <v>857</v>
      </c>
      <c r="E139" s="237" t="s">
        <v>247</v>
      </c>
      <c r="F139" s="237" t="s">
        <v>482</v>
      </c>
      <c r="G139" s="237" t="s">
        <v>506</v>
      </c>
      <c r="H139" s="237" t="s">
        <v>506</v>
      </c>
      <c r="I139" s="237" t="s">
        <v>632</v>
      </c>
      <c r="J139" s="237" t="s">
        <v>858</v>
      </c>
      <c r="K139" s="237" t="s">
        <v>93</v>
      </c>
      <c r="L139" s="237" t="s">
        <v>93</v>
      </c>
      <c r="M139" s="237" t="s">
        <v>93</v>
      </c>
      <c r="N139" s="237" t="s">
        <v>90</v>
      </c>
      <c r="O139" s="237" t="s">
        <v>486</v>
      </c>
      <c r="P139" s="237" t="s">
        <v>487</v>
      </c>
      <c r="Q139" s="238">
        <v>10055481</v>
      </c>
      <c r="R139" s="239">
        <v>43438</v>
      </c>
      <c r="S139" s="239">
        <v>43440</v>
      </c>
      <c r="T139" s="239">
        <v>43478</v>
      </c>
      <c r="U139" s="237" t="s">
        <v>488</v>
      </c>
      <c r="V139" s="237" t="s">
        <v>489</v>
      </c>
      <c r="W139" s="237">
        <v>1</v>
      </c>
      <c r="X139" s="237">
        <v>1</v>
      </c>
      <c r="Y139" s="237">
        <v>1</v>
      </c>
      <c r="Z139" s="237">
        <v>1</v>
      </c>
      <c r="AA139" s="237">
        <v>1</v>
      </c>
      <c r="AB139" s="237" t="s">
        <v>486</v>
      </c>
      <c r="AC139" s="237">
        <v>1</v>
      </c>
      <c r="AD139" s="237" t="s">
        <v>219</v>
      </c>
      <c r="AE139" s="237" t="s">
        <v>490</v>
      </c>
      <c r="AF139" s="237" t="s">
        <v>486</v>
      </c>
      <c r="AG139" s="237" t="s">
        <v>486</v>
      </c>
      <c r="AH139" s="237" t="s">
        <v>486</v>
      </c>
      <c r="AI139" s="237" t="s">
        <v>486</v>
      </c>
      <c r="AJ139" s="237" t="s">
        <v>486</v>
      </c>
      <c r="AK139" s="237" t="s">
        <v>486</v>
      </c>
      <c r="AL139" s="237" t="s">
        <v>486</v>
      </c>
      <c r="AM139" s="237" t="s">
        <v>491</v>
      </c>
      <c r="AN139" s="237" t="s">
        <v>231</v>
      </c>
      <c r="AO139" s="237" t="s">
        <v>231</v>
      </c>
      <c r="AP139" s="237" t="s">
        <v>231</v>
      </c>
      <c r="AQ139" s="237" t="s">
        <v>231</v>
      </c>
      <c r="AR139" s="237" t="s">
        <v>231</v>
      </c>
      <c r="AS139" s="237" t="s">
        <v>231</v>
      </c>
      <c r="AT139" s="237" t="s">
        <v>231</v>
      </c>
      <c r="AU139" s="237" t="s">
        <v>231</v>
      </c>
      <c r="AV139" s="237" t="s">
        <v>231</v>
      </c>
      <c r="AW139" s="237" t="s">
        <v>231</v>
      </c>
      <c r="AX139" s="237" t="s">
        <v>231</v>
      </c>
      <c r="AY139" s="237" t="s">
        <v>231</v>
      </c>
      <c r="AZ139" s="237" t="s">
        <v>231</v>
      </c>
      <c r="BA139" s="237" t="s">
        <v>231</v>
      </c>
      <c r="BB139" s="237" t="s">
        <v>231</v>
      </c>
      <c r="BC139" s="237" t="s">
        <v>231</v>
      </c>
      <c r="BD139" s="237" t="s">
        <v>492</v>
      </c>
      <c r="BE139" s="237" t="s">
        <v>231</v>
      </c>
      <c r="BF139" s="237" t="s">
        <v>231</v>
      </c>
      <c r="BG139" s="237" t="s">
        <v>231</v>
      </c>
      <c r="BH139" s="237" t="s">
        <v>231</v>
      </c>
      <c r="BI139" s="237" t="s">
        <v>231</v>
      </c>
      <c r="BJ139" s="237" t="s">
        <v>231</v>
      </c>
      <c r="BK139" s="237" t="s">
        <v>231</v>
      </c>
      <c r="BL139" s="237" t="s">
        <v>492</v>
      </c>
      <c r="BM139" s="237" t="s">
        <v>231</v>
      </c>
      <c r="BN139" s="237" t="s">
        <v>231</v>
      </c>
      <c r="BO139" s="237" t="s">
        <v>231</v>
      </c>
      <c r="BP139" s="237" t="s">
        <v>231</v>
      </c>
      <c r="BQ139" s="237" t="s">
        <v>231</v>
      </c>
      <c r="BR139" s="237" t="s">
        <v>231</v>
      </c>
      <c r="BS139" s="237" t="s">
        <v>231</v>
      </c>
      <c r="BT139" s="237" t="s">
        <v>231</v>
      </c>
      <c r="BU139" s="237" t="s">
        <v>231</v>
      </c>
      <c r="BV139" s="237" t="s">
        <v>231</v>
      </c>
      <c r="BW139" s="237" t="s">
        <v>231</v>
      </c>
      <c r="BX139" s="237" t="s">
        <v>231</v>
      </c>
      <c r="BY139" s="237" t="s">
        <v>231</v>
      </c>
      <c r="BZ139" s="237" t="s">
        <v>231</v>
      </c>
      <c r="CA139" s="237" t="s">
        <v>231</v>
      </c>
      <c r="CB139" s="237" t="s">
        <v>231</v>
      </c>
      <c r="CC139" s="237" t="s">
        <v>231</v>
      </c>
      <c r="CD139" s="237" t="s">
        <v>231</v>
      </c>
      <c r="CE139" s="237" t="s">
        <v>231</v>
      </c>
      <c r="CF139" s="237" t="s">
        <v>231</v>
      </c>
      <c r="CG139" s="237" t="s">
        <v>231</v>
      </c>
      <c r="CH139" s="237" t="s">
        <v>231</v>
      </c>
      <c r="CI139" s="237" t="s">
        <v>231</v>
      </c>
      <c r="CJ139" s="237" t="s">
        <v>231</v>
      </c>
      <c r="CK139" s="237" t="s">
        <v>231</v>
      </c>
      <c r="CL139" s="237" t="s">
        <v>231</v>
      </c>
      <c r="CM139" s="237" t="s">
        <v>231</v>
      </c>
      <c r="CN139" s="237" t="s">
        <v>231</v>
      </c>
      <c r="CO139" s="237" t="s">
        <v>231</v>
      </c>
      <c r="CP139" s="237" t="s">
        <v>231</v>
      </c>
      <c r="CQ139" s="237" t="s">
        <v>231</v>
      </c>
      <c r="CR139" s="237" t="s">
        <v>231</v>
      </c>
      <c r="CS139" s="237" t="s">
        <v>231</v>
      </c>
      <c r="CT139" s="237" t="s">
        <v>492</v>
      </c>
      <c r="CU139" s="237" t="s">
        <v>492</v>
      </c>
      <c r="CV139" s="237" t="s">
        <v>492</v>
      </c>
      <c r="CW139" s="237" t="s">
        <v>231</v>
      </c>
      <c r="CX139" s="237" t="s">
        <v>231</v>
      </c>
      <c r="CY139" s="237" t="s">
        <v>231</v>
      </c>
      <c r="CZ139" s="237" t="s">
        <v>231</v>
      </c>
      <c r="DA139" s="237" t="s">
        <v>231</v>
      </c>
      <c r="DB139" s="237" t="s">
        <v>231</v>
      </c>
      <c r="DC139" s="237" t="s">
        <v>231</v>
      </c>
      <c r="DD139" s="237" t="s">
        <v>231</v>
      </c>
      <c r="DE139" s="237" t="s">
        <v>231</v>
      </c>
      <c r="DF139" s="237" t="s">
        <v>231</v>
      </c>
      <c r="DG139" s="237" t="s">
        <v>231</v>
      </c>
      <c r="DH139" s="237" t="s">
        <v>231</v>
      </c>
      <c r="DI139" s="237" t="s">
        <v>231</v>
      </c>
      <c r="DJ139" s="237" t="s">
        <v>231</v>
      </c>
      <c r="DK139" s="237" t="s">
        <v>231</v>
      </c>
      <c r="DL139" s="237" t="s">
        <v>231</v>
      </c>
      <c r="DM139" s="237" t="s">
        <v>231</v>
      </c>
      <c r="DN139" s="237" t="s">
        <v>231</v>
      </c>
      <c r="DO139" s="237" t="s">
        <v>231</v>
      </c>
      <c r="DP139" s="237" t="s">
        <v>231</v>
      </c>
      <c r="DQ139" s="237" t="s">
        <v>231</v>
      </c>
      <c r="DR139" s="237" t="s">
        <v>231</v>
      </c>
      <c r="DS139" s="237" t="s">
        <v>231</v>
      </c>
      <c r="DT139" s="237" t="s">
        <v>492</v>
      </c>
      <c r="DU139" s="237" t="s">
        <v>231</v>
      </c>
      <c r="DV139" s="237" t="s">
        <v>492</v>
      </c>
      <c r="DW139" s="237" t="s">
        <v>492</v>
      </c>
      <c r="DX139" s="237" t="s">
        <v>492</v>
      </c>
      <c r="DY139" s="237" t="s">
        <v>492</v>
      </c>
      <c r="DZ139" s="237" t="s">
        <v>492</v>
      </c>
      <c r="EA139" s="237" t="s">
        <v>492</v>
      </c>
      <c r="EB139" s="237" t="s">
        <v>492</v>
      </c>
      <c r="EC139" s="237" t="s">
        <v>492</v>
      </c>
      <c r="ED139" s="237" t="s">
        <v>492</v>
      </c>
      <c r="EE139" s="237" t="s">
        <v>492</v>
      </c>
      <c r="EF139" s="237" t="s">
        <v>492</v>
      </c>
      <c r="EG139" s="237" t="s">
        <v>492</v>
      </c>
      <c r="EH139" s="237" t="s">
        <v>492</v>
      </c>
      <c r="EI139" s="237" t="s">
        <v>492</v>
      </c>
      <c r="EJ139" s="237" t="s">
        <v>231</v>
      </c>
      <c r="EK139" s="237" t="s">
        <v>231</v>
      </c>
      <c r="EL139" s="237" t="s">
        <v>231</v>
      </c>
      <c r="EM139" s="237" t="s">
        <v>231</v>
      </c>
      <c r="EN139" s="237" t="s">
        <v>231</v>
      </c>
      <c r="EO139" s="237" t="s">
        <v>231</v>
      </c>
      <c r="EP139" s="237" t="s">
        <v>231</v>
      </c>
      <c r="EQ139" s="237" t="s">
        <v>231</v>
      </c>
      <c r="ER139" s="237" t="s">
        <v>231</v>
      </c>
      <c r="ES139" s="237" t="s">
        <v>231</v>
      </c>
      <c r="ET139" s="237" t="s">
        <v>231</v>
      </c>
      <c r="EU139" s="237" t="s">
        <v>231</v>
      </c>
      <c r="EV139" s="237" t="s">
        <v>231</v>
      </c>
      <c r="EW139" s="237" t="s">
        <v>231</v>
      </c>
      <c r="EX139" s="237" t="s">
        <v>231</v>
      </c>
      <c r="EY139" s="237" t="s">
        <v>231</v>
      </c>
      <c r="EZ139" s="237" t="s">
        <v>231</v>
      </c>
      <c r="FA139" s="237" t="s">
        <v>231</v>
      </c>
      <c r="FB139" s="237" t="s">
        <v>231</v>
      </c>
      <c r="FC139" s="237" t="s">
        <v>231</v>
      </c>
      <c r="FD139" s="237" t="s">
        <v>231</v>
      </c>
      <c r="FE139" s="237" t="s">
        <v>231</v>
      </c>
      <c r="FF139" s="237" t="s">
        <v>492</v>
      </c>
      <c r="FG139" s="237" t="s">
        <v>492</v>
      </c>
      <c r="FH139" s="237" t="s">
        <v>492</v>
      </c>
      <c r="FI139" s="237" t="s">
        <v>492</v>
      </c>
      <c r="FJ139" s="237" t="s">
        <v>492</v>
      </c>
      <c r="FK139" s="237" t="s">
        <v>492</v>
      </c>
      <c r="FL139" s="237" t="s">
        <v>492</v>
      </c>
      <c r="FM139" s="237" t="s">
        <v>231</v>
      </c>
      <c r="FN139" s="237" t="s">
        <v>492</v>
      </c>
      <c r="FO139" s="237" t="s">
        <v>493</v>
      </c>
      <c r="FP139" s="237" t="s">
        <v>492</v>
      </c>
      <c r="FQ139" s="237" t="s">
        <v>231</v>
      </c>
      <c r="FR139" s="237" t="s">
        <v>231</v>
      </c>
      <c r="FS139" s="237" t="s">
        <v>231</v>
      </c>
      <c r="FT139" s="237" t="s">
        <v>231</v>
      </c>
      <c r="FU139" s="237" t="s">
        <v>231</v>
      </c>
      <c r="FV139" s="237" t="s">
        <v>231</v>
      </c>
      <c r="FW139" s="237" t="s">
        <v>231</v>
      </c>
      <c r="FX139" s="237" t="s">
        <v>231</v>
      </c>
      <c r="FY139" s="237" t="s">
        <v>231</v>
      </c>
      <c r="FZ139" s="237" t="s">
        <v>231</v>
      </c>
      <c r="GA139" s="237" t="s">
        <v>231</v>
      </c>
      <c r="GB139" s="237" t="s">
        <v>231</v>
      </c>
      <c r="GC139" s="237" t="s">
        <v>231</v>
      </c>
      <c r="GD139" s="237" t="s">
        <v>231</v>
      </c>
      <c r="GE139" s="237" t="s">
        <v>231</v>
      </c>
      <c r="GF139" s="237" t="s">
        <v>231</v>
      </c>
      <c r="GG139" s="237" t="s">
        <v>231</v>
      </c>
      <c r="GH139" s="237" t="s">
        <v>231</v>
      </c>
      <c r="GI139" s="237" t="s">
        <v>231</v>
      </c>
      <c r="GJ139" s="237" t="s">
        <v>231</v>
      </c>
      <c r="GK139" s="237" t="s">
        <v>231</v>
      </c>
      <c r="GL139" s="237" t="s">
        <v>231</v>
      </c>
      <c r="GM139" s="237" t="s">
        <v>231</v>
      </c>
      <c r="GN139" s="237" t="s">
        <v>231</v>
      </c>
      <c r="GO139" s="237" t="s">
        <v>231</v>
      </c>
      <c r="GP139" s="237" t="s">
        <v>492</v>
      </c>
      <c r="GQ139" s="237" t="s">
        <v>231</v>
      </c>
      <c r="GR139" s="237" t="s">
        <v>231</v>
      </c>
      <c r="GS139" s="237" t="s">
        <v>231</v>
      </c>
      <c r="GT139" s="237" t="s">
        <v>231</v>
      </c>
      <c r="GU139" s="237" t="s">
        <v>231</v>
      </c>
      <c r="GV139" s="237" t="s">
        <v>492</v>
      </c>
      <c r="GW139" s="237" t="s">
        <v>231</v>
      </c>
      <c r="GX139" s="237" t="s">
        <v>231</v>
      </c>
      <c r="GY139" s="237" t="s">
        <v>231</v>
      </c>
      <c r="GZ139" s="237" t="s">
        <v>231</v>
      </c>
      <c r="HA139" s="237" t="s">
        <v>492</v>
      </c>
      <c r="HB139" s="237" t="s">
        <v>231</v>
      </c>
      <c r="HC139" s="237" t="s">
        <v>231</v>
      </c>
      <c r="HD139" s="237" t="s">
        <v>231</v>
      </c>
      <c r="HE139" s="237" t="s">
        <v>492</v>
      </c>
      <c r="HF139" s="237" t="s">
        <v>231</v>
      </c>
      <c r="HG139" s="237" t="s">
        <v>231</v>
      </c>
      <c r="HH139" s="237" t="s">
        <v>231</v>
      </c>
      <c r="HI139" s="237" t="s">
        <v>231</v>
      </c>
      <c r="HJ139" s="237" t="s">
        <v>231</v>
      </c>
      <c r="HK139" s="237" t="s">
        <v>231</v>
      </c>
      <c r="HL139" s="237" t="s">
        <v>231</v>
      </c>
      <c r="HM139" s="237" t="s">
        <v>231</v>
      </c>
      <c r="HN139" s="237" t="s">
        <v>231</v>
      </c>
      <c r="HO139" s="237" t="s">
        <v>231</v>
      </c>
      <c r="HP139" s="237" t="s">
        <v>231</v>
      </c>
      <c r="HQ139" s="237" t="s">
        <v>492</v>
      </c>
      <c r="HR139" s="237" t="s">
        <v>492</v>
      </c>
      <c r="HS139" s="237" t="s">
        <v>492</v>
      </c>
      <c r="HT139" s="237" t="s">
        <v>492</v>
      </c>
      <c r="HU139" s="237" t="s">
        <v>231</v>
      </c>
      <c r="HV139" s="237" t="s">
        <v>231</v>
      </c>
      <c r="HW139" s="237" t="s">
        <v>231</v>
      </c>
      <c r="HX139" s="237" t="s">
        <v>231</v>
      </c>
      <c r="HY139" s="237" t="s">
        <v>231</v>
      </c>
      <c r="HZ139" s="237" t="s">
        <v>231</v>
      </c>
      <c r="IA139" s="237" t="s">
        <v>231</v>
      </c>
      <c r="IB139" s="237" t="s">
        <v>231</v>
      </c>
      <c r="IC139" s="237" t="s">
        <v>231</v>
      </c>
      <c r="ID139" s="237" t="s">
        <v>231</v>
      </c>
      <c r="IE139" s="237" t="s">
        <v>231</v>
      </c>
      <c r="IF139" s="237" t="s">
        <v>231</v>
      </c>
      <c r="IG139" s="237" t="s">
        <v>231</v>
      </c>
      <c r="IH139" s="237" t="s">
        <v>231</v>
      </c>
      <c r="II139" s="237" t="s">
        <v>231</v>
      </c>
      <c r="IJ139" s="237" t="s">
        <v>231</v>
      </c>
      <c r="IK139" s="237" t="s">
        <v>231</v>
      </c>
      <c r="IL139" s="237" t="s">
        <v>231</v>
      </c>
      <c r="IM139" s="237" t="s">
        <v>231</v>
      </c>
      <c r="IN139" s="237" t="s">
        <v>231</v>
      </c>
      <c r="IO139" s="237" t="s">
        <v>220</v>
      </c>
      <c r="IP139" s="237" t="s">
        <v>493</v>
      </c>
      <c r="IQ139" s="237" t="s">
        <v>219</v>
      </c>
      <c r="IR139" s="237" t="s">
        <v>490</v>
      </c>
      <c r="IS139" s="237" t="s">
        <v>492</v>
      </c>
      <c r="IT139" s="237" t="s">
        <v>492</v>
      </c>
    </row>
    <row r="140" spans="1:254" ht="15" x14ac:dyDescent="0.25">
      <c r="A140" s="259" t="str">
        <f>HYPERLINK("http://www.ofsted.gov.uk/inspection-reports/find-inspection-report/provider/ELS/113014 ","Ofsted School Webpage")</f>
        <v>Ofsted School Webpage</v>
      </c>
      <c r="B140" s="240">
        <v>113014</v>
      </c>
      <c r="C140" s="240">
        <v>8306010</v>
      </c>
      <c r="D140" s="240" t="s">
        <v>859</v>
      </c>
      <c r="E140" s="240" t="s">
        <v>247</v>
      </c>
      <c r="F140" s="240" t="s">
        <v>482</v>
      </c>
      <c r="G140" s="240" t="s">
        <v>572</v>
      </c>
      <c r="H140" s="240" t="s">
        <v>572</v>
      </c>
      <c r="I140" s="240" t="s">
        <v>573</v>
      </c>
      <c r="J140" s="240" t="s">
        <v>860</v>
      </c>
      <c r="K140" s="240" t="s">
        <v>93</v>
      </c>
      <c r="L140" s="240" t="s">
        <v>93</v>
      </c>
      <c r="M140" s="240" t="s">
        <v>93</v>
      </c>
      <c r="N140" s="240" t="s">
        <v>90</v>
      </c>
      <c r="O140" s="240" t="s">
        <v>486</v>
      </c>
      <c r="P140" s="240" t="s">
        <v>487</v>
      </c>
      <c r="Q140" s="241">
        <v>10085186</v>
      </c>
      <c r="R140" s="242">
        <v>43438</v>
      </c>
      <c r="S140" s="242">
        <v>43440</v>
      </c>
      <c r="T140" s="242">
        <v>43507</v>
      </c>
      <c r="U140" s="240" t="s">
        <v>488</v>
      </c>
      <c r="V140" s="240" t="s">
        <v>489</v>
      </c>
      <c r="W140" s="240">
        <v>4</v>
      </c>
      <c r="X140" s="240">
        <v>4</v>
      </c>
      <c r="Y140" s="240">
        <v>4</v>
      </c>
      <c r="Z140" s="240">
        <v>4</v>
      </c>
      <c r="AA140" s="240">
        <v>4</v>
      </c>
      <c r="AB140" s="240">
        <v>4</v>
      </c>
      <c r="AC140" s="240" t="s">
        <v>486</v>
      </c>
      <c r="AD140" s="240" t="s">
        <v>220</v>
      </c>
      <c r="AE140" s="240" t="s">
        <v>490</v>
      </c>
      <c r="AF140" s="240" t="s">
        <v>486</v>
      </c>
      <c r="AG140" s="240" t="s">
        <v>486</v>
      </c>
      <c r="AH140" s="240" t="s">
        <v>486</v>
      </c>
      <c r="AI140" s="240" t="s">
        <v>486</v>
      </c>
      <c r="AJ140" s="240" t="s">
        <v>486</v>
      </c>
      <c r="AK140" s="240" t="s">
        <v>486</v>
      </c>
      <c r="AL140" s="240" t="s">
        <v>486</v>
      </c>
      <c r="AM140" s="240" t="s">
        <v>545</v>
      </c>
      <c r="AN140" s="240" t="s">
        <v>546</v>
      </c>
      <c r="AO140" s="240" t="s">
        <v>546</v>
      </c>
      <c r="AP140" s="240" t="s">
        <v>546</v>
      </c>
      <c r="AQ140" s="240" t="s">
        <v>546</v>
      </c>
      <c r="AR140" s="240" t="s">
        <v>546</v>
      </c>
      <c r="AS140" s="240" t="s">
        <v>546</v>
      </c>
      <c r="AT140" s="240" t="s">
        <v>546</v>
      </c>
      <c r="AU140" s="240" t="s">
        <v>546</v>
      </c>
      <c r="AV140" s="240" t="s">
        <v>232</v>
      </c>
      <c r="AW140" s="240" t="s">
        <v>232</v>
      </c>
      <c r="AX140" s="240" t="s">
        <v>232</v>
      </c>
      <c r="AY140" s="240" t="s">
        <v>232</v>
      </c>
      <c r="AZ140" s="240" t="s">
        <v>231</v>
      </c>
      <c r="BA140" s="240" t="s">
        <v>232</v>
      </c>
      <c r="BB140" s="240" t="s">
        <v>231</v>
      </c>
      <c r="BC140" s="240" t="s">
        <v>231</v>
      </c>
      <c r="BD140" s="240" t="s">
        <v>492</v>
      </c>
      <c r="BE140" s="240" t="s">
        <v>232</v>
      </c>
      <c r="BF140" s="240" t="s">
        <v>231</v>
      </c>
      <c r="BG140" s="240" t="s">
        <v>232</v>
      </c>
      <c r="BH140" s="240" t="s">
        <v>231</v>
      </c>
      <c r="BI140" s="240" t="s">
        <v>231</v>
      </c>
      <c r="BJ140" s="240" t="s">
        <v>231</v>
      </c>
      <c r="BK140" s="240" t="s">
        <v>231</v>
      </c>
      <c r="BL140" s="240" t="s">
        <v>492</v>
      </c>
      <c r="BM140" s="240" t="s">
        <v>492</v>
      </c>
      <c r="BN140" s="240" t="s">
        <v>232</v>
      </c>
      <c r="BO140" s="240" t="s">
        <v>232</v>
      </c>
      <c r="BP140" s="240" t="s">
        <v>232</v>
      </c>
      <c r="BQ140" s="240" t="s">
        <v>232</v>
      </c>
      <c r="BR140" s="240" t="s">
        <v>231</v>
      </c>
      <c r="BS140" s="240" t="s">
        <v>232</v>
      </c>
      <c r="BT140" s="240" t="s">
        <v>232</v>
      </c>
      <c r="BU140" s="240" t="s">
        <v>232</v>
      </c>
      <c r="BV140" s="240" t="s">
        <v>232</v>
      </c>
      <c r="BW140" s="240" t="s">
        <v>232</v>
      </c>
      <c r="BX140" s="240" t="s">
        <v>231</v>
      </c>
      <c r="BY140" s="240" t="s">
        <v>231</v>
      </c>
      <c r="BZ140" s="240" t="s">
        <v>232</v>
      </c>
      <c r="CA140" s="240" t="s">
        <v>232</v>
      </c>
      <c r="CB140" s="240" t="s">
        <v>232</v>
      </c>
      <c r="CC140" s="240" t="s">
        <v>232</v>
      </c>
      <c r="CD140" s="240" t="s">
        <v>232</v>
      </c>
      <c r="CE140" s="240" t="s">
        <v>231</v>
      </c>
      <c r="CF140" s="240" t="s">
        <v>231</v>
      </c>
      <c r="CG140" s="240" t="s">
        <v>231</v>
      </c>
      <c r="CH140" s="240" t="s">
        <v>231</v>
      </c>
      <c r="CI140" s="240" t="s">
        <v>232</v>
      </c>
      <c r="CJ140" s="240" t="s">
        <v>232</v>
      </c>
      <c r="CK140" s="240" t="s">
        <v>231</v>
      </c>
      <c r="CL140" s="240" t="s">
        <v>231</v>
      </c>
      <c r="CM140" s="240" t="s">
        <v>231</v>
      </c>
      <c r="CN140" s="240" t="s">
        <v>231</v>
      </c>
      <c r="CO140" s="240" t="s">
        <v>231</v>
      </c>
      <c r="CP140" s="240" t="s">
        <v>231</v>
      </c>
      <c r="CQ140" s="240" t="s">
        <v>232</v>
      </c>
      <c r="CR140" s="240" t="s">
        <v>232</v>
      </c>
      <c r="CS140" s="240" t="s">
        <v>232</v>
      </c>
      <c r="CT140" s="240" t="s">
        <v>492</v>
      </c>
      <c r="CU140" s="240" t="s">
        <v>492</v>
      </c>
      <c r="CV140" s="240" t="s">
        <v>492</v>
      </c>
      <c r="CW140" s="240" t="s">
        <v>231</v>
      </c>
      <c r="CX140" s="240" t="s">
        <v>231</v>
      </c>
      <c r="CY140" s="240" t="s">
        <v>231</v>
      </c>
      <c r="CZ140" s="240" t="s">
        <v>231</v>
      </c>
      <c r="DA140" s="240" t="s">
        <v>231</v>
      </c>
      <c r="DB140" s="240" t="s">
        <v>232</v>
      </c>
      <c r="DC140" s="240" t="s">
        <v>232</v>
      </c>
      <c r="DD140" s="240" t="s">
        <v>231</v>
      </c>
      <c r="DE140" s="240" t="s">
        <v>232</v>
      </c>
      <c r="DF140" s="240" t="s">
        <v>232</v>
      </c>
      <c r="DG140" s="240" t="s">
        <v>232</v>
      </c>
      <c r="DH140" s="240" t="s">
        <v>232</v>
      </c>
      <c r="DI140" s="240" t="s">
        <v>232</v>
      </c>
      <c r="DJ140" s="240" t="s">
        <v>231</v>
      </c>
      <c r="DK140" s="240" t="s">
        <v>231</v>
      </c>
      <c r="DL140" s="240" t="s">
        <v>231</v>
      </c>
      <c r="DM140" s="240" t="s">
        <v>231</v>
      </c>
      <c r="DN140" s="240" t="s">
        <v>231</v>
      </c>
      <c r="DO140" s="240" t="s">
        <v>231</v>
      </c>
      <c r="DP140" s="240" t="s">
        <v>231</v>
      </c>
      <c r="DQ140" s="240" t="s">
        <v>231</v>
      </c>
      <c r="DR140" s="240" t="s">
        <v>231</v>
      </c>
      <c r="DS140" s="240" t="s">
        <v>231</v>
      </c>
      <c r="DT140" s="240" t="s">
        <v>492</v>
      </c>
      <c r="DU140" s="240" t="s">
        <v>231</v>
      </c>
      <c r="DV140" s="240" t="s">
        <v>232</v>
      </c>
      <c r="DW140" s="240" t="s">
        <v>232</v>
      </c>
      <c r="DX140" s="240" t="s">
        <v>232</v>
      </c>
      <c r="DY140" s="240" t="s">
        <v>231</v>
      </c>
      <c r="DZ140" s="240" t="s">
        <v>231</v>
      </c>
      <c r="EA140" s="240" t="s">
        <v>232</v>
      </c>
      <c r="EB140" s="240" t="s">
        <v>231</v>
      </c>
      <c r="EC140" s="240" t="s">
        <v>231</v>
      </c>
      <c r="ED140" s="240" t="s">
        <v>231</v>
      </c>
      <c r="EE140" s="240" t="s">
        <v>232</v>
      </c>
      <c r="EF140" s="240" t="s">
        <v>231</v>
      </c>
      <c r="EG140" s="240" t="s">
        <v>232</v>
      </c>
      <c r="EH140" s="240" t="s">
        <v>492</v>
      </c>
      <c r="EI140" s="240" t="s">
        <v>231</v>
      </c>
      <c r="EJ140" s="240" t="s">
        <v>232</v>
      </c>
      <c r="EK140" s="240" t="s">
        <v>231</v>
      </c>
      <c r="EL140" s="240" t="s">
        <v>231</v>
      </c>
      <c r="EM140" s="240" t="s">
        <v>231</v>
      </c>
      <c r="EN140" s="240" t="s">
        <v>232</v>
      </c>
      <c r="EO140" s="240" t="s">
        <v>231</v>
      </c>
      <c r="EP140" s="240" t="s">
        <v>232</v>
      </c>
      <c r="EQ140" s="240" t="s">
        <v>232</v>
      </c>
      <c r="ER140" s="240" t="s">
        <v>492</v>
      </c>
      <c r="ES140" s="240" t="s">
        <v>232</v>
      </c>
      <c r="ET140" s="240" t="s">
        <v>232</v>
      </c>
      <c r="EU140" s="240" t="s">
        <v>231</v>
      </c>
      <c r="EV140" s="240" t="s">
        <v>231</v>
      </c>
      <c r="EW140" s="240" t="s">
        <v>231</v>
      </c>
      <c r="EX140" s="240" t="s">
        <v>231</v>
      </c>
      <c r="EY140" s="240" t="s">
        <v>231</v>
      </c>
      <c r="EZ140" s="240" t="s">
        <v>231</v>
      </c>
      <c r="FA140" s="240" t="s">
        <v>231</v>
      </c>
      <c r="FB140" s="240" t="s">
        <v>231</v>
      </c>
      <c r="FC140" s="240" t="s">
        <v>231</v>
      </c>
      <c r="FD140" s="240" t="s">
        <v>231</v>
      </c>
      <c r="FE140" s="240" t="s">
        <v>231</v>
      </c>
      <c r="FF140" s="240" t="s">
        <v>231</v>
      </c>
      <c r="FG140" s="240" t="s">
        <v>232</v>
      </c>
      <c r="FH140" s="240" t="s">
        <v>231</v>
      </c>
      <c r="FI140" s="240" t="s">
        <v>231</v>
      </c>
      <c r="FJ140" s="240" t="s">
        <v>231</v>
      </c>
      <c r="FK140" s="240" t="s">
        <v>492</v>
      </c>
      <c r="FL140" s="240" t="s">
        <v>232</v>
      </c>
      <c r="FM140" s="240" t="s">
        <v>232</v>
      </c>
      <c r="FN140" s="240" t="s">
        <v>492</v>
      </c>
      <c r="FO140" s="240" t="s">
        <v>493</v>
      </c>
      <c r="FP140" s="240" t="s">
        <v>492</v>
      </c>
      <c r="FQ140" s="240" t="s">
        <v>232</v>
      </c>
      <c r="FR140" s="240" t="s">
        <v>232</v>
      </c>
      <c r="FS140" s="240" t="s">
        <v>231</v>
      </c>
      <c r="FT140" s="240" t="s">
        <v>232</v>
      </c>
      <c r="FU140" s="240" t="s">
        <v>232</v>
      </c>
      <c r="FV140" s="240" t="s">
        <v>231</v>
      </c>
      <c r="FW140" s="240" t="s">
        <v>232</v>
      </c>
      <c r="FX140" s="240" t="s">
        <v>492</v>
      </c>
      <c r="FY140" s="240" t="s">
        <v>492</v>
      </c>
      <c r="FZ140" s="240" t="s">
        <v>232</v>
      </c>
      <c r="GA140" s="240" t="s">
        <v>231</v>
      </c>
      <c r="GB140" s="240" t="s">
        <v>231</v>
      </c>
      <c r="GC140" s="240" t="s">
        <v>231</v>
      </c>
      <c r="GD140" s="240" t="s">
        <v>231</v>
      </c>
      <c r="GE140" s="240" t="s">
        <v>232</v>
      </c>
      <c r="GF140" s="240" t="s">
        <v>231</v>
      </c>
      <c r="GG140" s="240" t="s">
        <v>232</v>
      </c>
      <c r="GH140" s="240" t="s">
        <v>231</v>
      </c>
      <c r="GI140" s="240" t="s">
        <v>232</v>
      </c>
      <c r="GJ140" s="240" t="s">
        <v>231</v>
      </c>
      <c r="GK140" s="240" t="s">
        <v>231</v>
      </c>
      <c r="GL140" s="240" t="s">
        <v>231</v>
      </c>
      <c r="GM140" s="240" t="s">
        <v>231</v>
      </c>
      <c r="GN140" s="240" t="s">
        <v>231</v>
      </c>
      <c r="GO140" s="240" t="s">
        <v>231</v>
      </c>
      <c r="GP140" s="240" t="s">
        <v>492</v>
      </c>
      <c r="GQ140" s="240" t="s">
        <v>232</v>
      </c>
      <c r="GR140" s="240" t="s">
        <v>231</v>
      </c>
      <c r="GS140" s="240" t="s">
        <v>232</v>
      </c>
      <c r="GT140" s="240" t="s">
        <v>231</v>
      </c>
      <c r="GU140" s="240" t="s">
        <v>231</v>
      </c>
      <c r="GV140" s="240" t="s">
        <v>492</v>
      </c>
      <c r="GW140" s="240" t="s">
        <v>231</v>
      </c>
      <c r="GX140" s="240" t="s">
        <v>231</v>
      </c>
      <c r="GY140" s="240" t="s">
        <v>492</v>
      </c>
      <c r="GZ140" s="240" t="s">
        <v>492</v>
      </c>
      <c r="HA140" s="240" t="s">
        <v>492</v>
      </c>
      <c r="HB140" s="240" t="s">
        <v>231</v>
      </c>
      <c r="HC140" s="240" t="s">
        <v>231</v>
      </c>
      <c r="HD140" s="240" t="s">
        <v>231</v>
      </c>
      <c r="HE140" s="240" t="s">
        <v>492</v>
      </c>
      <c r="HF140" s="240" t="s">
        <v>231</v>
      </c>
      <c r="HG140" s="240" t="s">
        <v>231</v>
      </c>
      <c r="HH140" s="240" t="s">
        <v>231</v>
      </c>
      <c r="HI140" s="240" t="s">
        <v>232</v>
      </c>
      <c r="HJ140" s="240" t="s">
        <v>231</v>
      </c>
      <c r="HK140" s="240" t="s">
        <v>231</v>
      </c>
      <c r="HL140" s="240" t="s">
        <v>231</v>
      </c>
      <c r="HM140" s="240" t="s">
        <v>231</v>
      </c>
      <c r="HN140" s="240" t="s">
        <v>231</v>
      </c>
      <c r="HO140" s="240" t="s">
        <v>232</v>
      </c>
      <c r="HP140" s="240" t="s">
        <v>231</v>
      </c>
      <c r="HQ140" s="240" t="s">
        <v>492</v>
      </c>
      <c r="HR140" s="240" t="s">
        <v>492</v>
      </c>
      <c r="HS140" s="240" t="s">
        <v>492</v>
      </c>
      <c r="HT140" s="240" t="s">
        <v>492</v>
      </c>
      <c r="HU140" s="240" t="s">
        <v>232</v>
      </c>
      <c r="HV140" s="240" t="s">
        <v>231</v>
      </c>
      <c r="HW140" s="240" t="s">
        <v>231</v>
      </c>
      <c r="HX140" s="240" t="s">
        <v>231</v>
      </c>
      <c r="HY140" s="240" t="s">
        <v>231</v>
      </c>
      <c r="HZ140" s="240" t="s">
        <v>231</v>
      </c>
      <c r="IA140" s="240" t="s">
        <v>232</v>
      </c>
      <c r="IB140" s="240" t="s">
        <v>231</v>
      </c>
      <c r="IC140" s="240" t="s">
        <v>231</v>
      </c>
      <c r="ID140" s="240" t="s">
        <v>232</v>
      </c>
      <c r="IE140" s="240" t="s">
        <v>231</v>
      </c>
      <c r="IF140" s="240" t="s">
        <v>232</v>
      </c>
      <c r="IG140" s="240" t="s">
        <v>232</v>
      </c>
      <c r="IH140" s="240" t="s">
        <v>232</v>
      </c>
      <c r="II140" s="240" t="s">
        <v>232</v>
      </c>
      <c r="IJ140" s="240" t="s">
        <v>232</v>
      </c>
      <c r="IK140" s="240" t="s">
        <v>232</v>
      </c>
      <c r="IL140" s="240" t="s">
        <v>232</v>
      </c>
      <c r="IM140" s="240" t="s">
        <v>232</v>
      </c>
      <c r="IN140" s="240" t="s">
        <v>232</v>
      </c>
      <c r="IO140" s="240" t="s">
        <v>220</v>
      </c>
      <c r="IP140" s="240" t="s">
        <v>493</v>
      </c>
      <c r="IQ140" s="240" t="s">
        <v>220</v>
      </c>
      <c r="IR140" s="240" t="s">
        <v>512</v>
      </c>
      <c r="IS140" s="240" t="s">
        <v>232</v>
      </c>
      <c r="IT140" s="240" t="s">
        <v>492</v>
      </c>
    </row>
    <row r="141" spans="1:254" ht="15" x14ac:dyDescent="0.25">
      <c r="A141" s="258" t="str">
        <f>HYPERLINK("http://www.ofsted.gov.uk/inspection-reports/find-inspection-report/provider/ELS/100376 ","Ofsted School Webpage")</f>
        <v>Ofsted School Webpage</v>
      </c>
      <c r="B141" s="237">
        <v>100376</v>
      </c>
      <c r="C141" s="237">
        <v>2056387</v>
      </c>
      <c r="D141" s="237" t="s">
        <v>861</v>
      </c>
      <c r="E141" s="237" t="s">
        <v>247</v>
      </c>
      <c r="F141" s="237" t="s">
        <v>482</v>
      </c>
      <c r="G141" s="237" t="s">
        <v>506</v>
      </c>
      <c r="H141" s="237" t="s">
        <v>506</v>
      </c>
      <c r="I141" s="237" t="s">
        <v>862</v>
      </c>
      <c r="J141" s="237" t="s">
        <v>863</v>
      </c>
      <c r="K141" s="237" t="s">
        <v>93</v>
      </c>
      <c r="L141" s="237" t="s">
        <v>93</v>
      </c>
      <c r="M141" s="237" t="s">
        <v>93</v>
      </c>
      <c r="N141" s="237" t="s">
        <v>90</v>
      </c>
      <c r="O141" s="237" t="s">
        <v>486</v>
      </c>
      <c r="P141" s="237" t="s">
        <v>487</v>
      </c>
      <c r="Q141" s="238">
        <v>10055373</v>
      </c>
      <c r="R141" s="239">
        <v>43445</v>
      </c>
      <c r="S141" s="239">
        <v>43447</v>
      </c>
      <c r="T141" s="239">
        <v>43482</v>
      </c>
      <c r="U141" s="237" t="s">
        <v>488</v>
      </c>
      <c r="V141" s="237" t="s">
        <v>489</v>
      </c>
      <c r="W141" s="237">
        <v>2</v>
      </c>
      <c r="X141" s="237">
        <v>2</v>
      </c>
      <c r="Y141" s="237">
        <v>2</v>
      </c>
      <c r="Z141" s="237">
        <v>2</v>
      </c>
      <c r="AA141" s="237">
        <v>2</v>
      </c>
      <c r="AB141" s="237">
        <v>2</v>
      </c>
      <c r="AC141" s="237" t="s">
        <v>486</v>
      </c>
      <c r="AD141" s="237" t="s">
        <v>219</v>
      </c>
      <c r="AE141" s="237" t="s">
        <v>490</v>
      </c>
      <c r="AF141" s="237" t="s">
        <v>486</v>
      </c>
      <c r="AG141" s="237" t="s">
        <v>486</v>
      </c>
      <c r="AH141" s="237" t="s">
        <v>486</v>
      </c>
      <c r="AI141" s="237" t="s">
        <v>486</v>
      </c>
      <c r="AJ141" s="237" t="s">
        <v>486</v>
      </c>
      <c r="AK141" s="237" t="s">
        <v>486</v>
      </c>
      <c r="AL141" s="237" t="s">
        <v>486</v>
      </c>
      <c r="AM141" s="237" t="s">
        <v>491</v>
      </c>
      <c r="AN141" s="237" t="s">
        <v>231</v>
      </c>
      <c r="AO141" s="237" t="s">
        <v>231</v>
      </c>
      <c r="AP141" s="237" t="s">
        <v>231</v>
      </c>
      <c r="AQ141" s="237" t="s">
        <v>231</v>
      </c>
      <c r="AR141" s="237" t="s">
        <v>231</v>
      </c>
      <c r="AS141" s="237" t="s">
        <v>231</v>
      </c>
      <c r="AT141" s="237" t="s">
        <v>231</v>
      </c>
      <c r="AU141" s="237" t="s">
        <v>231</v>
      </c>
      <c r="AV141" s="237" t="s">
        <v>231</v>
      </c>
      <c r="AW141" s="237" t="s">
        <v>231</v>
      </c>
      <c r="AX141" s="237" t="s">
        <v>231</v>
      </c>
      <c r="AY141" s="237" t="s">
        <v>231</v>
      </c>
      <c r="AZ141" s="237" t="s">
        <v>231</v>
      </c>
      <c r="BA141" s="237" t="s">
        <v>231</v>
      </c>
      <c r="BB141" s="237" t="s">
        <v>231</v>
      </c>
      <c r="BC141" s="237" t="s">
        <v>231</v>
      </c>
      <c r="BD141" s="237" t="s">
        <v>231</v>
      </c>
      <c r="BE141" s="237" t="s">
        <v>231</v>
      </c>
      <c r="BF141" s="237" t="s">
        <v>231</v>
      </c>
      <c r="BG141" s="237" t="s">
        <v>231</v>
      </c>
      <c r="BH141" s="237" t="s">
        <v>492</v>
      </c>
      <c r="BI141" s="237" t="s">
        <v>492</v>
      </c>
      <c r="BJ141" s="237" t="s">
        <v>492</v>
      </c>
      <c r="BK141" s="237" t="s">
        <v>492</v>
      </c>
      <c r="BL141" s="237" t="s">
        <v>231</v>
      </c>
      <c r="BM141" s="237" t="s">
        <v>492</v>
      </c>
      <c r="BN141" s="237" t="s">
        <v>231</v>
      </c>
      <c r="BO141" s="237" t="s">
        <v>231</v>
      </c>
      <c r="BP141" s="237" t="s">
        <v>231</v>
      </c>
      <c r="BQ141" s="237" t="s">
        <v>231</v>
      </c>
      <c r="BR141" s="237" t="s">
        <v>231</v>
      </c>
      <c r="BS141" s="237" t="s">
        <v>231</v>
      </c>
      <c r="BT141" s="237" t="s">
        <v>231</v>
      </c>
      <c r="BU141" s="237" t="s">
        <v>231</v>
      </c>
      <c r="BV141" s="237" t="s">
        <v>231</v>
      </c>
      <c r="BW141" s="237" t="s">
        <v>231</v>
      </c>
      <c r="BX141" s="237" t="s">
        <v>231</v>
      </c>
      <c r="BY141" s="237" t="s">
        <v>231</v>
      </c>
      <c r="BZ141" s="237" t="s">
        <v>231</v>
      </c>
      <c r="CA141" s="237" t="s">
        <v>231</v>
      </c>
      <c r="CB141" s="237" t="s">
        <v>231</v>
      </c>
      <c r="CC141" s="237" t="s">
        <v>231</v>
      </c>
      <c r="CD141" s="237" t="s">
        <v>231</v>
      </c>
      <c r="CE141" s="237" t="s">
        <v>231</v>
      </c>
      <c r="CF141" s="237" t="s">
        <v>231</v>
      </c>
      <c r="CG141" s="237" t="s">
        <v>231</v>
      </c>
      <c r="CH141" s="237" t="s">
        <v>231</v>
      </c>
      <c r="CI141" s="237" t="s">
        <v>231</v>
      </c>
      <c r="CJ141" s="237" t="s">
        <v>231</v>
      </c>
      <c r="CK141" s="237" t="s">
        <v>231</v>
      </c>
      <c r="CL141" s="237" t="s">
        <v>231</v>
      </c>
      <c r="CM141" s="237" t="s">
        <v>231</v>
      </c>
      <c r="CN141" s="237" t="s">
        <v>231</v>
      </c>
      <c r="CO141" s="237" t="s">
        <v>231</v>
      </c>
      <c r="CP141" s="237" t="s">
        <v>231</v>
      </c>
      <c r="CQ141" s="237" t="s">
        <v>231</v>
      </c>
      <c r="CR141" s="237" t="s">
        <v>231</v>
      </c>
      <c r="CS141" s="237" t="s">
        <v>231</v>
      </c>
      <c r="CT141" s="237" t="s">
        <v>492</v>
      </c>
      <c r="CU141" s="237" t="s">
        <v>492</v>
      </c>
      <c r="CV141" s="237" t="s">
        <v>492</v>
      </c>
      <c r="CW141" s="237" t="s">
        <v>231</v>
      </c>
      <c r="CX141" s="237" t="s">
        <v>231</v>
      </c>
      <c r="CY141" s="237" t="s">
        <v>231</v>
      </c>
      <c r="CZ141" s="237" t="s">
        <v>231</v>
      </c>
      <c r="DA141" s="237" t="s">
        <v>231</v>
      </c>
      <c r="DB141" s="237" t="s">
        <v>231</v>
      </c>
      <c r="DC141" s="237" t="s">
        <v>231</v>
      </c>
      <c r="DD141" s="237" t="s">
        <v>231</v>
      </c>
      <c r="DE141" s="237" t="s">
        <v>231</v>
      </c>
      <c r="DF141" s="237" t="s">
        <v>231</v>
      </c>
      <c r="DG141" s="237" t="s">
        <v>231</v>
      </c>
      <c r="DH141" s="237" t="s">
        <v>231</v>
      </c>
      <c r="DI141" s="237" t="s">
        <v>231</v>
      </c>
      <c r="DJ141" s="237" t="s">
        <v>231</v>
      </c>
      <c r="DK141" s="237" t="s">
        <v>231</v>
      </c>
      <c r="DL141" s="237" t="s">
        <v>231</v>
      </c>
      <c r="DM141" s="237" t="s">
        <v>231</v>
      </c>
      <c r="DN141" s="237" t="s">
        <v>231</v>
      </c>
      <c r="DO141" s="237" t="s">
        <v>231</v>
      </c>
      <c r="DP141" s="237" t="s">
        <v>231</v>
      </c>
      <c r="DQ141" s="237" t="s">
        <v>231</v>
      </c>
      <c r="DR141" s="237" t="s">
        <v>231</v>
      </c>
      <c r="DS141" s="237" t="s">
        <v>231</v>
      </c>
      <c r="DT141" s="237" t="s">
        <v>492</v>
      </c>
      <c r="DU141" s="237" t="s">
        <v>231</v>
      </c>
      <c r="DV141" s="237" t="s">
        <v>492</v>
      </c>
      <c r="DW141" s="237" t="s">
        <v>492</v>
      </c>
      <c r="DX141" s="237" t="s">
        <v>492</v>
      </c>
      <c r="DY141" s="237" t="s">
        <v>492</v>
      </c>
      <c r="DZ141" s="237" t="s">
        <v>492</v>
      </c>
      <c r="EA141" s="237" t="s">
        <v>492</v>
      </c>
      <c r="EB141" s="237" t="s">
        <v>492</v>
      </c>
      <c r="EC141" s="237" t="s">
        <v>492</v>
      </c>
      <c r="ED141" s="237" t="s">
        <v>492</v>
      </c>
      <c r="EE141" s="237" t="s">
        <v>492</v>
      </c>
      <c r="EF141" s="237" t="s">
        <v>492</v>
      </c>
      <c r="EG141" s="237" t="s">
        <v>492</v>
      </c>
      <c r="EH141" s="237" t="s">
        <v>492</v>
      </c>
      <c r="EI141" s="237" t="s">
        <v>492</v>
      </c>
      <c r="EJ141" s="237" t="s">
        <v>231</v>
      </c>
      <c r="EK141" s="237" t="s">
        <v>231</v>
      </c>
      <c r="EL141" s="237" t="s">
        <v>231</v>
      </c>
      <c r="EM141" s="237" t="s">
        <v>231</v>
      </c>
      <c r="EN141" s="237" t="s">
        <v>231</v>
      </c>
      <c r="EO141" s="237" t="s">
        <v>231</v>
      </c>
      <c r="EP141" s="237" t="s">
        <v>231</v>
      </c>
      <c r="EQ141" s="237" t="s">
        <v>492</v>
      </c>
      <c r="ER141" s="237" t="s">
        <v>492</v>
      </c>
      <c r="ES141" s="237" t="s">
        <v>231</v>
      </c>
      <c r="ET141" s="237" t="s">
        <v>231</v>
      </c>
      <c r="EU141" s="237" t="s">
        <v>231</v>
      </c>
      <c r="EV141" s="237" t="s">
        <v>231</v>
      </c>
      <c r="EW141" s="237" t="s">
        <v>231</v>
      </c>
      <c r="EX141" s="237" t="s">
        <v>231</v>
      </c>
      <c r="EY141" s="237" t="s">
        <v>231</v>
      </c>
      <c r="EZ141" s="237" t="s">
        <v>231</v>
      </c>
      <c r="FA141" s="237" t="s">
        <v>231</v>
      </c>
      <c r="FB141" s="237" t="s">
        <v>231</v>
      </c>
      <c r="FC141" s="237" t="s">
        <v>231</v>
      </c>
      <c r="FD141" s="237" t="s">
        <v>231</v>
      </c>
      <c r="FE141" s="237" t="s">
        <v>231</v>
      </c>
      <c r="FF141" s="237" t="s">
        <v>231</v>
      </c>
      <c r="FG141" s="237" t="s">
        <v>492</v>
      </c>
      <c r="FH141" s="237" t="s">
        <v>492</v>
      </c>
      <c r="FI141" s="237" t="s">
        <v>492</v>
      </c>
      <c r="FJ141" s="237" t="s">
        <v>492</v>
      </c>
      <c r="FK141" s="237" t="s">
        <v>492</v>
      </c>
      <c r="FL141" s="237" t="s">
        <v>492</v>
      </c>
      <c r="FM141" s="237" t="s">
        <v>231</v>
      </c>
      <c r="FN141" s="237" t="s">
        <v>231</v>
      </c>
      <c r="FO141" s="237" t="s">
        <v>231</v>
      </c>
      <c r="FP141" s="237" t="s">
        <v>231</v>
      </c>
      <c r="FQ141" s="237" t="s">
        <v>231</v>
      </c>
      <c r="FR141" s="237" t="s">
        <v>231</v>
      </c>
      <c r="FS141" s="237" t="s">
        <v>492</v>
      </c>
      <c r="FT141" s="237" t="s">
        <v>492</v>
      </c>
      <c r="FU141" s="237" t="s">
        <v>231</v>
      </c>
      <c r="FV141" s="237" t="s">
        <v>231</v>
      </c>
      <c r="FW141" s="237" t="s">
        <v>231</v>
      </c>
      <c r="FX141" s="237" t="s">
        <v>492</v>
      </c>
      <c r="FY141" s="237" t="s">
        <v>231</v>
      </c>
      <c r="FZ141" s="237" t="s">
        <v>231</v>
      </c>
      <c r="GA141" s="237" t="s">
        <v>231</v>
      </c>
      <c r="GB141" s="237" t="s">
        <v>231</v>
      </c>
      <c r="GC141" s="237" t="s">
        <v>231</v>
      </c>
      <c r="GD141" s="237" t="s">
        <v>231</v>
      </c>
      <c r="GE141" s="237" t="s">
        <v>231</v>
      </c>
      <c r="GF141" s="237" t="s">
        <v>231</v>
      </c>
      <c r="GG141" s="237" t="s">
        <v>231</v>
      </c>
      <c r="GH141" s="237" t="s">
        <v>231</v>
      </c>
      <c r="GI141" s="237" t="s">
        <v>231</v>
      </c>
      <c r="GJ141" s="237" t="s">
        <v>231</v>
      </c>
      <c r="GK141" s="237" t="s">
        <v>231</v>
      </c>
      <c r="GL141" s="237" t="s">
        <v>231</v>
      </c>
      <c r="GM141" s="237" t="s">
        <v>231</v>
      </c>
      <c r="GN141" s="237" t="s">
        <v>231</v>
      </c>
      <c r="GO141" s="237" t="s">
        <v>231</v>
      </c>
      <c r="GP141" s="237" t="s">
        <v>492</v>
      </c>
      <c r="GQ141" s="237" t="s">
        <v>231</v>
      </c>
      <c r="GR141" s="237" t="s">
        <v>231</v>
      </c>
      <c r="GS141" s="237" t="s">
        <v>231</v>
      </c>
      <c r="GT141" s="237" t="s">
        <v>231</v>
      </c>
      <c r="GU141" s="237" t="s">
        <v>231</v>
      </c>
      <c r="GV141" s="237" t="s">
        <v>492</v>
      </c>
      <c r="GW141" s="237" t="s">
        <v>231</v>
      </c>
      <c r="GX141" s="237" t="s">
        <v>231</v>
      </c>
      <c r="GY141" s="237" t="s">
        <v>492</v>
      </c>
      <c r="GZ141" s="237" t="s">
        <v>492</v>
      </c>
      <c r="HA141" s="237" t="s">
        <v>231</v>
      </c>
      <c r="HB141" s="237" t="s">
        <v>231</v>
      </c>
      <c r="HC141" s="237" t="s">
        <v>231</v>
      </c>
      <c r="HD141" s="237" t="s">
        <v>231</v>
      </c>
      <c r="HE141" s="237" t="s">
        <v>231</v>
      </c>
      <c r="HF141" s="237" t="s">
        <v>492</v>
      </c>
      <c r="HG141" s="237" t="s">
        <v>492</v>
      </c>
      <c r="HH141" s="237" t="s">
        <v>231</v>
      </c>
      <c r="HI141" s="237" t="s">
        <v>231</v>
      </c>
      <c r="HJ141" s="237" t="s">
        <v>231</v>
      </c>
      <c r="HK141" s="237" t="s">
        <v>231</v>
      </c>
      <c r="HL141" s="237" t="s">
        <v>231</v>
      </c>
      <c r="HM141" s="237" t="s">
        <v>231</v>
      </c>
      <c r="HN141" s="237" t="s">
        <v>231</v>
      </c>
      <c r="HO141" s="237" t="s">
        <v>231</v>
      </c>
      <c r="HP141" s="237" t="s">
        <v>231</v>
      </c>
      <c r="HQ141" s="237" t="s">
        <v>492</v>
      </c>
      <c r="HR141" s="237" t="s">
        <v>492</v>
      </c>
      <c r="HS141" s="237" t="s">
        <v>492</v>
      </c>
      <c r="HT141" s="237" t="s">
        <v>492</v>
      </c>
      <c r="HU141" s="237" t="s">
        <v>231</v>
      </c>
      <c r="HV141" s="237" t="s">
        <v>231</v>
      </c>
      <c r="HW141" s="237" t="s">
        <v>231</v>
      </c>
      <c r="HX141" s="237" t="s">
        <v>231</v>
      </c>
      <c r="HY141" s="237" t="s">
        <v>231</v>
      </c>
      <c r="HZ141" s="237" t="s">
        <v>231</v>
      </c>
      <c r="IA141" s="237" t="s">
        <v>231</v>
      </c>
      <c r="IB141" s="237" t="s">
        <v>231</v>
      </c>
      <c r="IC141" s="237" t="s">
        <v>231</v>
      </c>
      <c r="ID141" s="237" t="s">
        <v>231</v>
      </c>
      <c r="IE141" s="237" t="s">
        <v>231</v>
      </c>
      <c r="IF141" s="237" t="s">
        <v>231</v>
      </c>
      <c r="IG141" s="237" t="s">
        <v>231</v>
      </c>
      <c r="IH141" s="237" t="s">
        <v>231</v>
      </c>
      <c r="II141" s="237" t="s">
        <v>231</v>
      </c>
      <c r="IJ141" s="237" t="s">
        <v>231</v>
      </c>
      <c r="IK141" s="237" t="s">
        <v>231</v>
      </c>
      <c r="IL141" s="237" t="s">
        <v>231</v>
      </c>
      <c r="IM141" s="237" t="s">
        <v>231</v>
      </c>
      <c r="IN141" s="237" t="s">
        <v>231</v>
      </c>
      <c r="IO141" s="237" t="s">
        <v>220</v>
      </c>
      <c r="IP141" s="237" t="s">
        <v>493</v>
      </c>
      <c r="IQ141" s="237" t="s">
        <v>219</v>
      </c>
      <c r="IR141" s="237" t="s">
        <v>490</v>
      </c>
      <c r="IS141" s="237" t="s">
        <v>231</v>
      </c>
      <c r="IT141" s="237" t="s">
        <v>231</v>
      </c>
    </row>
    <row r="142" spans="1:254" ht="15" x14ac:dyDescent="0.25">
      <c r="A142" s="259" t="str">
        <f>HYPERLINK("http://www.ofsted.gov.uk/inspection-reports/find-inspection-report/provider/ELS/106814 ","Ofsted School Webpage")</f>
        <v>Ofsted School Webpage</v>
      </c>
      <c r="B142" s="240">
        <v>106814</v>
      </c>
      <c r="C142" s="240">
        <v>3716005</v>
      </c>
      <c r="D142" s="240" t="s">
        <v>864</v>
      </c>
      <c r="E142" s="240" t="s">
        <v>248</v>
      </c>
      <c r="F142" s="240" t="s">
        <v>501</v>
      </c>
      <c r="G142" s="240" t="s">
        <v>523</v>
      </c>
      <c r="H142" s="240" t="s">
        <v>524</v>
      </c>
      <c r="I142" s="240" t="s">
        <v>808</v>
      </c>
      <c r="J142" s="240" t="s">
        <v>865</v>
      </c>
      <c r="K142" s="240" t="s">
        <v>93</v>
      </c>
      <c r="L142" s="240" t="s">
        <v>93</v>
      </c>
      <c r="M142" s="240" t="s">
        <v>93</v>
      </c>
      <c r="N142" s="240" t="s">
        <v>90</v>
      </c>
      <c r="O142" s="240" t="s">
        <v>486</v>
      </c>
      <c r="P142" s="240" t="s">
        <v>487</v>
      </c>
      <c r="Q142" s="241">
        <v>10053819</v>
      </c>
      <c r="R142" s="242">
        <v>43445</v>
      </c>
      <c r="S142" s="242">
        <v>43447</v>
      </c>
      <c r="T142" s="242">
        <v>43489</v>
      </c>
      <c r="U142" s="240" t="s">
        <v>2930</v>
      </c>
      <c r="V142" s="240" t="s">
        <v>489</v>
      </c>
      <c r="W142" s="240">
        <v>2</v>
      </c>
      <c r="X142" s="240">
        <v>2</v>
      </c>
      <c r="Y142" s="240">
        <v>1</v>
      </c>
      <c r="Z142" s="240">
        <v>2</v>
      </c>
      <c r="AA142" s="240">
        <v>2</v>
      </c>
      <c r="AB142" s="240" t="s">
        <v>486</v>
      </c>
      <c r="AC142" s="240">
        <v>2</v>
      </c>
      <c r="AD142" s="240" t="s">
        <v>219</v>
      </c>
      <c r="AE142" s="240" t="s">
        <v>490</v>
      </c>
      <c r="AF142" s="240" t="s">
        <v>486</v>
      </c>
      <c r="AG142" s="240" t="s">
        <v>486</v>
      </c>
      <c r="AH142" s="240" t="s">
        <v>486</v>
      </c>
      <c r="AI142" s="240" t="s">
        <v>486</v>
      </c>
      <c r="AJ142" s="240" t="s">
        <v>486</v>
      </c>
      <c r="AK142" s="240" t="s">
        <v>486</v>
      </c>
      <c r="AL142" s="240" t="s">
        <v>486</v>
      </c>
      <c r="AM142" s="240" t="s">
        <v>491</v>
      </c>
      <c r="AN142" s="240" t="s">
        <v>231</v>
      </c>
      <c r="AO142" s="240" t="s">
        <v>231</v>
      </c>
      <c r="AP142" s="240" t="s">
        <v>231</v>
      </c>
      <c r="AQ142" s="240" t="s">
        <v>231</v>
      </c>
      <c r="AR142" s="240" t="s">
        <v>231</v>
      </c>
      <c r="AS142" s="240" t="s">
        <v>231</v>
      </c>
      <c r="AT142" s="240" t="s">
        <v>231</v>
      </c>
      <c r="AU142" s="240" t="s">
        <v>231</v>
      </c>
      <c r="AV142" s="240" t="s">
        <v>231</v>
      </c>
      <c r="AW142" s="240" t="s">
        <v>231</v>
      </c>
      <c r="AX142" s="240" t="s">
        <v>231</v>
      </c>
      <c r="AY142" s="240" t="s">
        <v>231</v>
      </c>
      <c r="AZ142" s="240" t="s">
        <v>231</v>
      </c>
      <c r="BA142" s="240" t="s">
        <v>231</v>
      </c>
      <c r="BB142" s="240" t="s">
        <v>231</v>
      </c>
      <c r="BC142" s="240" t="s">
        <v>231</v>
      </c>
      <c r="BD142" s="240" t="s">
        <v>492</v>
      </c>
      <c r="BE142" s="240" t="s">
        <v>231</v>
      </c>
      <c r="BF142" s="240" t="s">
        <v>231</v>
      </c>
      <c r="BG142" s="240" t="s">
        <v>231</v>
      </c>
      <c r="BH142" s="240" t="s">
        <v>231</v>
      </c>
      <c r="BI142" s="240" t="s">
        <v>231</v>
      </c>
      <c r="BJ142" s="240" t="s">
        <v>231</v>
      </c>
      <c r="BK142" s="240" t="s">
        <v>231</v>
      </c>
      <c r="BL142" s="240" t="s">
        <v>492</v>
      </c>
      <c r="BM142" s="240" t="s">
        <v>231</v>
      </c>
      <c r="BN142" s="240" t="s">
        <v>231</v>
      </c>
      <c r="BO142" s="240" t="s">
        <v>231</v>
      </c>
      <c r="BP142" s="240" t="s">
        <v>231</v>
      </c>
      <c r="BQ142" s="240" t="s">
        <v>231</v>
      </c>
      <c r="BR142" s="240" t="s">
        <v>231</v>
      </c>
      <c r="BS142" s="240" t="s">
        <v>231</v>
      </c>
      <c r="BT142" s="240" t="s">
        <v>231</v>
      </c>
      <c r="BU142" s="240" t="s">
        <v>231</v>
      </c>
      <c r="BV142" s="240" t="s">
        <v>231</v>
      </c>
      <c r="BW142" s="240" t="s">
        <v>231</v>
      </c>
      <c r="BX142" s="240" t="s">
        <v>231</v>
      </c>
      <c r="BY142" s="240" t="s">
        <v>231</v>
      </c>
      <c r="BZ142" s="240" t="s">
        <v>231</v>
      </c>
      <c r="CA142" s="240" t="s">
        <v>231</v>
      </c>
      <c r="CB142" s="240" t="s">
        <v>231</v>
      </c>
      <c r="CC142" s="240" t="s">
        <v>231</v>
      </c>
      <c r="CD142" s="240" t="s">
        <v>231</v>
      </c>
      <c r="CE142" s="240" t="s">
        <v>231</v>
      </c>
      <c r="CF142" s="240" t="s">
        <v>231</v>
      </c>
      <c r="CG142" s="240" t="s">
        <v>231</v>
      </c>
      <c r="CH142" s="240" t="s">
        <v>231</v>
      </c>
      <c r="CI142" s="240" t="s">
        <v>231</v>
      </c>
      <c r="CJ142" s="240" t="s">
        <v>231</v>
      </c>
      <c r="CK142" s="240" t="s">
        <v>231</v>
      </c>
      <c r="CL142" s="240" t="s">
        <v>231</v>
      </c>
      <c r="CM142" s="240" t="s">
        <v>231</v>
      </c>
      <c r="CN142" s="240" t="s">
        <v>231</v>
      </c>
      <c r="CO142" s="240" t="s">
        <v>231</v>
      </c>
      <c r="CP142" s="240" t="s">
        <v>231</v>
      </c>
      <c r="CQ142" s="240" t="s">
        <v>231</v>
      </c>
      <c r="CR142" s="240" t="s">
        <v>231</v>
      </c>
      <c r="CS142" s="240" t="s">
        <v>231</v>
      </c>
      <c r="CT142" s="240" t="s">
        <v>492</v>
      </c>
      <c r="CU142" s="240" t="s">
        <v>492</v>
      </c>
      <c r="CV142" s="240" t="s">
        <v>492</v>
      </c>
      <c r="CW142" s="240" t="s">
        <v>231</v>
      </c>
      <c r="CX142" s="240" t="s">
        <v>231</v>
      </c>
      <c r="CY142" s="240" t="s">
        <v>231</v>
      </c>
      <c r="CZ142" s="240" t="s">
        <v>231</v>
      </c>
      <c r="DA142" s="240" t="s">
        <v>231</v>
      </c>
      <c r="DB142" s="240" t="s">
        <v>231</v>
      </c>
      <c r="DC142" s="240" t="s">
        <v>231</v>
      </c>
      <c r="DD142" s="240" t="s">
        <v>231</v>
      </c>
      <c r="DE142" s="240" t="s">
        <v>231</v>
      </c>
      <c r="DF142" s="240" t="s">
        <v>231</v>
      </c>
      <c r="DG142" s="240" t="s">
        <v>231</v>
      </c>
      <c r="DH142" s="240" t="s">
        <v>231</v>
      </c>
      <c r="DI142" s="240" t="s">
        <v>231</v>
      </c>
      <c r="DJ142" s="240" t="s">
        <v>231</v>
      </c>
      <c r="DK142" s="240" t="s">
        <v>231</v>
      </c>
      <c r="DL142" s="240" t="s">
        <v>231</v>
      </c>
      <c r="DM142" s="240" t="s">
        <v>231</v>
      </c>
      <c r="DN142" s="240" t="s">
        <v>231</v>
      </c>
      <c r="DO142" s="240" t="s">
        <v>231</v>
      </c>
      <c r="DP142" s="240" t="s">
        <v>231</v>
      </c>
      <c r="DQ142" s="240" t="s">
        <v>231</v>
      </c>
      <c r="DR142" s="240" t="s">
        <v>231</v>
      </c>
      <c r="DS142" s="240" t="s">
        <v>231</v>
      </c>
      <c r="DT142" s="240" t="s">
        <v>492</v>
      </c>
      <c r="DU142" s="240" t="s">
        <v>231</v>
      </c>
      <c r="DV142" s="240" t="s">
        <v>231</v>
      </c>
      <c r="DW142" s="240" t="s">
        <v>231</v>
      </c>
      <c r="DX142" s="240" t="s">
        <v>231</v>
      </c>
      <c r="DY142" s="240" t="s">
        <v>231</v>
      </c>
      <c r="DZ142" s="240" t="s">
        <v>231</v>
      </c>
      <c r="EA142" s="240" t="s">
        <v>231</v>
      </c>
      <c r="EB142" s="240" t="s">
        <v>231</v>
      </c>
      <c r="EC142" s="240" t="s">
        <v>231</v>
      </c>
      <c r="ED142" s="240" t="s">
        <v>231</v>
      </c>
      <c r="EE142" s="240" t="s">
        <v>231</v>
      </c>
      <c r="EF142" s="240" t="s">
        <v>231</v>
      </c>
      <c r="EG142" s="240" t="s">
        <v>231</v>
      </c>
      <c r="EH142" s="240" t="s">
        <v>492</v>
      </c>
      <c r="EI142" s="240" t="s">
        <v>231</v>
      </c>
      <c r="EJ142" s="240" t="s">
        <v>231</v>
      </c>
      <c r="EK142" s="240" t="s">
        <v>231</v>
      </c>
      <c r="EL142" s="240" t="s">
        <v>231</v>
      </c>
      <c r="EM142" s="240" t="s">
        <v>231</v>
      </c>
      <c r="EN142" s="240" t="s">
        <v>231</v>
      </c>
      <c r="EO142" s="240" t="s">
        <v>231</v>
      </c>
      <c r="EP142" s="240" t="s">
        <v>231</v>
      </c>
      <c r="EQ142" s="240" t="s">
        <v>492</v>
      </c>
      <c r="ER142" s="240" t="s">
        <v>231</v>
      </c>
      <c r="ES142" s="240" t="s">
        <v>231</v>
      </c>
      <c r="ET142" s="240" t="s">
        <v>231</v>
      </c>
      <c r="EU142" s="240" t="s">
        <v>231</v>
      </c>
      <c r="EV142" s="240" t="s">
        <v>231</v>
      </c>
      <c r="EW142" s="240" t="s">
        <v>231</v>
      </c>
      <c r="EX142" s="240" t="s">
        <v>231</v>
      </c>
      <c r="EY142" s="240" t="s">
        <v>231</v>
      </c>
      <c r="EZ142" s="240" t="s">
        <v>231</v>
      </c>
      <c r="FA142" s="240" t="s">
        <v>231</v>
      </c>
      <c r="FB142" s="240" t="s">
        <v>231</v>
      </c>
      <c r="FC142" s="240" t="s">
        <v>231</v>
      </c>
      <c r="FD142" s="240" t="s">
        <v>231</v>
      </c>
      <c r="FE142" s="240" t="s">
        <v>231</v>
      </c>
      <c r="FF142" s="240" t="s">
        <v>231</v>
      </c>
      <c r="FG142" s="240" t="s">
        <v>231</v>
      </c>
      <c r="FH142" s="240" t="s">
        <v>231</v>
      </c>
      <c r="FI142" s="240" t="s">
        <v>231</v>
      </c>
      <c r="FJ142" s="240" t="s">
        <v>231</v>
      </c>
      <c r="FK142" s="240" t="s">
        <v>231</v>
      </c>
      <c r="FL142" s="240" t="s">
        <v>231</v>
      </c>
      <c r="FM142" s="240" t="s">
        <v>231</v>
      </c>
      <c r="FN142" s="240" t="s">
        <v>231</v>
      </c>
      <c r="FO142" s="240" t="s">
        <v>231</v>
      </c>
      <c r="FP142" s="240" t="s">
        <v>231</v>
      </c>
      <c r="FQ142" s="240" t="s">
        <v>231</v>
      </c>
      <c r="FR142" s="240" t="s">
        <v>231</v>
      </c>
      <c r="FS142" s="240" t="s">
        <v>231</v>
      </c>
      <c r="FT142" s="240" t="s">
        <v>231</v>
      </c>
      <c r="FU142" s="240" t="s">
        <v>231</v>
      </c>
      <c r="FV142" s="240" t="s">
        <v>231</v>
      </c>
      <c r="FW142" s="240" t="s">
        <v>231</v>
      </c>
      <c r="FX142" s="240" t="s">
        <v>231</v>
      </c>
      <c r="FY142" s="240" t="s">
        <v>231</v>
      </c>
      <c r="FZ142" s="240" t="s">
        <v>231</v>
      </c>
      <c r="GA142" s="240" t="s">
        <v>231</v>
      </c>
      <c r="GB142" s="240" t="s">
        <v>231</v>
      </c>
      <c r="GC142" s="240" t="s">
        <v>231</v>
      </c>
      <c r="GD142" s="240" t="s">
        <v>231</v>
      </c>
      <c r="GE142" s="240" t="s">
        <v>231</v>
      </c>
      <c r="GF142" s="240" t="s">
        <v>231</v>
      </c>
      <c r="GG142" s="240" t="s">
        <v>231</v>
      </c>
      <c r="GH142" s="240" t="s">
        <v>231</v>
      </c>
      <c r="GI142" s="240" t="s">
        <v>231</v>
      </c>
      <c r="GJ142" s="240" t="s">
        <v>231</v>
      </c>
      <c r="GK142" s="240" t="s">
        <v>231</v>
      </c>
      <c r="GL142" s="240" t="s">
        <v>231</v>
      </c>
      <c r="GM142" s="240" t="s">
        <v>231</v>
      </c>
      <c r="GN142" s="240" t="s">
        <v>231</v>
      </c>
      <c r="GO142" s="240" t="s">
        <v>231</v>
      </c>
      <c r="GP142" s="240" t="s">
        <v>492</v>
      </c>
      <c r="GQ142" s="240" t="s">
        <v>231</v>
      </c>
      <c r="GR142" s="240" t="s">
        <v>231</v>
      </c>
      <c r="GS142" s="240" t="s">
        <v>231</v>
      </c>
      <c r="GT142" s="240" t="s">
        <v>231</v>
      </c>
      <c r="GU142" s="240" t="s">
        <v>231</v>
      </c>
      <c r="GV142" s="240" t="s">
        <v>492</v>
      </c>
      <c r="GW142" s="240" t="s">
        <v>231</v>
      </c>
      <c r="GX142" s="240" t="s">
        <v>231</v>
      </c>
      <c r="GY142" s="240" t="s">
        <v>231</v>
      </c>
      <c r="GZ142" s="240" t="s">
        <v>231</v>
      </c>
      <c r="HA142" s="240" t="s">
        <v>492</v>
      </c>
      <c r="HB142" s="240" t="s">
        <v>231</v>
      </c>
      <c r="HC142" s="240" t="s">
        <v>231</v>
      </c>
      <c r="HD142" s="240" t="s">
        <v>231</v>
      </c>
      <c r="HE142" s="240" t="s">
        <v>492</v>
      </c>
      <c r="HF142" s="240" t="s">
        <v>231</v>
      </c>
      <c r="HG142" s="240" t="s">
        <v>492</v>
      </c>
      <c r="HH142" s="240" t="s">
        <v>231</v>
      </c>
      <c r="HI142" s="240" t="s">
        <v>231</v>
      </c>
      <c r="HJ142" s="240" t="s">
        <v>231</v>
      </c>
      <c r="HK142" s="240" t="s">
        <v>231</v>
      </c>
      <c r="HL142" s="240" t="s">
        <v>231</v>
      </c>
      <c r="HM142" s="240" t="s">
        <v>231</v>
      </c>
      <c r="HN142" s="240" t="s">
        <v>231</v>
      </c>
      <c r="HO142" s="240" t="s">
        <v>231</v>
      </c>
      <c r="HP142" s="240" t="s">
        <v>231</v>
      </c>
      <c r="HQ142" s="240" t="s">
        <v>231</v>
      </c>
      <c r="HR142" s="240" t="s">
        <v>492</v>
      </c>
      <c r="HS142" s="240" t="s">
        <v>492</v>
      </c>
      <c r="HT142" s="240" t="s">
        <v>492</v>
      </c>
      <c r="HU142" s="240" t="s">
        <v>231</v>
      </c>
      <c r="HV142" s="240" t="s">
        <v>231</v>
      </c>
      <c r="HW142" s="240" t="s">
        <v>231</v>
      </c>
      <c r="HX142" s="240" t="s">
        <v>231</v>
      </c>
      <c r="HY142" s="240" t="s">
        <v>231</v>
      </c>
      <c r="HZ142" s="240" t="s">
        <v>231</v>
      </c>
      <c r="IA142" s="240" t="s">
        <v>231</v>
      </c>
      <c r="IB142" s="240" t="s">
        <v>231</v>
      </c>
      <c r="IC142" s="240" t="s">
        <v>231</v>
      </c>
      <c r="ID142" s="240" t="s">
        <v>231</v>
      </c>
      <c r="IE142" s="240" t="s">
        <v>231</v>
      </c>
      <c r="IF142" s="240" t="s">
        <v>231</v>
      </c>
      <c r="IG142" s="240" t="s">
        <v>231</v>
      </c>
      <c r="IH142" s="240" t="s">
        <v>231</v>
      </c>
      <c r="II142" s="240" t="s">
        <v>231</v>
      </c>
      <c r="IJ142" s="240" t="s">
        <v>231</v>
      </c>
      <c r="IK142" s="240" t="s">
        <v>231</v>
      </c>
      <c r="IL142" s="240" t="s">
        <v>231</v>
      </c>
      <c r="IM142" s="240" t="s">
        <v>231</v>
      </c>
      <c r="IN142" s="240" t="s">
        <v>231</v>
      </c>
      <c r="IO142" s="240" t="s">
        <v>220</v>
      </c>
      <c r="IP142" s="240" t="s">
        <v>493</v>
      </c>
      <c r="IQ142" s="240" t="s">
        <v>219</v>
      </c>
      <c r="IR142" s="240" t="s">
        <v>490</v>
      </c>
      <c r="IS142" s="240" t="s">
        <v>492</v>
      </c>
      <c r="IT142" s="240" t="s">
        <v>492</v>
      </c>
    </row>
    <row r="143" spans="1:254" ht="15" x14ac:dyDescent="0.25">
      <c r="A143" s="258" t="str">
        <f>HYPERLINK("http://www.ofsted.gov.uk/inspection-reports/find-inspection-report/provider/ELS/133570 ","Ofsted School Webpage")</f>
        <v>Ofsted School Webpage</v>
      </c>
      <c r="B143" s="237">
        <v>133570</v>
      </c>
      <c r="C143" s="237">
        <v>8736041</v>
      </c>
      <c r="D143" s="237" t="s">
        <v>866</v>
      </c>
      <c r="E143" s="237" t="s">
        <v>248</v>
      </c>
      <c r="F143" s="237" t="s">
        <v>501</v>
      </c>
      <c r="G143" s="237" t="s">
        <v>516</v>
      </c>
      <c r="H143" s="237" t="s">
        <v>516</v>
      </c>
      <c r="I143" s="237" t="s">
        <v>867</v>
      </c>
      <c r="J143" s="237" t="s">
        <v>868</v>
      </c>
      <c r="K143" s="237" t="s">
        <v>93</v>
      </c>
      <c r="L143" s="237" t="s">
        <v>93</v>
      </c>
      <c r="M143" s="237" t="s">
        <v>93</v>
      </c>
      <c r="N143" s="237" t="s">
        <v>90</v>
      </c>
      <c r="O143" s="237" t="s">
        <v>486</v>
      </c>
      <c r="P143" s="237" t="s">
        <v>487</v>
      </c>
      <c r="Q143" s="238">
        <v>10056562</v>
      </c>
      <c r="R143" s="239">
        <v>43445</v>
      </c>
      <c r="S143" s="239">
        <v>43447</v>
      </c>
      <c r="T143" s="239">
        <v>43488</v>
      </c>
      <c r="U143" s="237" t="s">
        <v>488</v>
      </c>
      <c r="V143" s="237" t="s">
        <v>489</v>
      </c>
      <c r="W143" s="237">
        <v>2</v>
      </c>
      <c r="X143" s="237">
        <v>2</v>
      </c>
      <c r="Y143" s="237">
        <v>2</v>
      </c>
      <c r="Z143" s="237">
        <v>2</v>
      </c>
      <c r="AA143" s="237">
        <v>2</v>
      </c>
      <c r="AB143" s="237" t="s">
        <v>486</v>
      </c>
      <c r="AC143" s="237" t="s">
        <v>486</v>
      </c>
      <c r="AD143" s="237" t="s">
        <v>219</v>
      </c>
      <c r="AE143" s="237" t="s">
        <v>490</v>
      </c>
      <c r="AF143" s="237" t="s">
        <v>486</v>
      </c>
      <c r="AG143" s="237" t="s">
        <v>486</v>
      </c>
      <c r="AH143" s="237" t="s">
        <v>486</v>
      </c>
      <c r="AI143" s="237" t="s">
        <v>486</v>
      </c>
      <c r="AJ143" s="237" t="s">
        <v>486</v>
      </c>
      <c r="AK143" s="237" t="s">
        <v>486</v>
      </c>
      <c r="AL143" s="237" t="s">
        <v>486</v>
      </c>
      <c r="AM143" s="237" t="s">
        <v>491</v>
      </c>
      <c r="AN143" s="237" t="s">
        <v>231</v>
      </c>
      <c r="AO143" s="237" t="s">
        <v>231</v>
      </c>
      <c r="AP143" s="237" t="s">
        <v>231</v>
      </c>
      <c r="AQ143" s="237" t="s">
        <v>231</v>
      </c>
      <c r="AR143" s="237" t="s">
        <v>231</v>
      </c>
      <c r="AS143" s="237" t="s">
        <v>231</v>
      </c>
      <c r="AT143" s="237" t="s">
        <v>231</v>
      </c>
      <c r="AU143" s="237" t="s">
        <v>231</v>
      </c>
      <c r="AV143" s="237" t="s">
        <v>231</v>
      </c>
      <c r="AW143" s="237" t="s">
        <v>231</v>
      </c>
      <c r="AX143" s="237" t="s">
        <v>231</v>
      </c>
      <c r="AY143" s="237" t="s">
        <v>231</v>
      </c>
      <c r="AZ143" s="237" t="s">
        <v>231</v>
      </c>
      <c r="BA143" s="237" t="s">
        <v>231</v>
      </c>
      <c r="BB143" s="237" t="s">
        <v>231</v>
      </c>
      <c r="BC143" s="237" t="s">
        <v>231</v>
      </c>
      <c r="BD143" s="237" t="s">
        <v>231</v>
      </c>
      <c r="BE143" s="237" t="s">
        <v>231</v>
      </c>
      <c r="BF143" s="237" t="s">
        <v>231</v>
      </c>
      <c r="BG143" s="237" t="s">
        <v>231</v>
      </c>
      <c r="BH143" s="237" t="s">
        <v>231</v>
      </c>
      <c r="BI143" s="237" t="s">
        <v>231</v>
      </c>
      <c r="BJ143" s="237" t="s">
        <v>231</v>
      </c>
      <c r="BK143" s="237" t="s">
        <v>231</v>
      </c>
      <c r="BL143" s="237" t="s">
        <v>492</v>
      </c>
      <c r="BM143" s="237" t="s">
        <v>492</v>
      </c>
      <c r="BN143" s="237" t="s">
        <v>231</v>
      </c>
      <c r="BO143" s="237" t="s">
        <v>231</v>
      </c>
      <c r="BP143" s="237" t="s">
        <v>231</v>
      </c>
      <c r="BQ143" s="237" t="s">
        <v>231</v>
      </c>
      <c r="BR143" s="237" t="s">
        <v>231</v>
      </c>
      <c r="BS143" s="237" t="s">
        <v>231</v>
      </c>
      <c r="BT143" s="237" t="s">
        <v>231</v>
      </c>
      <c r="BU143" s="237" t="s">
        <v>231</v>
      </c>
      <c r="BV143" s="237" t="s">
        <v>231</v>
      </c>
      <c r="BW143" s="237" t="s">
        <v>231</v>
      </c>
      <c r="BX143" s="237" t="s">
        <v>231</v>
      </c>
      <c r="BY143" s="237" t="s">
        <v>231</v>
      </c>
      <c r="BZ143" s="237" t="s">
        <v>231</v>
      </c>
      <c r="CA143" s="237" t="s">
        <v>231</v>
      </c>
      <c r="CB143" s="237" t="s">
        <v>231</v>
      </c>
      <c r="CC143" s="237" t="s">
        <v>231</v>
      </c>
      <c r="CD143" s="237" t="s">
        <v>231</v>
      </c>
      <c r="CE143" s="237" t="s">
        <v>231</v>
      </c>
      <c r="CF143" s="237" t="s">
        <v>231</v>
      </c>
      <c r="CG143" s="237" t="s">
        <v>231</v>
      </c>
      <c r="CH143" s="237" t="s">
        <v>231</v>
      </c>
      <c r="CI143" s="237" t="s">
        <v>231</v>
      </c>
      <c r="CJ143" s="237" t="s">
        <v>231</v>
      </c>
      <c r="CK143" s="237" t="s">
        <v>231</v>
      </c>
      <c r="CL143" s="237" t="s">
        <v>231</v>
      </c>
      <c r="CM143" s="237" t="s">
        <v>231</v>
      </c>
      <c r="CN143" s="237" t="s">
        <v>231</v>
      </c>
      <c r="CO143" s="237" t="s">
        <v>231</v>
      </c>
      <c r="CP143" s="237" t="s">
        <v>231</v>
      </c>
      <c r="CQ143" s="237" t="s">
        <v>231</v>
      </c>
      <c r="CR143" s="237" t="s">
        <v>231</v>
      </c>
      <c r="CS143" s="237" t="s">
        <v>231</v>
      </c>
      <c r="CT143" s="237" t="s">
        <v>492</v>
      </c>
      <c r="CU143" s="237" t="s">
        <v>492</v>
      </c>
      <c r="CV143" s="237" t="s">
        <v>492</v>
      </c>
      <c r="CW143" s="237" t="s">
        <v>231</v>
      </c>
      <c r="CX143" s="237" t="s">
        <v>231</v>
      </c>
      <c r="CY143" s="237" t="s">
        <v>231</v>
      </c>
      <c r="CZ143" s="237" t="s">
        <v>231</v>
      </c>
      <c r="DA143" s="237" t="s">
        <v>231</v>
      </c>
      <c r="DB143" s="237" t="s">
        <v>231</v>
      </c>
      <c r="DC143" s="237" t="s">
        <v>231</v>
      </c>
      <c r="DD143" s="237" t="s">
        <v>231</v>
      </c>
      <c r="DE143" s="237" t="s">
        <v>231</v>
      </c>
      <c r="DF143" s="237" t="s">
        <v>231</v>
      </c>
      <c r="DG143" s="237" t="s">
        <v>231</v>
      </c>
      <c r="DH143" s="237" t="s">
        <v>231</v>
      </c>
      <c r="DI143" s="237" t="s">
        <v>231</v>
      </c>
      <c r="DJ143" s="237" t="s">
        <v>231</v>
      </c>
      <c r="DK143" s="237" t="s">
        <v>231</v>
      </c>
      <c r="DL143" s="237" t="s">
        <v>231</v>
      </c>
      <c r="DM143" s="237" t="s">
        <v>231</v>
      </c>
      <c r="DN143" s="237" t="s">
        <v>231</v>
      </c>
      <c r="DO143" s="237" t="s">
        <v>231</v>
      </c>
      <c r="DP143" s="237" t="s">
        <v>231</v>
      </c>
      <c r="DQ143" s="237" t="s">
        <v>231</v>
      </c>
      <c r="DR143" s="237" t="s">
        <v>231</v>
      </c>
      <c r="DS143" s="237" t="s">
        <v>231</v>
      </c>
      <c r="DT143" s="237" t="s">
        <v>492</v>
      </c>
      <c r="DU143" s="237" t="s">
        <v>231</v>
      </c>
      <c r="DV143" s="237" t="s">
        <v>231</v>
      </c>
      <c r="DW143" s="237" t="s">
        <v>231</v>
      </c>
      <c r="DX143" s="237" t="s">
        <v>231</v>
      </c>
      <c r="DY143" s="237" t="s">
        <v>231</v>
      </c>
      <c r="DZ143" s="237" t="s">
        <v>231</v>
      </c>
      <c r="EA143" s="237" t="s">
        <v>231</v>
      </c>
      <c r="EB143" s="237" t="s">
        <v>231</v>
      </c>
      <c r="EC143" s="237" t="s">
        <v>231</v>
      </c>
      <c r="ED143" s="237" t="s">
        <v>231</v>
      </c>
      <c r="EE143" s="237" t="s">
        <v>231</v>
      </c>
      <c r="EF143" s="237" t="s">
        <v>231</v>
      </c>
      <c r="EG143" s="237" t="s">
        <v>231</v>
      </c>
      <c r="EH143" s="237" t="s">
        <v>492</v>
      </c>
      <c r="EI143" s="237" t="s">
        <v>231</v>
      </c>
      <c r="EJ143" s="237" t="s">
        <v>231</v>
      </c>
      <c r="EK143" s="237" t="s">
        <v>231</v>
      </c>
      <c r="EL143" s="237" t="s">
        <v>231</v>
      </c>
      <c r="EM143" s="237" t="s">
        <v>231</v>
      </c>
      <c r="EN143" s="237" t="s">
        <v>231</v>
      </c>
      <c r="EO143" s="237" t="s">
        <v>231</v>
      </c>
      <c r="EP143" s="237" t="s">
        <v>231</v>
      </c>
      <c r="EQ143" s="237" t="s">
        <v>231</v>
      </c>
      <c r="ER143" s="237" t="s">
        <v>231</v>
      </c>
      <c r="ES143" s="237" t="s">
        <v>231</v>
      </c>
      <c r="ET143" s="237" t="s">
        <v>231</v>
      </c>
      <c r="EU143" s="237" t="s">
        <v>231</v>
      </c>
      <c r="EV143" s="237" t="s">
        <v>231</v>
      </c>
      <c r="EW143" s="237" t="s">
        <v>231</v>
      </c>
      <c r="EX143" s="237" t="s">
        <v>231</v>
      </c>
      <c r="EY143" s="237" t="s">
        <v>231</v>
      </c>
      <c r="EZ143" s="237" t="s">
        <v>231</v>
      </c>
      <c r="FA143" s="237" t="s">
        <v>231</v>
      </c>
      <c r="FB143" s="237" t="s">
        <v>231</v>
      </c>
      <c r="FC143" s="237" t="s">
        <v>231</v>
      </c>
      <c r="FD143" s="237" t="s">
        <v>231</v>
      </c>
      <c r="FE143" s="237" t="s">
        <v>231</v>
      </c>
      <c r="FF143" s="237" t="s">
        <v>231</v>
      </c>
      <c r="FG143" s="237" t="s">
        <v>231</v>
      </c>
      <c r="FH143" s="237" t="s">
        <v>231</v>
      </c>
      <c r="FI143" s="237" t="s">
        <v>231</v>
      </c>
      <c r="FJ143" s="237" t="s">
        <v>231</v>
      </c>
      <c r="FK143" s="237" t="s">
        <v>231</v>
      </c>
      <c r="FL143" s="237" t="s">
        <v>231</v>
      </c>
      <c r="FM143" s="237" t="s">
        <v>231</v>
      </c>
      <c r="FN143" s="237" t="s">
        <v>231</v>
      </c>
      <c r="FO143" s="237" t="s">
        <v>231</v>
      </c>
      <c r="FP143" s="237" t="s">
        <v>231</v>
      </c>
      <c r="FQ143" s="237" t="s">
        <v>231</v>
      </c>
      <c r="FR143" s="237" t="s">
        <v>231</v>
      </c>
      <c r="FS143" s="237" t="s">
        <v>231</v>
      </c>
      <c r="FT143" s="237" t="s">
        <v>231</v>
      </c>
      <c r="FU143" s="237" t="s">
        <v>231</v>
      </c>
      <c r="FV143" s="237" t="s">
        <v>231</v>
      </c>
      <c r="FW143" s="237" t="s">
        <v>231</v>
      </c>
      <c r="FX143" s="237" t="s">
        <v>492</v>
      </c>
      <c r="FY143" s="237" t="s">
        <v>231</v>
      </c>
      <c r="FZ143" s="237" t="s">
        <v>231</v>
      </c>
      <c r="GA143" s="237" t="s">
        <v>231</v>
      </c>
      <c r="GB143" s="237" t="s">
        <v>231</v>
      </c>
      <c r="GC143" s="237" t="s">
        <v>231</v>
      </c>
      <c r="GD143" s="237" t="s">
        <v>231</v>
      </c>
      <c r="GE143" s="237" t="s">
        <v>231</v>
      </c>
      <c r="GF143" s="237" t="s">
        <v>231</v>
      </c>
      <c r="GG143" s="237" t="s">
        <v>231</v>
      </c>
      <c r="GH143" s="237" t="s">
        <v>231</v>
      </c>
      <c r="GI143" s="237" t="s">
        <v>231</v>
      </c>
      <c r="GJ143" s="237" t="s">
        <v>231</v>
      </c>
      <c r="GK143" s="237" t="s">
        <v>231</v>
      </c>
      <c r="GL143" s="237" t="s">
        <v>231</v>
      </c>
      <c r="GM143" s="237" t="s">
        <v>231</v>
      </c>
      <c r="GN143" s="237" t="s">
        <v>231</v>
      </c>
      <c r="GO143" s="237" t="s">
        <v>231</v>
      </c>
      <c r="GP143" s="237" t="s">
        <v>492</v>
      </c>
      <c r="GQ143" s="237" t="s">
        <v>231</v>
      </c>
      <c r="GR143" s="237" t="s">
        <v>231</v>
      </c>
      <c r="GS143" s="237" t="s">
        <v>231</v>
      </c>
      <c r="GT143" s="237" t="s">
        <v>231</v>
      </c>
      <c r="GU143" s="237" t="s">
        <v>231</v>
      </c>
      <c r="GV143" s="237" t="s">
        <v>492</v>
      </c>
      <c r="GW143" s="237" t="s">
        <v>231</v>
      </c>
      <c r="GX143" s="237" t="s">
        <v>231</v>
      </c>
      <c r="GY143" s="237" t="s">
        <v>231</v>
      </c>
      <c r="GZ143" s="237" t="s">
        <v>231</v>
      </c>
      <c r="HA143" s="237" t="s">
        <v>231</v>
      </c>
      <c r="HB143" s="237" t="s">
        <v>231</v>
      </c>
      <c r="HC143" s="237" t="s">
        <v>231</v>
      </c>
      <c r="HD143" s="237" t="s">
        <v>231</v>
      </c>
      <c r="HE143" s="237" t="s">
        <v>492</v>
      </c>
      <c r="HF143" s="237" t="s">
        <v>231</v>
      </c>
      <c r="HG143" s="237" t="s">
        <v>492</v>
      </c>
      <c r="HH143" s="237" t="s">
        <v>231</v>
      </c>
      <c r="HI143" s="237" t="s">
        <v>231</v>
      </c>
      <c r="HJ143" s="237" t="s">
        <v>231</v>
      </c>
      <c r="HK143" s="237" t="s">
        <v>231</v>
      </c>
      <c r="HL143" s="237" t="s">
        <v>231</v>
      </c>
      <c r="HM143" s="237" t="s">
        <v>231</v>
      </c>
      <c r="HN143" s="237" t="s">
        <v>231</v>
      </c>
      <c r="HO143" s="237" t="s">
        <v>231</v>
      </c>
      <c r="HP143" s="237" t="s">
        <v>231</v>
      </c>
      <c r="HQ143" s="237" t="s">
        <v>231</v>
      </c>
      <c r="HR143" s="237" t="s">
        <v>492</v>
      </c>
      <c r="HS143" s="237" t="s">
        <v>492</v>
      </c>
      <c r="HT143" s="237" t="s">
        <v>492</v>
      </c>
      <c r="HU143" s="237" t="s">
        <v>231</v>
      </c>
      <c r="HV143" s="237" t="s">
        <v>231</v>
      </c>
      <c r="HW143" s="237" t="s">
        <v>231</v>
      </c>
      <c r="HX143" s="237" t="s">
        <v>231</v>
      </c>
      <c r="HY143" s="237" t="s">
        <v>231</v>
      </c>
      <c r="HZ143" s="237" t="s">
        <v>231</v>
      </c>
      <c r="IA143" s="237" t="s">
        <v>231</v>
      </c>
      <c r="IB143" s="237" t="s">
        <v>231</v>
      </c>
      <c r="IC143" s="237" t="s">
        <v>231</v>
      </c>
      <c r="ID143" s="237" t="s">
        <v>231</v>
      </c>
      <c r="IE143" s="237" t="s">
        <v>231</v>
      </c>
      <c r="IF143" s="237" t="s">
        <v>231</v>
      </c>
      <c r="IG143" s="237" t="s">
        <v>231</v>
      </c>
      <c r="IH143" s="237" t="s">
        <v>231</v>
      </c>
      <c r="II143" s="237" t="s">
        <v>231</v>
      </c>
      <c r="IJ143" s="237" t="s">
        <v>231</v>
      </c>
      <c r="IK143" s="237" t="s">
        <v>231</v>
      </c>
      <c r="IL143" s="237" t="s">
        <v>231</v>
      </c>
      <c r="IM143" s="237" t="s">
        <v>231</v>
      </c>
      <c r="IN143" s="237" t="s">
        <v>231</v>
      </c>
      <c r="IO143" s="237" t="s">
        <v>220</v>
      </c>
      <c r="IP143" s="237" t="s">
        <v>493</v>
      </c>
      <c r="IQ143" s="237" t="s">
        <v>219</v>
      </c>
      <c r="IR143" s="237" t="s">
        <v>490</v>
      </c>
      <c r="IS143" s="237" t="s">
        <v>492</v>
      </c>
      <c r="IT143" s="237" t="s">
        <v>492</v>
      </c>
    </row>
    <row r="144" spans="1:254" ht="15" x14ac:dyDescent="0.25">
      <c r="A144" s="259" t="str">
        <f>HYPERLINK("http://www.ofsted.gov.uk/inspection-reports/find-inspection-report/provider/ELS/135988 ","Ofsted School Webpage")</f>
        <v>Ofsted School Webpage</v>
      </c>
      <c r="B144" s="240">
        <v>135988</v>
      </c>
      <c r="C144" s="240">
        <v>3096088</v>
      </c>
      <c r="D144" s="240" t="s">
        <v>869</v>
      </c>
      <c r="E144" s="240" t="s">
        <v>247</v>
      </c>
      <c r="F144" s="240" t="s">
        <v>482</v>
      </c>
      <c r="G144" s="240" t="s">
        <v>506</v>
      </c>
      <c r="H144" s="240" t="s">
        <v>506</v>
      </c>
      <c r="I144" s="240" t="s">
        <v>595</v>
      </c>
      <c r="J144" s="240" t="s">
        <v>870</v>
      </c>
      <c r="K144" s="240" t="s">
        <v>93</v>
      </c>
      <c r="L144" s="240" t="s">
        <v>93</v>
      </c>
      <c r="M144" s="240" t="s">
        <v>93</v>
      </c>
      <c r="N144" s="240" t="s">
        <v>90</v>
      </c>
      <c r="O144" s="240" t="s">
        <v>486</v>
      </c>
      <c r="P144" s="240" t="s">
        <v>487</v>
      </c>
      <c r="Q144" s="241">
        <v>10055510</v>
      </c>
      <c r="R144" s="242">
        <v>43445</v>
      </c>
      <c r="S144" s="242">
        <v>43447</v>
      </c>
      <c r="T144" s="242">
        <v>43524</v>
      </c>
      <c r="U144" s="240" t="s">
        <v>488</v>
      </c>
      <c r="V144" s="240" t="s">
        <v>489</v>
      </c>
      <c r="W144" s="240">
        <v>4</v>
      </c>
      <c r="X144" s="240">
        <v>4</v>
      </c>
      <c r="Y144" s="240">
        <v>3</v>
      </c>
      <c r="Z144" s="240">
        <v>4</v>
      </c>
      <c r="AA144" s="240">
        <v>4</v>
      </c>
      <c r="AB144" s="240">
        <v>4</v>
      </c>
      <c r="AC144" s="240" t="s">
        <v>486</v>
      </c>
      <c r="AD144" s="240" t="s">
        <v>220</v>
      </c>
      <c r="AE144" s="240" t="s">
        <v>512</v>
      </c>
      <c r="AF144" s="240" t="s">
        <v>486</v>
      </c>
      <c r="AG144" s="240" t="s">
        <v>486</v>
      </c>
      <c r="AH144" s="240" t="s">
        <v>490</v>
      </c>
      <c r="AI144" s="240" t="s">
        <v>486</v>
      </c>
      <c r="AJ144" s="240" t="s">
        <v>486</v>
      </c>
      <c r="AK144" s="240" t="s">
        <v>486</v>
      </c>
      <c r="AL144" s="240" t="s">
        <v>486</v>
      </c>
      <c r="AM144" s="240" t="s">
        <v>545</v>
      </c>
      <c r="AN144" s="240" t="s">
        <v>546</v>
      </c>
      <c r="AO144" s="240" t="s">
        <v>231</v>
      </c>
      <c r="AP144" s="240" t="s">
        <v>546</v>
      </c>
      <c r="AQ144" s="240" t="s">
        <v>231</v>
      </c>
      <c r="AR144" s="240" t="s">
        <v>231</v>
      </c>
      <c r="AS144" s="240" t="s">
        <v>231</v>
      </c>
      <c r="AT144" s="240" t="s">
        <v>546</v>
      </c>
      <c r="AU144" s="240" t="s">
        <v>546</v>
      </c>
      <c r="AV144" s="240" t="s">
        <v>231</v>
      </c>
      <c r="AW144" s="240" t="s">
        <v>231</v>
      </c>
      <c r="AX144" s="240" t="s">
        <v>231</v>
      </c>
      <c r="AY144" s="240" t="s">
        <v>231</v>
      </c>
      <c r="AZ144" s="240" t="s">
        <v>231</v>
      </c>
      <c r="BA144" s="240" t="s">
        <v>231</v>
      </c>
      <c r="BB144" s="240" t="s">
        <v>231</v>
      </c>
      <c r="BC144" s="240" t="s">
        <v>231</v>
      </c>
      <c r="BD144" s="240" t="s">
        <v>492</v>
      </c>
      <c r="BE144" s="240" t="s">
        <v>231</v>
      </c>
      <c r="BF144" s="240" t="s">
        <v>231</v>
      </c>
      <c r="BG144" s="240" t="s">
        <v>231</v>
      </c>
      <c r="BH144" s="240" t="s">
        <v>492</v>
      </c>
      <c r="BI144" s="240" t="s">
        <v>492</v>
      </c>
      <c r="BJ144" s="240" t="s">
        <v>492</v>
      </c>
      <c r="BK144" s="240" t="s">
        <v>492</v>
      </c>
      <c r="BL144" s="240" t="s">
        <v>231</v>
      </c>
      <c r="BM144" s="240" t="s">
        <v>231</v>
      </c>
      <c r="BN144" s="240" t="s">
        <v>231</v>
      </c>
      <c r="BO144" s="240" t="s">
        <v>231</v>
      </c>
      <c r="BP144" s="240" t="s">
        <v>232</v>
      </c>
      <c r="BQ144" s="240" t="s">
        <v>232</v>
      </c>
      <c r="BR144" s="240" t="s">
        <v>232</v>
      </c>
      <c r="BS144" s="240" t="s">
        <v>232</v>
      </c>
      <c r="BT144" s="240" t="s">
        <v>232</v>
      </c>
      <c r="BU144" s="240" t="s">
        <v>232</v>
      </c>
      <c r="BV144" s="240" t="s">
        <v>232</v>
      </c>
      <c r="BW144" s="240" t="s">
        <v>232</v>
      </c>
      <c r="BX144" s="240" t="s">
        <v>232</v>
      </c>
      <c r="BY144" s="240" t="s">
        <v>231</v>
      </c>
      <c r="BZ144" s="240" t="s">
        <v>231</v>
      </c>
      <c r="CA144" s="240" t="s">
        <v>231</v>
      </c>
      <c r="CB144" s="240" t="s">
        <v>231</v>
      </c>
      <c r="CC144" s="240" t="s">
        <v>231</v>
      </c>
      <c r="CD144" s="240" t="s">
        <v>231</v>
      </c>
      <c r="CE144" s="240" t="s">
        <v>231</v>
      </c>
      <c r="CF144" s="240" t="s">
        <v>231</v>
      </c>
      <c r="CG144" s="240" t="s">
        <v>231</v>
      </c>
      <c r="CH144" s="240" t="s">
        <v>231</v>
      </c>
      <c r="CI144" s="240" t="s">
        <v>231</v>
      </c>
      <c r="CJ144" s="240" t="s">
        <v>231</v>
      </c>
      <c r="CK144" s="240" t="s">
        <v>231</v>
      </c>
      <c r="CL144" s="240" t="s">
        <v>231</v>
      </c>
      <c r="CM144" s="240" t="s">
        <v>231</v>
      </c>
      <c r="CN144" s="240" t="s">
        <v>231</v>
      </c>
      <c r="CO144" s="240" t="s">
        <v>231</v>
      </c>
      <c r="CP144" s="240" t="s">
        <v>231</v>
      </c>
      <c r="CQ144" s="240" t="s">
        <v>232</v>
      </c>
      <c r="CR144" s="240" t="s">
        <v>232</v>
      </c>
      <c r="CS144" s="240" t="s">
        <v>232</v>
      </c>
      <c r="CT144" s="240" t="s">
        <v>492</v>
      </c>
      <c r="CU144" s="240" t="s">
        <v>492</v>
      </c>
      <c r="CV144" s="240" t="s">
        <v>492</v>
      </c>
      <c r="CW144" s="240" t="s">
        <v>232</v>
      </c>
      <c r="CX144" s="240" t="s">
        <v>231</v>
      </c>
      <c r="CY144" s="240" t="s">
        <v>232</v>
      </c>
      <c r="CZ144" s="240" t="s">
        <v>232</v>
      </c>
      <c r="DA144" s="240" t="s">
        <v>231</v>
      </c>
      <c r="DB144" s="240" t="s">
        <v>231</v>
      </c>
      <c r="DC144" s="240" t="s">
        <v>231</v>
      </c>
      <c r="DD144" s="240" t="s">
        <v>231</v>
      </c>
      <c r="DE144" s="240" t="s">
        <v>231</v>
      </c>
      <c r="DF144" s="240" t="s">
        <v>232</v>
      </c>
      <c r="DG144" s="240" t="s">
        <v>232</v>
      </c>
      <c r="DH144" s="240" t="s">
        <v>232</v>
      </c>
      <c r="DI144" s="240" t="s">
        <v>232</v>
      </c>
      <c r="DJ144" s="240" t="s">
        <v>231</v>
      </c>
      <c r="DK144" s="240" t="s">
        <v>231</v>
      </c>
      <c r="DL144" s="240" t="s">
        <v>231</v>
      </c>
      <c r="DM144" s="240" t="s">
        <v>231</v>
      </c>
      <c r="DN144" s="240" t="s">
        <v>231</v>
      </c>
      <c r="DO144" s="240" t="s">
        <v>231</v>
      </c>
      <c r="DP144" s="240" t="s">
        <v>231</v>
      </c>
      <c r="DQ144" s="240" t="s">
        <v>231</v>
      </c>
      <c r="DR144" s="240" t="s">
        <v>231</v>
      </c>
      <c r="DS144" s="240" t="s">
        <v>231</v>
      </c>
      <c r="DT144" s="240" t="s">
        <v>492</v>
      </c>
      <c r="DU144" s="240" t="s">
        <v>492</v>
      </c>
      <c r="DV144" s="240" t="s">
        <v>492</v>
      </c>
      <c r="DW144" s="240" t="s">
        <v>492</v>
      </c>
      <c r="DX144" s="240" t="s">
        <v>492</v>
      </c>
      <c r="DY144" s="240" t="s">
        <v>492</v>
      </c>
      <c r="DZ144" s="240" t="s">
        <v>492</v>
      </c>
      <c r="EA144" s="240" t="s">
        <v>492</v>
      </c>
      <c r="EB144" s="240" t="s">
        <v>492</v>
      </c>
      <c r="EC144" s="240" t="s">
        <v>492</v>
      </c>
      <c r="ED144" s="240" t="s">
        <v>492</v>
      </c>
      <c r="EE144" s="240" t="s">
        <v>492</v>
      </c>
      <c r="EF144" s="240" t="s">
        <v>492</v>
      </c>
      <c r="EG144" s="240" t="s">
        <v>492</v>
      </c>
      <c r="EH144" s="240" t="s">
        <v>492</v>
      </c>
      <c r="EI144" s="240" t="s">
        <v>492</v>
      </c>
      <c r="EJ144" s="240" t="s">
        <v>492</v>
      </c>
      <c r="EK144" s="240" t="s">
        <v>492</v>
      </c>
      <c r="EL144" s="240" t="s">
        <v>492</v>
      </c>
      <c r="EM144" s="240" t="s">
        <v>492</v>
      </c>
      <c r="EN144" s="240" t="s">
        <v>492</v>
      </c>
      <c r="EO144" s="240" t="s">
        <v>492</v>
      </c>
      <c r="EP144" s="240" t="s">
        <v>492</v>
      </c>
      <c r="EQ144" s="240" t="s">
        <v>492</v>
      </c>
      <c r="ER144" s="240" t="s">
        <v>492</v>
      </c>
      <c r="ES144" s="240" t="s">
        <v>492</v>
      </c>
      <c r="ET144" s="240" t="s">
        <v>492</v>
      </c>
      <c r="EU144" s="240" t="s">
        <v>492</v>
      </c>
      <c r="EV144" s="240" t="s">
        <v>492</v>
      </c>
      <c r="EW144" s="240" t="s">
        <v>492</v>
      </c>
      <c r="EX144" s="240" t="s">
        <v>492</v>
      </c>
      <c r="EY144" s="240" t="s">
        <v>492</v>
      </c>
      <c r="EZ144" s="240" t="s">
        <v>492</v>
      </c>
      <c r="FA144" s="240" t="s">
        <v>492</v>
      </c>
      <c r="FB144" s="240" t="s">
        <v>492</v>
      </c>
      <c r="FC144" s="240" t="s">
        <v>492</v>
      </c>
      <c r="FD144" s="240" t="s">
        <v>492</v>
      </c>
      <c r="FE144" s="240" t="s">
        <v>492</v>
      </c>
      <c r="FF144" s="240" t="s">
        <v>492</v>
      </c>
      <c r="FG144" s="240" t="s">
        <v>492</v>
      </c>
      <c r="FH144" s="240" t="s">
        <v>492</v>
      </c>
      <c r="FI144" s="240" t="s">
        <v>492</v>
      </c>
      <c r="FJ144" s="240" t="s">
        <v>492</v>
      </c>
      <c r="FK144" s="240" t="s">
        <v>492</v>
      </c>
      <c r="FL144" s="240" t="s">
        <v>492</v>
      </c>
      <c r="FM144" s="240" t="s">
        <v>492</v>
      </c>
      <c r="FN144" s="240" t="s">
        <v>492</v>
      </c>
      <c r="FO144" s="240" t="s">
        <v>493</v>
      </c>
      <c r="FP144" s="240" t="s">
        <v>492</v>
      </c>
      <c r="FQ144" s="240" t="s">
        <v>231</v>
      </c>
      <c r="FR144" s="240" t="s">
        <v>231</v>
      </c>
      <c r="FS144" s="240" t="s">
        <v>231</v>
      </c>
      <c r="FT144" s="240" t="s">
        <v>492</v>
      </c>
      <c r="FU144" s="240" t="s">
        <v>231</v>
      </c>
      <c r="FV144" s="240" t="s">
        <v>231</v>
      </c>
      <c r="FW144" s="240" t="s">
        <v>231</v>
      </c>
      <c r="FX144" s="240" t="s">
        <v>492</v>
      </c>
      <c r="FY144" s="240" t="s">
        <v>231</v>
      </c>
      <c r="FZ144" s="240" t="s">
        <v>231</v>
      </c>
      <c r="GA144" s="240" t="s">
        <v>231</v>
      </c>
      <c r="GB144" s="240" t="s">
        <v>231</v>
      </c>
      <c r="GC144" s="240" t="s">
        <v>231</v>
      </c>
      <c r="GD144" s="240" t="s">
        <v>231</v>
      </c>
      <c r="GE144" s="240" t="s">
        <v>231</v>
      </c>
      <c r="GF144" s="240" t="s">
        <v>231</v>
      </c>
      <c r="GG144" s="240" t="s">
        <v>231</v>
      </c>
      <c r="GH144" s="240" t="s">
        <v>231</v>
      </c>
      <c r="GI144" s="240" t="s">
        <v>231</v>
      </c>
      <c r="GJ144" s="240" t="s">
        <v>231</v>
      </c>
      <c r="GK144" s="240" t="s">
        <v>231</v>
      </c>
      <c r="GL144" s="240" t="s">
        <v>231</v>
      </c>
      <c r="GM144" s="240" t="s">
        <v>231</v>
      </c>
      <c r="GN144" s="240" t="s">
        <v>231</v>
      </c>
      <c r="GO144" s="240" t="s">
        <v>231</v>
      </c>
      <c r="GP144" s="240" t="s">
        <v>492</v>
      </c>
      <c r="GQ144" s="240" t="s">
        <v>231</v>
      </c>
      <c r="GR144" s="240" t="s">
        <v>231</v>
      </c>
      <c r="GS144" s="240" t="s">
        <v>231</v>
      </c>
      <c r="GT144" s="240" t="s">
        <v>231</v>
      </c>
      <c r="GU144" s="240" t="s">
        <v>231</v>
      </c>
      <c r="GV144" s="240" t="s">
        <v>231</v>
      </c>
      <c r="GW144" s="240" t="s">
        <v>231</v>
      </c>
      <c r="GX144" s="240" t="s">
        <v>231</v>
      </c>
      <c r="GY144" s="240" t="s">
        <v>492</v>
      </c>
      <c r="GZ144" s="240" t="s">
        <v>492</v>
      </c>
      <c r="HA144" s="240" t="s">
        <v>492</v>
      </c>
      <c r="HB144" s="240" t="s">
        <v>232</v>
      </c>
      <c r="HC144" s="240" t="s">
        <v>231</v>
      </c>
      <c r="HD144" s="240" t="s">
        <v>231</v>
      </c>
      <c r="HE144" s="240" t="s">
        <v>231</v>
      </c>
      <c r="HF144" s="240" t="s">
        <v>492</v>
      </c>
      <c r="HG144" s="240" t="s">
        <v>232</v>
      </c>
      <c r="HH144" s="240" t="s">
        <v>231</v>
      </c>
      <c r="HI144" s="240" t="s">
        <v>231</v>
      </c>
      <c r="HJ144" s="240" t="s">
        <v>231</v>
      </c>
      <c r="HK144" s="240" t="s">
        <v>231</v>
      </c>
      <c r="HL144" s="240" t="s">
        <v>231</v>
      </c>
      <c r="HM144" s="240" t="s">
        <v>231</v>
      </c>
      <c r="HN144" s="240" t="s">
        <v>231</v>
      </c>
      <c r="HO144" s="240" t="s">
        <v>231</v>
      </c>
      <c r="HP144" s="240" t="s">
        <v>231</v>
      </c>
      <c r="HQ144" s="240" t="s">
        <v>231</v>
      </c>
      <c r="HR144" s="240" t="s">
        <v>492</v>
      </c>
      <c r="HS144" s="240" t="s">
        <v>492</v>
      </c>
      <c r="HT144" s="240" t="s">
        <v>492</v>
      </c>
      <c r="HU144" s="240" t="s">
        <v>232</v>
      </c>
      <c r="HV144" s="240" t="s">
        <v>231</v>
      </c>
      <c r="HW144" s="240" t="s">
        <v>231</v>
      </c>
      <c r="HX144" s="240" t="s">
        <v>231</v>
      </c>
      <c r="HY144" s="240" t="s">
        <v>231</v>
      </c>
      <c r="HZ144" s="240" t="s">
        <v>232</v>
      </c>
      <c r="IA144" s="240" t="s">
        <v>232</v>
      </c>
      <c r="IB144" s="240" t="s">
        <v>232</v>
      </c>
      <c r="IC144" s="240" t="s">
        <v>232</v>
      </c>
      <c r="ID144" s="240" t="s">
        <v>232</v>
      </c>
      <c r="IE144" s="240" t="s">
        <v>232</v>
      </c>
      <c r="IF144" s="240" t="s">
        <v>232</v>
      </c>
      <c r="IG144" s="240" t="s">
        <v>232</v>
      </c>
      <c r="IH144" s="240" t="s">
        <v>232</v>
      </c>
      <c r="II144" s="240" t="s">
        <v>232</v>
      </c>
      <c r="IJ144" s="240" t="s">
        <v>231</v>
      </c>
      <c r="IK144" s="240" t="s">
        <v>232</v>
      </c>
      <c r="IL144" s="240" t="s">
        <v>232</v>
      </c>
      <c r="IM144" s="240" t="s">
        <v>232</v>
      </c>
      <c r="IN144" s="240" t="s">
        <v>232</v>
      </c>
      <c r="IO144" s="240" t="s">
        <v>220</v>
      </c>
      <c r="IP144" s="240" t="s">
        <v>493</v>
      </c>
      <c r="IQ144" s="240" t="s">
        <v>219</v>
      </c>
      <c r="IR144" s="240" t="s">
        <v>490</v>
      </c>
      <c r="IS144" s="240" t="s">
        <v>231</v>
      </c>
      <c r="IT144" s="240" t="s">
        <v>231</v>
      </c>
    </row>
    <row r="145" spans="1:254" ht="15" x14ac:dyDescent="0.25">
      <c r="A145" s="258" t="str">
        <f>HYPERLINK("http://www.ofsted.gov.uk/inspection-reports/find-inspection-report/provider/ELS/131016 ","Ofsted School Webpage")</f>
        <v>Ofsted School Webpage</v>
      </c>
      <c r="B145" s="237">
        <v>131016</v>
      </c>
      <c r="C145" s="237">
        <v>9336195</v>
      </c>
      <c r="D145" s="237" t="s">
        <v>871</v>
      </c>
      <c r="E145" s="237" t="s">
        <v>248</v>
      </c>
      <c r="F145" s="237" t="s">
        <v>501</v>
      </c>
      <c r="G145" s="237" t="s">
        <v>483</v>
      </c>
      <c r="H145" s="237" t="s">
        <v>483</v>
      </c>
      <c r="I145" s="237" t="s">
        <v>531</v>
      </c>
      <c r="J145" s="237" t="s">
        <v>872</v>
      </c>
      <c r="K145" s="237" t="s">
        <v>93</v>
      </c>
      <c r="L145" s="237" t="s">
        <v>93</v>
      </c>
      <c r="M145" s="237" t="s">
        <v>93</v>
      </c>
      <c r="N145" s="237" t="s">
        <v>90</v>
      </c>
      <c r="O145" s="237" t="s">
        <v>486</v>
      </c>
      <c r="P145" s="237" t="s">
        <v>487</v>
      </c>
      <c r="Q145" s="238">
        <v>10053774</v>
      </c>
      <c r="R145" s="239">
        <v>43445</v>
      </c>
      <c r="S145" s="239">
        <v>43447</v>
      </c>
      <c r="T145" s="239">
        <v>43488</v>
      </c>
      <c r="U145" s="237" t="s">
        <v>624</v>
      </c>
      <c r="V145" s="237" t="s">
        <v>489</v>
      </c>
      <c r="W145" s="237">
        <v>2</v>
      </c>
      <c r="X145" s="237">
        <v>2</v>
      </c>
      <c r="Y145" s="237">
        <v>2</v>
      </c>
      <c r="Z145" s="237">
        <v>2</v>
      </c>
      <c r="AA145" s="237">
        <v>2</v>
      </c>
      <c r="AB145" s="237" t="s">
        <v>486</v>
      </c>
      <c r="AC145" s="237">
        <v>2</v>
      </c>
      <c r="AD145" s="237" t="s">
        <v>219</v>
      </c>
      <c r="AE145" s="237" t="s">
        <v>490</v>
      </c>
      <c r="AF145" s="237" t="s">
        <v>486</v>
      </c>
      <c r="AG145" s="237" t="s">
        <v>486</v>
      </c>
      <c r="AH145" s="237" t="s">
        <v>486</v>
      </c>
      <c r="AI145" s="237" t="s">
        <v>486</v>
      </c>
      <c r="AJ145" s="237" t="s">
        <v>486</v>
      </c>
      <c r="AK145" s="237" t="s">
        <v>486</v>
      </c>
      <c r="AL145" s="237" t="s">
        <v>486</v>
      </c>
      <c r="AM145" s="237" t="s">
        <v>491</v>
      </c>
      <c r="AN145" s="237" t="s">
        <v>231</v>
      </c>
      <c r="AO145" s="237" t="s">
        <v>231</v>
      </c>
      <c r="AP145" s="237" t="s">
        <v>231</v>
      </c>
      <c r="AQ145" s="237" t="s">
        <v>231</v>
      </c>
      <c r="AR145" s="237" t="s">
        <v>231</v>
      </c>
      <c r="AS145" s="237" t="s">
        <v>231</v>
      </c>
      <c r="AT145" s="237" t="s">
        <v>231</v>
      </c>
      <c r="AU145" s="237" t="s">
        <v>231</v>
      </c>
      <c r="AV145" s="237" t="s">
        <v>231</v>
      </c>
      <c r="AW145" s="237" t="s">
        <v>231</v>
      </c>
      <c r="AX145" s="237" t="s">
        <v>231</v>
      </c>
      <c r="AY145" s="237" t="s">
        <v>231</v>
      </c>
      <c r="AZ145" s="237" t="s">
        <v>231</v>
      </c>
      <c r="BA145" s="237" t="s">
        <v>231</v>
      </c>
      <c r="BB145" s="237" t="s">
        <v>231</v>
      </c>
      <c r="BC145" s="237" t="s">
        <v>231</v>
      </c>
      <c r="BD145" s="237" t="s">
        <v>231</v>
      </c>
      <c r="BE145" s="237" t="s">
        <v>231</v>
      </c>
      <c r="BF145" s="237" t="s">
        <v>231</v>
      </c>
      <c r="BG145" s="237" t="s">
        <v>231</v>
      </c>
      <c r="BH145" s="237" t="s">
        <v>231</v>
      </c>
      <c r="BI145" s="237" t="s">
        <v>231</v>
      </c>
      <c r="BJ145" s="237" t="s">
        <v>231</v>
      </c>
      <c r="BK145" s="237" t="s">
        <v>231</v>
      </c>
      <c r="BL145" s="237" t="s">
        <v>492</v>
      </c>
      <c r="BM145" s="237" t="s">
        <v>231</v>
      </c>
      <c r="BN145" s="237" t="s">
        <v>231</v>
      </c>
      <c r="BO145" s="237" t="s">
        <v>231</v>
      </c>
      <c r="BP145" s="237" t="s">
        <v>231</v>
      </c>
      <c r="BQ145" s="237" t="s">
        <v>231</v>
      </c>
      <c r="BR145" s="237" t="s">
        <v>231</v>
      </c>
      <c r="BS145" s="237" t="s">
        <v>231</v>
      </c>
      <c r="BT145" s="237" t="s">
        <v>231</v>
      </c>
      <c r="BU145" s="237" t="s">
        <v>231</v>
      </c>
      <c r="BV145" s="237" t="s">
        <v>231</v>
      </c>
      <c r="BW145" s="237" t="s">
        <v>231</v>
      </c>
      <c r="BX145" s="237" t="s">
        <v>231</v>
      </c>
      <c r="BY145" s="237" t="s">
        <v>231</v>
      </c>
      <c r="BZ145" s="237" t="s">
        <v>231</v>
      </c>
      <c r="CA145" s="237" t="s">
        <v>231</v>
      </c>
      <c r="CB145" s="237" t="s">
        <v>231</v>
      </c>
      <c r="CC145" s="237" t="s">
        <v>231</v>
      </c>
      <c r="CD145" s="237" t="s">
        <v>231</v>
      </c>
      <c r="CE145" s="237" t="s">
        <v>231</v>
      </c>
      <c r="CF145" s="237" t="s">
        <v>231</v>
      </c>
      <c r="CG145" s="237" t="s">
        <v>231</v>
      </c>
      <c r="CH145" s="237" t="s">
        <v>231</v>
      </c>
      <c r="CI145" s="237" t="s">
        <v>231</v>
      </c>
      <c r="CJ145" s="237" t="s">
        <v>231</v>
      </c>
      <c r="CK145" s="237" t="s">
        <v>231</v>
      </c>
      <c r="CL145" s="237" t="s">
        <v>231</v>
      </c>
      <c r="CM145" s="237" t="s">
        <v>231</v>
      </c>
      <c r="CN145" s="237" t="s">
        <v>231</v>
      </c>
      <c r="CO145" s="237" t="s">
        <v>231</v>
      </c>
      <c r="CP145" s="237" t="s">
        <v>231</v>
      </c>
      <c r="CQ145" s="237" t="s">
        <v>231</v>
      </c>
      <c r="CR145" s="237" t="s">
        <v>231</v>
      </c>
      <c r="CS145" s="237" t="s">
        <v>231</v>
      </c>
      <c r="CT145" s="237" t="s">
        <v>231</v>
      </c>
      <c r="CU145" s="237" t="s">
        <v>231</v>
      </c>
      <c r="CV145" s="237" t="s">
        <v>231</v>
      </c>
      <c r="CW145" s="237" t="s">
        <v>231</v>
      </c>
      <c r="CX145" s="237" t="s">
        <v>231</v>
      </c>
      <c r="CY145" s="237" t="s">
        <v>231</v>
      </c>
      <c r="CZ145" s="237" t="s">
        <v>231</v>
      </c>
      <c r="DA145" s="237" t="s">
        <v>231</v>
      </c>
      <c r="DB145" s="237" t="s">
        <v>231</v>
      </c>
      <c r="DC145" s="237" t="s">
        <v>231</v>
      </c>
      <c r="DD145" s="237" t="s">
        <v>231</v>
      </c>
      <c r="DE145" s="237" t="s">
        <v>231</v>
      </c>
      <c r="DF145" s="237" t="s">
        <v>231</v>
      </c>
      <c r="DG145" s="237" t="s">
        <v>231</v>
      </c>
      <c r="DH145" s="237" t="s">
        <v>231</v>
      </c>
      <c r="DI145" s="237" t="s">
        <v>231</v>
      </c>
      <c r="DJ145" s="237" t="s">
        <v>231</v>
      </c>
      <c r="DK145" s="237" t="s">
        <v>231</v>
      </c>
      <c r="DL145" s="237" t="s">
        <v>231</v>
      </c>
      <c r="DM145" s="237" t="s">
        <v>231</v>
      </c>
      <c r="DN145" s="237" t="s">
        <v>231</v>
      </c>
      <c r="DO145" s="237" t="s">
        <v>231</v>
      </c>
      <c r="DP145" s="237" t="s">
        <v>231</v>
      </c>
      <c r="DQ145" s="237" t="s">
        <v>231</v>
      </c>
      <c r="DR145" s="237" t="s">
        <v>231</v>
      </c>
      <c r="DS145" s="237" t="s">
        <v>231</v>
      </c>
      <c r="DT145" s="237" t="s">
        <v>231</v>
      </c>
      <c r="DU145" s="237" t="s">
        <v>231</v>
      </c>
      <c r="DV145" s="237" t="s">
        <v>492</v>
      </c>
      <c r="DW145" s="237" t="s">
        <v>492</v>
      </c>
      <c r="DX145" s="237" t="s">
        <v>492</v>
      </c>
      <c r="DY145" s="237" t="s">
        <v>492</v>
      </c>
      <c r="DZ145" s="237" t="s">
        <v>492</v>
      </c>
      <c r="EA145" s="237" t="s">
        <v>492</v>
      </c>
      <c r="EB145" s="237" t="s">
        <v>492</v>
      </c>
      <c r="EC145" s="237" t="s">
        <v>492</v>
      </c>
      <c r="ED145" s="237" t="s">
        <v>492</v>
      </c>
      <c r="EE145" s="237" t="s">
        <v>492</v>
      </c>
      <c r="EF145" s="237" t="s">
        <v>492</v>
      </c>
      <c r="EG145" s="237" t="s">
        <v>492</v>
      </c>
      <c r="EH145" s="237" t="s">
        <v>492</v>
      </c>
      <c r="EI145" s="237" t="s">
        <v>492</v>
      </c>
      <c r="EJ145" s="237" t="s">
        <v>231</v>
      </c>
      <c r="EK145" s="237" t="s">
        <v>231</v>
      </c>
      <c r="EL145" s="237" t="s">
        <v>231</v>
      </c>
      <c r="EM145" s="237" t="s">
        <v>231</v>
      </c>
      <c r="EN145" s="237" t="s">
        <v>231</v>
      </c>
      <c r="EO145" s="237" t="s">
        <v>231</v>
      </c>
      <c r="EP145" s="237" t="s">
        <v>231</v>
      </c>
      <c r="EQ145" s="237" t="s">
        <v>231</v>
      </c>
      <c r="ER145" s="237" t="s">
        <v>231</v>
      </c>
      <c r="ES145" s="237" t="s">
        <v>231</v>
      </c>
      <c r="ET145" s="237" t="s">
        <v>231</v>
      </c>
      <c r="EU145" s="237" t="s">
        <v>231</v>
      </c>
      <c r="EV145" s="237" t="s">
        <v>231</v>
      </c>
      <c r="EW145" s="237" t="s">
        <v>231</v>
      </c>
      <c r="EX145" s="237" t="s">
        <v>231</v>
      </c>
      <c r="EY145" s="237" t="s">
        <v>231</v>
      </c>
      <c r="EZ145" s="237" t="s">
        <v>231</v>
      </c>
      <c r="FA145" s="237" t="s">
        <v>231</v>
      </c>
      <c r="FB145" s="237" t="s">
        <v>231</v>
      </c>
      <c r="FC145" s="237" t="s">
        <v>231</v>
      </c>
      <c r="FD145" s="237" t="s">
        <v>231</v>
      </c>
      <c r="FE145" s="237" t="s">
        <v>231</v>
      </c>
      <c r="FF145" s="237" t="s">
        <v>231</v>
      </c>
      <c r="FG145" s="237" t="s">
        <v>492</v>
      </c>
      <c r="FH145" s="237" t="s">
        <v>492</v>
      </c>
      <c r="FI145" s="237" t="s">
        <v>492</v>
      </c>
      <c r="FJ145" s="237" t="s">
        <v>492</v>
      </c>
      <c r="FK145" s="237" t="s">
        <v>492</v>
      </c>
      <c r="FL145" s="237" t="s">
        <v>492</v>
      </c>
      <c r="FM145" s="237" t="s">
        <v>231</v>
      </c>
      <c r="FN145" s="237" t="s">
        <v>231</v>
      </c>
      <c r="FO145" s="237" t="s">
        <v>231</v>
      </c>
      <c r="FP145" s="237" t="s">
        <v>231</v>
      </c>
      <c r="FQ145" s="237" t="s">
        <v>231</v>
      </c>
      <c r="FR145" s="237" t="s">
        <v>231</v>
      </c>
      <c r="FS145" s="237" t="s">
        <v>231</v>
      </c>
      <c r="FT145" s="237" t="s">
        <v>231</v>
      </c>
      <c r="FU145" s="237" t="s">
        <v>231</v>
      </c>
      <c r="FV145" s="237" t="s">
        <v>231</v>
      </c>
      <c r="FW145" s="237" t="s">
        <v>231</v>
      </c>
      <c r="FX145" s="237" t="s">
        <v>231</v>
      </c>
      <c r="FY145" s="237" t="s">
        <v>231</v>
      </c>
      <c r="FZ145" s="237" t="s">
        <v>231</v>
      </c>
      <c r="GA145" s="237" t="s">
        <v>231</v>
      </c>
      <c r="GB145" s="237" t="s">
        <v>231</v>
      </c>
      <c r="GC145" s="237" t="s">
        <v>231</v>
      </c>
      <c r="GD145" s="237" t="s">
        <v>231</v>
      </c>
      <c r="GE145" s="237" t="s">
        <v>231</v>
      </c>
      <c r="GF145" s="237" t="s">
        <v>231</v>
      </c>
      <c r="GG145" s="237" t="s">
        <v>231</v>
      </c>
      <c r="GH145" s="237" t="s">
        <v>231</v>
      </c>
      <c r="GI145" s="237" t="s">
        <v>231</v>
      </c>
      <c r="GJ145" s="237" t="s">
        <v>231</v>
      </c>
      <c r="GK145" s="237" t="s">
        <v>231</v>
      </c>
      <c r="GL145" s="237" t="s">
        <v>231</v>
      </c>
      <c r="GM145" s="237" t="s">
        <v>231</v>
      </c>
      <c r="GN145" s="237" t="s">
        <v>231</v>
      </c>
      <c r="GO145" s="237" t="s">
        <v>231</v>
      </c>
      <c r="GP145" s="237" t="s">
        <v>231</v>
      </c>
      <c r="GQ145" s="237" t="s">
        <v>231</v>
      </c>
      <c r="GR145" s="237" t="s">
        <v>231</v>
      </c>
      <c r="GS145" s="237" t="s">
        <v>231</v>
      </c>
      <c r="GT145" s="237" t="s">
        <v>231</v>
      </c>
      <c r="GU145" s="237" t="s">
        <v>231</v>
      </c>
      <c r="GV145" s="237" t="s">
        <v>231</v>
      </c>
      <c r="GW145" s="237" t="s">
        <v>231</v>
      </c>
      <c r="GX145" s="237" t="s">
        <v>231</v>
      </c>
      <c r="GY145" s="237" t="s">
        <v>231</v>
      </c>
      <c r="GZ145" s="237" t="s">
        <v>231</v>
      </c>
      <c r="HA145" s="237" t="s">
        <v>492</v>
      </c>
      <c r="HB145" s="237" t="s">
        <v>231</v>
      </c>
      <c r="HC145" s="237" t="s">
        <v>231</v>
      </c>
      <c r="HD145" s="237" t="s">
        <v>231</v>
      </c>
      <c r="HE145" s="237" t="s">
        <v>492</v>
      </c>
      <c r="HF145" s="237" t="s">
        <v>231</v>
      </c>
      <c r="HG145" s="237" t="s">
        <v>231</v>
      </c>
      <c r="HH145" s="237" t="s">
        <v>231</v>
      </c>
      <c r="HI145" s="237" t="s">
        <v>231</v>
      </c>
      <c r="HJ145" s="237" t="s">
        <v>231</v>
      </c>
      <c r="HK145" s="237" t="s">
        <v>231</v>
      </c>
      <c r="HL145" s="237" t="s">
        <v>231</v>
      </c>
      <c r="HM145" s="237" t="s">
        <v>231</v>
      </c>
      <c r="HN145" s="237" t="s">
        <v>231</v>
      </c>
      <c r="HO145" s="237" t="s">
        <v>231</v>
      </c>
      <c r="HP145" s="237" t="s">
        <v>231</v>
      </c>
      <c r="HQ145" s="237" t="s">
        <v>492</v>
      </c>
      <c r="HR145" s="237" t="s">
        <v>492</v>
      </c>
      <c r="HS145" s="237" t="s">
        <v>492</v>
      </c>
      <c r="HT145" s="237" t="s">
        <v>492</v>
      </c>
      <c r="HU145" s="237" t="s">
        <v>231</v>
      </c>
      <c r="HV145" s="237" t="s">
        <v>231</v>
      </c>
      <c r="HW145" s="237" t="s">
        <v>231</v>
      </c>
      <c r="HX145" s="237" t="s">
        <v>231</v>
      </c>
      <c r="HY145" s="237" t="s">
        <v>231</v>
      </c>
      <c r="HZ145" s="237" t="s">
        <v>231</v>
      </c>
      <c r="IA145" s="237" t="s">
        <v>231</v>
      </c>
      <c r="IB145" s="237" t="s">
        <v>231</v>
      </c>
      <c r="IC145" s="237" t="s">
        <v>231</v>
      </c>
      <c r="ID145" s="237" t="s">
        <v>231</v>
      </c>
      <c r="IE145" s="237" t="s">
        <v>231</v>
      </c>
      <c r="IF145" s="237" t="s">
        <v>231</v>
      </c>
      <c r="IG145" s="237" t="s">
        <v>231</v>
      </c>
      <c r="IH145" s="237" t="s">
        <v>231</v>
      </c>
      <c r="II145" s="237" t="s">
        <v>231</v>
      </c>
      <c r="IJ145" s="237" t="s">
        <v>231</v>
      </c>
      <c r="IK145" s="237" t="s">
        <v>231</v>
      </c>
      <c r="IL145" s="237" t="s">
        <v>231</v>
      </c>
      <c r="IM145" s="237" t="s">
        <v>231</v>
      </c>
      <c r="IN145" s="237" t="s">
        <v>231</v>
      </c>
      <c r="IO145" s="237" t="s">
        <v>219</v>
      </c>
      <c r="IP145" s="237" t="s">
        <v>219</v>
      </c>
      <c r="IQ145" s="237" t="s">
        <v>219</v>
      </c>
      <c r="IR145" s="237" t="s">
        <v>490</v>
      </c>
      <c r="IS145" s="237" t="s">
        <v>492</v>
      </c>
      <c r="IT145" s="237" t="s">
        <v>492</v>
      </c>
    </row>
    <row r="146" spans="1:254" ht="15" x14ac:dyDescent="0.25">
      <c r="A146" s="259" t="str">
        <f>HYPERLINK("http://www.ofsted.gov.uk/inspection-reports/find-inspection-report/provider/ELS/132099 ","Ofsted School Webpage")</f>
        <v>Ofsted School Webpage</v>
      </c>
      <c r="B146" s="240">
        <v>132099</v>
      </c>
      <c r="C146" s="240">
        <v>3826021</v>
      </c>
      <c r="D146" s="240" t="s">
        <v>873</v>
      </c>
      <c r="E146" s="240" t="s">
        <v>247</v>
      </c>
      <c r="F146" s="240" t="s">
        <v>482</v>
      </c>
      <c r="G146" s="240" t="s">
        <v>523</v>
      </c>
      <c r="H146" s="240" t="s">
        <v>524</v>
      </c>
      <c r="I146" s="240" t="s">
        <v>767</v>
      </c>
      <c r="J146" s="240" t="s">
        <v>874</v>
      </c>
      <c r="K146" s="240" t="s">
        <v>93</v>
      </c>
      <c r="L146" s="240" t="s">
        <v>84</v>
      </c>
      <c r="M146" s="240" t="s">
        <v>84</v>
      </c>
      <c r="N146" s="240" t="s">
        <v>84</v>
      </c>
      <c r="O146" s="240" t="s">
        <v>486</v>
      </c>
      <c r="P146" s="240" t="s">
        <v>487</v>
      </c>
      <c r="Q146" s="241">
        <v>10055378</v>
      </c>
      <c r="R146" s="242">
        <v>43445</v>
      </c>
      <c r="S146" s="242">
        <v>43447</v>
      </c>
      <c r="T146" s="242">
        <v>43515</v>
      </c>
      <c r="U146" s="240" t="s">
        <v>488</v>
      </c>
      <c r="V146" s="240" t="s">
        <v>489</v>
      </c>
      <c r="W146" s="240">
        <v>4</v>
      </c>
      <c r="X146" s="240">
        <v>4</v>
      </c>
      <c r="Y146" s="240">
        <v>4</v>
      </c>
      <c r="Z146" s="240">
        <v>1</v>
      </c>
      <c r="AA146" s="240">
        <v>1</v>
      </c>
      <c r="AB146" s="240">
        <v>4</v>
      </c>
      <c r="AC146" s="240" t="s">
        <v>486</v>
      </c>
      <c r="AD146" s="240" t="s">
        <v>220</v>
      </c>
      <c r="AE146" s="240" t="s">
        <v>490</v>
      </c>
      <c r="AF146" s="240" t="s">
        <v>486</v>
      </c>
      <c r="AG146" s="240" t="s">
        <v>486</v>
      </c>
      <c r="AH146" s="240" t="s">
        <v>486</v>
      </c>
      <c r="AI146" s="240" t="s">
        <v>486</v>
      </c>
      <c r="AJ146" s="240" t="s">
        <v>486</v>
      </c>
      <c r="AK146" s="240" t="s">
        <v>486</v>
      </c>
      <c r="AL146" s="240" t="s">
        <v>486</v>
      </c>
      <c r="AM146" s="240" t="s">
        <v>545</v>
      </c>
      <c r="AN146" s="240" t="s">
        <v>231</v>
      </c>
      <c r="AO146" s="240" t="s">
        <v>231</v>
      </c>
      <c r="AP146" s="240" t="s">
        <v>546</v>
      </c>
      <c r="AQ146" s="240" t="s">
        <v>231</v>
      </c>
      <c r="AR146" s="240" t="s">
        <v>231</v>
      </c>
      <c r="AS146" s="240" t="s">
        <v>231</v>
      </c>
      <c r="AT146" s="240" t="s">
        <v>231</v>
      </c>
      <c r="AU146" s="240" t="s">
        <v>546</v>
      </c>
      <c r="AV146" s="240" t="s">
        <v>231</v>
      </c>
      <c r="AW146" s="240" t="s">
        <v>231</v>
      </c>
      <c r="AX146" s="240" t="s">
        <v>231</v>
      </c>
      <c r="AY146" s="240" t="s">
        <v>231</v>
      </c>
      <c r="AZ146" s="240" t="s">
        <v>231</v>
      </c>
      <c r="BA146" s="240" t="s">
        <v>231</v>
      </c>
      <c r="BB146" s="240" t="s">
        <v>231</v>
      </c>
      <c r="BC146" s="240" t="s">
        <v>231</v>
      </c>
      <c r="BD146" s="240" t="s">
        <v>492</v>
      </c>
      <c r="BE146" s="240" t="s">
        <v>231</v>
      </c>
      <c r="BF146" s="240" t="s">
        <v>231</v>
      </c>
      <c r="BG146" s="240" t="s">
        <v>231</v>
      </c>
      <c r="BH146" s="240" t="s">
        <v>492</v>
      </c>
      <c r="BI146" s="240" t="s">
        <v>492</v>
      </c>
      <c r="BJ146" s="240" t="s">
        <v>492</v>
      </c>
      <c r="BK146" s="240" t="s">
        <v>492</v>
      </c>
      <c r="BL146" s="240" t="s">
        <v>231</v>
      </c>
      <c r="BM146" s="240" t="s">
        <v>492</v>
      </c>
      <c r="BN146" s="240" t="s">
        <v>231</v>
      </c>
      <c r="BO146" s="240" t="s">
        <v>231</v>
      </c>
      <c r="BP146" s="240" t="s">
        <v>231</v>
      </c>
      <c r="BQ146" s="240" t="s">
        <v>231</v>
      </c>
      <c r="BR146" s="240" t="s">
        <v>231</v>
      </c>
      <c r="BS146" s="240" t="s">
        <v>231</v>
      </c>
      <c r="BT146" s="240" t="s">
        <v>231</v>
      </c>
      <c r="BU146" s="240" t="s">
        <v>231</v>
      </c>
      <c r="BV146" s="240" t="s">
        <v>231</v>
      </c>
      <c r="BW146" s="240" t="s">
        <v>231</v>
      </c>
      <c r="BX146" s="240" t="s">
        <v>231</v>
      </c>
      <c r="BY146" s="240" t="s">
        <v>231</v>
      </c>
      <c r="BZ146" s="240" t="s">
        <v>231</v>
      </c>
      <c r="CA146" s="240" t="s">
        <v>231</v>
      </c>
      <c r="CB146" s="240" t="s">
        <v>231</v>
      </c>
      <c r="CC146" s="240" t="s">
        <v>231</v>
      </c>
      <c r="CD146" s="240" t="s">
        <v>231</v>
      </c>
      <c r="CE146" s="240" t="s">
        <v>231</v>
      </c>
      <c r="CF146" s="240" t="s">
        <v>231</v>
      </c>
      <c r="CG146" s="240" t="s">
        <v>231</v>
      </c>
      <c r="CH146" s="240" t="s">
        <v>231</v>
      </c>
      <c r="CI146" s="240" t="s">
        <v>231</v>
      </c>
      <c r="CJ146" s="240" t="s">
        <v>231</v>
      </c>
      <c r="CK146" s="240" t="s">
        <v>231</v>
      </c>
      <c r="CL146" s="240" t="s">
        <v>231</v>
      </c>
      <c r="CM146" s="240" t="s">
        <v>231</v>
      </c>
      <c r="CN146" s="240" t="s">
        <v>231</v>
      </c>
      <c r="CO146" s="240" t="s">
        <v>231</v>
      </c>
      <c r="CP146" s="240" t="s">
        <v>231</v>
      </c>
      <c r="CQ146" s="240" t="s">
        <v>232</v>
      </c>
      <c r="CR146" s="240" t="s">
        <v>232</v>
      </c>
      <c r="CS146" s="240" t="s">
        <v>232</v>
      </c>
      <c r="CT146" s="240" t="s">
        <v>492</v>
      </c>
      <c r="CU146" s="240" t="s">
        <v>492</v>
      </c>
      <c r="CV146" s="240" t="s">
        <v>492</v>
      </c>
      <c r="CW146" s="240" t="s">
        <v>231</v>
      </c>
      <c r="CX146" s="240" t="s">
        <v>231</v>
      </c>
      <c r="CY146" s="240" t="s">
        <v>231</v>
      </c>
      <c r="CZ146" s="240" t="s">
        <v>231</v>
      </c>
      <c r="DA146" s="240" t="s">
        <v>231</v>
      </c>
      <c r="DB146" s="240" t="s">
        <v>231</v>
      </c>
      <c r="DC146" s="240" t="s">
        <v>231</v>
      </c>
      <c r="DD146" s="240" t="s">
        <v>231</v>
      </c>
      <c r="DE146" s="240" t="s">
        <v>231</v>
      </c>
      <c r="DF146" s="240" t="s">
        <v>231</v>
      </c>
      <c r="DG146" s="240" t="s">
        <v>231</v>
      </c>
      <c r="DH146" s="240" t="s">
        <v>231</v>
      </c>
      <c r="DI146" s="240" t="s">
        <v>231</v>
      </c>
      <c r="DJ146" s="240" t="s">
        <v>231</v>
      </c>
      <c r="DK146" s="240" t="s">
        <v>231</v>
      </c>
      <c r="DL146" s="240" t="s">
        <v>231</v>
      </c>
      <c r="DM146" s="240" t="s">
        <v>231</v>
      </c>
      <c r="DN146" s="240" t="s">
        <v>231</v>
      </c>
      <c r="DO146" s="240" t="s">
        <v>231</v>
      </c>
      <c r="DP146" s="240" t="s">
        <v>231</v>
      </c>
      <c r="DQ146" s="240" t="s">
        <v>231</v>
      </c>
      <c r="DR146" s="240" t="s">
        <v>231</v>
      </c>
      <c r="DS146" s="240" t="s">
        <v>231</v>
      </c>
      <c r="DT146" s="240" t="s">
        <v>231</v>
      </c>
      <c r="DU146" s="240" t="s">
        <v>231</v>
      </c>
      <c r="DV146" s="240" t="s">
        <v>492</v>
      </c>
      <c r="DW146" s="240" t="s">
        <v>492</v>
      </c>
      <c r="DX146" s="240" t="s">
        <v>492</v>
      </c>
      <c r="DY146" s="240" t="s">
        <v>492</v>
      </c>
      <c r="DZ146" s="240" t="s">
        <v>492</v>
      </c>
      <c r="EA146" s="240" t="s">
        <v>492</v>
      </c>
      <c r="EB146" s="240" t="s">
        <v>492</v>
      </c>
      <c r="EC146" s="240" t="s">
        <v>492</v>
      </c>
      <c r="ED146" s="240" t="s">
        <v>492</v>
      </c>
      <c r="EE146" s="240" t="s">
        <v>492</v>
      </c>
      <c r="EF146" s="240" t="s">
        <v>492</v>
      </c>
      <c r="EG146" s="240" t="s">
        <v>492</v>
      </c>
      <c r="EH146" s="240" t="s">
        <v>492</v>
      </c>
      <c r="EI146" s="240" t="s">
        <v>492</v>
      </c>
      <c r="EJ146" s="240" t="s">
        <v>231</v>
      </c>
      <c r="EK146" s="240" t="s">
        <v>231</v>
      </c>
      <c r="EL146" s="240" t="s">
        <v>231</v>
      </c>
      <c r="EM146" s="240" t="s">
        <v>231</v>
      </c>
      <c r="EN146" s="240" t="s">
        <v>231</v>
      </c>
      <c r="EO146" s="240" t="s">
        <v>231</v>
      </c>
      <c r="EP146" s="240" t="s">
        <v>231</v>
      </c>
      <c r="EQ146" s="240" t="s">
        <v>492</v>
      </c>
      <c r="ER146" s="240" t="s">
        <v>231</v>
      </c>
      <c r="ES146" s="240" t="s">
        <v>231</v>
      </c>
      <c r="ET146" s="240" t="s">
        <v>231</v>
      </c>
      <c r="EU146" s="240" t="s">
        <v>231</v>
      </c>
      <c r="EV146" s="240" t="s">
        <v>231</v>
      </c>
      <c r="EW146" s="240" t="s">
        <v>231</v>
      </c>
      <c r="EX146" s="240" t="s">
        <v>231</v>
      </c>
      <c r="EY146" s="240" t="s">
        <v>231</v>
      </c>
      <c r="EZ146" s="240" t="s">
        <v>231</v>
      </c>
      <c r="FA146" s="240" t="s">
        <v>231</v>
      </c>
      <c r="FB146" s="240" t="s">
        <v>231</v>
      </c>
      <c r="FC146" s="240" t="s">
        <v>231</v>
      </c>
      <c r="FD146" s="240" t="s">
        <v>231</v>
      </c>
      <c r="FE146" s="240" t="s">
        <v>231</v>
      </c>
      <c r="FF146" s="240" t="s">
        <v>231</v>
      </c>
      <c r="FG146" s="240" t="s">
        <v>231</v>
      </c>
      <c r="FH146" s="240" t="s">
        <v>231</v>
      </c>
      <c r="FI146" s="240" t="s">
        <v>231</v>
      </c>
      <c r="FJ146" s="240" t="s">
        <v>231</v>
      </c>
      <c r="FK146" s="240" t="s">
        <v>231</v>
      </c>
      <c r="FL146" s="240" t="s">
        <v>231</v>
      </c>
      <c r="FM146" s="240" t="s">
        <v>231</v>
      </c>
      <c r="FN146" s="240" t="s">
        <v>231</v>
      </c>
      <c r="FO146" s="240" t="s">
        <v>231</v>
      </c>
      <c r="FP146" s="240" t="s">
        <v>231</v>
      </c>
      <c r="FQ146" s="240" t="s">
        <v>231</v>
      </c>
      <c r="FR146" s="240" t="s">
        <v>231</v>
      </c>
      <c r="FS146" s="240" t="s">
        <v>231</v>
      </c>
      <c r="FT146" s="240" t="s">
        <v>231</v>
      </c>
      <c r="FU146" s="240" t="s">
        <v>231</v>
      </c>
      <c r="FV146" s="240" t="s">
        <v>231</v>
      </c>
      <c r="FW146" s="240" t="s">
        <v>231</v>
      </c>
      <c r="FX146" s="240" t="s">
        <v>231</v>
      </c>
      <c r="FY146" s="240" t="s">
        <v>231</v>
      </c>
      <c r="FZ146" s="240" t="s">
        <v>231</v>
      </c>
      <c r="GA146" s="240" t="s">
        <v>231</v>
      </c>
      <c r="GB146" s="240" t="s">
        <v>231</v>
      </c>
      <c r="GC146" s="240" t="s">
        <v>231</v>
      </c>
      <c r="GD146" s="240" t="s">
        <v>231</v>
      </c>
      <c r="GE146" s="240" t="s">
        <v>231</v>
      </c>
      <c r="GF146" s="240" t="s">
        <v>231</v>
      </c>
      <c r="GG146" s="240" t="s">
        <v>231</v>
      </c>
      <c r="GH146" s="240" t="s">
        <v>231</v>
      </c>
      <c r="GI146" s="240" t="s">
        <v>231</v>
      </c>
      <c r="GJ146" s="240" t="s">
        <v>231</v>
      </c>
      <c r="GK146" s="240" t="s">
        <v>231</v>
      </c>
      <c r="GL146" s="240" t="s">
        <v>231</v>
      </c>
      <c r="GM146" s="240" t="s">
        <v>231</v>
      </c>
      <c r="GN146" s="240" t="s">
        <v>231</v>
      </c>
      <c r="GO146" s="240" t="s">
        <v>231</v>
      </c>
      <c r="GP146" s="240" t="s">
        <v>492</v>
      </c>
      <c r="GQ146" s="240" t="s">
        <v>231</v>
      </c>
      <c r="GR146" s="240" t="s">
        <v>231</v>
      </c>
      <c r="GS146" s="240" t="s">
        <v>231</v>
      </c>
      <c r="GT146" s="240" t="s">
        <v>231</v>
      </c>
      <c r="GU146" s="240" t="s">
        <v>231</v>
      </c>
      <c r="GV146" s="240" t="s">
        <v>231</v>
      </c>
      <c r="GW146" s="240" t="s">
        <v>231</v>
      </c>
      <c r="GX146" s="240" t="s">
        <v>231</v>
      </c>
      <c r="GY146" s="240" t="s">
        <v>231</v>
      </c>
      <c r="GZ146" s="240" t="s">
        <v>231</v>
      </c>
      <c r="HA146" s="240" t="s">
        <v>231</v>
      </c>
      <c r="HB146" s="240" t="s">
        <v>231</v>
      </c>
      <c r="HC146" s="240" t="s">
        <v>231</v>
      </c>
      <c r="HD146" s="240" t="s">
        <v>231</v>
      </c>
      <c r="HE146" s="240" t="s">
        <v>231</v>
      </c>
      <c r="HF146" s="240" t="s">
        <v>231</v>
      </c>
      <c r="HG146" s="240" t="s">
        <v>231</v>
      </c>
      <c r="HH146" s="240" t="s">
        <v>231</v>
      </c>
      <c r="HI146" s="240" t="s">
        <v>231</v>
      </c>
      <c r="HJ146" s="240" t="s">
        <v>231</v>
      </c>
      <c r="HK146" s="240" t="s">
        <v>231</v>
      </c>
      <c r="HL146" s="240" t="s">
        <v>231</v>
      </c>
      <c r="HM146" s="240" t="s">
        <v>231</v>
      </c>
      <c r="HN146" s="240" t="s">
        <v>231</v>
      </c>
      <c r="HO146" s="240" t="s">
        <v>231</v>
      </c>
      <c r="HP146" s="240" t="s">
        <v>231</v>
      </c>
      <c r="HQ146" s="240" t="s">
        <v>231</v>
      </c>
      <c r="HR146" s="240" t="s">
        <v>492</v>
      </c>
      <c r="HS146" s="240" t="s">
        <v>492</v>
      </c>
      <c r="HT146" s="240" t="s">
        <v>492</v>
      </c>
      <c r="HU146" s="240" t="s">
        <v>231</v>
      </c>
      <c r="HV146" s="240" t="s">
        <v>231</v>
      </c>
      <c r="HW146" s="240" t="s">
        <v>231</v>
      </c>
      <c r="HX146" s="240" t="s">
        <v>231</v>
      </c>
      <c r="HY146" s="240" t="s">
        <v>231</v>
      </c>
      <c r="HZ146" s="240" t="s">
        <v>231</v>
      </c>
      <c r="IA146" s="240" t="s">
        <v>231</v>
      </c>
      <c r="IB146" s="240" t="s">
        <v>231</v>
      </c>
      <c r="IC146" s="240" t="s">
        <v>231</v>
      </c>
      <c r="ID146" s="240" t="s">
        <v>231</v>
      </c>
      <c r="IE146" s="240" t="s">
        <v>231</v>
      </c>
      <c r="IF146" s="240" t="s">
        <v>231</v>
      </c>
      <c r="IG146" s="240" t="s">
        <v>231</v>
      </c>
      <c r="IH146" s="240" t="s">
        <v>231</v>
      </c>
      <c r="II146" s="240" t="s">
        <v>231</v>
      </c>
      <c r="IJ146" s="240" t="s">
        <v>231</v>
      </c>
      <c r="IK146" s="240" t="s">
        <v>232</v>
      </c>
      <c r="IL146" s="240" t="s">
        <v>232</v>
      </c>
      <c r="IM146" s="240" t="s">
        <v>232</v>
      </c>
      <c r="IN146" s="240" t="s">
        <v>232</v>
      </c>
      <c r="IO146" s="240" t="s">
        <v>220</v>
      </c>
      <c r="IP146" s="240" t="s">
        <v>493</v>
      </c>
      <c r="IQ146" s="240" t="s">
        <v>219</v>
      </c>
      <c r="IR146" s="240" t="s">
        <v>490</v>
      </c>
      <c r="IS146" s="240" t="s">
        <v>232</v>
      </c>
      <c r="IT146" s="240" t="s">
        <v>231</v>
      </c>
    </row>
    <row r="147" spans="1:254" ht="15" x14ac:dyDescent="0.25">
      <c r="A147" s="258" t="str">
        <f>HYPERLINK("http://www.ofsted.gov.uk/inspection-reports/find-inspection-report/provider/ELS/145465 ","Ofsted School Webpage")</f>
        <v>Ofsted School Webpage</v>
      </c>
      <c r="B147" s="237">
        <v>145465</v>
      </c>
      <c r="C147" s="237">
        <v>9096009</v>
      </c>
      <c r="D147" s="237" t="s">
        <v>875</v>
      </c>
      <c r="E147" s="237" t="s">
        <v>247</v>
      </c>
      <c r="F147" s="237" t="s">
        <v>482</v>
      </c>
      <c r="G147" s="237" t="s">
        <v>495</v>
      </c>
      <c r="H147" s="237" t="s">
        <v>495</v>
      </c>
      <c r="I147" s="237" t="s">
        <v>663</v>
      </c>
      <c r="J147" s="237" t="s">
        <v>876</v>
      </c>
      <c r="K147" s="237" t="s">
        <v>93</v>
      </c>
      <c r="L147" s="237" t="s">
        <v>93</v>
      </c>
      <c r="M147" s="237" t="s">
        <v>93</v>
      </c>
      <c r="N147" s="237" t="s">
        <v>90</v>
      </c>
      <c r="O147" s="237" t="s">
        <v>486</v>
      </c>
      <c r="P147" s="237" t="s">
        <v>487</v>
      </c>
      <c r="Q147" s="238">
        <v>10056437</v>
      </c>
      <c r="R147" s="239">
        <v>43445</v>
      </c>
      <c r="S147" s="239">
        <v>43447</v>
      </c>
      <c r="T147" s="239">
        <v>43481</v>
      </c>
      <c r="U147" s="237" t="s">
        <v>499</v>
      </c>
      <c r="V147" s="237" t="s">
        <v>489</v>
      </c>
      <c r="W147" s="237">
        <v>3</v>
      </c>
      <c r="X147" s="237">
        <v>3</v>
      </c>
      <c r="Y147" s="237">
        <v>2</v>
      </c>
      <c r="Z147" s="237">
        <v>3</v>
      </c>
      <c r="AA147" s="237">
        <v>3</v>
      </c>
      <c r="AB147" s="237" t="s">
        <v>486</v>
      </c>
      <c r="AC147" s="237" t="s">
        <v>486</v>
      </c>
      <c r="AD147" s="237" t="s">
        <v>219</v>
      </c>
      <c r="AE147" s="237" t="s">
        <v>490</v>
      </c>
      <c r="AF147" s="237" t="s">
        <v>486</v>
      </c>
      <c r="AG147" s="237" t="s">
        <v>486</v>
      </c>
      <c r="AH147" s="237" t="s">
        <v>486</v>
      </c>
      <c r="AI147" s="237" t="s">
        <v>486</v>
      </c>
      <c r="AJ147" s="237" t="s">
        <v>486</v>
      </c>
      <c r="AK147" s="237" t="s">
        <v>486</v>
      </c>
      <c r="AL147" s="237" t="s">
        <v>486</v>
      </c>
      <c r="AM147" s="237" t="s">
        <v>491</v>
      </c>
      <c r="AN147" s="237" t="s">
        <v>231</v>
      </c>
      <c r="AO147" s="237" t="s">
        <v>231</v>
      </c>
      <c r="AP147" s="237" t="s">
        <v>231</v>
      </c>
      <c r="AQ147" s="237" t="s">
        <v>231</v>
      </c>
      <c r="AR147" s="237" t="s">
        <v>231</v>
      </c>
      <c r="AS147" s="237" t="s">
        <v>231</v>
      </c>
      <c r="AT147" s="237" t="s">
        <v>231</v>
      </c>
      <c r="AU147" s="237" t="s">
        <v>231</v>
      </c>
      <c r="AV147" s="237" t="s">
        <v>231</v>
      </c>
      <c r="AW147" s="237" t="s">
        <v>231</v>
      </c>
      <c r="AX147" s="237" t="s">
        <v>231</v>
      </c>
      <c r="AY147" s="237" t="s">
        <v>231</v>
      </c>
      <c r="AZ147" s="237" t="s">
        <v>231</v>
      </c>
      <c r="BA147" s="237" t="s">
        <v>231</v>
      </c>
      <c r="BB147" s="237" t="s">
        <v>231</v>
      </c>
      <c r="BC147" s="237" t="s">
        <v>231</v>
      </c>
      <c r="BD147" s="237" t="s">
        <v>492</v>
      </c>
      <c r="BE147" s="237" t="s">
        <v>231</v>
      </c>
      <c r="BF147" s="237" t="s">
        <v>231</v>
      </c>
      <c r="BG147" s="237" t="s">
        <v>231</v>
      </c>
      <c r="BH147" s="237" t="s">
        <v>231</v>
      </c>
      <c r="BI147" s="237" t="s">
        <v>231</v>
      </c>
      <c r="BJ147" s="237" t="s">
        <v>231</v>
      </c>
      <c r="BK147" s="237" t="s">
        <v>231</v>
      </c>
      <c r="BL147" s="237" t="s">
        <v>492</v>
      </c>
      <c r="BM147" s="237" t="s">
        <v>231</v>
      </c>
      <c r="BN147" s="237" t="s">
        <v>231</v>
      </c>
      <c r="BO147" s="237" t="s">
        <v>231</v>
      </c>
      <c r="BP147" s="237" t="s">
        <v>231</v>
      </c>
      <c r="BQ147" s="237" t="s">
        <v>231</v>
      </c>
      <c r="BR147" s="237" t="s">
        <v>231</v>
      </c>
      <c r="BS147" s="237" t="s">
        <v>231</v>
      </c>
      <c r="BT147" s="237" t="s">
        <v>231</v>
      </c>
      <c r="BU147" s="237" t="s">
        <v>231</v>
      </c>
      <c r="BV147" s="237" t="s">
        <v>231</v>
      </c>
      <c r="BW147" s="237" t="s">
        <v>231</v>
      </c>
      <c r="BX147" s="237" t="s">
        <v>231</v>
      </c>
      <c r="BY147" s="237" t="s">
        <v>231</v>
      </c>
      <c r="BZ147" s="237" t="s">
        <v>231</v>
      </c>
      <c r="CA147" s="237" t="s">
        <v>231</v>
      </c>
      <c r="CB147" s="237" t="s">
        <v>231</v>
      </c>
      <c r="CC147" s="237" t="s">
        <v>231</v>
      </c>
      <c r="CD147" s="237" t="s">
        <v>231</v>
      </c>
      <c r="CE147" s="237" t="s">
        <v>231</v>
      </c>
      <c r="CF147" s="237" t="s">
        <v>231</v>
      </c>
      <c r="CG147" s="237" t="s">
        <v>231</v>
      </c>
      <c r="CH147" s="237" t="s">
        <v>231</v>
      </c>
      <c r="CI147" s="237" t="s">
        <v>231</v>
      </c>
      <c r="CJ147" s="237" t="s">
        <v>231</v>
      </c>
      <c r="CK147" s="237" t="s">
        <v>231</v>
      </c>
      <c r="CL147" s="237" t="s">
        <v>231</v>
      </c>
      <c r="CM147" s="237" t="s">
        <v>231</v>
      </c>
      <c r="CN147" s="237" t="s">
        <v>231</v>
      </c>
      <c r="CO147" s="237" t="s">
        <v>231</v>
      </c>
      <c r="CP147" s="237" t="s">
        <v>231</v>
      </c>
      <c r="CQ147" s="237" t="s">
        <v>231</v>
      </c>
      <c r="CR147" s="237" t="s">
        <v>231</v>
      </c>
      <c r="CS147" s="237" t="s">
        <v>231</v>
      </c>
      <c r="CT147" s="237" t="s">
        <v>492</v>
      </c>
      <c r="CU147" s="237" t="s">
        <v>492</v>
      </c>
      <c r="CV147" s="237" t="s">
        <v>492</v>
      </c>
      <c r="CW147" s="237" t="s">
        <v>231</v>
      </c>
      <c r="CX147" s="237" t="s">
        <v>231</v>
      </c>
      <c r="CY147" s="237" t="s">
        <v>231</v>
      </c>
      <c r="CZ147" s="237" t="s">
        <v>231</v>
      </c>
      <c r="DA147" s="237" t="s">
        <v>231</v>
      </c>
      <c r="DB147" s="237" t="s">
        <v>231</v>
      </c>
      <c r="DC147" s="237" t="s">
        <v>231</v>
      </c>
      <c r="DD147" s="237" t="s">
        <v>231</v>
      </c>
      <c r="DE147" s="237" t="s">
        <v>231</v>
      </c>
      <c r="DF147" s="237" t="s">
        <v>231</v>
      </c>
      <c r="DG147" s="237" t="s">
        <v>231</v>
      </c>
      <c r="DH147" s="237" t="s">
        <v>231</v>
      </c>
      <c r="DI147" s="237" t="s">
        <v>231</v>
      </c>
      <c r="DJ147" s="237" t="s">
        <v>231</v>
      </c>
      <c r="DK147" s="237" t="s">
        <v>231</v>
      </c>
      <c r="DL147" s="237" t="s">
        <v>231</v>
      </c>
      <c r="DM147" s="237" t="s">
        <v>231</v>
      </c>
      <c r="DN147" s="237" t="s">
        <v>231</v>
      </c>
      <c r="DO147" s="237" t="s">
        <v>231</v>
      </c>
      <c r="DP147" s="237" t="s">
        <v>231</v>
      </c>
      <c r="DQ147" s="237" t="s">
        <v>231</v>
      </c>
      <c r="DR147" s="237" t="s">
        <v>231</v>
      </c>
      <c r="DS147" s="237" t="s">
        <v>492</v>
      </c>
      <c r="DT147" s="237" t="s">
        <v>492</v>
      </c>
      <c r="DU147" s="237" t="s">
        <v>231</v>
      </c>
      <c r="DV147" s="237" t="s">
        <v>492</v>
      </c>
      <c r="DW147" s="237" t="s">
        <v>492</v>
      </c>
      <c r="DX147" s="237" t="s">
        <v>492</v>
      </c>
      <c r="DY147" s="237" t="s">
        <v>492</v>
      </c>
      <c r="DZ147" s="237" t="s">
        <v>492</v>
      </c>
      <c r="EA147" s="237" t="s">
        <v>492</v>
      </c>
      <c r="EB147" s="237" t="s">
        <v>492</v>
      </c>
      <c r="EC147" s="237" t="s">
        <v>492</v>
      </c>
      <c r="ED147" s="237" t="s">
        <v>492</v>
      </c>
      <c r="EE147" s="237" t="s">
        <v>492</v>
      </c>
      <c r="EF147" s="237" t="s">
        <v>492</v>
      </c>
      <c r="EG147" s="237" t="s">
        <v>492</v>
      </c>
      <c r="EH147" s="237" t="s">
        <v>492</v>
      </c>
      <c r="EI147" s="237" t="s">
        <v>231</v>
      </c>
      <c r="EJ147" s="237" t="s">
        <v>231</v>
      </c>
      <c r="EK147" s="237" t="s">
        <v>231</v>
      </c>
      <c r="EL147" s="237" t="s">
        <v>231</v>
      </c>
      <c r="EM147" s="237" t="s">
        <v>231</v>
      </c>
      <c r="EN147" s="237" t="s">
        <v>231</v>
      </c>
      <c r="EO147" s="237" t="s">
        <v>231</v>
      </c>
      <c r="EP147" s="237" t="s">
        <v>231</v>
      </c>
      <c r="EQ147" s="237" t="s">
        <v>492</v>
      </c>
      <c r="ER147" s="237" t="s">
        <v>231</v>
      </c>
      <c r="ES147" s="237" t="s">
        <v>231</v>
      </c>
      <c r="ET147" s="237" t="s">
        <v>231</v>
      </c>
      <c r="EU147" s="237" t="s">
        <v>231</v>
      </c>
      <c r="EV147" s="237" t="s">
        <v>231</v>
      </c>
      <c r="EW147" s="237" t="s">
        <v>231</v>
      </c>
      <c r="EX147" s="237" t="s">
        <v>231</v>
      </c>
      <c r="EY147" s="237" t="s">
        <v>231</v>
      </c>
      <c r="EZ147" s="237" t="s">
        <v>231</v>
      </c>
      <c r="FA147" s="237" t="s">
        <v>231</v>
      </c>
      <c r="FB147" s="237" t="s">
        <v>231</v>
      </c>
      <c r="FC147" s="237" t="s">
        <v>492</v>
      </c>
      <c r="FD147" s="237" t="s">
        <v>492</v>
      </c>
      <c r="FE147" s="237" t="s">
        <v>231</v>
      </c>
      <c r="FF147" s="237" t="s">
        <v>231</v>
      </c>
      <c r="FG147" s="237" t="s">
        <v>492</v>
      </c>
      <c r="FH147" s="237" t="s">
        <v>492</v>
      </c>
      <c r="FI147" s="237" t="s">
        <v>492</v>
      </c>
      <c r="FJ147" s="237" t="s">
        <v>492</v>
      </c>
      <c r="FK147" s="237" t="s">
        <v>492</v>
      </c>
      <c r="FL147" s="237" t="s">
        <v>492</v>
      </c>
      <c r="FM147" s="237" t="s">
        <v>231</v>
      </c>
      <c r="FN147" s="237" t="s">
        <v>231</v>
      </c>
      <c r="FO147" s="237" t="s">
        <v>231</v>
      </c>
      <c r="FP147" s="237" t="s">
        <v>231</v>
      </c>
      <c r="FQ147" s="237" t="s">
        <v>231</v>
      </c>
      <c r="FR147" s="237" t="s">
        <v>231</v>
      </c>
      <c r="FS147" s="237" t="s">
        <v>231</v>
      </c>
      <c r="FT147" s="237" t="s">
        <v>231</v>
      </c>
      <c r="FU147" s="237" t="s">
        <v>231</v>
      </c>
      <c r="FV147" s="237" t="s">
        <v>231</v>
      </c>
      <c r="FW147" s="237" t="s">
        <v>231</v>
      </c>
      <c r="FX147" s="237" t="s">
        <v>492</v>
      </c>
      <c r="FY147" s="237" t="s">
        <v>231</v>
      </c>
      <c r="FZ147" s="237" t="s">
        <v>231</v>
      </c>
      <c r="GA147" s="237" t="s">
        <v>231</v>
      </c>
      <c r="GB147" s="237" t="s">
        <v>231</v>
      </c>
      <c r="GC147" s="237" t="s">
        <v>231</v>
      </c>
      <c r="GD147" s="237" t="s">
        <v>231</v>
      </c>
      <c r="GE147" s="237" t="s">
        <v>231</v>
      </c>
      <c r="GF147" s="237" t="s">
        <v>231</v>
      </c>
      <c r="GG147" s="237" t="s">
        <v>231</v>
      </c>
      <c r="GH147" s="237" t="s">
        <v>231</v>
      </c>
      <c r="GI147" s="237" t="s">
        <v>231</v>
      </c>
      <c r="GJ147" s="237" t="s">
        <v>231</v>
      </c>
      <c r="GK147" s="237" t="s">
        <v>231</v>
      </c>
      <c r="GL147" s="237" t="s">
        <v>231</v>
      </c>
      <c r="GM147" s="237" t="s">
        <v>231</v>
      </c>
      <c r="GN147" s="237" t="s">
        <v>231</v>
      </c>
      <c r="GO147" s="237" t="s">
        <v>231</v>
      </c>
      <c r="GP147" s="237" t="s">
        <v>492</v>
      </c>
      <c r="GQ147" s="237" t="s">
        <v>231</v>
      </c>
      <c r="GR147" s="237" t="s">
        <v>231</v>
      </c>
      <c r="GS147" s="237" t="s">
        <v>231</v>
      </c>
      <c r="GT147" s="237" t="s">
        <v>231</v>
      </c>
      <c r="GU147" s="237" t="s">
        <v>492</v>
      </c>
      <c r="GV147" s="237" t="s">
        <v>492</v>
      </c>
      <c r="GW147" s="237" t="s">
        <v>231</v>
      </c>
      <c r="GX147" s="237" t="s">
        <v>231</v>
      </c>
      <c r="GY147" s="237" t="s">
        <v>231</v>
      </c>
      <c r="GZ147" s="237" t="s">
        <v>231</v>
      </c>
      <c r="HA147" s="237" t="s">
        <v>492</v>
      </c>
      <c r="HB147" s="237" t="s">
        <v>231</v>
      </c>
      <c r="HC147" s="237" t="s">
        <v>231</v>
      </c>
      <c r="HD147" s="237" t="s">
        <v>231</v>
      </c>
      <c r="HE147" s="237" t="s">
        <v>492</v>
      </c>
      <c r="HF147" s="237" t="s">
        <v>231</v>
      </c>
      <c r="HG147" s="237" t="s">
        <v>492</v>
      </c>
      <c r="HH147" s="237" t="s">
        <v>231</v>
      </c>
      <c r="HI147" s="237" t="s">
        <v>231</v>
      </c>
      <c r="HJ147" s="237" t="s">
        <v>231</v>
      </c>
      <c r="HK147" s="237" t="s">
        <v>231</v>
      </c>
      <c r="HL147" s="237" t="s">
        <v>231</v>
      </c>
      <c r="HM147" s="237" t="s">
        <v>231</v>
      </c>
      <c r="HN147" s="237" t="s">
        <v>492</v>
      </c>
      <c r="HO147" s="237" t="s">
        <v>231</v>
      </c>
      <c r="HP147" s="237" t="s">
        <v>492</v>
      </c>
      <c r="HQ147" s="237" t="s">
        <v>492</v>
      </c>
      <c r="HR147" s="237" t="s">
        <v>492</v>
      </c>
      <c r="HS147" s="237" t="s">
        <v>492</v>
      </c>
      <c r="HT147" s="237" t="s">
        <v>492</v>
      </c>
      <c r="HU147" s="237" t="s">
        <v>231</v>
      </c>
      <c r="HV147" s="237" t="s">
        <v>231</v>
      </c>
      <c r="HW147" s="237" t="s">
        <v>231</v>
      </c>
      <c r="HX147" s="237" t="s">
        <v>231</v>
      </c>
      <c r="HY147" s="237" t="s">
        <v>231</v>
      </c>
      <c r="HZ147" s="237" t="s">
        <v>231</v>
      </c>
      <c r="IA147" s="237" t="s">
        <v>231</v>
      </c>
      <c r="IB147" s="237" t="s">
        <v>231</v>
      </c>
      <c r="IC147" s="237" t="s">
        <v>231</v>
      </c>
      <c r="ID147" s="237" t="s">
        <v>231</v>
      </c>
      <c r="IE147" s="237" t="s">
        <v>231</v>
      </c>
      <c r="IF147" s="237" t="s">
        <v>231</v>
      </c>
      <c r="IG147" s="237" t="s">
        <v>231</v>
      </c>
      <c r="IH147" s="237" t="s">
        <v>231</v>
      </c>
      <c r="II147" s="237" t="s">
        <v>231</v>
      </c>
      <c r="IJ147" s="237" t="s">
        <v>231</v>
      </c>
      <c r="IK147" s="237" t="s">
        <v>231</v>
      </c>
      <c r="IL147" s="237" t="s">
        <v>231</v>
      </c>
      <c r="IM147" s="237" t="s">
        <v>231</v>
      </c>
      <c r="IN147" s="237" t="s">
        <v>231</v>
      </c>
      <c r="IO147" s="237" t="s">
        <v>220</v>
      </c>
      <c r="IP147" s="237" t="s">
        <v>493</v>
      </c>
      <c r="IQ147" s="237" t="s">
        <v>219</v>
      </c>
      <c r="IR147" s="237" t="s">
        <v>490</v>
      </c>
      <c r="IS147" s="237" t="s">
        <v>492</v>
      </c>
      <c r="IT147" s="237" t="s">
        <v>492</v>
      </c>
    </row>
    <row r="148" spans="1:254" ht="15" x14ac:dyDescent="0.25">
      <c r="A148" s="259" t="str">
        <f>HYPERLINK("http://www.ofsted.gov.uk/inspection-reports/find-inspection-report/provider/ELS/109342 ","Ofsted School Webpage")</f>
        <v>Ofsted School Webpage</v>
      </c>
      <c r="B148" s="240">
        <v>109342</v>
      </c>
      <c r="C148" s="240">
        <v>8016008</v>
      </c>
      <c r="D148" s="240" t="s">
        <v>877</v>
      </c>
      <c r="E148" s="240" t="s">
        <v>248</v>
      </c>
      <c r="F148" s="240" t="s">
        <v>501</v>
      </c>
      <c r="G148" s="240" t="s">
        <v>483</v>
      </c>
      <c r="H148" s="240" t="s">
        <v>483</v>
      </c>
      <c r="I148" s="240" t="s">
        <v>564</v>
      </c>
      <c r="J148" s="240" t="s">
        <v>878</v>
      </c>
      <c r="K148" s="240" t="s">
        <v>93</v>
      </c>
      <c r="L148" s="240" t="s">
        <v>93</v>
      </c>
      <c r="M148" s="240" t="s">
        <v>93</v>
      </c>
      <c r="N148" s="240" t="s">
        <v>90</v>
      </c>
      <c r="O148" s="240" t="s">
        <v>486</v>
      </c>
      <c r="P148" s="240" t="s">
        <v>487</v>
      </c>
      <c r="Q148" s="241">
        <v>10056301</v>
      </c>
      <c r="R148" s="242">
        <v>43445</v>
      </c>
      <c r="S148" s="242">
        <v>43447</v>
      </c>
      <c r="T148" s="242">
        <v>43488</v>
      </c>
      <c r="U148" s="240" t="s">
        <v>2930</v>
      </c>
      <c r="V148" s="240" t="s">
        <v>489</v>
      </c>
      <c r="W148" s="240">
        <v>3</v>
      </c>
      <c r="X148" s="240">
        <v>3</v>
      </c>
      <c r="Y148" s="240">
        <v>3</v>
      </c>
      <c r="Z148" s="240">
        <v>3</v>
      </c>
      <c r="AA148" s="240">
        <v>3</v>
      </c>
      <c r="AB148" s="240" t="s">
        <v>486</v>
      </c>
      <c r="AC148" s="240">
        <v>3</v>
      </c>
      <c r="AD148" s="240" t="s">
        <v>219</v>
      </c>
      <c r="AE148" s="240" t="s">
        <v>512</v>
      </c>
      <c r="AF148" s="240" t="s">
        <v>490</v>
      </c>
      <c r="AG148" s="240" t="s">
        <v>486</v>
      </c>
      <c r="AH148" s="240" t="s">
        <v>486</v>
      </c>
      <c r="AI148" s="240" t="s">
        <v>486</v>
      </c>
      <c r="AJ148" s="240" t="s">
        <v>486</v>
      </c>
      <c r="AK148" s="240" t="s">
        <v>486</v>
      </c>
      <c r="AL148" s="240" t="s">
        <v>486</v>
      </c>
      <c r="AM148" s="240" t="s">
        <v>491</v>
      </c>
      <c r="AN148" s="240" t="s">
        <v>231</v>
      </c>
      <c r="AO148" s="240" t="s">
        <v>231</v>
      </c>
      <c r="AP148" s="240" t="s">
        <v>231</v>
      </c>
      <c r="AQ148" s="240" t="s">
        <v>231</v>
      </c>
      <c r="AR148" s="240" t="s">
        <v>231</v>
      </c>
      <c r="AS148" s="240" t="s">
        <v>231</v>
      </c>
      <c r="AT148" s="240" t="s">
        <v>231</v>
      </c>
      <c r="AU148" s="240" t="s">
        <v>231</v>
      </c>
      <c r="AV148" s="240" t="s">
        <v>231</v>
      </c>
      <c r="AW148" s="240" t="s">
        <v>231</v>
      </c>
      <c r="AX148" s="240" t="s">
        <v>231</v>
      </c>
      <c r="AY148" s="240" t="s">
        <v>231</v>
      </c>
      <c r="AZ148" s="240" t="s">
        <v>231</v>
      </c>
      <c r="BA148" s="240" t="s">
        <v>231</v>
      </c>
      <c r="BB148" s="240" t="s">
        <v>231</v>
      </c>
      <c r="BC148" s="240" t="s">
        <v>231</v>
      </c>
      <c r="BD148" s="240" t="s">
        <v>492</v>
      </c>
      <c r="BE148" s="240" t="s">
        <v>231</v>
      </c>
      <c r="BF148" s="240" t="s">
        <v>231</v>
      </c>
      <c r="BG148" s="240" t="s">
        <v>231</v>
      </c>
      <c r="BH148" s="240" t="s">
        <v>231</v>
      </c>
      <c r="BI148" s="240" t="s">
        <v>231</v>
      </c>
      <c r="BJ148" s="240" t="s">
        <v>231</v>
      </c>
      <c r="BK148" s="240" t="s">
        <v>231</v>
      </c>
      <c r="BL148" s="240" t="s">
        <v>492</v>
      </c>
      <c r="BM148" s="240" t="s">
        <v>231</v>
      </c>
      <c r="BN148" s="240" t="s">
        <v>231</v>
      </c>
      <c r="BO148" s="240" t="s">
        <v>231</v>
      </c>
      <c r="BP148" s="240" t="s">
        <v>231</v>
      </c>
      <c r="BQ148" s="240" t="s">
        <v>231</v>
      </c>
      <c r="BR148" s="240" t="s">
        <v>231</v>
      </c>
      <c r="BS148" s="240" t="s">
        <v>231</v>
      </c>
      <c r="BT148" s="240" t="s">
        <v>231</v>
      </c>
      <c r="BU148" s="240" t="s">
        <v>231</v>
      </c>
      <c r="BV148" s="240" t="s">
        <v>231</v>
      </c>
      <c r="BW148" s="240" t="s">
        <v>231</v>
      </c>
      <c r="BX148" s="240" t="s">
        <v>231</v>
      </c>
      <c r="BY148" s="240" t="s">
        <v>231</v>
      </c>
      <c r="BZ148" s="240" t="s">
        <v>231</v>
      </c>
      <c r="CA148" s="240" t="s">
        <v>231</v>
      </c>
      <c r="CB148" s="240" t="s">
        <v>231</v>
      </c>
      <c r="CC148" s="240" t="s">
        <v>231</v>
      </c>
      <c r="CD148" s="240" t="s">
        <v>231</v>
      </c>
      <c r="CE148" s="240" t="s">
        <v>231</v>
      </c>
      <c r="CF148" s="240" t="s">
        <v>231</v>
      </c>
      <c r="CG148" s="240" t="s">
        <v>231</v>
      </c>
      <c r="CH148" s="240" t="s">
        <v>231</v>
      </c>
      <c r="CI148" s="240" t="s">
        <v>231</v>
      </c>
      <c r="CJ148" s="240" t="s">
        <v>231</v>
      </c>
      <c r="CK148" s="240" t="s">
        <v>231</v>
      </c>
      <c r="CL148" s="240" t="s">
        <v>231</v>
      </c>
      <c r="CM148" s="240" t="s">
        <v>231</v>
      </c>
      <c r="CN148" s="240" t="s">
        <v>231</v>
      </c>
      <c r="CO148" s="240" t="s">
        <v>231</v>
      </c>
      <c r="CP148" s="240" t="s">
        <v>231</v>
      </c>
      <c r="CQ148" s="240" t="s">
        <v>231</v>
      </c>
      <c r="CR148" s="240" t="s">
        <v>231</v>
      </c>
      <c r="CS148" s="240" t="s">
        <v>231</v>
      </c>
      <c r="CT148" s="240" t="s">
        <v>231</v>
      </c>
      <c r="CU148" s="240" t="s">
        <v>492</v>
      </c>
      <c r="CV148" s="240" t="s">
        <v>492</v>
      </c>
      <c r="CW148" s="240" t="s">
        <v>231</v>
      </c>
      <c r="CX148" s="240" t="s">
        <v>231</v>
      </c>
      <c r="CY148" s="240" t="s">
        <v>231</v>
      </c>
      <c r="CZ148" s="240" t="s">
        <v>231</v>
      </c>
      <c r="DA148" s="240" t="s">
        <v>231</v>
      </c>
      <c r="DB148" s="240" t="s">
        <v>231</v>
      </c>
      <c r="DC148" s="240" t="s">
        <v>231</v>
      </c>
      <c r="DD148" s="240" t="s">
        <v>231</v>
      </c>
      <c r="DE148" s="240" t="s">
        <v>231</v>
      </c>
      <c r="DF148" s="240" t="s">
        <v>231</v>
      </c>
      <c r="DG148" s="240" t="s">
        <v>231</v>
      </c>
      <c r="DH148" s="240" t="s">
        <v>231</v>
      </c>
      <c r="DI148" s="240" t="s">
        <v>231</v>
      </c>
      <c r="DJ148" s="240" t="s">
        <v>231</v>
      </c>
      <c r="DK148" s="240" t="s">
        <v>231</v>
      </c>
      <c r="DL148" s="240" t="s">
        <v>231</v>
      </c>
      <c r="DM148" s="240" t="s">
        <v>231</v>
      </c>
      <c r="DN148" s="240" t="s">
        <v>231</v>
      </c>
      <c r="DO148" s="240" t="s">
        <v>231</v>
      </c>
      <c r="DP148" s="240" t="s">
        <v>231</v>
      </c>
      <c r="DQ148" s="240" t="s">
        <v>231</v>
      </c>
      <c r="DR148" s="240" t="s">
        <v>231</v>
      </c>
      <c r="DS148" s="240" t="s">
        <v>231</v>
      </c>
      <c r="DT148" s="240" t="s">
        <v>492</v>
      </c>
      <c r="DU148" s="240" t="s">
        <v>231</v>
      </c>
      <c r="DV148" s="240" t="s">
        <v>231</v>
      </c>
      <c r="DW148" s="240" t="s">
        <v>231</v>
      </c>
      <c r="DX148" s="240" t="s">
        <v>231</v>
      </c>
      <c r="DY148" s="240" t="s">
        <v>231</v>
      </c>
      <c r="DZ148" s="240" t="s">
        <v>231</v>
      </c>
      <c r="EA148" s="240" t="s">
        <v>231</v>
      </c>
      <c r="EB148" s="240" t="s">
        <v>231</v>
      </c>
      <c r="EC148" s="240" t="s">
        <v>231</v>
      </c>
      <c r="ED148" s="240" t="s">
        <v>231</v>
      </c>
      <c r="EE148" s="240" t="s">
        <v>231</v>
      </c>
      <c r="EF148" s="240" t="s">
        <v>231</v>
      </c>
      <c r="EG148" s="240" t="s">
        <v>231</v>
      </c>
      <c r="EH148" s="240" t="s">
        <v>492</v>
      </c>
      <c r="EI148" s="240" t="s">
        <v>231</v>
      </c>
      <c r="EJ148" s="240" t="s">
        <v>492</v>
      </c>
      <c r="EK148" s="240" t="s">
        <v>492</v>
      </c>
      <c r="EL148" s="240" t="s">
        <v>492</v>
      </c>
      <c r="EM148" s="240" t="s">
        <v>492</v>
      </c>
      <c r="EN148" s="240" t="s">
        <v>492</v>
      </c>
      <c r="EO148" s="240" t="s">
        <v>492</v>
      </c>
      <c r="EP148" s="240" t="s">
        <v>492</v>
      </c>
      <c r="EQ148" s="240" t="s">
        <v>492</v>
      </c>
      <c r="ER148" s="240" t="s">
        <v>492</v>
      </c>
      <c r="ES148" s="240" t="s">
        <v>231</v>
      </c>
      <c r="ET148" s="240" t="s">
        <v>231</v>
      </c>
      <c r="EU148" s="240" t="s">
        <v>231</v>
      </c>
      <c r="EV148" s="240" t="s">
        <v>231</v>
      </c>
      <c r="EW148" s="240" t="s">
        <v>231</v>
      </c>
      <c r="EX148" s="240" t="s">
        <v>231</v>
      </c>
      <c r="EY148" s="240" t="s">
        <v>231</v>
      </c>
      <c r="EZ148" s="240" t="s">
        <v>231</v>
      </c>
      <c r="FA148" s="240" t="s">
        <v>231</v>
      </c>
      <c r="FB148" s="240" t="s">
        <v>231</v>
      </c>
      <c r="FC148" s="240" t="s">
        <v>231</v>
      </c>
      <c r="FD148" s="240" t="s">
        <v>231</v>
      </c>
      <c r="FE148" s="240" t="s">
        <v>231</v>
      </c>
      <c r="FF148" s="240" t="s">
        <v>231</v>
      </c>
      <c r="FG148" s="240" t="s">
        <v>231</v>
      </c>
      <c r="FH148" s="240" t="s">
        <v>231</v>
      </c>
      <c r="FI148" s="240" t="s">
        <v>231</v>
      </c>
      <c r="FJ148" s="240" t="s">
        <v>231</v>
      </c>
      <c r="FK148" s="240" t="s">
        <v>231</v>
      </c>
      <c r="FL148" s="240" t="s">
        <v>231</v>
      </c>
      <c r="FM148" s="240" t="s">
        <v>231</v>
      </c>
      <c r="FN148" s="240" t="s">
        <v>231</v>
      </c>
      <c r="FO148" s="240" t="s">
        <v>231</v>
      </c>
      <c r="FP148" s="240" t="s">
        <v>231</v>
      </c>
      <c r="FQ148" s="240" t="s">
        <v>231</v>
      </c>
      <c r="FR148" s="240" t="s">
        <v>231</v>
      </c>
      <c r="FS148" s="240" t="s">
        <v>231</v>
      </c>
      <c r="FT148" s="240" t="s">
        <v>231</v>
      </c>
      <c r="FU148" s="240" t="s">
        <v>231</v>
      </c>
      <c r="FV148" s="240" t="s">
        <v>231</v>
      </c>
      <c r="FW148" s="240" t="s">
        <v>231</v>
      </c>
      <c r="FX148" s="240" t="s">
        <v>231</v>
      </c>
      <c r="FY148" s="240" t="s">
        <v>231</v>
      </c>
      <c r="FZ148" s="240" t="s">
        <v>231</v>
      </c>
      <c r="GA148" s="240" t="s">
        <v>231</v>
      </c>
      <c r="GB148" s="240" t="s">
        <v>231</v>
      </c>
      <c r="GC148" s="240" t="s">
        <v>231</v>
      </c>
      <c r="GD148" s="240" t="s">
        <v>231</v>
      </c>
      <c r="GE148" s="240" t="s">
        <v>231</v>
      </c>
      <c r="GF148" s="240" t="s">
        <v>231</v>
      </c>
      <c r="GG148" s="240" t="s">
        <v>231</v>
      </c>
      <c r="GH148" s="240" t="s">
        <v>231</v>
      </c>
      <c r="GI148" s="240" t="s">
        <v>231</v>
      </c>
      <c r="GJ148" s="240" t="s">
        <v>231</v>
      </c>
      <c r="GK148" s="240" t="s">
        <v>231</v>
      </c>
      <c r="GL148" s="240" t="s">
        <v>231</v>
      </c>
      <c r="GM148" s="240" t="s">
        <v>231</v>
      </c>
      <c r="GN148" s="240" t="s">
        <v>231</v>
      </c>
      <c r="GO148" s="240" t="s">
        <v>231</v>
      </c>
      <c r="GP148" s="240" t="s">
        <v>231</v>
      </c>
      <c r="GQ148" s="240" t="s">
        <v>231</v>
      </c>
      <c r="GR148" s="240" t="s">
        <v>231</v>
      </c>
      <c r="GS148" s="240" t="s">
        <v>231</v>
      </c>
      <c r="GT148" s="240" t="s">
        <v>231</v>
      </c>
      <c r="GU148" s="240" t="s">
        <v>231</v>
      </c>
      <c r="GV148" s="240" t="s">
        <v>231</v>
      </c>
      <c r="GW148" s="240" t="s">
        <v>231</v>
      </c>
      <c r="GX148" s="240" t="s">
        <v>231</v>
      </c>
      <c r="GY148" s="240" t="s">
        <v>231</v>
      </c>
      <c r="GZ148" s="240" t="s">
        <v>231</v>
      </c>
      <c r="HA148" s="240" t="s">
        <v>231</v>
      </c>
      <c r="HB148" s="240" t="s">
        <v>231</v>
      </c>
      <c r="HC148" s="240" t="s">
        <v>231</v>
      </c>
      <c r="HD148" s="240" t="s">
        <v>231</v>
      </c>
      <c r="HE148" s="240" t="s">
        <v>492</v>
      </c>
      <c r="HF148" s="240" t="s">
        <v>231</v>
      </c>
      <c r="HG148" s="240" t="s">
        <v>231</v>
      </c>
      <c r="HH148" s="240" t="s">
        <v>231</v>
      </c>
      <c r="HI148" s="240" t="s">
        <v>231</v>
      </c>
      <c r="HJ148" s="240" t="s">
        <v>231</v>
      </c>
      <c r="HK148" s="240" t="s">
        <v>492</v>
      </c>
      <c r="HL148" s="240" t="s">
        <v>231</v>
      </c>
      <c r="HM148" s="240" t="s">
        <v>231</v>
      </c>
      <c r="HN148" s="240" t="s">
        <v>492</v>
      </c>
      <c r="HO148" s="240" t="s">
        <v>231</v>
      </c>
      <c r="HP148" s="240" t="s">
        <v>231</v>
      </c>
      <c r="HQ148" s="240" t="s">
        <v>231</v>
      </c>
      <c r="HR148" s="240" t="s">
        <v>492</v>
      </c>
      <c r="HS148" s="240" t="s">
        <v>492</v>
      </c>
      <c r="HT148" s="240" t="s">
        <v>492</v>
      </c>
      <c r="HU148" s="240" t="s">
        <v>231</v>
      </c>
      <c r="HV148" s="240" t="s">
        <v>231</v>
      </c>
      <c r="HW148" s="240" t="s">
        <v>231</v>
      </c>
      <c r="HX148" s="240" t="s">
        <v>231</v>
      </c>
      <c r="HY148" s="240" t="s">
        <v>231</v>
      </c>
      <c r="HZ148" s="240" t="s">
        <v>231</v>
      </c>
      <c r="IA148" s="240" t="s">
        <v>231</v>
      </c>
      <c r="IB148" s="240" t="s">
        <v>231</v>
      </c>
      <c r="IC148" s="240" t="s">
        <v>231</v>
      </c>
      <c r="ID148" s="240" t="s">
        <v>231</v>
      </c>
      <c r="IE148" s="240" t="s">
        <v>231</v>
      </c>
      <c r="IF148" s="240" t="s">
        <v>231</v>
      </c>
      <c r="IG148" s="240" t="s">
        <v>231</v>
      </c>
      <c r="IH148" s="240" t="s">
        <v>231</v>
      </c>
      <c r="II148" s="240" t="s">
        <v>231</v>
      </c>
      <c r="IJ148" s="240" t="s">
        <v>231</v>
      </c>
      <c r="IK148" s="240" t="s">
        <v>231</v>
      </c>
      <c r="IL148" s="240" t="s">
        <v>231</v>
      </c>
      <c r="IM148" s="240" t="s">
        <v>231</v>
      </c>
      <c r="IN148" s="240" t="s">
        <v>231</v>
      </c>
      <c r="IO148" s="240" t="s">
        <v>220</v>
      </c>
      <c r="IP148" s="240" t="s">
        <v>493</v>
      </c>
      <c r="IQ148" s="240" t="s">
        <v>219</v>
      </c>
      <c r="IR148" s="240" t="s">
        <v>490</v>
      </c>
      <c r="IS148" s="240" t="s">
        <v>492</v>
      </c>
      <c r="IT148" s="240" t="s">
        <v>492</v>
      </c>
    </row>
    <row r="149" spans="1:254" ht="15" x14ac:dyDescent="0.25">
      <c r="A149" s="258" t="str">
        <f>HYPERLINK("http://www.ofsted.gov.uk/inspection-reports/find-inspection-report/provider/ELS/105748 ","Ofsted School Webpage")</f>
        <v>Ofsted School Webpage</v>
      </c>
      <c r="B149" s="237">
        <v>105748</v>
      </c>
      <c r="C149" s="237">
        <v>3536015</v>
      </c>
      <c r="D149" s="237" t="s">
        <v>879</v>
      </c>
      <c r="E149" s="237" t="s">
        <v>248</v>
      </c>
      <c r="F149" s="237" t="s">
        <v>501</v>
      </c>
      <c r="G149" s="237" t="s">
        <v>495</v>
      </c>
      <c r="H149" s="237" t="s">
        <v>495</v>
      </c>
      <c r="I149" s="237" t="s">
        <v>880</v>
      </c>
      <c r="J149" s="237" t="s">
        <v>881</v>
      </c>
      <c r="K149" s="237" t="s">
        <v>93</v>
      </c>
      <c r="L149" s="237" t="s">
        <v>93</v>
      </c>
      <c r="M149" s="237" t="s">
        <v>93</v>
      </c>
      <c r="N149" s="237" t="s">
        <v>90</v>
      </c>
      <c r="O149" s="237" t="s">
        <v>486</v>
      </c>
      <c r="P149" s="237" t="s">
        <v>487</v>
      </c>
      <c r="Q149" s="238">
        <v>10086947</v>
      </c>
      <c r="R149" s="239">
        <v>43445</v>
      </c>
      <c r="S149" s="239">
        <v>43447</v>
      </c>
      <c r="T149" s="239">
        <v>43486</v>
      </c>
      <c r="U149" s="237" t="s">
        <v>488</v>
      </c>
      <c r="V149" s="237" t="s">
        <v>489</v>
      </c>
      <c r="W149" s="237">
        <v>2</v>
      </c>
      <c r="X149" s="237">
        <v>2</v>
      </c>
      <c r="Y149" s="237">
        <v>2</v>
      </c>
      <c r="Z149" s="237">
        <v>2</v>
      </c>
      <c r="AA149" s="237">
        <v>2</v>
      </c>
      <c r="AB149" s="237" t="s">
        <v>486</v>
      </c>
      <c r="AC149" s="237" t="s">
        <v>486</v>
      </c>
      <c r="AD149" s="237" t="s">
        <v>219</v>
      </c>
      <c r="AE149" s="237" t="s">
        <v>512</v>
      </c>
      <c r="AF149" s="237" t="s">
        <v>486</v>
      </c>
      <c r="AG149" s="237" t="s">
        <v>486</v>
      </c>
      <c r="AH149" s="237" t="s">
        <v>490</v>
      </c>
      <c r="AI149" s="237" t="s">
        <v>486</v>
      </c>
      <c r="AJ149" s="237" t="s">
        <v>486</v>
      </c>
      <c r="AK149" s="237" t="s">
        <v>486</v>
      </c>
      <c r="AL149" s="237" t="s">
        <v>486</v>
      </c>
      <c r="AM149" s="237" t="s">
        <v>491</v>
      </c>
      <c r="AN149" s="237" t="s">
        <v>231</v>
      </c>
      <c r="AO149" s="237" t="s">
        <v>231</v>
      </c>
      <c r="AP149" s="237" t="s">
        <v>231</v>
      </c>
      <c r="AQ149" s="237" t="s">
        <v>231</v>
      </c>
      <c r="AR149" s="237" t="s">
        <v>231</v>
      </c>
      <c r="AS149" s="237" t="s">
        <v>231</v>
      </c>
      <c r="AT149" s="237" t="s">
        <v>231</v>
      </c>
      <c r="AU149" s="237" t="s">
        <v>231</v>
      </c>
      <c r="AV149" s="237" t="s">
        <v>231</v>
      </c>
      <c r="AW149" s="237" t="s">
        <v>231</v>
      </c>
      <c r="AX149" s="237" t="s">
        <v>231</v>
      </c>
      <c r="AY149" s="237" t="s">
        <v>231</v>
      </c>
      <c r="AZ149" s="237" t="s">
        <v>231</v>
      </c>
      <c r="BA149" s="237" t="s">
        <v>231</v>
      </c>
      <c r="BB149" s="237" t="s">
        <v>231</v>
      </c>
      <c r="BC149" s="237" t="s">
        <v>231</v>
      </c>
      <c r="BD149" s="237" t="s">
        <v>492</v>
      </c>
      <c r="BE149" s="237" t="s">
        <v>231</v>
      </c>
      <c r="BF149" s="237" t="s">
        <v>231</v>
      </c>
      <c r="BG149" s="237" t="s">
        <v>231</v>
      </c>
      <c r="BH149" s="237" t="s">
        <v>231</v>
      </c>
      <c r="BI149" s="237" t="s">
        <v>231</v>
      </c>
      <c r="BJ149" s="237" t="s">
        <v>231</v>
      </c>
      <c r="BK149" s="237" t="s">
        <v>231</v>
      </c>
      <c r="BL149" s="237" t="s">
        <v>492</v>
      </c>
      <c r="BM149" s="237" t="s">
        <v>231</v>
      </c>
      <c r="BN149" s="237" t="s">
        <v>231</v>
      </c>
      <c r="BO149" s="237" t="s">
        <v>231</v>
      </c>
      <c r="BP149" s="237" t="s">
        <v>231</v>
      </c>
      <c r="BQ149" s="237" t="s">
        <v>231</v>
      </c>
      <c r="BR149" s="237" t="s">
        <v>231</v>
      </c>
      <c r="BS149" s="237" t="s">
        <v>231</v>
      </c>
      <c r="BT149" s="237" t="s">
        <v>231</v>
      </c>
      <c r="BU149" s="237" t="s">
        <v>231</v>
      </c>
      <c r="BV149" s="237" t="s">
        <v>231</v>
      </c>
      <c r="BW149" s="237" t="s">
        <v>231</v>
      </c>
      <c r="BX149" s="237" t="s">
        <v>231</v>
      </c>
      <c r="BY149" s="237" t="s">
        <v>231</v>
      </c>
      <c r="BZ149" s="237" t="s">
        <v>231</v>
      </c>
      <c r="CA149" s="237" t="s">
        <v>231</v>
      </c>
      <c r="CB149" s="237" t="s">
        <v>231</v>
      </c>
      <c r="CC149" s="237" t="s">
        <v>231</v>
      </c>
      <c r="CD149" s="237" t="s">
        <v>231</v>
      </c>
      <c r="CE149" s="237" t="s">
        <v>231</v>
      </c>
      <c r="CF149" s="237" t="s">
        <v>231</v>
      </c>
      <c r="CG149" s="237" t="s">
        <v>231</v>
      </c>
      <c r="CH149" s="237" t="s">
        <v>231</v>
      </c>
      <c r="CI149" s="237" t="s">
        <v>231</v>
      </c>
      <c r="CJ149" s="237" t="s">
        <v>231</v>
      </c>
      <c r="CK149" s="237" t="s">
        <v>231</v>
      </c>
      <c r="CL149" s="237" t="s">
        <v>231</v>
      </c>
      <c r="CM149" s="237" t="s">
        <v>231</v>
      </c>
      <c r="CN149" s="237" t="s">
        <v>231</v>
      </c>
      <c r="CO149" s="237" t="s">
        <v>231</v>
      </c>
      <c r="CP149" s="237" t="s">
        <v>231</v>
      </c>
      <c r="CQ149" s="237" t="s">
        <v>231</v>
      </c>
      <c r="CR149" s="237" t="s">
        <v>231</v>
      </c>
      <c r="CS149" s="237" t="s">
        <v>231</v>
      </c>
      <c r="CT149" s="237" t="s">
        <v>492</v>
      </c>
      <c r="CU149" s="237" t="s">
        <v>492</v>
      </c>
      <c r="CV149" s="237" t="s">
        <v>492</v>
      </c>
      <c r="CW149" s="237" t="s">
        <v>231</v>
      </c>
      <c r="CX149" s="237" t="s">
        <v>231</v>
      </c>
      <c r="CY149" s="237" t="s">
        <v>231</v>
      </c>
      <c r="CZ149" s="237" t="s">
        <v>231</v>
      </c>
      <c r="DA149" s="237" t="s">
        <v>231</v>
      </c>
      <c r="DB149" s="237" t="s">
        <v>231</v>
      </c>
      <c r="DC149" s="237" t="s">
        <v>231</v>
      </c>
      <c r="DD149" s="237" t="s">
        <v>231</v>
      </c>
      <c r="DE149" s="237" t="s">
        <v>231</v>
      </c>
      <c r="DF149" s="237" t="s">
        <v>231</v>
      </c>
      <c r="DG149" s="237" t="s">
        <v>231</v>
      </c>
      <c r="DH149" s="237" t="s">
        <v>231</v>
      </c>
      <c r="DI149" s="237" t="s">
        <v>231</v>
      </c>
      <c r="DJ149" s="237" t="s">
        <v>231</v>
      </c>
      <c r="DK149" s="237" t="s">
        <v>231</v>
      </c>
      <c r="DL149" s="237" t="s">
        <v>231</v>
      </c>
      <c r="DM149" s="237" t="s">
        <v>231</v>
      </c>
      <c r="DN149" s="237" t="s">
        <v>231</v>
      </c>
      <c r="DO149" s="237" t="s">
        <v>231</v>
      </c>
      <c r="DP149" s="237" t="s">
        <v>231</v>
      </c>
      <c r="DQ149" s="237" t="s">
        <v>231</v>
      </c>
      <c r="DR149" s="237" t="s">
        <v>231</v>
      </c>
      <c r="DS149" s="237" t="s">
        <v>492</v>
      </c>
      <c r="DT149" s="237" t="s">
        <v>492</v>
      </c>
      <c r="DU149" s="237" t="s">
        <v>231</v>
      </c>
      <c r="DV149" s="237" t="s">
        <v>231</v>
      </c>
      <c r="DW149" s="237" t="s">
        <v>231</v>
      </c>
      <c r="DX149" s="237" t="s">
        <v>231</v>
      </c>
      <c r="DY149" s="237" t="s">
        <v>231</v>
      </c>
      <c r="DZ149" s="237" t="s">
        <v>231</v>
      </c>
      <c r="EA149" s="237" t="s">
        <v>231</v>
      </c>
      <c r="EB149" s="237" t="s">
        <v>231</v>
      </c>
      <c r="EC149" s="237" t="s">
        <v>231</v>
      </c>
      <c r="ED149" s="237" t="s">
        <v>231</v>
      </c>
      <c r="EE149" s="237" t="s">
        <v>231</v>
      </c>
      <c r="EF149" s="237" t="s">
        <v>231</v>
      </c>
      <c r="EG149" s="237" t="s">
        <v>231</v>
      </c>
      <c r="EH149" s="237" t="s">
        <v>492</v>
      </c>
      <c r="EI149" s="237" t="s">
        <v>231</v>
      </c>
      <c r="EJ149" s="237" t="s">
        <v>492</v>
      </c>
      <c r="EK149" s="237" t="s">
        <v>492</v>
      </c>
      <c r="EL149" s="237" t="s">
        <v>492</v>
      </c>
      <c r="EM149" s="237" t="s">
        <v>492</v>
      </c>
      <c r="EN149" s="237" t="s">
        <v>492</v>
      </c>
      <c r="EO149" s="237" t="s">
        <v>492</v>
      </c>
      <c r="EP149" s="237" t="s">
        <v>492</v>
      </c>
      <c r="EQ149" s="237" t="s">
        <v>492</v>
      </c>
      <c r="ER149" s="237" t="s">
        <v>492</v>
      </c>
      <c r="ES149" s="237" t="s">
        <v>231</v>
      </c>
      <c r="ET149" s="237" t="s">
        <v>231</v>
      </c>
      <c r="EU149" s="237" t="s">
        <v>231</v>
      </c>
      <c r="EV149" s="237" t="s">
        <v>231</v>
      </c>
      <c r="EW149" s="237" t="s">
        <v>231</v>
      </c>
      <c r="EX149" s="237" t="s">
        <v>231</v>
      </c>
      <c r="EY149" s="237" t="s">
        <v>231</v>
      </c>
      <c r="EZ149" s="237" t="s">
        <v>231</v>
      </c>
      <c r="FA149" s="237" t="s">
        <v>231</v>
      </c>
      <c r="FB149" s="237" t="s">
        <v>231</v>
      </c>
      <c r="FC149" s="237" t="s">
        <v>231</v>
      </c>
      <c r="FD149" s="237" t="s">
        <v>492</v>
      </c>
      <c r="FE149" s="237" t="s">
        <v>231</v>
      </c>
      <c r="FF149" s="237" t="s">
        <v>492</v>
      </c>
      <c r="FG149" s="237" t="s">
        <v>231</v>
      </c>
      <c r="FH149" s="237" t="s">
        <v>231</v>
      </c>
      <c r="FI149" s="237" t="s">
        <v>231</v>
      </c>
      <c r="FJ149" s="237" t="s">
        <v>231</v>
      </c>
      <c r="FK149" s="237" t="s">
        <v>492</v>
      </c>
      <c r="FL149" s="237" t="s">
        <v>231</v>
      </c>
      <c r="FM149" s="237" t="s">
        <v>492</v>
      </c>
      <c r="FN149" s="237" t="s">
        <v>492</v>
      </c>
      <c r="FO149" s="237" t="s">
        <v>493</v>
      </c>
      <c r="FP149" s="237" t="s">
        <v>492</v>
      </c>
      <c r="FQ149" s="237" t="s">
        <v>231</v>
      </c>
      <c r="FR149" s="237" t="s">
        <v>231</v>
      </c>
      <c r="FS149" s="237" t="s">
        <v>231</v>
      </c>
      <c r="FT149" s="237" t="s">
        <v>231</v>
      </c>
      <c r="FU149" s="237" t="s">
        <v>231</v>
      </c>
      <c r="FV149" s="237" t="s">
        <v>231</v>
      </c>
      <c r="FW149" s="237" t="s">
        <v>231</v>
      </c>
      <c r="FX149" s="237" t="s">
        <v>492</v>
      </c>
      <c r="FY149" s="237" t="s">
        <v>231</v>
      </c>
      <c r="FZ149" s="237" t="s">
        <v>231</v>
      </c>
      <c r="GA149" s="237" t="s">
        <v>231</v>
      </c>
      <c r="GB149" s="237" t="s">
        <v>231</v>
      </c>
      <c r="GC149" s="237" t="s">
        <v>231</v>
      </c>
      <c r="GD149" s="237" t="s">
        <v>231</v>
      </c>
      <c r="GE149" s="237" t="s">
        <v>231</v>
      </c>
      <c r="GF149" s="237" t="s">
        <v>231</v>
      </c>
      <c r="GG149" s="237" t="s">
        <v>231</v>
      </c>
      <c r="GH149" s="237" t="s">
        <v>231</v>
      </c>
      <c r="GI149" s="237" t="s">
        <v>231</v>
      </c>
      <c r="GJ149" s="237" t="s">
        <v>231</v>
      </c>
      <c r="GK149" s="237" t="s">
        <v>231</v>
      </c>
      <c r="GL149" s="237" t="s">
        <v>231</v>
      </c>
      <c r="GM149" s="237" t="s">
        <v>231</v>
      </c>
      <c r="GN149" s="237" t="s">
        <v>231</v>
      </c>
      <c r="GO149" s="237" t="s">
        <v>231</v>
      </c>
      <c r="GP149" s="237" t="s">
        <v>492</v>
      </c>
      <c r="GQ149" s="237" t="s">
        <v>231</v>
      </c>
      <c r="GR149" s="237" t="s">
        <v>231</v>
      </c>
      <c r="GS149" s="237" t="s">
        <v>231</v>
      </c>
      <c r="GT149" s="237" t="s">
        <v>231</v>
      </c>
      <c r="GU149" s="237" t="s">
        <v>231</v>
      </c>
      <c r="GV149" s="237" t="s">
        <v>492</v>
      </c>
      <c r="GW149" s="237" t="s">
        <v>231</v>
      </c>
      <c r="GX149" s="237" t="s">
        <v>231</v>
      </c>
      <c r="GY149" s="237" t="s">
        <v>231</v>
      </c>
      <c r="GZ149" s="237" t="s">
        <v>231</v>
      </c>
      <c r="HA149" s="237" t="s">
        <v>492</v>
      </c>
      <c r="HB149" s="237" t="s">
        <v>231</v>
      </c>
      <c r="HC149" s="237" t="s">
        <v>231</v>
      </c>
      <c r="HD149" s="237" t="s">
        <v>231</v>
      </c>
      <c r="HE149" s="237" t="s">
        <v>231</v>
      </c>
      <c r="HF149" s="237" t="s">
        <v>492</v>
      </c>
      <c r="HG149" s="237" t="s">
        <v>492</v>
      </c>
      <c r="HH149" s="237" t="s">
        <v>231</v>
      </c>
      <c r="HI149" s="237" t="s">
        <v>231</v>
      </c>
      <c r="HJ149" s="237" t="s">
        <v>231</v>
      </c>
      <c r="HK149" s="237" t="s">
        <v>231</v>
      </c>
      <c r="HL149" s="237" t="s">
        <v>231</v>
      </c>
      <c r="HM149" s="237" t="s">
        <v>231</v>
      </c>
      <c r="HN149" s="237" t="s">
        <v>231</v>
      </c>
      <c r="HO149" s="237" t="s">
        <v>231</v>
      </c>
      <c r="HP149" s="237" t="s">
        <v>231</v>
      </c>
      <c r="HQ149" s="237" t="s">
        <v>492</v>
      </c>
      <c r="HR149" s="237" t="s">
        <v>492</v>
      </c>
      <c r="HS149" s="237" t="s">
        <v>492</v>
      </c>
      <c r="HT149" s="237" t="s">
        <v>492</v>
      </c>
      <c r="HU149" s="237" t="s">
        <v>231</v>
      </c>
      <c r="HV149" s="237" t="s">
        <v>231</v>
      </c>
      <c r="HW149" s="237" t="s">
        <v>231</v>
      </c>
      <c r="HX149" s="237" t="s">
        <v>231</v>
      </c>
      <c r="HY149" s="237" t="s">
        <v>231</v>
      </c>
      <c r="HZ149" s="237" t="s">
        <v>231</v>
      </c>
      <c r="IA149" s="237" t="s">
        <v>231</v>
      </c>
      <c r="IB149" s="237" t="s">
        <v>231</v>
      </c>
      <c r="IC149" s="237" t="s">
        <v>231</v>
      </c>
      <c r="ID149" s="237" t="s">
        <v>231</v>
      </c>
      <c r="IE149" s="237" t="s">
        <v>231</v>
      </c>
      <c r="IF149" s="237" t="s">
        <v>231</v>
      </c>
      <c r="IG149" s="237" t="s">
        <v>231</v>
      </c>
      <c r="IH149" s="237" t="s">
        <v>231</v>
      </c>
      <c r="II149" s="237" t="s">
        <v>231</v>
      </c>
      <c r="IJ149" s="237" t="s">
        <v>231</v>
      </c>
      <c r="IK149" s="237" t="s">
        <v>231</v>
      </c>
      <c r="IL149" s="237" t="s">
        <v>231</v>
      </c>
      <c r="IM149" s="237" t="s">
        <v>231</v>
      </c>
      <c r="IN149" s="237" t="s">
        <v>231</v>
      </c>
      <c r="IO149" s="237" t="s">
        <v>220</v>
      </c>
      <c r="IP149" s="237" t="s">
        <v>493</v>
      </c>
      <c r="IQ149" s="237" t="s">
        <v>219</v>
      </c>
      <c r="IR149" s="237" t="s">
        <v>490</v>
      </c>
      <c r="IS149" s="237" t="s">
        <v>492</v>
      </c>
      <c r="IT149" s="237" t="s">
        <v>492</v>
      </c>
    </row>
    <row r="150" spans="1:254" ht="15" x14ac:dyDescent="0.25">
      <c r="A150" s="259" t="str">
        <f>HYPERLINK("http://www.ofsted.gov.uk/inspection-reports/find-inspection-report/provider/ELS/108419 ","Ofsted School Webpage")</f>
        <v>Ofsted School Webpage</v>
      </c>
      <c r="B150" s="240">
        <v>108419</v>
      </c>
      <c r="C150" s="240">
        <v>3906007</v>
      </c>
      <c r="D150" s="240" t="s">
        <v>882</v>
      </c>
      <c r="E150" s="240" t="s">
        <v>247</v>
      </c>
      <c r="F150" s="240" t="s">
        <v>482</v>
      </c>
      <c r="G150" s="240" t="s">
        <v>523</v>
      </c>
      <c r="H150" s="240" t="s">
        <v>539</v>
      </c>
      <c r="I150" s="240" t="s">
        <v>883</v>
      </c>
      <c r="J150" s="240" t="s">
        <v>884</v>
      </c>
      <c r="K150" s="240" t="s">
        <v>93</v>
      </c>
      <c r="L150" s="240" t="s">
        <v>81</v>
      </c>
      <c r="M150" s="240" t="s">
        <v>81</v>
      </c>
      <c r="N150" s="240" t="s">
        <v>81</v>
      </c>
      <c r="O150" s="240" t="s">
        <v>486</v>
      </c>
      <c r="P150" s="240" t="s">
        <v>487</v>
      </c>
      <c r="Q150" s="241">
        <v>10039497</v>
      </c>
      <c r="R150" s="242">
        <v>43445</v>
      </c>
      <c r="S150" s="242">
        <v>43447</v>
      </c>
      <c r="T150" s="242">
        <v>43531</v>
      </c>
      <c r="U150" s="240" t="s">
        <v>488</v>
      </c>
      <c r="V150" s="240" t="s">
        <v>489</v>
      </c>
      <c r="W150" s="240">
        <v>4</v>
      </c>
      <c r="X150" s="240">
        <v>4</v>
      </c>
      <c r="Y150" s="240">
        <v>4</v>
      </c>
      <c r="Z150" s="240">
        <v>3</v>
      </c>
      <c r="AA150" s="240">
        <v>3</v>
      </c>
      <c r="AB150" s="240" t="s">
        <v>486</v>
      </c>
      <c r="AC150" s="240" t="s">
        <v>486</v>
      </c>
      <c r="AD150" s="240" t="s">
        <v>219</v>
      </c>
      <c r="AE150" s="240" t="s">
        <v>490</v>
      </c>
      <c r="AF150" s="240" t="s">
        <v>486</v>
      </c>
      <c r="AG150" s="240" t="s">
        <v>486</v>
      </c>
      <c r="AH150" s="240" t="s">
        <v>486</v>
      </c>
      <c r="AI150" s="240" t="s">
        <v>486</v>
      </c>
      <c r="AJ150" s="240" t="s">
        <v>486</v>
      </c>
      <c r="AK150" s="240" t="s">
        <v>486</v>
      </c>
      <c r="AL150" s="240" t="s">
        <v>486</v>
      </c>
      <c r="AM150" s="240" t="s">
        <v>545</v>
      </c>
      <c r="AN150" s="240" t="s">
        <v>546</v>
      </c>
      <c r="AO150" s="240" t="s">
        <v>231</v>
      </c>
      <c r="AP150" s="240" t="s">
        <v>231</v>
      </c>
      <c r="AQ150" s="240" t="s">
        <v>231</v>
      </c>
      <c r="AR150" s="240" t="s">
        <v>231</v>
      </c>
      <c r="AS150" s="240" t="s">
        <v>231</v>
      </c>
      <c r="AT150" s="240" t="s">
        <v>231</v>
      </c>
      <c r="AU150" s="240" t="s">
        <v>546</v>
      </c>
      <c r="AV150" s="240" t="s">
        <v>231</v>
      </c>
      <c r="AW150" s="240" t="s">
        <v>231</v>
      </c>
      <c r="AX150" s="240" t="s">
        <v>231</v>
      </c>
      <c r="AY150" s="240" t="s">
        <v>231</v>
      </c>
      <c r="AZ150" s="240" t="s">
        <v>231</v>
      </c>
      <c r="BA150" s="240" t="s">
        <v>231</v>
      </c>
      <c r="BB150" s="240" t="s">
        <v>231</v>
      </c>
      <c r="BC150" s="240" t="s">
        <v>231</v>
      </c>
      <c r="BD150" s="240" t="s">
        <v>492</v>
      </c>
      <c r="BE150" s="240" t="s">
        <v>231</v>
      </c>
      <c r="BF150" s="240" t="s">
        <v>231</v>
      </c>
      <c r="BG150" s="240" t="s">
        <v>231</v>
      </c>
      <c r="BH150" s="240" t="s">
        <v>492</v>
      </c>
      <c r="BI150" s="240" t="s">
        <v>492</v>
      </c>
      <c r="BJ150" s="240" t="s">
        <v>492</v>
      </c>
      <c r="BK150" s="240" t="s">
        <v>492</v>
      </c>
      <c r="BL150" s="240" t="s">
        <v>231</v>
      </c>
      <c r="BM150" s="240" t="s">
        <v>492</v>
      </c>
      <c r="BN150" s="240" t="s">
        <v>231</v>
      </c>
      <c r="BO150" s="240" t="s">
        <v>231</v>
      </c>
      <c r="BP150" s="240" t="s">
        <v>232</v>
      </c>
      <c r="BQ150" s="240" t="s">
        <v>232</v>
      </c>
      <c r="BR150" s="240" t="s">
        <v>231</v>
      </c>
      <c r="BS150" s="240" t="s">
        <v>231</v>
      </c>
      <c r="BT150" s="240" t="s">
        <v>231</v>
      </c>
      <c r="BU150" s="240" t="s">
        <v>231</v>
      </c>
      <c r="BV150" s="240" t="s">
        <v>231</v>
      </c>
      <c r="BW150" s="240" t="s">
        <v>231</v>
      </c>
      <c r="BX150" s="240" t="s">
        <v>231</v>
      </c>
      <c r="BY150" s="240" t="s">
        <v>231</v>
      </c>
      <c r="BZ150" s="240" t="s">
        <v>232</v>
      </c>
      <c r="CA150" s="240" t="s">
        <v>231</v>
      </c>
      <c r="CB150" s="240" t="s">
        <v>231</v>
      </c>
      <c r="CC150" s="240" t="s">
        <v>231</v>
      </c>
      <c r="CD150" s="240" t="s">
        <v>231</v>
      </c>
      <c r="CE150" s="240" t="s">
        <v>231</v>
      </c>
      <c r="CF150" s="240" t="s">
        <v>231</v>
      </c>
      <c r="CG150" s="240" t="s">
        <v>231</v>
      </c>
      <c r="CH150" s="240" t="s">
        <v>231</v>
      </c>
      <c r="CI150" s="240" t="s">
        <v>231</v>
      </c>
      <c r="CJ150" s="240" t="s">
        <v>231</v>
      </c>
      <c r="CK150" s="240" t="s">
        <v>231</v>
      </c>
      <c r="CL150" s="240" t="s">
        <v>231</v>
      </c>
      <c r="CM150" s="240" t="s">
        <v>231</v>
      </c>
      <c r="CN150" s="240" t="s">
        <v>231</v>
      </c>
      <c r="CO150" s="240" t="s">
        <v>231</v>
      </c>
      <c r="CP150" s="240" t="s">
        <v>231</v>
      </c>
      <c r="CQ150" s="240" t="s">
        <v>231</v>
      </c>
      <c r="CR150" s="240" t="s">
        <v>231</v>
      </c>
      <c r="CS150" s="240" t="s">
        <v>231</v>
      </c>
      <c r="CT150" s="240" t="s">
        <v>492</v>
      </c>
      <c r="CU150" s="240" t="s">
        <v>492</v>
      </c>
      <c r="CV150" s="240" t="s">
        <v>492</v>
      </c>
      <c r="CW150" s="240" t="s">
        <v>231</v>
      </c>
      <c r="CX150" s="240" t="s">
        <v>231</v>
      </c>
      <c r="CY150" s="240" t="s">
        <v>231</v>
      </c>
      <c r="CZ150" s="240" t="s">
        <v>231</v>
      </c>
      <c r="DA150" s="240" t="s">
        <v>231</v>
      </c>
      <c r="DB150" s="240" t="s">
        <v>231</v>
      </c>
      <c r="DC150" s="240" t="s">
        <v>231</v>
      </c>
      <c r="DD150" s="240" t="s">
        <v>231</v>
      </c>
      <c r="DE150" s="240" t="s">
        <v>231</v>
      </c>
      <c r="DF150" s="240" t="s">
        <v>231</v>
      </c>
      <c r="DG150" s="240" t="s">
        <v>231</v>
      </c>
      <c r="DH150" s="240" t="s">
        <v>231</v>
      </c>
      <c r="DI150" s="240" t="s">
        <v>231</v>
      </c>
      <c r="DJ150" s="240" t="s">
        <v>231</v>
      </c>
      <c r="DK150" s="240" t="s">
        <v>231</v>
      </c>
      <c r="DL150" s="240" t="s">
        <v>231</v>
      </c>
      <c r="DM150" s="240" t="s">
        <v>231</v>
      </c>
      <c r="DN150" s="240" t="s">
        <v>231</v>
      </c>
      <c r="DO150" s="240" t="s">
        <v>231</v>
      </c>
      <c r="DP150" s="240" t="s">
        <v>231</v>
      </c>
      <c r="DQ150" s="240" t="s">
        <v>231</v>
      </c>
      <c r="DR150" s="240" t="s">
        <v>231</v>
      </c>
      <c r="DS150" s="240" t="s">
        <v>231</v>
      </c>
      <c r="DT150" s="240" t="s">
        <v>492</v>
      </c>
      <c r="DU150" s="240" t="s">
        <v>231</v>
      </c>
      <c r="DV150" s="240" t="s">
        <v>492</v>
      </c>
      <c r="DW150" s="240" t="s">
        <v>492</v>
      </c>
      <c r="DX150" s="240" t="s">
        <v>492</v>
      </c>
      <c r="DY150" s="240" t="s">
        <v>492</v>
      </c>
      <c r="DZ150" s="240" t="s">
        <v>492</v>
      </c>
      <c r="EA150" s="240" t="s">
        <v>492</v>
      </c>
      <c r="EB150" s="240" t="s">
        <v>492</v>
      </c>
      <c r="EC150" s="240" t="s">
        <v>492</v>
      </c>
      <c r="ED150" s="240" t="s">
        <v>492</v>
      </c>
      <c r="EE150" s="240" t="s">
        <v>492</v>
      </c>
      <c r="EF150" s="240" t="s">
        <v>492</v>
      </c>
      <c r="EG150" s="240" t="s">
        <v>492</v>
      </c>
      <c r="EH150" s="240" t="s">
        <v>492</v>
      </c>
      <c r="EI150" s="240" t="s">
        <v>231</v>
      </c>
      <c r="EJ150" s="240" t="s">
        <v>231</v>
      </c>
      <c r="EK150" s="240" t="s">
        <v>231</v>
      </c>
      <c r="EL150" s="240" t="s">
        <v>231</v>
      </c>
      <c r="EM150" s="240" t="s">
        <v>231</v>
      </c>
      <c r="EN150" s="240" t="s">
        <v>231</v>
      </c>
      <c r="EO150" s="240" t="s">
        <v>231</v>
      </c>
      <c r="EP150" s="240" t="s">
        <v>231</v>
      </c>
      <c r="EQ150" s="240" t="s">
        <v>231</v>
      </c>
      <c r="ER150" s="240" t="s">
        <v>231</v>
      </c>
      <c r="ES150" s="240" t="s">
        <v>231</v>
      </c>
      <c r="ET150" s="240" t="s">
        <v>231</v>
      </c>
      <c r="EU150" s="240" t="s">
        <v>231</v>
      </c>
      <c r="EV150" s="240" t="s">
        <v>231</v>
      </c>
      <c r="EW150" s="240" t="s">
        <v>231</v>
      </c>
      <c r="EX150" s="240" t="s">
        <v>231</v>
      </c>
      <c r="EY150" s="240" t="s">
        <v>231</v>
      </c>
      <c r="EZ150" s="240" t="s">
        <v>231</v>
      </c>
      <c r="FA150" s="240" t="s">
        <v>231</v>
      </c>
      <c r="FB150" s="240" t="s">
        <v>231</v>
      </c>
      <c r="FC150" s="240" t="s">
        <v>231</v>
      </c>
      <c r="FD150" s="240" t="s">
        <v>231</v>
      </c>
      <c r="FE150" s="240" t="s">
        <v>231</v>
      </c>
      <c r="FF150" s="240" t="s">
        <v>231</v>
      </c>
      <c r="FG150" s="240" t="s">
        <v>492</v>
      </c>
      <c r="FH150" s="240" t="s">
        <v>492</v>
      </c>
      <c r="FI150" s="240" t="s">
        <v>492</v>
      </c>
      <c r="FJ150" s="240" t="s">
        <v>492</v>
      </c>
      <c r="FK150" s="240" t="s">
        <v>492</v>
      </c>
      <c r="FL150" s="240" t="s">
        <v>492</v>
      </c>
      <c r="FM150" s="240" t="s">
        <v>231</v>
      </c>
      <c r="FN150" s="240" t="s">
        <v>231</v>
      </c>
      <c r="FO150" s="240" t="s">
        <v>231</v>
      </c>
      <c r="FP150" s="240" t="s">
        <v>231</v>
      </c>
      <c r="FQ150" s="240" t="s">
        <v>231</v>
      </c>
      <c r="FR150" s="240" t="s">
        <v>231</v>
      </c>
      <c r="FS150" s="240" t="s">
        <v>492</v>
      </c>
      <c r="FT150" s="240" t="s">
        <v>492</v>
      </c>
      <c r="FU150" s="240" t="s">
        <v>231</v>
      </c>
      <c r="FV150" s="240" t="s">
        <v>231</v>
      </c>
      <c r="FW150" s="240" t="s">
        <v>231</v>
      </c>
      <c r="FX150" s="240" t="s">
        <v>492</v>
      </c>
      <c r="FY150" s="240" t="s">
        <v>231</v>
      </c>
      <c r="FZ150" s="240" t="s">
        <v>231</v>
      </c>
      <c r="GA150" s="240" t="s">
        <v>231</v>
      </c>
      <c r="GB150" s="240" t="s">
        <v>231</v>
      </c>
      <c r="GC150" s="240" t="s">
        <v>231</v>
      </c>
      <c r="GD150" s="240" t="s">
        <v>231</v>
      </c>
      <c r="GE150" s="240" t="s">
        <v>231</v>
      </c>
      <c r="GF150" s="240" t="s">
        <v>231</v>
      </c>
      <c r="GG150" s="240" t="s">
        <v>231</v>
      </c>
      <c r="GH150" s="240" t="s">
        <v>231</v>
      </c>
      <c r="GI150" s="240" t="s">
        <v>231</v>
      </c>
      <c r="GJ150" s="240" t="s">
        <v>231</v>
      </c>
      <c r="GK150" s="240" t="s">
        <v>231</v>
      </c>
      <c r="GL150" s="240" t="s">
        <v>231</v>
      </c>
      <c r="GM150" s="240" t="s">
        <v>231</v>
      </c>
      <c r="GN150" s="240" t="s">
        <v>231</v>
      </c>
      <c r="GO150" s="240" t="s">
        <v>231</v>
      </c>
      <c r="GP150" s="240" t="s">
        <v>492</v>
      </c>
      <c r="GQ150" s="240" t="s">
        <v>231</v>
      </c>
      <c r="GR150" s="240" t="s">
        <v>231</v>
      </c>
      <c r="GS150" s="240" t="s">
        <v>231</v>
      </c>
      <c r="GT150" s="240" t="s">
        <v>231</v>
      </c>
      <c r="GU150" s="240" t="s">
        <v>231</v>
      </c>
      <c r="GV150" s="240" t="s">
        <v>231</v>
      </c>
      <c r="GW150" s="240" t="s">
        <v>231</v>
      </c>
      <c r="GX150" s="240" t="s">
        <v>231</v>
      </c>
      <c r="GY150" s="240" t="s">
        <v>492</v>
      </c>
      <c r="GZ150" s="240" t="s">
        <v>492</v>
      </c>
      <c r="HA150" s="240" t="s">
        <v>231</v>
      </c>
      <c r="HB150" s="240" t="s">
        <v>231</v>
      </c>
      <c r="HC150" s="240" t="s">
        <v>231</v>
      </c>
      <c r="HD150" s="240" t="s">
        <v>231</v>
      </c>
      <c r="HE150" s="240" t="s">
        <v>231</v>
      </c>
      <c r="HF150" s="240" t="s">
        <v>492</v>
      </c>
      <c r="HG150" s="240" t="s">
        <v>231</v>
      </c>
      <c r="HH150" s="240" t="s">
        <v>231</v>
      </c>
      <c r="HI150" s="240" t="s">
        <v>231</v>
      </c>
      <c r="HJ150" s="240" t="s">
        <v>231</v>
      </c>
      <c r="HK150" s="240" t="s">
        <v>231</v>
      </c>
      <c r="HL150" s="240" t="s">
        <v>231</v>
      </c>
      <c r="HM150" s="240" t="s">
        <v>231</v>
      </c>
      <c r="HN150" s="240" t="s">
        <v>231</v>
      </c>
      <c r="HO150" s="240" t="s">
        <v>231</v>
      </c>
      <c r="HP150" s="240" t="s">
        <v>231</v>
      </c>
      <c r="HQ150" s="240" t="s">
        <v>492</v>
      </c>
      <c r="HR150" s="240" t="s">
        <v>492</v>
      </c>
      <c r="HS150" s="240" t="s">
        <v>492</v>
      </c>
      <c r="HT150" s="240" t="s">
        <v>492</v>
      </c>
      <c r="HU150" s="240" t="s">
        <v>231</v>
      </c>
      <c r="HV150" s="240" t="s">
        <v>231</v>
      </c>
      <c r="HW150" s="240" t="s">
        <v>231</v>
      </c>
      <c r="HX150" s="240" t="s">
        <v>231</v>
      </c>
      <c r="HY150" s="240" t="s">
        <v>231</v>
      </c>
      <c r="HZ150" s="240" t="s">
        <v>231</v>
      </c>
      <c r="IA150" s="240" t="s">
        <v>231</v>
      </c>
      <c r="IB150" s="240" t="s">
        <v>231</v>
      </c>
      <c r="IC150" s="240" t="s">
        <v>231</v>
      </c>
      <c r="ID150" s="240" t="s">
        <v>231</v>
      </c>
      <c r="IE150" s="240" t="s">
        <v>231</v>
      </c>
      <c r="IF150" s="240" t="s">
        <v>231</v>
      </c>
      <c r="IG150" s="240" t="s">
        <v>231</v>
      </c>
      <c r="IH150" s="240" t="s">
        <v>231</v>
      </c>
      <c r="II150" s="240" t="s">
        <v>231</v>
      </c>
      <c r="IJ150" s="240" t="s">
        <v>231</v>
      </c>
      <c r="IK150" s="240" t="s">
        <v>232</v>
      </c>
      <c r="IL150" s="240" t="s">
        <v>232</v>
      </c>
      <c r="IM150" s="240" t="s">
        <v>232</v>
      </c>
      <c r="IN150" s="240" t="s">
        <v>231</v>
      </c>
      <c r="IO150" s="240" t="s">
        <v>220</v>
      </c>
      <c r="IP150" s="240" t="s">
        <v>493</v>
      </c>
      <c r="IQ150" s="240" t="s">
        <v>219</v>
      </c>
      <c r="IR150" s="240" t="s">
        <v>512</v>
      </c>
      <c r="IS150" s="240" t="s">
        <v>231</v>
      </c>
      <c r="IT150" s="240" t="s">
        <v>231</v>
      </c>
    </row>
    <row r="151" spans="1:254" ht="15" x14ac:dyDescent="0.25">
      <c r="A151" s="258" t="str">
        <f>HYPERLINK("http://www.ofsted.gov.uk/inspection-reports/find-inspection-report/provider/ELS/135673 ","Ofsted School Webpage")</f>
        <v>Ofsted School Webpage</v>
      </c>
      <c r="B151" s="237">
        <v>135673</v>
      </c>
      <c r="C151" s="237">
        <v>9336216</v>
      </c>
      <c r="D151" s="237" t="s">
        <v>885</v>
      </c>
      <c r="E151" s="237" t="s">
        <v>248</v>
      </c>
      <c r="F151" s="237" t="s">
        <v>501</v>
      </c>
      <c r="G151" s="237" t="s">
        <v>483</v>
      </c>
      <c r="H151" s="237" t="s">
        <v>483</v>
      </c>
      <c r="I151" s="237" t="s">
        <v>531</v>
      </c>
      <c r="J151" s="237" t="s">
        <v>886</v>
      </c>
      <c r="K151" s="237" t="s">
        <v>93</v>
      </c>
      <c r="L151" s="237" t="s">
        <v>93</v>
      </c>
      <c r="M151" s="237" t="s">
        <v>93</v>
      </c>
      <c r="N151" s="237" t="s">
        <v>90</v>
      </c>
      <c r="O151" s="237" t="s">
        <v>486</v>
      </c>
      <c r="P151" s="237" t="s">
        <v>487</v>
      </c>
      <c r="Q151" s="238">
        <v>10044991</v>
      </c>
      <c r="R151" s="239">
        <v>43445</v>
      </c>
      <c r="S151" s="239">
        <v>43447</v>
      </c>
      <c r="T151" s="239">
        <v>43478</v>
      </c>
      <c r="U151" s="237" t="s">
        <v>488</v>
      </c>
      <c r="V151" s="237" t="s">
        <v>489</v>
      </c>
      <c r="W151" s="237">
        <v>3</v>
      </c>
      <c r="X151" s="237">
        <v>3</v>
      </c>
      <c r="Y151" s="237">
        <v>3</v>
      </c>
      <c r="Z151" s="237">
        <v>3</v>
      </c>
      <c r="AA151" s="237">
        <v>3</v>
      </c>
      <c r="AB151" s="237" t="s">
        <v>486</v>
      </c>
      <c r="AC151" s="237" t="s">
        <v>486</v>
      </c>
      <c r="AD151" s="237" t="s">
        <v>219</v>
      </c>
      <c r="AE151" s="237" t="s">
        <v>490</v>
      </c>
      <c r="AF151" s="237" t="s">
        <v>486</v>
      </c>
      <c r="AG151" s="237" t="s">
        <v>486</v>
      </c>
      <c r="AH151" s="237" t="s">
        <v>486</v>
      </c>
      <c r="AI151" s="237" t="s">
        <v>486</v>
      </c>
      <c r="AJ151" s="237" t="s">
        <v>486</v>
      </c>
      <c r="AK151" s="237" t="s">
        <v>486</v>
      </c>
      <c r="AL151" s="237" t="s">
        <v>486</v>
      </c>
      <c r="AM151" s="237" t="s">
        <v>545</v>
      </c>
      <c r="AN151" s="237" t="s">
        <v>546</v>
      </c>
      <c r="AO151" s="237" t="s">
        <v>231</v>
      </c>
      <c r="AP151" s="237" t="s">
        <v>231</v>
      </c>
      <c r="AQ151" s="237" t="s">
        <v>231</v>
      </c>
      <c r="AR151" s="237" t="s">
        <v>231</v>
      </c>
      <c r="AS151" s="237" t="s">
        <v>231</v>
      </c>
      <c r="AT151" s="237" t="s">
        <v>231</v>
      </c>
      <c r="AU151" s="237" t="s">
        <v>546</v>
      </c>
      <c r="AV151" s="237" t="s">
        <v>231</v>
      </c>
      <c r="AW151" s="237" t="s">
        <v>231</v>
      </c>
      <c r="AX151" s="237" t="s">
        <v>231</v>
      </c>
      <c r="AY151" s="237" t="s">
        <v>231</v>
      </c>
      <c r="AZ151" s="237" t="s">
        <v>231</v>
      </c>
      <c r="BA151" s="237" t="s">
        <v>231</v>
      </c>
      <c r="BB151" s="237" t="s">
        <v>231</v>
      </c>
      <c r="BC151" s="237" t="s">
        <v>231</v>
      </c>
      <c r="BD151" s="237" t="s">
        <v>492</v>
      </c>
      <c r="BE151" s="237" t="s">
        <v>231</v>
      </c>
      <c r="BF151" s="237" t="s">
        <v>231</v>
      </c>
      <c r="BG151" s="237" t="s">
        <v>231</v>
      </c>
      <c r="BH151" s="237" t="s">
        <v>231</v>
      </c>
      <c r="BI151" s="237" t="s">
        <v>231</v>
      </c>
      <c r="BJ151" s="237" t="s">
        <v>231</v>
      </c>
      <c r="BK151" s="237" t="s">
        <v>231</v>
      </c>
      <c r="BL151" s="237" t="s">
        <v>492</v>
      </c>
      <c r="BM151" s="237" t="s">
        <v>492</v>
      </c>
      <c r="BN151" s="237" t="s">
        <v>231</v>
      </c>
      <c r="BO151" s="237" t="s">
        <v>231</v>
      </c>
      <c r="BP151" s="237" t="s">
        <v>232</v>
      </c>
      <c r="BQ151" s="237" t="s">
        <v>231</v>
      </c>
      <c r="BR151" s="237" t="s">
        <v>231</v>
      </c>
      <c r="BS151" s="237" t="s">
        <v>232</v>
      </c>
      <c r="BT151" s="237" t="s">
        <v>232</v>
      </c>
      <c r="BU151" s="237" t="s">
        <v>231</v>
      </c>
      <c r="BV151" s="237" t="s">
        <v>231</v>
      </c>
      <c r="BW151" s="237" t="s">
        <v>232</v>
      </c>
      <c r="BX151" s="237" t="s">
        <v>231</v>
      </c>
      <c r="BY151" s="237" t="s">
        <v>231</v>
      </c>
      <c r="BZ151" s="237" t="s">
        <v>231</v>
      </c>
      <c r="CA151" s="237" t="s">
        <v>231</v>
      </c>
      <c r="CB151" s="237" t="s">
        <v>231</v>
      </c>
      <c r="CC151" s="237" t="s">
        <v>231</v>
      </c>
      <c r="CD151" s="237" t="s">
        <v>231</v>
      </c>
      <c r="CE151" s="237" t="s">
        <v>231</v>
      </c>
      <c r="CF151" s="237" t="s">
        <v>231</v>
      </c>
      <c r="CG151" s="237" t="s">
        <v>231</v>
      </c>
      <c r="CH151" s="237" t="s">
        <v>231</v>
      </c>
      <c r="CI151" s="237" t="s">
        <v>231</v>
      </c>
      <c r="CJ151" s="237" t="s">
        <v>231</v>
      </c>
      <c r="CK151" s="237" t="s">
        <v>231</v>
      </c>
      <c r="CL151" s="237" t="s">
        <v>231</v>
      </c>
      <c r="CM151" s="237" t="s">
        <v>231</v>
      </c>
      <c r="CN151" s="237" t="s">
        <v>231</v>
      </c>
      <c r="CO151" s="237" t="s">
        <v>231</v>
      </c>
      <c r="CP151" s="237" t="s">
        <v>231</v>
      </c>
      <c r="CQ151" s="237" t="s">
        <v>231</v>
      </c>
      <c r="CR151" s="237" t="s">
        <v>231</v>
      </c>
      <c r="CS151" s="237" t="s">
        <v>231</v>
      </c>
      <c r="CT151" s="237" t="s">
        <v>492</v>
      </c>
      <c r="CU151" s="237" t="s">
        <v>492</v>
      </c>
      <c r="CV151" s="237" t="s">
        <v>492</v>
      </c>
      <c r="CW151" s="237" t="s">
        <v>231</v>
      </c>
      <c r="CX151" s="237" t="s">
        <v>231</v>
      </c>
      <c r="CY151" s="237" t="s">
        <v>231</v>
      </c>
      <c r="CZ151" s="237" t="s">
        <v>231</v>
      </c>
      <c r="DA151" s="237" t="s">
        <v>231</v>
      </c>
      <c r="DB151" s="237" t="s">
        <v>231</v>
      </c>
      <c r="DC151" s="237" t="s">
        <v>231</v>
      </c>
      <c r="DD151" s="237" t="s">
        <v>231</v>
      </c>
      <c r="DE151" s="237" t="s">
        <v>231</v>
      </c>
      <c r="DF151" s="237" t="s">
        <v>231</v>
      </c>
      <c r="DG151" s="237" t="s">
        <v>231</v>
      </c>
      <c r="DH151" s="237" t="s">
        <v>231</v>
      </c>
      <c r="DI151" s="237" t="s">
        <v>231</v>
      </c>
      <c r="DJ151" s="237" t="s">
        <v>231</v>
      </c>
      <c r="DK151" s="237" t="s">
        <v>231</v>
      </c>
      <c r="DL151" s="237" t="s">
        <v>231</v>
      </c>
      <c r="DM151" s="237" t="s">
        <v>231</v>
      </c>
      <c r="DN151" s="237" t="s">
        <v>231</v>
      </c>
      <c r="DO151" s="237" t="s">
        <v>231</v>
      </c>
      <c r="DP151" s="237" t="s">
        <v>231</v>
      </c>
      <c r="DQ151" s="237" t="s">
        <v>231</v>
      </c>
      <c r="DR151" s="237" t="s">
        <v>231</v>
      </c>
      <c r="DS151" s="237" t="s">
        <v>231</v>
      </c>
      <c r="DT151" s="237" t="s">
        <v>492</v>
      </c>
      <c r="DU151" s="237" t="s">
        <v>231</v>
      </c>
      <c r="DV151" s="237" t="s">
        <v>231</v>
      </c>
      <c r="DW151" s="237" t="s">
        <v>231</v>
      </c>
      <c r="DX151" s="237" t="s">
        <v>231</v>
      </c>
      <c r="DY151" s="237" t="s">
        <v>231</v>
      </c>
      <c r="DZ151" s="237" t="s">
        <v>231</v>
      </c>
      <c r="EA151" s="237" t="s">
        <v>231</v>
      </c>
      <c r="EB151" s="237" t="s">
        <v>231</v>
      </c>
      <c r="EC151" s="237" t="s">
        <v>231</v>
      </c>
      <c r="ED151" s="237" t="s">
        <v>231</v>
      </c>
      <c r="EE151" s="237" t="s">
        <v>231</v>
      </c>
      <c r="EF151" s="237" t="s">
        <v>231</v>
      </c>
      <c r="EG151" s="237" t="s">
        <v>231</v>
      </c>
      <c r="EH151" s="237" t="s">
        <v>492</v>
      </c>
      <c r="EI151" s="237" t="s">
        <v>231</v>
      </c>
      <c r="EJ151" s="237" t="s">
        <v>231</v>
      </c>
      <c r="EK151" s="237" t="s">
        <v>231</v>
      </c>
      <c r="EL151" s="237" t="s">
        <v>231</v>
      </c>
      <c r="EM151" s="237" t="s">
        <v>231</v>
      </c>
      <c r="EN151" s="237" t="s">
        <v>231</v>
      </c>
      <c r="EO151" s="237" t="s">
        <v>231</v>
      </c>
      <c r="EP151" s="237" t="s">
        <v>231</v>
      </c>
      <c r="EQ151" s="237" t="s">
        <v>231</v>
      </c>
      <c r="ER151" s="237" t="s">
        <v>231</v>
      </c>
      <c r="ES151" s="237" t="s">
        <v>231</v>
      </c>
      <c r="ET151" s="237" t="s">
        <v>231</v>
      </c>
      <c r="EU151" s="237" t="s">
        <v>231</v>
      </c>
      <c r="EV151" s="237" t="s">
        <v>231</v>
      </c>
      <c r="EW151" s="237" t="s">
        <v>231</v>
      </c>
      <c r="EX151" s="237" t="s">
        <v>231</v>
      </c>
      <c r="EY151" s="237" t="s">
        <v>231</v>
      </c>
      <c r="EZ151" s="237" t="s">
        <v>231</v>
      </c>
      <c r="FA151" s="237" t="s">
        <v>231</v>
      </c>
      <c r="FB151" s="237" t="s">
        <v>231</v>
      </c>
      <c r="FC151" s="237" t="s">
        <v>231</v>
      </c>
      <c r="FD151" s="237" t="s">
        <v>231</v>
      </c>
      <c r="FE151" s="237" t="s">
        <v>231</v>
      </c>
      <c r="FF151" s="237" t="s">
        <v>231</v>
      </c>
      <c r="FG151" s="237" t="s">
        <v>231</v>
      </c>
      <c r="FH151" s="237" t="s">
        <v>231</v>
      </c>
      <c r="FI151" s="237" t="s">
        <v>231</v>
      </c>
      <c r="FJ151" s="237" t="s">
        <v>231</v>
      </c>
      <c r="FK151" s="237" t="s">
        <v>231</v>
      </c>
      <c r="FL151" s="237" t="s">
        <v>231</v>
      </c>
      <c r="FM151" s="237" t="s">
        <v>231</v>
      </c>
      <c r="FN151" s="237" t="s">
        <v>231</v>
      </c>
      <c r="FO151" s="237" t="s">
        <v>231</v>
      </c>
      <c r="FP151" s="237" t="s">
        <v>231</v>
      </c>
      <c r="FQ151" s="237" t="s">
        <v>231</v>
      </c>
      <c r="FR151" s="237" t="s">
        <v>231</v>
      </c>
      <c r="FS151" s="237" t="s">
        <v>231</v>
      </c>
      <c r="FT151" s="237" t="s">
        <v>231</v>
      </c>
      <c r="FU151" s="237" t="s">
        <v>231</v>
      </c>
      <c r="FV151" s="237" t="s">
        <v>231</v>
      </c>
      <c r="FW151" s="237" t="s">
        <v>231</v>
      </c>
      <c r="FX151" s="237" t="s">
        <v>492</v>
      </c>
      <c r="FY151" s="237" t="s">
        <v>231</v>
      </c>
      <c r="FZ151" s="237" t="s">
        <v>231</v>
      </c>
      <c r="GA151" s="237" t="s">
        <v>231</v>
      </c>
      <c r="GB151" s="237" t="s">
        <v>231</v>
      </c>
      <c r="GC151" s="237" t="s">
        <v>231</v>
      </c>
      <c r="GD151" s="237" t="s">
        <v>231</v>
      </c>
      <c r="GE151" s="237" t="s">
        <v>231</v>
      </c>
      <c r="GF151" s="237" t="s">
        <v>231</v>
      </c>
      <c r="GG151" s="237" t="s">
        <v>231</v>
      </c>
      <c r="GH151" s="237" t="s">
        <v>231</v>
      </c>
      <c r="GI151" s="237" t="s">
        <v>231</v>
      </c>
      <c r="GJ151" s="237" t="s">
        <v>231</v>
      </c>
      <c r="GK151" s="237" t="s">
        <v>231</v>
      </c>
      <c r="GL151" s="237" t="s">
        <v>231</v>
      </c>
      <c r="GM151" s="237" t="s">
        <v>231</v>
      </c>
      <c r="GN151" s="237" t="s">
        <v>231</v>
      </c>
      <c r="GO151" s="237" t="s">
        <v>231</v>
      </c>
      <c r="GP151" s="237" t="s">
        <v>492</v>
      </c>
      <c r="GQ151" s="237" t="s">
        <v>231</v>
      </c>
      <c r="GR151" s="237" t="s">
        <v>231</v>
      </c>
      <c r="GS151" s="237" t="s">
        <v>231</v>
      </c>
      <c r="GT151" s="237" t="s">
        <v>231</v>
      </c>
      <c r="GU151" s="237" t="s">
        <v>231</v>
      </c>
      <c r="GV151" s="237" t="s">
        <v>492</v>
      </c>
      <c r="GW151" s="237" t="s">
        <v>231</v>
      </c>
      <c r="GX151" s="237" t="s">
        <v>231</v>
      </c>
      <c r="GY151" s="237" t="s">
        <v>231</v>
      </c>
      <c r="GZ151" s="237" t="s">
        <v>231</v>
      </c>
      <c r="HA151" s="237" t="s">
        <v>231</v>
      </c>
      <c r="HB151" s="237" t="s">
        <v>231</v>
      </c>
      <c r="HC151" s="237" t="s">
        <v>231</v>
      </c>
      <c r="HD151" s="237" t="s">
        <v>231</v>
      </c>
      <c r="HE151" s="237" t="s">
        <v>492</v>
      </c>
      <c r="HF151" s="237" t="s">
        <v>231</v>
      </c>
      <c r="HG151" s="237" t="s">
        <v>231</v>
      </c>
      <c r="HH151" s="237" t="s">
        <v>231</v>
      </c>
      <c r="HI151" s="237" t="s">
        <v>231</v>
      </c>
      <c r="HJ151" s="237" t="s">
        <v>231</v>
      </c>
      <c r="HK151" s="237" t="s">
        <v>231</v>
      </c>
      <c r="HL151" s="237" t="s">
        <v>231</v>
      </c>
      <c r="HM151" s="237" t="s">
        <v>231</v>
      </c>
      <c r="HN151" s="237" t="s">
        <v>231</v>
      </c>
      <c r="HO151" s="237" t="s">
        <v>231</v>
      </c>
      <c r="HP151" s="237" t="s">
        <v>231</v>
      </c>
      <c r="HQ151" s="237" t="s">
        <v>231</v>
      </c>
      <c r="HR151" s="237" t="s">
        <v>231</v>
      </c>
      <c r="HS151" s="237" t="s">
        <v>231</v>
      </c>
      <c r="HT151" s="237" t="s">
        <v>231</v>
      </c>
      <c r="HU151" s="237" t="s">
        <v>231</v>
      </c>
      <c r="HV151" s="237" t="s">
        <v>231</v>
      </c>
      <c r="HW151" s="237" t="s">
        <v>231</v>
      </c>
      <c r="HX151" s="237" t="s">
        <v>231</v>
      </c>
      <c r="HY151" s="237" t="s">
        <v>231</v>
      </c>
      <c r="HZ151" s="237" t="s">
        <v>231</v>
      </c>
      <c r="IA151" s="237" t="s">
        <v>231</v>
      </c>
      <c r="IB151" s="237" t="s">
        <v>231</v>
      </c>
      <c r="IC151" s="237" t="s">
        <v>231</v>
      </c>
      <c r="ID151" s="237" t="s">
        <v>231</v>
      </c>
      <c r="IE151" s="237" t="s">
        <v>231</v>
      </c>
      <c r="IF151" s="237" t="s">
        <v>231</v>
      </c>
      <c r="IG151" s="237" t="s">
        <v>231</v>
      </c>
      <c r="IH151" s="237" t="s">
        <v>231</v>
      </c>
      <c r="II151" s="237" t="s">
        <v>231</v>
      </c>
      <c r="IJ151" s="237" t="s">
        <v>231</v>
      </c>
      <c r="IK151" s="237" t="s">
        <v>232</v>
      </c>
      <c r="IL151" s="237" t="s">
        <v>232</v>
      </c>
      <c r="IM151" s="237" t="s">
        <v>232</v>
      </c>
      <c r="IN151" s="237" t="s">
        <v>231</v>
      </c>
      <c r="IO151" s="237" t="s">
        <v>220</v>
      </c>
      <c r="IP151" s="237" t="s">
        <v>220</v>
      </c>
      <c r="IQ151" s="237" t="s">
        <v>219</v>
      </c>
      <c r="IR151" s="237" t="s">
        <v>490</v>
      </c>
      <c r="IS151" s="237" t="s">
        <v>492</v>
      </c>
      <c r="IT151" s="237" t="s">
        <v>492</v>
      </c>
    </row>
    <row r="152" spans="1:254" ht="15" x14ac:dyDescent="0.25">
      <c r="A152" s="259" t="str">
        <f>HYPERLINK("http://www.ofsted.gov.uk/inspection-reports/find-inspection-report/provider/ELS/138801 ","Ofsted School Webpage")</f>
        <v>Ofsted School Webpage</v>
      </c>
      <c r="B152" s="240">
        <v>138801</v>
      </c>
      <c r="C152" s="240">
        <v>3166002</v>
      </c>
      <c r="D152" s="240" t="s">
        <v>887</v>
      </c>
      <c r="E152" s="240" t="s">
        <v>247</v>
      </c>
      <c r="F152" s="240" t="s">
        <v>482</v>
      </c>
      <c r="G152" s="240" t="s">
        <v>506</v>
      </c>
      <c r="H152" s="240" t="s">
        <v>506</v>
      </c>
      <c r="I152" s="240" t="s">
        <v>799</v>
      </c>
      <c r="J152" s="240" t="s">
        <v>888</v>
      </c>
      <c r="K152" s="240" t="s">
        <v>93</v>
      </c>
      <c r="L152" s="240" t="s">
        <v>84</v>
      </c>
      <c r="M152" s="240" t="s">
        <v>84</v>
      </c>
      <c r="N152" s="240" t="s">
        <v>84</v>
      </c>
      <c r="O152" s="240" t="s">
        <v>486</v>
      </c>
      <c r="P152" s="240" t="s">
        <v>487</v>
      </c>
      <c r="Q152" s="241">
        <v>10054303</v>
      </c>
      <c r="R152" s="242">
        <v>43445</v>
      </c>
      <c r="S152" s="242">
        <v>43447</v>
      </c>
      <c r="T152" s="242">
        <v>43489</v>
      </c>
      <c r="U152" s="240" t="s">
        <v>488</v>
      </c>
      <c r="V152" s="240" t="s">
        <v>489</v>
      </c>
      <c r="W152" s="240">
        <v>4</v>
      </c>
      <c r="X152" s="240">
        <v>4</v>
      </c>
      <c r="Y152" s="240">
        <v>4</v>
      </c>
      <c r="Z152" s="240">
        <v>3</v>
      </c>
      <c r="AA152" s="240">
        <v>3</v>
      </c>
      <c r="AB152" s="240" t="s">
        <v>486</v>
      </c>
      <c r="AC152" s="240" t="s">
        <v>486</v>
      </c>
      <c r="AD152" s="240" t="s">
        <v>220</v>
      </c>
      <c r="AE152" s="240" t="s">
        <v>490</v>
      </c>
      <c r="AF152" s="240" t="s">
        <v>486</v>
      </c>
      <c r="AG152" s="240" t="s">
        <v>486</v>
      </c>
      <c r="AH152" s="240" t="s">
        <v>486</v>
      </c>
      <c r="AI152" s="240" t="s">
        <v>486</v>
      </c>
      <c r="AJ152" s="240" t="s">
        <v>486</v>
      </c>
      <c r="AK152" s="240" t="s">
        <v>486</v>
      </c>
      <c r="AL152" s="240" t="s">
        <v>486</v>
      </c>
      <c r="AM152" s="240" t="s">
        <v>545</v>
      </c>
      <c r="AN152" s="240" t="s">
        <v>231</v>
      </c>
      <c r="AO152" s="240" t="s">
        <v>231</v>
      </c>
      <c r="AP152" s="240" t="s">
        <v>546</v>
      </c>
      <c r="AQ152" s="240" t="s">
        <v>231</v>
      </c>
      <c r="AR152" s="240" t="s">
        <v>231</v>
      </c>
      <c r="AS152" s="240" t="s">
        <v>231</v>
      </c>
      <c r="AT152" s="240" t="s">
        <v>231</v>
      </c>
      <c r="AU152" s="240" t="s">
        <v>546</v>
      </c>
      <c r="AV152" s="240" t="s">
        <v>231</v>
      </c>
      <c r="AW152" s="240" t="s">
        <v>231</v>
      </c>
      <c r="AX152" s="240" t="s">
        <v>231</v>
      </c>
      <c r="AY152" s="240" t="s">
        <v>231</v>
      </c>
      <c r="AZ152" s="240" t="s">
        <v>231</v>
      </c>
      <c r="BA152" s="240" t="s">
        <v>231</v>
      </c>
      <c r="BB152" s="240" t="s">
        <v>231</v>
      </c>
      <c r="BC152" s="240" t="s">
        <v>231</v>
      </c>
      <c r="BD152" s="240" t="s">
        <v>492</v>
      </c>
      <c r="BE152" s="240" t="s">
        <v>231</v>
      </c>
      <c r="BF152" s="240" t="s">
        <v>231</v>
      </c>
      <c r="BG152" s="240" t="s">
        <v>231</v>
      </c>
      <c r="BH152" s="240" t="s">
        <v>231</v>
      </c>
      <c r="BI152" s="240" t="s">
        <v>231</v>
      </c>
      <c r="BJ152" s="240" t="s">
        <v>231</v>
      </c>
      <c r="BK152" s="240" t="s">
        <v>231</v>
      </c>
      <c r="BL152" s="240" t="s">
        <v>492</v>
      </c>
      <c r="BM152" s="240" t="s">
        <v>492</v>
      </c>
      <c r="BN152" s="240" t="s">
        <v>231</v>
      </c>
      <c r="BO152" s="240" t="s">
        <v>231</v>
      </c>
      <c r="BP152" s="240" t="s">
        <v>231</v>
      </c>
      <c r="BQ152" s="240" t="s">
        <v>231</v>
      </c>
      <c r="BR152" s="240" t="s">
        <v>231</v>
      </c>
      <c r="BS152" s="240" t="s">
        <v>231</v>
      </c>
      <c r="BT152" s="240" t="s">
        <v>231</v>
      </c>
      <c r="BU152" s="240" t="s">
        <v>231</v>
      </c>
      <c r="BV152" s="240" t="s">
        <v>231</v>
      </c>
      <c r="BW152" s="240" t="s">
        <v>231</v>
      </c>
      <c r="BX152" s="240" t="s">
        <v>231</v>
      </c>
      <c r="BY152" s="240" t="s">
        <v>231</v>
      </c>
      <c r="BZ152" s="240" t="s">
        <v>231</v>
      </c>
      <c r="CA152" s="240" t="s">
        <v>231</v>
      </c>
      <c r="CB152" s="240" t="s">
        <v>231</v>
      </c>
      <c r="CC152" s="240" t="s">
        <v>231</v>
      </c>
      <c r="CD152" s="240" t="s">
        <v>231</v>
      </c>
      <c r="CE152" s="240" t="s">
        <v>231</v>
      </c>
      <c r="CF152" s="240" t="s">
        <v>231</v>
      </c>
      <c r="CG152" s="240" t="s">
        <v>231</v>
      </c>
      <c r="CH152" s="240" t="s">
        <v>231</v>
      </c>
      <c r="CI152" s="240" t="s">
        <v>231</v>
      </c>
      <c r="CJ152" s="240" t="s">
        <v>231</v>
      </c>
      <c r="CK152" s="240" t="s">
        <v>231</v>
      </c>
      <c r="CL152" s="240" t="s">
        <v>231</v>
      </c>
      <c r="CM152" s="240" t="s">
        <v>231</v>
      </c>
      <c r="CN152" s="240" t="s">
        <v>231</v>
      </c>
      <c r="CO152" s="240" t="s">
        <v>231</v>
      </c>
      <c r="CP152" s="240" t="s">
        <v>231</v>
      </c>
      <c r="CQ152" s="240" t="s">
        <v>232</v>
      </c>
      <c r="CR152" s="240" t="s">
        <v>232</v>
      </c>
      <c r="CS152" s="240" t="s">
        <v>232</v>
      </c>
      <c r="CT152" s="240" t="s">
        <v>492</v>
      </c>
      <c r="CU152" s="240" t="s">
        <v>492</v>
      </c>
      <c r="CV152" s="240" t="s">
        <v>492</v>
      </c>
      <c r="CW152" s="240" t="s">
        <v>232</v>
      </c>
      <c r="CX152" s="240" t="s">
        <v>231</v>
      </c>
      <c r="CY152" s="240" t="s">
        <v>231</v>
      </c>
      <c r="CZ152" s="240" t="s">
        <v>232</v>
      </c>
      <c r="DA152" s="240" t="s">
        <v>231</v>
      </c>
      <c r="DB152" s="240" t="s">
        <v>232</v>
      </c>
      <c r="DC152" s="240" t="s">
        <v>232</v>
      </c>
      <c r="DD152" s="240" t="s">
        <v>231</v>
      </c>
      <c r="DE152" s="240" t="s">
        <v>231</v>
      </c>
      <c r="DF152" s="240" t="s">
        <v>231</v>
      </c>
      <c r="DG152" s="240" t="s">
        <v>232</v>
      </c>
      <c r="DH152" s="240" t="s">
        <v>232</v>
      </c>
      <c r="DI152" s="240" t="s">
        <v>232</v>
      </c>
      <c r="DJ152" s="240" t="s">
        <v>231</v>
      </c>
      <c r="DK152" s="240" t="s">
        <v>231</v>
      </c>
      <c r="DL152" s="240" t="s">
        <v>231</v>
      </c>
      <c r="DM152" s="240" t="s">
        <v>231</v>
      </c>
      <c r="DN152" s="240" t="s">
        <v>231</v>
      </c>
      <c r="DO152" s="240" t="s">
        <v>231</v>
      </c>
      <c r="DP152" s="240" t="s">
        <v>231</v>
      </c>
      <c r="DQ152" s="240" t="s">
        <v>231</v>
      </c>
      <c r="DR152" s="240" t="s">
        <v>231</v>
      </c>
      <c r="DS152" s="240" t="s">
        <v>231</v>
      </c>
      <c r="DT152" s="240" t="s">
        <v>492</v>
      </c>
      <c r="DU152" s="240" t="s">
        <v>231</v>
      </c>
      <c r="DV152" s="240" t="s">
        <v>492</v>
      </c>
      <c r="DW152" s="240" t="s">
        <v>492</v>
      </c>
      <c r="DX152" s="240" t="s">
        <v>492</v>
      </c>
      <c r="DY152" s="240" t="s">
        <v>492</v>
      </c>
      <c r="DZ152" s="240" t="s">
        <v>492</v>
      </c>
      <c r="EA152" s="240" t="s">
        <v>492</v>
      </c>
      <c r="EB152" s="240" t="s">
        <v>492</v>
      </c>
      <c r="EC152" s="240" t="s">
        <v>492</v>
      </c>
      <c r="ED152" s="240" t="s">
        <v>492</v>
      </c>
      <c r="EE152" s="240" t="s">
        <v>492</v>
      </c>
      <c r="EF152" s="240" t="s">
        <v>492</v>
      </c>
      <c r="EG152" s="240" t="s">
        <v>492</v>
      </c>
      <c r="EH152" s="240" t="s">
        <v>492</v>
      </c>
      <c r="EI152" s="240" t="s">
        <v>492</v>
      </c>
      <c r="EJ152" s="240" t="s">
        <v>231</v>
      </c>
      <c r="EK152" s="240" t="s">
        <v>231</v>
      </c>
      <c r="EL152" s="240" t="s">
        <v>231</v>
      </c>
      <c r="EM152" s="240" t="s">
        <v>231</v>
      </c>
      <c r="EN152" s="240" t="s">
        <v>231</v>
      </c>
      <c r="EO152" s="240" t="s">
        <v>231</v>
      </c>
      <c r="EP152" s="240" t="s">
        <v>231</v>
      </c>
      <c r="EQ152" s="240" t="s">
        <v>231</v>
      </c>
      <c r="ER152" s="240" t="s">
        <v>231</v>
      </c>
      <c r="ES152" s="240" t="s">
        <v>231</v>
      </c>
      <c r="ET152" s="240" t="s">
        <v>231</v>
      </c>
      <c r="EU152" s="240" t="s">
        <v>231</v>
      </c>
      <c r="EV152" s="240" t="s">
        <v>231</v>
      </c>
      <c r="EW152" s="240" t="s">
        <v>231</v>
      </c>
      <c r="EX152" s="240" t="s">
        <v>231</v>
      </c>
      <c r="EY152" s="240" t="s">
        <v>231</v>
      </c>
      <c r="EZ152" s="240" t="s">
        <v>231</v>
      </c>
      <c r="FA152" s="240" t="s">
        <v>231</v>
      </c>
      <c r="FB152" s="240" t="s">
        <v>231</v>
      </c>
      <c r="FC152" s="240" t="s">
        <v>231</v>
      </c>
      <c r="FD152" s="240" t="s">
        <v>231</v>
      </c>
      <c r="FE152" s="240" t="s">
        <v>231</v>
      </c>
      <c r="FF152" s="240" t="s">
        <v>231</v>
      </c>
      <c r="FG152" s="240" t="s">
        <v>492</v>
      </c>
      <c r="FH152" s="240" t="s">
        <v>492</v>
      </c>
      <c r="FI152" s="240" t="s">
        <v>492</v>
      </c>
      <c r="FJ152" s="240" t="s">
        <v>492</v>
      </c>
      <c r="FK152" s="240" t="s">
        <v>492</v>
      </c>
      <c r="FL152" s="240" t="s">
        <v>492</v>
      </c>
      <c r="FM152" s="240" t="s">
        <v>231</v>
      </c>
      <c r="FN152" s="240" t="s">
        <v>231</v>
      </c>
      <c r="FO152" s="240" t="s">
        <v>231</v>
      </c>
      <c r="FP152" s="240" t="s">
        <v>231</v>
      </c>
      <c r="FQ152" s="240" t="s">
        <v>231</v>
      </c>
      <c r="FR152" s="240" t="s">
        <v>231</v>
      </c>
      <c r="FS152" s="240" t="s">
        <v>492</v>
      </c>
      <c r="FT152" s="240" t="s">
        <v>231</v>
      </c>
      <c r="FU152" s="240" t="s">
        <v>231</v>
      </c>
      <c r="FV152" s="240" t="s">
        <v>231</v>
      </c>
      <c r="FW152" s="240" t="s">
        <v>231</v>
      </c>
      <c r="FX152" s="240" t="s">
        <v>492</v>
      </c>
      <c r="FY152" s="240" t="s">
        <v>231</v>
      </c>
      <c r="FZ152" s="240" t="s">
        <v>231</v>
      </c>
      <c r="GA152" s="240" t="s">
        <v>231</v>
      </c>
      <c r="GB152" s="240" t="s">
        <v>231</v>
      </c>
      <c r="GC152" s="240" t="s">
        <v>231</v>
      </c>
      <c r="GD152" s="240" t="s">
        <v>231</v>
      </c>
      <c r="GE152" s="240" t="s">
        <v>231</v>
      </c>
      <c r="GF152" s="240" t="s">
        <v>231</v>
      </c>
      <c r="GG152" s="240" t="s">
        <v>231</v>
      </c>
      <c r="GH152" s="240" t="s">
        <v>231</v>
      </c>
      <c r="GI152" s="240" t="s">
        <v>231</v>
      </c>
      <c r="GJ152" s="240" t="s">
        <v>231</v>
      </c>
      <c r="GK152" s="240" t="s">
        <v>231</v>
      </c>
      <c r="GL152" s="240" t="s">
        <v>231</v>
      </c>
      <c r="GM152" s="240" t="s">
        <v>231</v>
      </c>
      <c r="GN152" s="240" t="s">
        <v>231</v>
      </c>
      <c r="GO152" s="240" t="s">
        <v>231</v>
      </c>
      <c r="GP152" s="240" t="s">
        <v>492</v>
      </c>
      <c r="GQ152" s="240" t="s">
        <v>231</v>
      </c>
      <c r="GR152" s="240" t="s">
        <v>231</v>
      </c>
      <c r="GS152" s="240" t="s">
        <v>231</v>
      </c>
      <c r="GT152" s="240" t="s">
        <v>231</v>
      </c>
      <c r="GU152" s="240" t="s">
        <v>231</v>
      </c>
      <c r="GV152" s="240" t="s">
        <v>492</v>
      </c>
      <c r="GW152" s="240" t="s">
        <v>231</v>
      </c>
      <c r="GX152" s="240" t="s">
        <v>231</v>
      </c>
      <c r="GY152" s="240" t="s">
        <v>492</v>
      </c>
      <c r="GZ152" s="240" t="s">
        <v>492</v>
      </c>
      <c r="HA152" s="240" t="s">
        <v>492</v>
      </c>
      <c r="HB152" s="240" t="s">
        <v>231</v>
      </c>
      <c r="HC152" s="240" t="s">
        <v>231</v>
      </c>
      <c r="HD152" s="240" t="s">
        <v>231</v>
      </c>
      <c r="HE152" s="240" t="s">
        <v>492</v>
      </c>
      <c r="HF152" s="240" t="s">
        <v>231</v>
      </c>
      <c r="HG152" s="240" t="s">
        <v>492</v>
      </c>
      <c r="HH152" s="240" t="s">
        <v>231</v>
      </c>
      <c r="HI152" s="240" t="s">
        <v>231</v>
      </c>
      <c r="HJ152" s="240" t="s">
        <v>231</v>
      </c>
      <c r="HK152" s="240" t="s">
        <v>231</v>
      </c>
      <c r="HL152" s="240" t="s">
        <v>231</v>
      </c>
      <c r="HM152" s="240" t="s">
        <v>231</v>
      </c>
      <c r="HN152" s="240" t="s">
        <v>492</v>
      </c>
      <c r="HO152" s="240" t="s">
        <v>231</v>
      </c>
      <c r="HP152" s="240" t="s">
        <v>231</v>
      </c>
      <c r="HQ152" s="240" t="s">
        <v>492</v>
      </c>
      <c r="HR152" s="240" t="s">
        <v>492</v>
      </c>
      <c r="HS152" s="240" t="s">
        <v>492</v>
      </c>
      <c r="HT152" s="240" t="s">
        <v>492</v>
      </c>
      <c r="HU152" s="240" t="s">
        <v>231</v>
      </c>
      <c r="HV152" s="240" t="s">
        <v>231</v>
      </c>
      <c r="HW152" s="240" t="s">
        <v>231</v>
      </c>
      <c r="HX152" s="240" t="s">
        <v>231</v>
      </c>
      <c r="HY152" s="240" t="s">
        <v>231</v>
      </c>
      <c r="HZ152" s="240" t="s">
        <v>231</v>
      </c>
      <c r="IA152" s="240" t="s">
        <v>231</v>
      </c>
      <c r="IB152" s="240" t="s">
        <v>231</v>
      </c>
      <c r="IC152" s="240" t="s">
        <v>231</v>
      </c>
      <c r="ID152" s="240" t="s">
        <v>231</v>
      </c>
      <c r="IE152" s="240" t="s">
        <v>231</v>
      </c>
      <c r="IF152" s="240" t="s">
        <v>231</v>
      </c>
      <c r="IG152" s="240" t="s">
        <v>231</v>
      </c>
      <c r="IH152" s="240" t="s">
        <v>231</v>
      </c>
      <c r="II152" s="240" t="s">
        <v>231</v>
      </c>
      <c r="IJ152" s="240" t="s">
        <v>231</v>
      </c>
      <c r="IK152" s="240" t="s">
        <v>232</v>
      </c>
      <c r="IL152" s="240" t="s">
        <v>232</v>
      </c>
      <c r="IM152" s="240" t="s">
        <v>232</v>
      </c>
      <c r="IN152" s="240" t="s">
        <v>232</v>
      </c>
      <c r="IO152" s="240" t="s">
        <v>220</v>
      </c>
      <c r="IP152" s="240" t="s">
        <v>493</v>
      </c>
      <c r="IQ152" s="240" t="s">
        <v>219</v>
      </c>
      <c r="IR152" s="240" t="s">
        <v>490</v>
      </c>
      <c r="IS152" s="240" t="s">
        <v>492</v>
      </c>
      <c r="IT152" s="240" t="s">
        <v>492</v>
      </c>
    </row>
    <row r="153" spans="1:254" ht="15" x14ac:dyDescent="0.25">
      <c r="A153" s="258" t="str">
        <f>HYPERLINK("http://www.ofsted.gov.uk/inspection-reports/find-inspection-report/provider/ELS/133640 ","Ofsted School Webpage")</f>
        <v>Ofsted School Webpage</v>
      </c>
      <c r="B153" s="237">
        <v>133640</v>
      </c>
      <c r="C153" s="237">
        <v>8106004</v>
      </c>
      <c r="D153" s="237" t="s">
        <v>889</v>
      </c>
      <c r="E153" s="237" t="s">
        <v>248</v>
      </c>
      <c r="F153" s="237" t="s">
        <v>501</v>
      </c>
      <c r="G153" s="237" t="s">
        <v>523</v>
      </c>
      <c r="H153" s="237" t="s">
        <v>524</v>
      </c>
      <c r="I153" s="237" t="s">
        <v>890</v>
      </c>
      <c r="J153" s="237" t="s">
        <v>891</v>
      </c>
      <c r="K153" s="237" t="s">
        <v>93</v>
      </c>
      <c r="L153" s="237" t="s">
        <v>93</v>
      </c>
      <c r="M153" s="237" t="s">
        <v>93</v>
      </c>
      <c r="N153" s="237" t="s">
        <v>90</v>
      </c>
      <c r="O153" s="237" t="s">
        <v>486</v>
      </c>
      <c r="P153" s="237" t="s">
        <v>487</v>
      </c>
      <c r="Q153" s="238">
        <v>10053829</v>
      </c>
      <c r="R153" s="239">
        <v>43446</v>
      </c>
      <c r="S153" s="239">
        <v>43448</v>
      </c>
      <c r="T153" s="239">
        <v>43485</v>
      </c>
      <c r="U153" s="237" t="s">
        <v>488</v>
      </c>
      <c r="V153" s="237" t="s">
        <v>489</v>
      </c>
      <c r="W153" s="237">
        <v>2</v>
      </c>
      <c r="X153" s="237">
        <v>2</v>
      </c>
      <c r="Y153" s="237">
        <v>2</v>
      </c>
      <c r="Z153" s="237">
        <v>2</v>
      </c>
      <c r="AA153" s="237">
        <v>2</v>
      </c>
      <c r="AB153" s="237" t="s">
        <v>486</v>
      </c>
      <c r="AC153" s="237" t="s">
        <v>486</v>
      </c>
      <c r="AD153" s="237" t="s">
        <v>219</v>
      </c>
      <c r="AE153" s="237" t="s">
        <v>490</v>
      </c>
      <c r="AF153" s="237" t="s">
        <v>486</v>
      </c>
      <c r="AG153" s="237" t="s">
        <v>486</v>
      </c>
      <c r="AH153" s="237" t="s">
        <v>486</v>
      </c>
      <c r="AI153" s="237" t="s">
        <v>486</v>
      </c>
      <c r="AJ153" s="237" t="s">
        <v>486</v>
      </c>
      <c r="AK153" s="237" t="s">
        <v>486</v>
      </c>
      <c r="AL153" s="237" t="s">
        <v>486</v>
      </c>
      <c r="AM153" s="237" t="s">
        <v>491</v>
      </c>
      <c r="AN153" s="237" t="s">
        <v>231</v>
      </c>
      <c r="AO153" s="237" t="s">
        <v>231</v>
      </c>
      <c r="AP153" s="237" t="s">
        <v>231</v>
      </c>
      <c r="AQ153" s="237" t="s">
        <v>231</v>
      </c>
      <c r="AR153" s="237" t="s">
        <v>231</v>
      </c>
      <c r="AS153" s="237" t="s">
        <v>231</v>
      </c>
      <c r="AT153" s="237" t="s">
        <v>231</v>
      </c>
      <c r="AU153" s="237" t="s">
        <v>231</v>
      </c>
      <c r="AV153" s="237" t="s">
        <v>231</v>
      </c>
      <c r="AW153" s="237" t="s">
        <v>231</v>
      </c>
      <c r="AX153" s="237" t="s">
        <v>231</v>
      </c>
      <c r="AY153" s="237" t="s">
        <v>231</v>
      </c>
      <c r="AZ153" s="237" t="s">
        <v>231</v>
      </c>
      <c r="BA153" s="237" t="s">
        <v>231</v>
      </c>
      <c r="BB153" s="237" t="s">
        <v>231</v>
      </c>
      <c r="BC153" s="237" t="s">
        <v>231</v>
      </c>
      <c r="BD153" s="237" t="s">
        <v>492</v>
      </c>
      <c r="BE153" s="237" t="s">
        <v>231</v>
      </c>
      <c r="BF153" s="237" t="s">
        <v>231</v>
      </c>
      <c r="BG153" s="237" t="s">
        <v>231</v>
      </c>
      <c r="BH153" s="237" t="s">
        <v>231</v>
      </c>
      <c r="BI153" s="237" t="s">
        <v>231</v>
      </c>
      <c r="BJ153" s="237" t="s">
        <v>231</v>
      </c>
      <c r="BK153" s="237" t="s">
        <v>231</v>
      </c>
      <c r="BL153" s="237" t="s">
        <v>492</v>
      </c>
      <c r="BM153" s="237" t="s">
        <v>492</v>
      </c>
      <c r="BN153" s="237" t="s">
        <v>231</v>
      </c>
      <c r="BO153" s="237" t="s">
        <v>231</v>
      </c>
      <c r="BP153" s="237" t="s">
        <v>231</v>
      </c>
      <c r="BQ153" s="237" t="s">
        <v>231</v>
      </c>
      <c r="BR153" s="237" t="s">
        <v>231</v>
      </c>
      <c r="BS153" s="237" t="s">
        <v>231</v>
      </c>
      <c r="BT153" s="237" t="s">
        <v>231</v>
      </c>
      <c r="BU153" s="237" t="s">
        <v>231</v>
      </c>
      <c r="BV153" s="237" t="s">
        <v>231</v>
      </c>
      <c r="BW153" s="237" t="s">
        <v>231</v>
      </c>
      <c r="BX153" s="237" t="s">
        <v>231</v>
      </c>
      <c r="BY153" s="237" t="s">
        <v>231</v>
      </c>
      <c r="BZ153" s="237" t="s">
        <v>231</v>
      </c>
      <c r="CA153" s="237" t="s">
        <v>231</v>
      </c>
      <c r="CB153" s="237" t="s">
        <v>231</v>
      </c>
      <c r="CC153" s="237" t="s">
        <v>231</v>
      </c>
      <c r="CD153" s="237" t="s">
        <v>231</v>
      </c>
      <c r="CE153" s="237" t="s">
        <v>231</v>
      </c>
      <c r="CF153" s="237" t="s">
        <v>231</v>
      </c>
      <c r="CG153" s="237" t="s">
        <v>231</v>
      </c>
      <c r="CH153" s="237" t="s">
        <v>231</v>
      </c>
      <c r="CI153" s="237" t="s">
        <v>231</v>
      </c>
      <c r="CJ153" s="237" t="s">
        <v>231</v>
      </c>
      <c r="CK153" s="237" t="s">
        <v>231</v>
      </c>
      <c r="CL153" s="237" t="s">
        <v>231</v>
      </c>
      <c r="CM153" s="237" t="s">
        <v>231</v>
      </c>
      <c r="CN153" s="237" t="s">
        <v>231</v>
      </c>
      <c r="CO153" s="237" t="s">
        <v>231</v>
      </c>
      <c r="CP153" s="237" t="s">
        <v>231</v>
      </c>
      <c r="CQ153" s="237" t="s">
        <v>231</v>
      </c>
      <c r="CR153" s="237" t="s">
        <v>231</v>
      </c>
      <c r="CS153" s="237" t="s">
        <v>231</v>
      </c>
      <c r="CT153" s="237" t="s">
        <v>492</v>
      </c>
      <c r="CU153" s="237" t="s">
        <v>492</v>
      </c>
      <c r="CV153" s="237" t="s">
        <v>492</v>
      </c>
      <c r="CW153" s="237" t="s">
        <v>231</v>
      </c>
      <c r="CX153" s="237" t="s">
        <v>231</v>
      </c>
      <c r="CY153" s="237" t="s">
        <v>231</v>
      </c>
      <c r="CZ153" s="237" t="s">
        <v>231</v>
      </c>
      <c r="DA153" s="237" t="s">
        <v>231</v>
      </c>
      <c r="DB153" s="237" t="s">
        <v>231</v>
      </c>
      <c r="DC153" s="237" t="s">
        <v>231</v>
      </c>
      <c r="DD153" s="237" t="s">
        <v>231</v>
      </c>
      <c r="DE153" s="237" t="s">
        <v>231</v>
      </c>
      <c r="DF153" s="237" t="s">
        <v>231</v>
      </c>
      <c r="DG153" s="237" t="s">
        <v>231</v>
      </c>
      <c r="DH153" s="237" t="s">
        <v>231</v>
      </c>
      <c r="DI153" s="237" t="s">
        <v>231</v>
      </c>
      <c r="DJ153" s="237" t="s">
        <v>231</v>
      </c>
      <c r="DK153" s="237" t="s">
        <v>231</v>
      </c>
      <c r="DL153" s="237" t="s">
        <v>231</v>
      </c>
      <c r="DM153" s="237" t="s">
        <v>231</v>
      </c>
      <c r="DN153" s="237" t="s">
        <v>231</v>
      </c>
      <c r="DO153" s="237" t="s">
        <v>231</v>
      </c>
      <c r="DP153" s="237" t="s">
        <v>231</v>
      </c>
      <c r="DQ153" s="237" t="s">
        <v>231</v>
      </c>
      <c r="DR153" s="237" t="s">
        <v>231</v>
      </c>
      <c r="DS153" s="237" t="s">
        <v>492</v>
      </c>
      <c r="DT153" s="237" t="s">
        <v>492</v>
      </c>
      <c r="DU153" s="237" t="s">
        <v>231</v>
      </c>
      <c r="DV153" s="237" t="s">
        <v>492</v>
      </c>
      <c r="DW153" s="237" t="s">
        <v>492</v>
      </c>
      <c r="DX153" s="237" t="s">
        <v>492</v>
      </c>
      <c r="DY153" s="237" t="s">
        <v>492</v>
      </c>
      <c r="DZ153" s="237" t="s">
        <v>492</v>
      </c>
      <c r="EA153" s="237" t="s">
        <v>492</v>
      </c>
      <c r="EB153" s="237" t="s">
        <v>492</v>
      </c>
      <c r="EC153" s="237" t="s">
        <v>492</v>
      </c>
      <c r="ED153" s="237" t="s">
        <v>492</v>
      </c>
      <c r="EE153" s="237" t="s">
        <v>492</v>
      </c>
      <c r="EF153" s="237" t="s">
        <v>492</v>
      </c>
      <c r="EG153" s="237" t="s">
        <v>492</v>
      </c>
      <c r="EH153" s="237" t="s">
        <v>492</v>
      </c>
      <c r="EI153" s="237" t="s">
        <v>492</v>
      </c>
      <c r="EJ153" s="237" t="s">
        <v>231</v>
      </c>
      <c r="EK153" s="237" t="s">
        <v>231</v>
      </c>
      <c r="EL153" s="237" t="s">
        <v>231</v>
      </c>
      <c r="EM153" s="237" t="s">
        <v>231</v>
      </c>
      <c r="EN153" s="237" t="s">
        <v>231</v>
      </c>
      <c r="EO153" s="237" t="s">
        <v>231</v>
      </c>
      <c r="EP153" s="237" t="s">
        <v>231</v>
      </c>
      <c r="EQ153" s="237" t="s">
        <v>231</v>
      </c>
      <c r="ER153" s="237" t="s">
        <v>231</v>
      </c>
      <c r="ES153" s="237" t="s">
        <v>231</v>
      </c>
      <c r="ET153" s="237" t="s">
        <v>231</v>
      </c>
      <c r="EU153" s="237" t="s">
        <v>231</v>
      </c>
      <c r="EV153" s="237" t="s">
        <v>231</v>
      </c>
      <c r="EW153" s="237" t="s">
        <v>231</v>
      </c>
      <c r="EX153" s="237" t="s">
        <v>231</v>
      </c>
      <c r="EY153" s="237" t="s">
        <v>231</v>
      </c>
      <c r="EZ153" s="237" t="s">
        <v>231</v>
      </c>
      <c r="FA153" s="237" t="s">
        <v>231</v>
      </c>
      <c r="FB153" s="237" t="s">
        <v>231</v>
      </c>
      <c r="FC153" s="237" t="s">
        <v>231</v>
      </c>
      <c r="FD153" s="237" t="s">
        <v>231</v>
      </c>
      <c r="FE153" s="237" t="s">
        <v>231</v>
      </c>
      <c r="FF153" s="237" t="s">
        <v>231</v>
      </c>
      <c r="FG153" s="237" t="s">
        <v>231</v>
      </c>
      <c r="FH153" s="237" t="s">
        <v>231</v>
      </c>
      <c r="FI153" s="237" t="s">
        <v>231</v>
      </c>
      <c r="FJ153" s="237" t="s">
        <v>231</v>
      </c>
      <c r="FK153" s="237" t="s">
        <v>231</v>
      </c>
      <c r="FL153" s="237" t="s">
        <v>231</v>
      </c>
      <c r="FM153" s="237" t="s">
        <v>231</v>
      </c>
      <c r="FN153" s="237" t="s">
        <v>231</v>
      </c>
      <c r="FO153" s="237" t="s">
        <v>231</v>
      </c>
      <c r="FP153" s="237" t="s">
        <v>231</v>
      </c>
      <c r="FQ153" s="237" t="s">
        <v>231</v>
      </c>
      <c r="FR153" s="237" t="s">
        <v>231</v>
      </c>
      <c r="FS153" s="237" t="s">
        <v>231</v>
      </c>
      <c r="FT153" s="237" t="s">
        <v>231</v>
      </c>
      <c r="FU153" s="237" t="s">
        <v>231</v>
      </c>
      <c r="FV153" s="237" t="s">
        <v>231</v>
      </c>
      <c r="FW153" s="237" t="s">
        <v>231</v>
      </c>
      <c r="FX153" s="237" t="s">
        <v>231</v>
      </c>
      <c r="FY153" s="237" t="s">
        <v>231</v>
      </c>
      <c r="FZ153" s="237" t="s">
        <v>231</v>
      </c>
      <c r="GA153" s="237" t="s">
        <v>231</v>
      </c>
      <c r="GB153" s="237" t="s">
        <v>231</v>
      </c>
      <c r="GC153" s="237" t="s">
        <v>231</v>
      </c>
      <c r="GD153" s="237" t="s">
        <v>231</v>
      </c>
      <c r="GE153" s="237" t="s">
        <v>231</v>
      </c>
      <c r="GF153" s="237" t="s">
        <v>231</v>
      </c>
      <c r="GG153" s="237" t="s">
        <v>231</v>
      </c>
      <c r="GH153" s="237" t="s">
        <v>231</v>
      </c>
      <c r="GI153" s="237" t="s">
        <v>231</v>
      </c>
      <c r="GJ153" s="237" t="s">
        <v>231</v>
      </c>
      <c r="GK153" s="237" t="s">
        <v>231</v>
      </c>
      <c r="GL153" s="237" t="s">
        <v>231</v>
      </c>
      <c r="GM153" s="237" t="s">
        <v>231</v>
      </c>
      <c r="GN153" s="237" t="s">
        <v>231</v>
      </c>
      <c r="GO153" s="237" t="s">
        <v>231</v>
      </c>
      <c r="GP153" s="237" t="s">
        <v>492</v>
      </c>
      <c r="GQ153" s="237" t="s">
        <v>231</v>
      </c>
      <c r="GR153" s="237" t="s">
        <v>231</v>
      </c>
      <c r="GS153" s="237" t="s">
        <v>231</v>
      </c>
      <c r="GT153" s="237" t="s">
        <v>231</v>
      </c>
      <c r="GU153" s="237" t="s">
        <v>231</v>
      </c>
      <c r="GV153" s="237" t="s">
        <v>231</v>
      </c>
      <c r="GW153" s="237" t="s">
        <v>231</v>
      </c>
      <c r="GX153" s="237" t="s">
        <v>231</v>
      </c>
      <c r="GY153" s="237" t="s">
        <v>231</v>
      </c>
      <c r="GZ153" s="237" t="s">
        <v>231</v>
      </c>
      <c r="HA153" s="237" t="s">
        <v>231</v>
      </c>
      <c r="HB153" s="237" t="s">
        <v>231</v>
      </c>
      <c r="HC153" s="237" t="s">
        <v>231</v>
      </c>
      <c r="HD153" s="237" t="s">
        <v>231</v>
      </c>
      <c r="HE153" s="237" t="s">
        <v>231</v>
      </c>
      <c r="HF153" s="237" t="s">
        <v>231</v>
      </c>
      <c r="HG153" s="237" t="s">
        <v>492</v>
      </c>
      <c r="HH153" s="237" t="s">
        <v>231</v>
      </c>
      <c r="HI153" s="237" t="s">
        <v>231</v>
      </c>
      <c r="HJ153" s="237" t="s">
        <v>231</v>
      </c>
      <c r="HK153" s="237" t="s">
        <v>231</v>
      </c>
      <c r="HL153" s="237" t="s">
        <v>231</v>
      </c>
      <c r="HM153" s="237" t="s">
        <v>231</v>
      </c>
      <c r="HN153" s="237" t="s">
        <v>231</v>
      </c>
      <c r="HO153" s="237" t="s">
        <v>231</v>
      </c>
      <c r="HP153" s="237" t="s">
        <v>492</v>
      </c>
      <c r="HQ153" s="237" t="s">
        <v>492</v>
      </c>
      <c r="HR153" s="237" t="s">
        <v>492</v>
      </c>
      <c r="HS153" s="237" t="s">
        <v>492</v>
      </c>
      <c r="HT153" s="237" t="s">
        <v>492</v>
      </c>
      <c r="HU153" s="237" t="s">
        <v>231</v>
      </c>
      <c r="HV153" s="237" t="s">
        <v>231</v>
      </c>
      <c r="HW153" s="237" t="s">
        <v>231</v>
      </c>
      <c r="HX153" s="237" t="s">
        <v>231</v>
      </c>
      <c r="HY153" s="237" t="s">
        <v>231</v>
      </c>
      <c r="HZ153" s="237" t="s">
        <v>231</v>
      </c>
      <c r="IA153" s="237" t="s">
        <v>231</v>
      </c>
      <c r="IB153" s="237" t="s">
        <v>231</v>
      </c>
      <c r="IC153" s="237" t="s">
        <v>231</v>
      </c>
      <c r="ID153" s="237" t="s">
        <v>231</v>
      </c>
      <c r="IE153" s="237" t="s">
        <v>231</v>
      </c>
      <c r="IF153" s="237" t="s">
        <v>231</v>
      </c>
      <c r="IG153" s="237" t="s">
        <v>231</v>
      </c>
      <c r="IH153" s="237" t="s">
        <v>231</v>
      </c>
      <c r="II153" s="237" t="s">
        <v>231</v>
      </c>
      <c r="IJ153" s="237" t="s">
        <v>231</v>
      </c>
      <c r="IK153" s="237" t="s">
        <v>231</v>
      </c>
      <c r="IL153" s="237" t="s">
        <v>231</v>
      </c>
      <c r="IM153" s="237" t="s">
        <v>231</v>
      </c>
      <c r="IN153" s="237" t="s">
        <v>231</v>
      </c>
      <c r="IO153" s="237" t="s">
        <v>220</v>
      </c>
      <c r="IP153" s="237" t="s">
        <v>493</v>
      </c>
      <c r="IQ153" s="237" t="s">
        <v>219</v>
      </c>
      <c r="IR153" s="237" t="s">
        <v>490</v>
      </c>
      <c r="IS153" s="237" t="s">
        <v>492</v>
      </c>
      <c r="IT153" s="237" t="s">
        <v>492</v>
      </c>
    </row>
    <row r="154" spans="1:254" ht="15" x14ac:dyDescent="0.25">
      <c r="A154" s="259" t="str">
        <f>HYPERLINK("http://www.ofsted.gov.uk/inspection-reports/find-inspection-report/provider/ELS/107787 ","Ofsted School Webpage")</f>
        <v>Ofsted School Webpage</v>
      </c>
      <c r="B154" s="240">
        <v>107787</v>
      </c>
      <c r="C154" s="240">
        <v>3826006</v>
      </c>
      <c r="D154" s="240" t="s">
        <v>892</v>
      </c>
      <c r="E154" s="240" t="s">
        <v>247</v>
      </c>
      <c r="F154" s="240" t="s">
        <v>482</v>
      </c>
      <c r="G154" s="240" t="s">
        <v>523</v>
      </c>
      <c r="H154" s="240" t="s">
        <v>524</v>
      </c>
      <c r="I154" s="240" t="s">
        <v>767</v>
      </c>
      <c r="J154" s="240" t="s">
        <v>893</v>
      </c>
      <c r="K154" s="240" t="s">
        <v>93</v>
      </c>
      <c r="L154" s="240" t="s">
        <v>93</v>
      </c>
      <c r="M154" s="240" t="s">
        <v>93</v>
      </c>
      <c r="N154" s="240" t="s">
        <v>90</v>
      </c>
      <c r="O154" s="240" t="s">
        <v>486</v>
      </c>
      <c r="P154" s="240" t="s">
        <v>487</v>
      </c>
      <c r="Q154" s="241">
        <v>10055376</v>
      </c>
      <c r="R154" s="242">
        <v>43446</v>
      </c>
      <c r="S154" s="242">
        <v>43448</v>
      </c>
      <c r="T154" s="242">
        <v>43486</v>
      </c>
      <c r="U154" s="240" t="s">
        <v>488</v>
      </c>
      <c r="V154" s="240" t="s">
        <v>489</v>
      </c>
      <c r="W154" s="240">
        <v>2</v>
      </c>
      <c r="X154" s="240">
        <v>2</v>
      </c>
      <c r="Y154" s="240">
        <v>2</v>
      </c>
      <c r="Z154" s="240">
        <v>2</v>
      </c>
      <c r="AA154" s="240">
        <v>2</v>
      </c>
      <c r="AB154" s="240">
        <v>2</v>
      </c>
      <c r="AC154" s="240" t="s">
        <v>486</v>
      </c>
      <c r="AD154" s="240" t="s">
        <v>219</v>
      </c>
      <c r="AE154" s="240" t="s">
        <v>490</v>
      </c>
      <c r="AF154" s="240" t="s">
        <v>486</v>
      </c>
      <c r="AG154" s="240" t="s">
        <v>486</v>
      </c>
      <c r="AH154" s="240" t="s">
        <v>486</v>
      </c>
      <c r="AI154" s="240" t="s">
        <v>486</v>
      </c>
      <c r="AJ154" s="240" t="s">
        <v>486</v>
      </c>
      <c r="AK154" s="240" t="s">
        <v>486</v>
      </c>
      <c r="AL154" s="240" t="s">
        <v>486</v>
      </c>
      <c r="AM154" s="240" t="s">
        <v>491</v>
      </c>
      <c r="AN154" s="240" t="s">
        <v>231</v>
      </c>
      <c r="AO154" s="240" t="s">
        <v>231</v>
      </c>
      <c r="AP154" s="240" t="s">
        <v>231</v>
      </c>
      <c r="AQ154" s="240" t="s">
        <v>231</v>
      </c>
      <c r="AR154" s="240" t="s">
        <v>231</v>
      </c>
      <c r="AS154" s="240" t="s">
        <v>231</v>
      </c>
      <c r="AT154" s="240" t="s">
        <v>231</v>
      </c>
      <c r="AU154" s="240" t="s">
        <v>231</v>
      </c>
      <c r="AV154" s="240" t="s">
        <v>231</v>
      </c>
      <c r="AW154" s="240" t="s">
        <v>231</v>
      </c>
      <c r="AX154" s="240" t="s">
        <v>231</v>
      </c>
      <c r="AY154" s="240" t="s">
        <v>231</v>
      </c>
      <c r="AZ154" s="240" t="s">
        <v>231</v>
      </c>
      <c r="BA154" s="240" t="s">
        <v>231</v>
      </c>
      <c r="BB154" s="240" t="s">
        <v>231</v>
      </c>
      <c r="BC154" s="240" t="s">
        <v>231</v>
      </c>
      <c r="BD154" s="240" t="s">
        <v>492</v>
      </c>
      <c r="BE154" s="240" t="s">
        <v>231</v>
      </c>
      <c r="BF154" s="240" t="s">
        <v>231</v>
      </c>
      <c r="BG154" s="240" t="s">
        <v>231</v>
      </c>
      <c r="BH154" s="240" t="s">
        <v>492</v>
      </c>
      <c r="BI154" s="240" t="s">
        <v>492</v>
      </c>
      <c r="BJ154" s="240" t="s">
        <v>492</v>
      </c>
      <c r="BK154" s="240" t="s">
        <v>492</v>
      </c>
      <c r="BL154" s="240" t="s">
        <v>231</v>
      </c>
      <c r="BM154" s="240" t="s">
        <v>492</v>
      </c>
      <c r="BN154" s="240" t="s">
        <v>231</v>
      </c>
      <c r="BO154" s="240" t="s">
        <v>231</v>
      </c>
      <c r="BP154" s="240" t="s">
        <v>231</v>
      </c>
      <c r="BQ154" s="240" t="s">
        <v>231</v>
      </c>
      <c r="BR154" s="240" t="s">
        <v>231</v>
      </c>
      <c r="BS154" s="240" t="s">
        <v>231</v>
      </c>
      <c r="BT154" s="240" t="s">
        <v>231</v>
      </c>
      <c r="BU154" s="240" t="s">
        <v>231</v>
      </c>
      <c r="BV154" s="240" t="s">
        <v>231</v>
      </c>
      <c r="BW154" s="240" t="s">
        <v>231</v>
      </c>
      <c r="BX154" s="240" t="s">
        <v>231</v>
      </c>
      <c r="BY154" s="240" t="s">
        <v>231</v>
      </c>
      <c r="BZ154" s="240" t="s">
        <v>231</v>
      </c>
      <c r="CA154" s="240" t="s">
        <v>231</v>
      </c>
      <c r="CB154" s="240" t="s">
        <v>231</v>
      </c>
      <c r="CC154" s="240" t="s">
        <v>231</v>
      </c>
      <c r="CD154" s="240" t="s">
        <v>231</v>
      </c>
      <c r="CE154" s="240" t="s">
        <v>231</v>
      </c>
      <c r="CF154" s="240" t="s">
        <v>231</v>
      </c>
      <c r="CG154" s="240" t="s">
        <v>231</v>
      </c>
      <c r="CH154" s="240" t="s">
        <v>231</v>
      </c>
      <c r="CI154" s="240" t="s">
        <v>231</v>
      </c>
      <c r="CJ154" s="240" t="s">
        <v>231</v>
      </c>
      <c r="CK154" s="240" t="s">
        <v>231</v>
      </c>
      <c r="CL154" s="240" t="s">
        <v>231</v>
      </c>
      <c r="CM154" s="240" t="s">
        <v>231</v>
      </c>
      <c r="CN154" s="240" t="s">
        <v>231</v>
      </c>
      <c r="CO154" s="240" t="s">
        <v>231</v>
      </c>
      <c r="CP154" s="240" t="s">
        <v>231</v>
      </c>
      <c r="CQ154" s="240" t="s">
        <v>231</v>
      </c>
      <c r="CR154" s="240" t="s">
        <v>231</v>
      </c>
      <c r="CS154" s="240" t="s">
        <v>231</v>
      </c>
      <c r="CT154" s="240" t="s">
        <v>231</v>
      </c>
      <c r="CU154" s="240" t="s">
        <v>492</v>
      </c>
      <c r="CV154" s="240" t="s">
        <v>492</v>
      </c>
      <c r="CW154" s="240" t="s">
        <v>231</v>
      </c>
      <c r="CX154" s="240" t="s">
        <v>231</v>
      </c>
      <c r="CY154" s="240" t="s">
        <v>231</v>
      </c>
      <c r="CZ154" s="240" t="s">
        <v>231</v>
      </c>
      <c r="DA154" s="240" t="s">
        <v>231</v>
      </c>
      <c r="DB154" s="240" t="s">
        <v>231</v>
      </c>
      <c r="DC154" s="240" t="s">
        <v>231</v>
      </c>
      <c r="DD154" s="240" t="s">
        <v>231</v>
      </c>
      <c r="DE154" s="240" t="s">
        <v>231</v>
      </c>
      <c r="DF154" s="240" t="s">
        <v>231</v>
      </c>
      <c r="DG154" s="240" t="s">
        <v>231</v>
      </c>
      <c r="DH154" s="240" t="s">
        <v>231</v>
      </c>
      <c r="DI154" s="240" t="s">
        <v>231</v>
      </c>
      <c r="DJ154" s="240" t="s">
        <v>231</v>
      </c>
      <c r="DK154" s="240" t="s">
        <v>231</v>
      </c>
      <c r="DL154" s="240" t="s">
        <v>231</v>
      </c>
      <c r="DM154" s="240" t="s">
        <v>231</v>
      </c>
      <c r="DN154" s="240" t="s">
        <v>231</v>
      </c>
      <c r="DO154" s="240" t="s">
        <v>231</v>
      </c>
      <c r="DP154" s="240" t="s">
        <v>231</v>
      </c>
      <c r="DQ154" s="240" t="s">
        <v>231</v>
      </c>
      <c r="DR154" s="240" t="s">
        <v>231</v>
      </c>
      <c r="DS154" s="240" t="s">
        <v>492</v>
      </c>
      <c r="DT154" s="240" t="s">
        <v>492</v>
      </c>
      <c r="DU154" s="240" t="s">
        <v>231</v>
      </c>
      <c r="DV154" s="240" t="s">
        <v>492</v>
      </c>
      <c r="DW154" s="240" t="s">
        <v>492</v>
      </c>
      <c r="DX154" s="240" t="s">
        <v>492</v>
      </c>
      <c r="DY154" s="240" t="s">
        <v>492</v>
      </c>
      <c r="DZ154" s="240" t="s">
        <v>492</v>
      </c>
      <c r="EA154" s="240" t="s">
        <v>492</v>
      </c>
      <c r="EB154" s="240" t="s">
        <v>492</v>
      </c>
      <c r="EC154" s="240" t="s">
        <v>492</v>
      </c>
      <c r="ED154" s="240" t="s">
        <v>492</v>
      </c>
      <c r="EE154" s="240" t="s">
        <v>492</v>
      </c>
      <c r="EF154" s="240" t="s">
        <v>492</v>
      </c>
      <c r="EG154" s="240" t="s">
        <v>492</v>
      </c>
      <c r="EH154" s="240" t="s">
        <v>492</v>
      </c>
      <c r="EI154" s="240" t="s">
        <v>492</v>
      </c>
      <c r="EJ154" s="240" t="s">
        <v>231</v>
      </c>
      <c r="EK154" s="240" t="s">
        <v>231</v>
      </c>
      <c r="EL154" s="240" t="s">
        <v>231</v>
      </c>
      <c r="EM154" s="240" t="s">
        <v>231</v>
      </c>
      <c r="EN154" s="240" t="s">
        <v>231</v>
      </c>
      <c r="EO154" s="240" t="s">
        <v>231</v>
      </c>
      <c r="EP154" s="240" t="s">
        <v>231</v>
      </c>
      <c r="EQ154" s="240" t="s">
        <v>231</v>
      </c>
      <c r="ER154" s="240" t="s">
        <v>231</v>
      </c>
      <c r="ES154" s="240" t="s">
        <v>231</v>
      </c>
      <c r="ET154" s="240" t="s">
        <v>231</v>
      </c>
      <c r="EU154" s="240" t="s">
        <v>231</v>
      </c>
      <c r="EV154" s="240" t="s">
        <v>231</v>
      </c>
      <c r="EW154" s="240" t="s">
        <v>231</v>
      </c>
      <c r="EX154" s="240" t="s">
        <v>231</v>
      </c>
      <c r="EY154" s="240" t="s">
        <v>231</v>
      </c>
      <c r="EZ154" s="240" t="s">
        <v>231</v>
      </c>
      <c r="FA154" s="240" t="s">
        <v>231</v>
      </c>
      <c r="FB154" s="240" t="s">
        <v>231</v>
      </c>
      <c r="FC154" s="240" t="s">
        <v>231</v>
      </c>
      <c r="FD154" s="240" t="s">
        <v>231</v>
      </c>
      <c r="FE154" s="240" t="s">
        <v>231</v>
      </c>
      <c r="FF154" s="240" t="s">
        <v>231</v>
      </c>
      <c r="FG154" s="240" t="s">
        <v>492</v>
      </c>
      <c r="FH154" s="240" t="s">
        <v>492</v>
      </c>
      <c r="FI154" s="240" t="s">
        <v>231</v>
      </c>
      <c r="FJ154" s="240" t="s">
        <v>492</v>
      </c>
      <c r="FK154" s="240" t="s">
        <v>492</v>
      </c>
      <c r="FL154" s="240" t="s">
        <v>492</v>
      </c>
      <c r="FM154" s="240" t="s">
        <v>231</v>
      </c>
      <c r="FN154" s="240" t="s">
        <v>231</v>
      </c>
      <c r="FO154" s="240" t="s">
        <v>231</v>
      </c>
      <c r="FP154" s="240" t="s">
        <v>231</v>
      </c>
      <c r="FQ154" s="240" t="s">
        <v>231</v>
      </c>
      <c r="FR154" s="240" t="s">
        <v>231</v>
      </c>
      <c r="FS154" s="240" t="s">
        <v>231</v>
      </c>
      <c r="FT154" s="240" t="s">
        <v>492</v>
      </c>
      <c r="FU154" s="240" t="s">
        <v>231</v>
      </c>
      <c r="FV154" s="240" t="s">
        <v>231</v>
      </c>
      <c r="FW154" s="240" t="s">
        <v>231</v>
      </c>
      <c r="FX154" s="240" t="s">
        <v>492</v>
      </c>
      <c r="FY154" s="240" t="s">
        <v>231</v>
      </c>
      <c r="FZ154" s="240" t="s">
        <v>231</v>
      </c>
      <c r="GA154" s="240" t="s">
        <v>231</v>
      </c>
      <c r="GB154" s="240" t="s">
        <v>231</v>
      </c>
      <c r="GC154" s="240" t="s">
        <v>231</v>
      </c>
      <c r="GD154" s="240" t="s">
        <v>231</v>
      </c>
      <c r="GE154" s="240" t="s">
        <v>231</v>
      </c>
      <c r="GF154" s="240" t="s">
        <v>231</v>
      </c>
      <c r="GG154" s="240" t="s">
        <v>231</v>
      </c>
      <c r="GH154" s="240" t="s">
        <v>231</v>
      </c>
      <c r="GI154" s="240" t="s">
        <v>231</v>
      </c>
      <c r="GJ154" s="240" t="s">
        <v>231</v>
      </c>
      <c r="GK154" s="240" t="s">
        <v>231</v>
      </c>
      <c r="GL154" s="240" t="s">
        <v>231</v>
      </c>
      <c r="GM154" s="240" t="s">
        <v>231</v>
      </c>
      <c r="GN154" s="240" t="s">
        <v>231</v>
      </c>
      <c r="GO154" s="240" t="s">
        <v>231</v>
      </c>
      <c r="GP154" s="240" t="s">
        <v>492</v>
      </c>
      <c r="GQ154" s="240" t="s">
        <v>231</v>
      </c>
      <c r="GR154" s="240" t="s">
        <v>231</v>
      </c>
      <c r="GS154" s="240" t="s">
        <v>231</v>
      </c>
      <c r="GT154" s="240" t="s">
        <v>231</v>
      </c>
      <c r="GU154" s="240" t="s">
        <v>231</v>
      </c>
      <c r="GV154" s="240" t="s">
        <v>231</v>
      </c>
      <c r="GW154" s="240" t="s">
        <v>231</v>
      </c>
      <c r="GX154" s="240" t="s">
        <v>231</v>
      </c>
      <c r="GY154" s="240" t="s">
        <v>492</v>
      </c>
      <c r="GZ154" s="240" t="s">
        <v>492</v>
      </c>
      <c r="HA154" s="240" t="s">
        <v>231</v>
      </c>
      <c r="HB154" s="240" t="s">
        <v>231</v>
      </c>
      <c r="HC154" s="240" t="s">
        <v>231</v>
      </c>
      <c r="HD154" s="240" t="s">
        <v>231</v>
      </c>
      <c r="HE154" s="240" t="s">
        <v>492</v>
      </c>
      <c r="HF154" s="240" t="s">
        <v>231</v>
      </c>
      <c r="HG154" s="240" t="s">
        <v>492</v>
      </c>
      <c r="HH154" s="240" t="s">
        <v>231</v>
      </c>
      <c r="HI154" s="240" t="s">
        <v>231</v>
      </c>
      <c r="HJ154" s="240" t="s">
        <v>231</v>
      </c>
      <c r="HK154" s="240" t="s">
        <v>231</v>
      </c>
      <c r="HL154" s="240" t="s">
        <v>231</v>
      </c>
      <c r="HM154" s="240" t="s">
        <v>231</v>
      </c>
      <c r="HN154" s="240" t="s">
        <v>231</v>
      </c>
      <c r="HO154" s="240" t="s">
        <v>231</v>
      </c>
      <c r="HP154" s="240" t="s">
        <v>231</v>
      </c>
      <c r="HQ154" s="240" t="s">
        <v>231</v>
      </c>
      <c r="HR154" s="240" t="s">
        <v>492</v>
      </c>
      <c r="HS154" s="240" t="s">
        <v>492</v>
      </c>
      <c r="HT154" s="240" t="s">
        <v>492</v>
      </c>
      <c r="HU154" s="240" t="s">
        <v>231</v>
      </c>
      <c r="HV154" s="240" t="s">
        <v>231</v>
      </c>
      <c r="HW154" s="240" t="s">
        <v>231</v>
      </c>
      <c r="HX154" s="240" t="s">
        <v>231</v>
      </c>
      <c r="HY154" s="240" t="s">
        <v>231</v>
      </c>
      <c r="HZ154" s="240" t="s">
        <v>231</v>
      </c>
      <c r="IA154" s="240" t="s">
        <v>231</v>
      </c>
      <c r="IB154" s="240" t="s">
        <v>231</v>
      </c>
      <c r="IC154" s="240" t="s">
        <v>231</v>
      </c>
      <c r="ID154" s="240" t="s">
        <v>231</v>
      </c>
      <c r="IE154" s="240" t="s">
        <v>231</v>
      </c>
      <c r="IF154" s="240" t="s">
        <v>231</v>
      </c>
      <c r="IG154" s="240" t="s">
        <v>231</v>
      </c>
      <c r="IH154" s="240" t="s">
        <v>231</v>
      </c>
      <c r="II154" s="240" t="s">
        <v>231</v>
      </c>
      <c r="IJ154" s="240" t="s">
        <v>231</v>
      </c>
      <c r="IK154" s="240" t="s">
        <v>231</v>
      </c>
      <c r="IL154" s="240" t="s">
        <v>231</v>
      </c>
      <c r="IM154" s="240" t="s">
        <v>231</v>
      </c>
      <c r="IN154" s="240" t="s">
        <v>231</v>
      </c>
      <c r="IO154" s="240" t="s">
        <v>220</v>
      </c>
      <c r="IP154" s="240" t="s">
        <v>493</v>
      </c>
      <c r="IQ154" s="240" t="s">
        <v>219</v>
      </c>
      <c r="IR154" s="240" t="s">
        <v>490</v>
      </c>
      <c r="IS154" s="240" t="s">
        <v>231</v>
      </c>
      <c r="IT154" s="240" t="s">
        <v>231</v>
      </c>
    </row>
    <row r="155" spans="1:254" ht="15" x14ac:dyDescent="0.25">
      <c r="A155" s="258" t="str">
        <f>HYPERLINK("http://www.ofsted.gov.uk/inspection-reports/find-inspection-report/provider/ELS/137887 ","Ofsted School Webpage")</f>
        <v>Ofsted School Webpage</v>
      </c>
      <c r="B155" s="237">
        <v>137887</v>
      </c>
      <c r="C155" s="237">
        <v>3526006</v>
      </c>
      <c r="D155" s="237" t="s">
        <v>894</v>
      </c>
      <c r="E155" s="237" t="s">
        <v>247</v>
      </c>
      <c r="F155" s="237" t="s">
        <v>482</v>
      </c>
      <c r="G155" s="237" t="s">
        <v>495</v>
      </c>
      <c r="H155" s="237" t="s">
        <v>495</v>
      </c>
      <c r="I155" s="237" t="s">
        <v>744</v>
      </c>
      <c r="J155" s="237" t="s">
        <v>895</v>
      </c>
      <c r="K155" s="237" t="s">
        <v>93</v>
      </c>
      <c r="L155" s="237" t="s">
        <v>93</v>
      </c>
      <c r="M155" s="237" t="s">
        <v>93</v>
      </c>
      <c r="N155" s="237" t="s">
        <v>90</v>
      </c>
      <c r="O155" s="237" t="s">
        <v>486</v>
      </c>
      <c r="P155" s="237" t="s">
        <v>487</v>
      </c>
      <c r="Q155" s="238">
        <v>10053734</v>
      </c>
      <c r="R155" s="239">
        <v>43446</v>
      </c>
      <c r="S155" s="239">
        <v>43448</v>
      </c>
      <c r="T155" s="239">
        <v>43478</v>
      </c>
      <c r="U155" s="237" t="s">
        <v>488</v>
      </c>
      <c r="V155" s="237" t="s">
        <v>489</v>
      </c>
      <c r="W155" s="237">
        <v>2</v>
      </c>
      <c r="X155" s="237">
        <v>2</v>
      </c>
      <c r="Y155" s="237">
        <v>2</v>
      </c>
      <c r="Z155" s="237">
        <v>2</v>
      </c>
      <c r="AA155" s="237">
        <v>2</v>
      </c>
      <c r="AB155" s="237" t="s">
        <v>486</v>
      </c>
      <c r="AC155" s="237" t="s">
        <v>486</v>
      </c>
      <c r="AD155" s="237" t="s">
        <v>219</v>
      </c>
      <c r="AE155" s="237" t="s">
        <v>490</v>
      </c>
      <c r="AF155" s="237" t="s">
        <v>486</v>
      </c>
      <c r="AG155" s="237" t="s">
        <v>486</v>
      </c>
      <c r="AH155" s="237" t="s">
        <v>486</v>
      </c>
      <c r="AI155" s="237" t="s">
        <v>486</v>
      </c>
      <c r="AJ155" s="237" t="s">
        <v>486</v>
      </c>
      <c r="AK155" s="237" t="s">
        <v>486</v>
      </c>
      <c r="AL155" s="237" t="s">
        <v>486</v>
      </c>
      <c r="AM155" s="237" t="s">
        <v>491</v>
      </c>
      <c r="AN155" s="237" t="s">
        <v>231</v>
      </c>
      <c r="AO155" s="237" t="s">
        <v>231</v>
      </c>
      <c r="AP155" s="237" t="s">
        <v>231</v>
      </c>
      <c r="AQ155" s="237" t="s">
        <v>231</v>
      </c>
      <c r="AR155" s="237" t="s">
        <v>231</v>
      </c>
      <c r="AS155" s="237" t="s">
        <v>231</v>
      </c>
      <c r="AT155" s="237" t="s">
        <v>231</v>
      </c>
      <c r="AU155" s="237" t="s">
        <v>231</v>
      </c>
      <c r="AV155" s="237" t="s">
        <v>231</v>
      </c>
      <c r="AW155" s="237" t="s">
        <v>231</v>
      </c>
      <c r="AX155" s="237" t="s">
        <v>231</v>
      </c>
      <c r="AY155" s="237" t="s">
        <v>231</v>
      </c>
      <c r="AZ155" s="237" t="s">
        <v>231</v>
      </c>
      <c r="BA155" s="237" t="s">
        <v>231</v>
      </c>
      <c r="BB155" s="237" t="s">
        <v>231</v>
      </c>
      <c r="BC155" s="237" t="s">
        <v>231</v>
      </c>
      <c r="BD155" s="237" t="s">
        <v>492</v>
      </c>
      <c r="BE155" s="237" t="s">
        <v>231</v>
      </c>
      <c r="BF155" s="237" t="s">
        <v>231</v>
      </c>
      <c r="BG155" s="237" t="s">
        <v>231</v>
      </c>
      <c r="BH155" s="237" t="s">
        <v>231</v>
      </c>
      <c r="BI155" s="237" t="s">
        <v>231</v>
      </c>
      <c r="BJ155" s="237" t="s">
        <v>231</v>
      </c>
      <c r="BK155" s="237" t="s">
        <v>231</v>
      </c>
      <c r="BL155" s="237" t="s">
        <v>492</v>
      </c>
      <c r="BM155" s="237" t="s">
        <v>492</v>
      </c>
      <c r="BN155" s="237" t="s">
        <v>231</v>
      </c>
      <c r="BO155" s="237" t="s">
        <v>231</v>
      </c>
      <c r="BP155" s="237" t="s">
        <v>231</v>
      </c>
      <c r="BQ155" s="237" t="s">
        <v>231</v>
      </c>
      <c r="BR155" s="237" t="s">
        <v>231</v>
      </c>
      <c r="BS155" s="237" t="s">
        <v>231</v>
      </c>
      <c r="BT155" s="237" t="s">
        <v>231</v>
      </c>
      <c r="BU155" s="237" t="s">
        <v>231</v>
      </c>
      <c r="BV155" s="237" t="s">
        <v>231</v>
      </c>
      <c r="BW155" s="237" t="s">
        <v>231</v>
      </c>
      <c r="BX155" s="237" t="s">
        <v>231</v>
      </c>
      <c r="BY155" s="237" t="s">
        <v>231</v>
      </c>
      <c r="BZ155" s="237" t="s">
        <v>231</v>
      </c>
      <c r="CA155" s="237" t="s">
        <v>231</v>
      </c>
      <c r="CB155" s="237" t="s">
        <v>231</v>
      </c>
      <c r="CC155" s="237" t="s">
        <v>231</v>
      </c>
      <c r="CD155" s="237" t="s">
        <v>231</v>
      </c>
      <c r="CE155" s="237" t="s">
        <v>231</v>
      </c>
      <c r="CF155" s="237" t="s">
        <v>231</v>
      </c>
      <c r="CG155" s="237" t="s">
        <v>231</v>
      </c>
      <c r="CH155" s="237" t="s">
        <v>231</v>
      </c>
      <c r="CI155" s="237" t="s">
        <v>231</v>
      </c>
      <c r="CJ155" s="237" t="s">
        <v>231</v>
      </c>
      <c r="CK155" s="237" t="s">
        <v>231</v>
      </c>
      <c r="CL155" s="237" t="s">
        <v>231</v>
      </c>
      <c r="CM155" s="237" t="s">
        <v>231</v>
      </c>
      <c r="CN155" s="237" t="s">
        <v>231</v>
      </c>
      <c r="CO155" s="237" t="s">
        <v>231</v>
      </c>
      <c r="CP155" s="237" t="s">
        <v>231</v>
      </c>
      <c r="CQ155" s="237" t="s">
        <v>231</v>
      </c>
      <c r="CR155" s="237" t="s">
        <v>231</v>
      </c>
      <c r="CS155" s="237" t="s">
        <v>231</v>
      </c>
      <c r="CT155" s="237" t="s">
        <v>492</v>
      </c>
      <c r="CU155" s="237" t="s">
        <v>492</v>
      </c>
      <c r="CV155" s="237" t="s">
        <v>492</v>
      </c>
      <c r="CW155" s="237" t="s">
        <v>231</v>
      </c>
      <c r="CX155" s="237" t="s">
        <v>231</v>
      </c>
      <c r="CY155" s="237" t="s">
        <v>231</v>
      </c>
      <c r="CZ155" s="237" t="s">
        <v>231</v>
      </c>
      <c r="DA155" s="237" t="s">
        <v>231</v>
      </c>
      <c r="DB155" s="237" t="s">
        <v>231</v>
      </c>
      <c r="DC155" s="237" t="s">
        <v>231</v>
      </c>
      <c r="DD155" s="237" t="s">
        <v>231</v>
      </c>
      <c r="DE155" s="237" t="s">
        <v>231</v>
      </c>
      <c r="DF155" s="237" t="s">
        <v>231</v>
      </c>
      <c r="DG155" s="237" t="s">
        <v>231</v>
      </c>
      <c r="DH155" s="237" t="s">
        <v>231</v>
      </c>
      <c r="DI155" s="237" t="s">
        <v>231</v>
      </c>
      <c r="DJ155" s="237" t="s">
        <v>231</v>
      </c>
      <c r="DK155" s="237" t="s">
        <v>231</v>
      </c>
      <c r="DL155" s="237" t="s">
        <v>231</v>
      </c>
      <c r="DM155" s="237" t="s">
        <v>231</v>
      </c>
      <c r="DN155" s="237" t="s">
        <v>231</v>
      </c>
      <c r="DO155" s="237" t="s">
        <v>231</v>
      </c>
      <c r="DP155" s="237" t="s">
        <v>231</v>
      </c>
      <c r="DQ155" s="237" t="s">
        <v>231</v>
      </c>
      <c r="DR155" s="237" t="s">
        <v>231</v>
      </c>
      <c r="DS155" s="237" t="s">
        <v>231</v>
      </c>
      <c r="DT155" s="237" t="s">
        <v>492</v>
      </c>
      <c r="DU155" s="237" t="s">
        <v>231</v>
      </c>
      <c r="DV155" s="237" t="s">
        <v>492</v>
      </c>
      <c r="DW155" s="237" t="s">
        <v>492</v>
      </c>
      <c r="DX155" s="237" t="s">
        <v>492</v>
      </c>
      <c r="DY155" s="237" t="s">
        <v>492</v>
      </c>
      <c r="DZ155" s="237" t="s">
        <v>492</v>
      </c>
      <c r="EA155" s="237" t="s">
        <v>492</v>
      </c>
      <c r="EB155" s="237" t="s">
        <v>492</v>
      </c>
      <c r="EC155" s="237" t="s">
        <v>492</v>
      </c>
      <c r="ED155" s="237" t="s">
        <v>492</v>
      </c>
      <c r="EE155" s="237" t="s">
        <v>492</v>
      </c>
      <c r="EF155" s="237" t="s">
        <v>492</v>
      </c>
      <c r="EG155" s="237" t="s">
        <v>492</v>
      </c>
      <c r="EH155" s="237" t="s">
        <v>492</v>
      </c>
      <c r="EI155" s="237" t="s">
        <v>492</v>
      </c>
      <c r="EJ155" s="237" t="s">
        <v>231</v>
      </c>
      <c r="EK155" s="237" t="s">
        <v>231</v>
      </c>
      <c r="EL155" s="237" t="s">
        <v>231</v>
      </c>
      <c r="EM155" s="237" t="s">
        <v>231</v>
      </c>
      <c r="EN155" s="237" t="s">
        <v>231</v>
      </c>
      <c r="EO155" s="237" t="s">
        <v>231</v>
      </c>
      <c r="EP155" s="237" t="s">
        <v>231</v>
      </c>
      <c r="EQ155" s="237" t="s">
        <v>231</v>
      </c>
      <c r="ER155" s="237" t="s">
        <v>231</v>
      </c>
      <c r="ES155" s="237" t="s">
        <v>231</v>
      </c>
      <c r="ET155" s="237" t="s">
        <v>231</v>
      </c>
      <c r="EU155" s="237" t="s">
        <v>231</v>
      </c>
      <c r="EV155" s="237" t="s">
        <v>231</v>
      </c>
      <c r="EW155" s="237" t="s">
        <v>231</v>
      </c>
      <c r="EX155" s="237" t="s">
        <v>231</v>
      </c>
      <c r="EY155" s="237" t="s">
        <v>231</v>
      </c>
      <c r="EZ155" s="237" t="s">
        <v>231</v>
      </c>
      <c r="FA155" s="237" t="s">
        <v>231</v>
      </c>
      <c r="FB155" s="237" t="s">
        <v>231</v>
      </c>
      <c r="FC155" s="237" t="s">
        <v>231</v>
      </c>
      <c r="FD155" s="237" t="s">
        <v>231</v>
      </c>
      <c r="FE155" s="237" t="s">
        <v>231</v>
      </c>
      <c r="FF155" s="237" t="s">
        <v>492</v>
      </c>
      <c r="FG155" s="237" t="s">
        <v>492</v>
      </c>
      <c r="FH155" s="237" t="s">
        <v>492</v>
      </c>
      <c r="FI155" s="237" t="s">
        <v>492</v>
      </c>
      <c r="FJ155" s="237" t="s">
        <v>492</v>
      </c>
      <c r="FK155" s="237" t="s">
        <v>492</v>
      </c>
      <c r="FL155" s="237" t="s">
        <v>492</v>
      </c>
      <c r="FM155" s="237" t="s">
        <v>231</v>
      </c>
      <c r="FN155" s="237" t="s">
        <v>492</v>
      </c>
      <c r="FO155" s="237" t="s">
        <v>493</v>
      </c>
      <c r="FP155" s="237" t="s">
        <v>492</v>
      </c>
      <c r="FQ155" s="237" t="s">
        <v>231</v>
      </c>
      <c r="FR155" s="237" t="s">
        <v>231</v>
      </c>
      <c r="FS155" s="237" t="s">
        <v>231</v>
      </c>
      <c r="FT155" s="237" t="s">
        <v>231</v>
      </c>
      <c r="FU155" s="237" t="s">
        <v>231</v>
      </c>
      <c r="FV155" s="237" t="s">
        <v>231</v>
      </c>
      <c r="FW155" s="237" t="s">
        <v>231</v>
      </c>
      <c r="FX155" s="237" t="s">
        <v>492</v>
      </c>
      <c r="FY155" s="237" t="s">
        <v>231</v>
      </c>
      <c r="FZ155" s="237" t="s">
        <v>231</v>
      </c>
      <c r="GA155" s="237" t="s">
        <v>231</v>
      </c>
      <c r="GB155" s="237" t="s">
        <v>231</v>
      </c>
      <c r="GC155" s="237" t="s">
        <v>231</v>
      </c>
      <c r="GD155" s="237" t="s">
        <v>231</v>
      </c>
      <c r="GE155" s="237" t="s">
        <v>231</v>
      </c>
      <c r="GF155" s="237" t="s">
        <v>231</v>
      </c>
      <c r="GG155" s="237" t="s">
        <v>231</v>
      </c>
      <c r="GH155" s="237" t="s">
        <v>231</v>
      </c>
      <c r="GI155" s="237" t="s">
        <v>231</v>
      </c>
      <c r="GJ155" s="237" t="s">
        <v>231</v>
      </c>
      <c r="GK155" s="237" t="s">
        <v>231</v>
      </c>
      <c r="GL155" s="237" t="s">
        <v>231</v>
      </c>
      <c r="GM155" s="237" t="s">
        <v>231</v>
      </c>
      <c r="GN155" s="237" t="s">
        <v>231</v>
      </c>
      <c r="GO155" s="237" t="s">
        <v>231</v>
      </c>
      <c r="GP155" s="237" t="s">
        <v>492</v>
      </c>
      <c r="GQ155" s="237" t="s">
        <v>231</v>
      </c>
      <c r="GR155" s="237" t="s">
        <v>231</v>
      </c>
      <c r="GS155" s="237" t="s">
        <v>231</v>
      </c>
      <c r="GT155" s="237" t="s">
        <v>231</v>
      </c>
      <c r="GU155" s="237" t="s">
        <v>231</v>
      </c>
      <c r="GV155" s="237" t="s">
        <v>231</v>
      </c>
      <c r="GW155" s="237" t="s">
        <v>231</v>
      </c>
      <c r="GX155" s="237" t="s">
        <v>231</v>
      </c>
      <c r="GY155" s="237" t="s">
        <v>231</v>
      </c>
      <c r="GZ155" s="237" t="s">
        <v>231</v>
      </c>
      <c r="HA155" s="237" t="s">
        <v>231</v>
      </c>
      <c r="HB155" s="237" t="s">
        <v>231</v>
      </c>
      <c r="HC155" s="237" t="s">
        <v>231</v>
      </c>
      <c r="HD155" s="237" t="s">
        <v>231</v>
      </c>
      <c r="HE155" s="237" t="s">
        <v>231</v>
      </c>
      <c r="HF155" s="237" t="s">
        <v>231</v>
      </c>
      <c r="HG155" s="237" t="s">
        <v>231</v>
      </c>
      <c r="HH155" s="237" t="s">
        <v>231</v>
      </c>
      <c r="HI155" s="237" t="s">
        <v>231</v>
      </c>
      <c r="HJ155" s="237" t="s">
        <v>231</v>
      </c>
      <c r="HK155" s="237" t="s">
        <v>231</v>
      </c>
      <c r="HL155" s="237" t="s">
        <v>231</v>
      </c>
      <c r="HM155" s="237" t="s">
        <v>231</v>
      </c>
      <c r="HN155" s="237" t="s">
        <v>231</v>
      </c>
      <c r="HO155" s="237" t="s">
        <v>231</v>
      </c>
      <c r="HP155" s="237" t="s">
        <v>231</v>
      </c>
      <c r="HQ155" s="237" t="s">
        <v>231</v>
      </c>
      <c r="HR155" s="237" t="s">
        <v>492</v>
      </c>
      <c r="HS155" s="237" t="s">
        <v>492</v>
      </c>
      <c r="HT155" s="237" t="s">
        <v>492</v>
      </c>
      <c r="HU155" s="237" t="s">
        <v>231</v>
      </c>
      <c r="HV155" s="237" t="s">
        <v>231</v>
      </c>
      <c r="HW155" s="237" t="s">
        <v>231</v>
      </c>
      <c r="HX155" s="237" t="s">
        <v>231</v>
      </c>
      <c r="HY155" s="237" t="s">
        <v>231</v>
      </c>
      <c r="HZ155" s="237" t="s">
        <v>231</v>
      </c>
      <c r="IA155" s="237" t="s">
        <v>231</v>
      </c>
      <c r="IB155" s="237" t="s">
        <v>231</v>
      </c>
      <c r="IC155" s="237" t="s">
        <v>231</v>
      </c>
      <c r="ID155" s="237" t="s">
        <v>231</v>
      </c>
      <c r="IE155" s="237" t="s">
        <v>231</v>
      </c>
      <c r="IF155" s="237" t="s">
        <v>231</v>
      </c>
      <c r="IG155" s="237" t="s">
        <v>231</v>
      </c>
      <c r="IH155" s="237" t="s">
        <v>231</v>
      </c>
      <c r="II155" s="237" t="s">
        <v>231</v>
      </c>
      <c r="IJ155" s="237" t="s">
        <v>231</v>
      </c>
      <c r="IK155" s="237" t="s">
        <v>231</v>
      </c>
      <c r="IL155" s="237" t="s">
        <v>231</v>
      </c>
      <c r="IM155" s="237" t="s">
        <v>231</v>
      </c>
      <c r="IN155" s="237" t="s">
        <v>231</v>
      </c>
      <c r="IO155" s="237" t="s">
        <v>220</v>
      </c>
      <c r="IP155" s="237" t="s">
        <v>493</v>
      </c>
      <c r="IQ155" s="237" t="s">
        <v>219</v>
      </c>
      <c r="IR155" s="237" t="s">
        <v>490</v>
      </c>
      <c r="IS155" s="237" t="s">
        <v>492</v>
      </c>
      <c r="IT155" s="237" t="s">
        <v>492</v>
      </c>
    </row>
    <row r="156" spans="1:254" ht="15" x14ac:dyDescent="0.25">
      <c r="A156" s="259" t="str">
        <f>HYPERLINK("http://www.ofsted.gov.uk/inspection-reports/find-inspection-report/provider/ELS/131825 ","Ofsted School Webpage")</f>
        <v>Ofsted School Webpage</v>
      </c>
      <c r="B156" s="240">
        <v>131825</v>
      </c>
      <c r="C156" s="240">
        <v>8216004</v>
      </c>
      <c r="D156" s="240" t="s">
        <v>896</v>
      </c>
      <c r="E156" s="240" t="s">
        <v>247</v>
      </c>
      <c r="F156" s="240" t="s">
        <v>482</v>
      </c>
      <c r="G156" s="240" t="s">
        <v>516</v>
      </c>
      <c r="H156" s="240" t="s">
        <v>516</v>
      </c>
      <c r="I156" s="240" t="s">
        <v>517</v>
      </c>
      <c r="J156" s="240" t="s">
        <v>897</v>
      </c>
      <c r="K156" s="240" t="s">
        <v>93</v>
      </c>
      <c r="L156" s="240" t="s">
        <v>84</v>
      </c>
      <c r="M156" s="240" t="s">
        <v>84</v>
      </c>
      <c r="N156" s="240" t="s">
        <v>84</v>
      </c>
      <c r="O156" s="240" t="s">
        <v>486</v>
      </c>
      <c r="P156" s="240" t="s">
        <v>487</v>
      </c>
      <c r="Q156" s="241">
        <v>10056561</v>
      </c>
      <c r="R156" s="242">
        <v>43473</v>
      </c>
      <c r="S156" s="242">
        <v>43475</v>
      </c>
      <c r="T156" s="242">
        <v>43507</v>
      </c>
      <c r="U156" s="240" t="s">
        <v>488</v>
      </c>
      <c r="V156" s="240" t="s">
        <v>489</v>
      </c>
      <c r="W156" s="240">
        <v>3</v>
      </c>
      <c r="X156" s="240">
        <v>3</v>
      </c>
      <c r="Y156" s="240">
        <v>3</v>
      </c>
      <c r="Z156" s="240">
        <v>3</v>
      </c>
      <c r="AA156" s="240">
        <v>3</v>
      </c>
      <c r="AB156" s="240" t="s">
        <v>486</v>
      </c>
      <c r="AC156" s="240" t="s">
        <v>486</v>
      </c>
      <c r="AD156" s="240" t="s">
        <v>219</v>
      </c>
      <c r="AE156" s="240" t="s">
        <v>490</v>
      </c>
      <c r="AF156" s="240" t="s">
        <v>486</v>
      </c>
      <c r="AG156" s="240" t="s">
        <v>486</v>
      </c>
      <c r="AH156" s="240" t="s">
        <v>486</v>
      </c>
      <c r="AI156" s="240" t="s">
        <v>486</v>
      </c>
      <c r="AJ156" s="240" t="s">
        <v>486</v>
      </c>
      <c r="AK156" s="240" t="s">
        <v>486</v>
      </c>
      <c r="AL156" s="240" t="s">
        <v>486</v>
      </c>
      <c r="AM156" s="240" t="s">
        <v>545</v>
      </c>
      <c r="AN156" s="240" t="s">
        <v>546</v>
      </c>
      <c r="AO156" s="240" t="s">
        <v>231</v>
      </c>
      <c r="AP156" s="240" t="s">
        <v>546</v>
      </c>
      <c r="AQ156" s="240" t="s">
        <v>231</v>
      </c>
      <c r="AR156" s="240" t="s">
        <v>231</v>
      </c>
      <c r="AS156" s="240" t="s">
        <v>231</v>
      </c>
      <c r="AT156" s="240" t="s">
        <v>231</v>
      </c>
      <c r="AU156" s="240" t="s">
        <v>546</v>
      </c>
      <c r="AV156" s="240" t="s">
        <v>232</v>
      </c>
      <c r="AW156" s="240" t="s">
        <v>232</v>
      </c>
      <c r="AX156" s="240" t="s">
        <v>232</v>
      </c>
      <c r="AY156" s="240" t="s">
        <v>232</v>
      </c>
      <c r="AZ156" s="240" t="s">
        <v>231</v>
      </c>
      <c r="BA156" s="240" t="s">
        <v>231</v>
      </c>
      <c r="BB156" s="240" t="s">
        <v>231</v>
      </c>
      <c r="BC156" s="240" t="s">
        <v>231</v>
      </c>
      <c r="BD156" s="240" t="s">
        <v>231</v>
      </c>
      <c r="BE156" s="240" t="s">
        <v>231</v>
      </c>
      <c r="BF156" s="240" t="s">
        <v>231</v>
      </c>
      <c r="BG156" s="240" t="s">
        <v>231</v>
      </c>
      <c r="BH156" s="240" t="s">
        <v>231</v>
      </c>
      <c r="BI156" s="240" t="s">
        <v>231</v>
      </c>
      <c r="BJ156" s="240" t="s">
        <v>231</v>
      </c>
      <c r="BK156" s="240" t="s">
        <v>231</v>
      </c>
      <c r="BL156" s="240" t="s">
        <v>231</v>
      </c>
      <c r="BM156" s="240" t="s">
        <v>231</v>
      </c>
      <c r="BN156" s="240" t="s">
        <v>231</v>
      </c>
      <c r="BO156" s="240" t="s">
        <v>231</v>
      </c>
      <c r="BP156" s="240" t="s">
        <v>232</v>
      </c>
      <c r="BQ156" s="240" t="s">
        <v>232</v>
      </c>
      <c r="BR156" s="240" t="s">
        <v>231</v>
      </c>
      <c r="BS156" s="240" t="s">
        <v>232</v>
      </c>
      <c r="BT156" s="240" t="s">
        <v>232</v>
      </c>
      <c r="BU156" s="240" t="s">
        <v>231</v>
      </c>
      <c r="BV156" s="240" t="s">
        <v>231</v>
      </c>
      <c r="BW156" s="240" t="s">
        <v>231</v>
      </c>
      <c r="BX156" s="240" t="s">
        <v>232</v>
      </c>
      <c r="BY156" s="240" t="s">
        <v>231</v>
      </c>
      <c r="BZ156" s="240" t="s">
        <v>231</v>
      </c>
      <c r="CA156" s="240" t="s">
        <v>231</v>
      </c>
      <c r="CB156" s="240" t="s">
        <v>231</v>
      </c>
      <c r="CC156" s="240" t="s">
        <v>231</v>
      </c>
      <c r="CD156" s="240" t="s">
        <v>231</v>
      </c>
      <c r="CE156" s="240" t="s">
        <v>231</v>
      </c>
      <c r="CF156" s="240" t="s">
        <v>231</v>
      </c>
      <c r="CG156" s="240" t="s">
        <v>231</v>
      </c>
      <c r="CH156" s="240" t="s">
        <v>231</v>
      </c>
      <c r="CI156" s="240" t="s">
        <v>231</v>
      </c>
      <c r="CJ156" s="240" t="s">
        <v>231</v>
      </c>
      <c r="CK156" s="240" t="s">
        <v>231</v>
      </c>
      <c r="CL156" s="240" t="s">
        <v>231</v>
      </c>
      <c r="CM156" s="240" t="s">
        <v>231</v>
      </c>
      <c r="CN156" s="240" t="s">
        <v>231</v>
      </c>
      <c r="CO156" s="240" t="s">
        <v>231</v>
      </c>
      <c r="CP156" s="240" t="s">
        <v>231</v>
      </c>
      <c r="CQ156" s="240" t="s">
        <v>231</v>
      </c>
      <c r="CR156" s="240" t="s">
        <v>231</v>
      </c>
      <c r="CS156" s="240" t="s">
        <v>231</v>
      </c>
      <c r="CT156" s="240" t="s">
        <v>492</v>
      </c>
      <c r="CU156" s="240" t="s">
        <v>492</v>
      </c>
      <c r="CV156" s="240" t="s">
        <v>492</v>
      </c>
      <c r="CW156" s="240" t="s">
        <v>231</v>
      </c>
      <c r="CX156" s="240" t="s">
        <v>231</v>
      </c>
      <c r="CY156" s="240" t="s">
        <v>231</v>
      </c>
      <c r="CZ156" s="240" t="s">
        <v>231</v>
      </c>
      <c r="DA156" s="240" t="s">
        <v>231</v>
      </c>
      <c r="DB156" s="240" t="s">
        <v>231</v>
      </c>
      <c r="DC156" s="240" t="s">
        <v>231</v>
      </c>
      <c r="DD156" s="240" t="s">
        <v>231</v>
      </c>
      <c r="DE156" s="240" t="s">
        <v>231</v>
      </c>
      <c r="DF156" s="240" t="s">
        <v>232</v>
      </c>
      <c r="DG156" s="240" t="s">
        <v>231</v>
      </c>
      <c r="DH156" s="240" t="s">
        <v>231</v>
      </c>
      <c r="DI156" s="240" t="s">
        <v>231</v>
      </c>
      <c r="DJ156" s="240" t="s">
        <v>231</v>
      </c>
      <c r="DK156" s="240" t="s">
        <v>231</v>
      </c>
      <c r="DL156" s="240" t="s">
        <v>231</v>
      </c>
      <c r="DM156" s="240" t="s">
        <v>231</v>
      </c>
      <c r="DN156" s="240" t="s">
        <v>231</v>
      </c>
      <c r="DO156" s="240" t="s">
        <v>231</v>
      </c>
      <c r="DP156" s="240" t="s">
        <v>231</v>
      </c>
      <c r="DQ156" s="240" t="s">
        <v>231</v>
      </c>
      <c r="DR156" s="240" t="s">
        <v>231</v>
      </c>
      <c r="DS156" s="240" t="s">
        <v>231</v>
      </c>
      <c r="DT156" s="240" t="s">
        <v>492</v>
      </c>
      <c r="DU156" s="240" t="s">
        <v>231</v>
      </c>
      <c r="DV156" s="240" t="s">
        <v>231</v>
      </c>
      <c r="DW156" s="240" t="s">
        <v>231</v>
      </c>
      <c r="DX156" s="240" t="s">
        <v>231</v>
      </c>
      <c r="DY156" s="240" t="s">
        <v>231</v>
      </c>
      <c r="DZ156" s="240" t="s">
        <v>231</v>
      </c>
      <c r="EA156" s="240" t="s">
        <v>231</v>
      </c>
      <c r="EB156" s="240" t="s">
        <v>231</v>
      </c>
      <c r="EC156" s="240" t="s">
        <v>231</v>
      </c>
      <c r="ED156" s="240" t="s">
        <v>231</v>
      </c>
      <c r="EE156" s="240" t="s">
        <v>231</v>
      </c>
      <c r="EF156" s="240" t="s">
        <v>231</v>
      </c>
      <c r="EG156" s="240" t="s">
        <v>231</v>
      </c>
      <c r="EH156" s="240" t="s">
        <v>492</v>
      </c>
      <c r="EI156" s="240" t="s">
        <v>231</v>
      </c>
      <c r="EJ156" s="240" t="s">
        <v>231</v>
      </c>
      <c r="EK156" s="240" t="s">
        <v>231</v>
      </c>
      <c r="EL156" s="240" t="s">
        <v>231</v>
      </c>
      <c r="EM156" s="240" t="s">
        <v>231</v>
      </c>
      <c r="EN156" s="240" t="s">
        <v>231</v>
      </c>
      <c r="EO156" s="240" t="s">
        <v>231</v>
      </c>
      <c r="EP156" s="240" t="s">
        <v>231</v>
      </c>
      <c r="EQ156" s="240" t="s">
        <v>231</v>
      </c>
      <c r="ER156" s="240" t="s">
        <v>231</v>
      </c>
      <c r="ES156" s="240" t="s">
        <v>231</v>
      </c>
      <c r="ET156" s="240" t="s">
        <v>231</v>
      </c>
      <c r="EU156" s="240" t="s">
        <v>231</v>
      </c>
      <c r="EV156" s="240" t="s">
        <v>231</v>
      </c>
      <c r="EW156" s="240" t="s">
        <v>231</v>
      </c>
      <c r="EX156" s="240" t="s">
        <v>231</v>
      </c>
      <c r="EY156" s="240" t="s">
        <v>231</v>
      </c>
      <c r="EZ156" s="240" t="s">
        <v>231</v>
      </c>
      <c r="FA156" s="240" t="s">
        <v>231</v>
      </c>
      <c r="FB156" s="240" t="s">
        <v>231</v>
      </c>
      <c r="FC156" s="240" t="s">
        <v>231</v>
      </c>
      <c r="FD156" s="240" t="s">
        <v>231</v>
      </c>
      <c r="FE156" s="240" t="s">
        <v>231</v>
      </c>
      <c r="FF156" s="240" t="s">
        <v>231</v>
      </c>
      <c r="FG156" s="240" t="s">
        <v>231</v>
      </c>
      <c r="FH156" s="240" t="s">
        <v>231</v>
      </c>
      <c r="FI156" s="240" t="s">
        <v>231</v>
      </c>
      <c r="FJ156" s="240" t="s">
        <v>231</v>
      </c>
      <c r="FK156" s="240" t="s">
        <v>231</v>
      </c>
      <c r="FL156" s="240" t="s">
        <v>231</v>
      </c>
      <c r="FM156" s="240" t="s">
        <v>231</v>
      </c>
      <c r="FN156" s="240" t="s">
        <v>231</v>
      </c>
      <c r="FO156" s="240" t="s">
        <v>231</v>
      </c>
      <c r="FP156" s="240" t="s">
        <v>231</v>
      </c>
      <c r="FQ156" s="240" t="s">
        <v>231</v>
      </c>
      <c r="FR156" s="240" t="s">
        <v>231</v>
      </c>
      <c r="FS156" s="240" t="s">
        <v>231</v>
      </c>
      <c r="FT156" s="240" t="s">
        <v>231</v>
      </c>
      <c r="FU156" s="240" t="s">
        <v>231</v>
      </c>
      <c r="FV156" s="240" t="s">
        <v>231</v>
      </c>
      <c r="FW156" s="240" t="s">
        <v>231</v>
      </c>
      <c r="FX156" s="240" t="s">
        <v>492</v>
      </c>
      <c r="FY156" s="240" t="s">
        <v>231</v>
      </c>
      <c r="FZ156" s="240" t="s">
        <v>231</v>
      </c>
      <c r="GA156" s="240" t="s">
        <v>231</v>
      </c>
      <c r="GB156" s="240" t="s">
        <v>231</v>
      </c>
      <c r="GC156" s="240" t="s">
        <v>231</v>
      </c>
      <c r="GD156" s="240" t="s">
        <v>231</v>
      </c>
      <c r="GE156" s="240" t="s">
        <v>231</v>
      </c>
      <c r="GF156" s="240" t="s">
        <v>231</v>
      </c>
      <c r="GG156" s="240" t="s">
        <v>231</v>
      </c>
      <c r="GH156" s="240" t="s">
        <v>231</v>
      </c>
      <c r="GI156" s="240" t="s">
        <v>231</v>
      </c>
      <c r="GJ156" s="240" t="s">
        <v>231</v>
      </c>
      <c r="GK156" s="240" t="s">
        <v>231</v>
      </c>
      <c r="GL156" s="240" t="s">
        <v>231</v>
      </c>
      <c r="GM156" s="240" t="s">
        <v>231</v>
      </c>
      <c r="GN156" s="240" t="s">
        <v>231</v>
      </c>
      <c r="GO156" s="240" t="s">
        <v>231</v>
      </c>
      <c r="GP156" s="240" t="s">
        <v>231</v>
      </c>
      <c r="GQ156" s="240" t="s">
        <v>231</v>
      </c>
      <c r="GR156" s="240" t="s">
        <v>231</v>
      </c>
      <c r="GS156" s="240" t="s">
        <v>231</v>
      </c>
      <c r="GT156" s="240" t="s">
        <v>231</v>
      </c>
      <c r="GU156" s="240" t="s">
        <v>231</v>
      </c>
      <c r="GV156" s="240" t="s">
        <v>231</v>
      </c>
      <c r="GW156" s="240" t="s">
        <v>231</v>
      </c>
      <c r="GX156" s="240" t="s">
        <v>231</v>
      </c>
      <c r="GY156" s="240" t="s">
        <v>492</v>
      </c>
      <c r="GZ156" s="240" t="s">
        <v>492</v>
      </c>
      <c r="HA156" s="240" t="s">
        <v>231</v>
      </c>
      <c r="HB156" s="240" t="s">
        <v>231</v>
      </c>
      <c r="HC156" s="240" t="s">
        <v>231</v>
      </c>
      <c r="HD156" s="240" t="s">
        <v>231</v>
      </c>
      <c r="HE156" s="240" t="s">
        <v>231</v>
      </c>
      <c r="HF156" s="240" t="s">
        <v>231</v>
      </c>
      <c r="HG156" s="240" t="s">
        <v>231</v>
      </c>
      <c r="HH156" s="240" t="s">
        <v>231</v>
      </c>
      <c r="HI156" s="240" t="s">
        <v>231</v>
      </c>
      <c r="HJ156" s="240" t="s">
        <v>231</v>
      </c>
      <c r="HK156" s="240" t="s">
        <v>231</v>
      </c>
      <c r="HL156" s="240" t="s">
        <v>231</v>
      </c>
      <c r="HM156" s="240" t="s">
        <v>231</v>
      </c>
      <c r="HN156" s="240" t="s">
        <v>231</v>
      </c>
      <c r="HO156" s="240" t="s">
        <v>231</v>
      </c>
      <c r="HP156" s="240" t="s">
        <v>231</v>
      </c>
      <c r="HQ156" s="240" t="s">
        <v>231</v>
      </c>
      <c r="HR156" s="240" t="s">
        <v>492</v>
      </c>
      <c r="HS156" s="240" t="s">
        <v>231</v>
      </c>
      <c r="HT156" s="240" t="s">
        <v>492</v>
      </c>
      <c r="HU156" s="240" t="s">
        <v>231</v>
      </c>
      <c r="HV156" s="240" t="s">
        <v>231</v>
      </c>
      <c r="HW156" s="240" t="s">
        <v>231</v>
      </c>
      <c r="HX156" s="240" t="s">
        <v>231</v>
      </c>
      <c r="HY156" s="240" t="s">
        <v>231</v>
      </c>
      <c r="HZ156" s="240" t="s">
        <v>231</v>
      </c>
      <c r="IA156" s="240" t="s">
        <v>231</v>
      </c>
      <c r="IB156" s="240" t="s">
        <v>231</v>
      </c>
      <c r="IC156" s="240" t="s">
        <v>231</v>
      </c>
      <c r="ID156" s="240" t="s">
        <v>231</v>
      </c>
      <c r="IE156" s="240" t="s">
        <v>231</v>
      </c>
      <c r="IF156" s="240" t="s">
        <v>231</v>
      </c>
      <c r="IG156" s="240" t="s">
        <v>231</v>
      </c>
      <c r="IH156" s="240" t="s">
        <v>231</v>
      </c>
      <c r="II156" s="240" t="s">
        <v>231</v>
      </c>
      <c r="IJ156" s="240" t="s">
        <v>231</v>
      </c>
      <c r="IK156" s="240" t="s">
        <v>232</v>
      </c>
      <c r="IL156" s="240" t="s">
        <v>232</v>
      </c>
      <c r="IM156" s="240" t="s">
        <v>232</v>
      </c>
      <c r="IN156" s="240" t="s">
        <v>231</v>
      </c>
      <c r="IO156" s="240" t="s">
        <v>220</v>
      </c>
      <c r="IP156" s="240" t="s">
        <v>493</v>
      </c>
      <c r="IQ156" s="240" t="s">
        <v>219</v>
      </c>
      <c r="IR156" s="240" t="s">
        <v>490</v>
      </c>
      <c r="IS156" s="240" t="s">
        <v>492</v>
      </c>
      <c r="IT156" s="240" t="s">
        <v>492</v>
      </c>
    </row>
    <row r="157" spans="1:254" ht="15" x14ac:dyDescent="0.25">
      <c r="A157" s="258" t="str">
        <f>HYPERLINK("http://www.ofsted.gov.uk/inspection-reports/find-inspection-report/provider/ELS/130274 ","Ofsted School Webpage")</f>
        <v>Ofsted School Webpage</v>
      </c>
      <c r="B157" s="237">
        <v>130274</v>
      </c>
      <c r="C157" s="237">
        <v>3836119</v>
      </c>
      <c r="D157" s="237" t="s">
        <v>898</v>
      </c>
      <c r="E157" s="237" t="s">
        <v>247</v>
      </c>
      <c r="F157" s="237" t="s">
        <v>482</v>
      </c>
      <c r="G157" s="237" t="s">
        <v>523</v>
      </c>
      <c r="H157" s="237" t="s">
        <v>524</v>
      </c>
      <c r="I157" s="237" t="s">
        <v>702</v>
      </c>
      <c r="J157" s="237" t="s">
        <v>899</v>
      </c>
      <c r="K157" s="237" t="s">
        <v>93</v>
      </c>
      <c r="L157" s="237" t="s">
        <v>84</v>
      </c>
      <c r="M157" s="237" t="s">
        <v>84</v>
      </c>
      <c r="N157" s="237" t="s">
        <v>84</v>
      </c>
      <c r="O157" s="237" t="s">
        <v>486</v>
      </c>
      <c r="P157" s="237" t="s">
        <v>487</v>
      </c>
      <c r="Q157" s="238">
        <v>10061248</v>
      </c>
      <c r="R157" s="239">
        <v>43473</v>
      </c>
      <c r="S157" s="239">
        <v>43475</v>
      </c>
      <c r="T157" s="239">
        <v>43521</v>
      </c>
      <c r="U157" s="237" t="s">
        <v>488</v>
      </c>
      <c r="V157" s="237" t="s">
        <v>489</v>
      </c>
      <c r="W157" s="237">
        <v>4</v>
      </c>
      <c r="X157" s="237">
        <v>4</v>
      </c>
      <c r="Y157" s="237">
        <v>4</v>
      </c>
      <c r="Z157" s="237">
        <v>3</v>
      </c>
      <c r="AA157" s="237">
        <v>3</v>
      </c>
      <c r="AB157" s="237" t="s">
        <v>486</v>
      </c>
      <c r="AC157" s="237" t="s">
        <v>486</v>
      </c>
      <c r="AD157" s="237" t="s">
        <v>220</v>
      </c>
      <c r="AE157" s="237" t="s">
        <v>490</v>
      </c>
      <c r="AF157" s="237" t="s">
        <v>486</v>
      </c>
      <c r="AG157" s="237" t="s">
        <v>486</v>
      </c>
      <c r="AH157" s="237" t="s">
        <v>486</v>
      </c>
      <c r="AI157" s="237" t="s">
        <v>486</v>
      </c>
      <c r="AJ157" s="237" t="s">
        <v>486</v>
      </c>
      <c r="AK157" s="237" t="s">
        <v>486</v>
      </c>
      <c r="AL157" s="237" t="s">
        <v>486</v>
      </c>
      <c r="AM157" s="237" t="s">
        <v>545</v>
      </c>
      <c r="AN157" s="237" t="s">
        <v>546</v>
      </c>
      <c r="AO157" s="237" t="s">
        <v>231</v>
      </c>
      <c r="AP157" s="237" t="s">
        <v>546</v>
      </c>
      <c r="AQ157" s="237" t="s">
        <v>546</v>
      </c>
      <c r="AR157" s="237" t="s">
        <v>231</v>
      </c>
      <c r="AS157" s="237" t="s">
        <v>546</v>
      </c>
      <c r="AT157" s="237" t="s">
        <v>231</v>
      </c>
      <c r="AU157" s="237" t="s">
        <v>546</v>
      </c>
      <c r="AV157" s="237" t="s">
        <v>232</v>
      </c>
      <c r="AW157" s="237" t="s">
        <v>231</v>
      </c>
      <c r="AX157" s="237" t="s">
        <v>231</v>
      </c>
      <c r="AY157" s="237" t="s">
        <v>232</v>
      </c>
      <c r="AZ157" s="237" t="s">
        <v>231</v>
      </c>
      <c r="BA157" s="237" t="s">
        <v>232</v>
      </c>
      <c r="BB157" s="237" t="s">
        <v>231</v>
      </c>
      <c r="BC157" s="237" t="s">
        <v>231</v>
      </c>
      <c r="BD157" s="237" t="s">
        <v>492</v>
      </c>
      <c r="BE157" s="237" t="s">
        <v>232</v>
      </c>
      <c r="BF157" s="237" t="s">
        <v>232</v>
      </c>
      <c r="BG157" s="237" t="s">
        <v>232</v>
      </c>
      <c r="BH157" s="237" t="s">
        <v>232</v>
      </c>
      <c r="BI157" s="237" t="s">
        <v>232</v>
      </c>
      <c r="BJ157" s="237" t="s">
        <v>232</v>
      </c>
      <c r="BK157" s="237" t="s">
        <v>232</v>
      </c>
      <c r="BL157" s="237" t="s">
        <v>492</v>
      </c>
      <c r="BM157" s="237" t="s">
        <v>492</v>
      </c>
      <c r="BN157" s="237" t="s">
        <v>231</v>
      </c>
      <c r="BO157" s="237" t="s">
        <v>231</v>
      </c>
      <c r="BP157" s="237" t="s">
        <v>232</v>
      </c>
      <c r="BQ157" s="237" t="s">
        <v>232</v>
      </c>
      <c r="BR157" s="237" t="s">
        <v>231</v>
      </c>
      <c r="BS157" s="237" t="s">
        <v>232</v>
      </c>
      <c r="BT157" s="237" t="s">
        <v>232</v>
      </c>
      <c r="BU157" s="237" t="s">
        <v>231</v>
      </c>
      <c r="BV157" s="237" t="s">
        <v>232</v>
      </c>
      <c r="BW157" s="237" t="s">
        <v>232</v>
      </c>
      <c r="BX157" s="237" t="s">
        <v>231</v>
      </c>
      <c r="BY157" s="237" t="s">
        <v>231</v>
      </c>
      <c r="BZ157" s="237" t="s">
        <v>231</v>
      </c>
      <c r="CA157" s="237" t="s">
        <v>232</v>
      </c>
      <c r="CB157" s="237" t="s">
        <v>231</v>
      </c>
      <c r="CC157" s="237" t="s">
        <v>231</v>
      </c>
      <c r="CD157" s="237" t="s">
        <v>231</v>
      </c>
      <c r="CE157" s="237" t="s">
        <v>231</v>
      </c>
      <c r="CF157" s="237" t="s">
        <v>231</v>
      </c>
      <c r="CG157" s="237" t="s">
        <v>231</v>
      </c>
      <c r="CH157" s="237" t="s">
        <v>231</v>
      </c>
      <c r="CI157" s="237" t="s">
        <v>231</v>
      </c>
      <c r="CJ157" s="237" t="s">
        <v>231</v>
      </c>
      <c r="CK157" s="237" t="s">
        <v>231</v>
      </c>
      <c r="CL157" s="237" t="s">
        <v>231</v>
      </c>
      <c r="CM157" s="237" t="s">
        <v>231</v>
      </c>
      <c r="CN157" s="237" t="s">
        <v>231</v>
      </c>
      <c r="CO157" s="237" t="s">
        <v>231</v>
      </c>
      <c r="CP157" s="237" t="s">
        <v>231</v>
      </c>
      <c r="CQ157" s="237" t="s">
        <v>232</v>
      </c>
      <c r="CR157" s="237" t="s">
        <v>232</v>
      </c>
      <c r="CS157" s="237" t="s">
        <v>232</v>
      </c>
      <c r="CT157" s="237" t="s">
        <v>492</v>
      </c>
      <c r="CU157" s="237" t="s">
        <v>492</v>
      </c>
      <c r="CV157" s="237" t="s">
        <v>492</v>
      </c>
      <c r="CW157" s="237" t="s">
        <v>231</v>
      </c>
      <c r="CX157" s="237" t="s">
        <v>231</v>
      </c>
      <c r="CY157" s="237" t="s">
        <v>231</v>
      </c>
      <c r="CZ157" s="237" t="s">
        <v>231</v>
      </c>
      <c r="DA157" s="237" t="s">
        <v>231</v>
      </c>
      <c r="DB157" s="237" t="s">
        <v>231</v>
      </c>
      <c r="DC157" s="237" t="s">
        <v>231</v>
      </c>
      <c r="DD157" s="237" t="s">
        <v>231</v>
      </c>
      <c r="DE157" s="237" t="s">
        <v>231</v>
      </c>
      <c r="DF157" s="237" t="s">
        <v>231</v>
      </c>
      <c r="DG157" s="237" t="s">
        <v>232</v>
      </c>
      <c r="DH157" s="237" t="s">
        <v>232</v>
      </c>
      <c r="DI157" s="237" t="s">
        <v>231</v>
      </c>
      <c r="DJ157" s="237" t="s">
        <v>232</v>
      </c>
      <c r="DK157" s="237" t="s">
        <v>231</v>
      </c>
      <c r="DL157" s="237" t="s">
        <v>232</v>
      </c>
      <c r="DM157" s="237" t="s">
        <v>231</v>
      </c>
      <c r="DN157" s="237" t="s">
        <v>231</v>
      </c>
      <c r="DO157" s="237" t="s">
        <v>231</v>
      </c>
      <c r="DP157" s="237" t="s">
        <v>231</v>
      </c>
      <c r="DQ157" s="237" t="s">
        <v>231</v>
      </c>
      <c r="DR157" s="237" t="s">
        <v>231</v>
      </c>
      <c r="DS157" s="237" t="s">
        <v>232</v>
      </c>
      <c r="DT157" s="237" t="s">
        <v>492</v>
      </c>
      <c r="DU157" s="237" t="s">
        <v>232</v>
      </c>
      <c r="DV157" s="237" t="s">
        <v>492</v>
      </c>
      <c r="DW157" s="237" t="s">
        <v>492</v>
      </c>
      <c r="DX157" s="237" t="s">
        <v>492</v>
      </c>
      <c r="DY157" s="237" t="s">
        <v>492</v>
      </c>
      <c r="DZ157" s="237" t="s">
        <v>492</v>
      </c>
      <c r="EA157" s="237" t="s">
        <v>492</v>
      </c>
      <c r="EB157" s="237" t="s">
        <v>492</v>
      </c>
      <c r="EC157" s="237" t="s">
        <v>492</v>
      </c>
      <c r="ED157" s="237" t="s">
        <v>492</v>
      </c>
      <c r="EE157" s="237" t="s">
        <v>492</v>
      </c>
      <c r="EF157" s="237" t="s">
        <v>492</v>
      </c>
      <c r="EG157" s="237" t="s">
        <v>492</v>
      </c>
      <c r="EH157" s="237" t="s">
        <v>492</v>
      </c>
      <c r="EI157" s="237" t="s">
        <v>492</v>
      </c>
      <c r="EJ157" s="237" t="s">
        <v>231</v>
      </c>
      <c r="EK157" s="237" t="s">
        <v>231</v>
      </c>
      <c r="EL157" s="237" t="s">
        <v>231</v>
      </c>
      <c r="EM157" s="237" t="s">
        <v>231</v>
      </c>
      <c r="EN157" s="237" t="s">
        <v>231</v>
      </c>
      <c r="EO157" s="237" t="s">
        <v>231</v>
      </c>
      <c r="EP157" s="237" t="s">
        <v>231</v>
      </c>
      <c r="EQ157" s="237" t="s">
        <v>231</v>
      </c>
      <c r="ER157" s="237" t="s">
        <v>231</v>
      </c>
      <c r="ES157" s="237" t="s">
        <v>231</v>
      </c>
      <c r="ET157" s="237" t="s">
        <v>231</v>
      </c>
      <c r="EU157" s="237" t="s">
        <v>232</v>
      </c>
      <c r="EV157" s="237" t="s">
        <v>231</v>
      </c>
      <c r="EW157" s="237" t="s">
        <v>231</v>
      </c>
      <c r="EX157" s="237" t="s">
        <v>231</v>
      </c>
      <c r="EY157" s="237" t="s">
        <v>232</v>
      </c>
      <c r="EZ157" s="237" t="s">
        <v>231</v>
      </c>
      <c r="FA157" s="237" t="s">
        <v>231</v>
      </c>
      <c r="FB157" s="237" t="s">
        <v>231</v>
      </c>
      <c r="FC157" s="237" t="s">
        <v>231</v>
      </c>
      <c r="FD157" s="237" t="s">
        <v>232</v>
      </c>
      <c r="FE157" s="237" t="s">
        <v>231</v>
      </c>
      <c r="FF157" s="237" t="s">
        <v>492</v>
      </c>
      <c r="FG157" s="237" t="s">
        <v>492</v>
      </c>
      <c r="FH157" s="237" t="s">
        <v>492</v>
      </c>
      <c r="FI157" s="237" t="s">
        <v>492</v>
      </c>
      <c r="FJ157" s="237" t="s">
        <v>492</v>
      </c>
      <c r="FK157" s="237" t="s">
        <v>492</v>
      </c>
      <c r="FL157" s="237" t="s">
        <v>492</v>
      </c>
      <c r="FM157" s="237" t="s">
        <v>231</v>
      </c>
      <c r="FN157" s="237" t="s">
        <v>231</v>
      </c>
      <c r="FO157" s="237" t="s">
        <v>231</v>
      </c>
      <c r="FP157" s="237" t="s">
        <v>231</v>
      </c>
      <c r="FQ157" s="237" t="s">
        <v>231</v>
      </c>
      <c r="FR157" s="237" t="s">
        <v>231</v>
      </c>
      <c r="FS157" s="237" t="s">
        <v>492</v>
      </c>
      <c r="FT157" s="237" t="s">
        <v>231</v>
      </c>
      <c r="FU157" s="237" t="s">
        <v>231</v>
      </c>
      <c r="FV157" s="237" t="s">
        <v>231</v>
      </c>
      <c r="FW157" s="237" t="s">
        <v>231</v>
      </c>
      <c r="FX157" s="237" t="s">
        <v>492</v>
      </c>
      <c r="FY157" s="237" t="s">
        <v>231</v>
      </c>
      <c r="FZ157" s="237" t="s">
        <v>231</v>
      </c>
      <c r="GA157" s="237" t="s">
        <v>231</v>
      </c>
      <c r="GB157" s="237" t="s">
        <v>231</v>
      </c>
      <c r="GC157" s="237" t="s">
        <v>231</v>
      </c>
      <c r="GD157" s="237" t="s">
        <v>231</v>
      </c>
      <c r="GE157" s="237" t="s">
        <v>231</v>
      </c>
      <c r="GF157" s="237" t="s">
        <v>231</v>
      </c>
      <c r="GG157" s="237" t="s">
        <v>231</v>
      </c>
      <c r="GH157" s="237" t="s">
        <v>231</v>
      </c>
      <c r="GI157" s="237" t="s">
        <v>231</v>
      </c>
      <c r="GJ157" s="237" t="s">
        <v>231</v>
      </c>
      <c r="GK157" s="237" t="s">
        <v>231</v>
      </c>
      <c r="GL157" s="237" t="s">
        <v>231</v>
      </c>
      <c r="GM157" s="237" t="s">
        <v>231</v>
      </c>
      <c r="GN157" s="237" t="s">
        <v>231</v>
      </c>
      <c r="GO157" s="237" t="s">
        <v>231</v>
      </c>
      <c r="GP157" s="237" t="s">
        <v>492</v>
      </c>
      <c r="GQ157" s="237" t="s">
        <v>232</v>
      </c>
      <c r="GR157" s="237" t="s">
        <v>231</v>
      </c>
      <c r="GS157" s="237" t="s">
        <v>232</v>
      </c>
      <c r="GT157" s="237" t="s">
        <v>231</v>
      </c>
      <c r="GU157" s="237" t="s">
        <v>231</v>
      </c>
      <c r="GV157" s="237" t="s">
        <v>492</v>
      </c>
      <c r="GW157" s="237" t="s">
        <v>231</v>
      </c>
      <c r="GX157" s="237" t="s">
        <v>231</v>
      </c>
      <c r="GY157" s="237" t="s">
        <v>492</v>
      </c>
      <c r="GZ157" s="237" t="s">
        <v>492</v>
      </c>
      <c r="HA157" s="237" t="s">
        <v>231</v>
      </c>
      <c r="HB157" s="237" t="s">
        <v>231</v>
      </c>
      <c r="HC157" s="237" t="s">
        <v>231</v>
      </c>
      <c r="HD157" s="237" t="s">
        <v>231</v>
      </c>
      <c r="HE157" s="237" t="s">
        <v>492</v>
      </c>
      <c r="HF157" s="237" t="s">
        <v>231</v>
      </c>
      <c r="HG157" s="237" t="s">
        <v>231</v>
      </c>
      <c r="HH157" s="237" t="s">
        <v>231</v>
      </c>
      <c r="HI157" s="237" t="s">
        <v>232</v>
      </c>
      <c r="HJ157" s="237" t="s">
        <v>231</v>
      </c>
      <c r="HK157" s="237" t="s">
        <v>232</v>
      </c>
      <c r="HL157" s="237" t="s">
        <v>231</v>
      </c>
      <c r="HM157" s="237" t="s">
        <v>231</v>
      </c>
      <c r="HN157" s="237" t="s">
        <v>232</v>
      </c>
      <c r="HO157" s="237" t="s">
        <v>231</v>
      </c>
      <c r="HP157" s="237" t="s">
        <v>231</v>
      </c>
      <c r="HQ157" s="237" t="s">
        <v>492</v>
      </c>
      <c r="HR157" s="237" t="s">
        <v>492</v>
      </c>
      <c r="HS157" s="237" t="s">
        <v>492</v>
      </c>
      <c r="HT157" s="237" t="s">
        <v>492</v>
      </c>
      <c r="HU157" s="237" t="s">
        <v>231</v>
      </c>
      <c r="HV157" s="237" t="s">
        <v>231</v>
      </c>
      <c r="HW157" s="237" t="s">
        <v>231</v>
      </c>
      <c r="HX157" s="237" t="s">
        <v>231</v>
      </c>
      <c r="HY157" s="237" t="s">
        <v>231</v>
      </c>
      <c r="HZ157" s="237" t="s">
        <v>231</v>
      </c>
      <c r="IA157" s="237" t="s">
        <v>231</v>
      </c>
      <c r="IB157" s="237" t="s">
        <v>231</v>
      </c>
      <c r="IC157" s="237" t="s">
        <v>231</v>
      </c>
      <c r="ID157" s="237" t="s">
        <v>231</v>
      </c>
      <c r="IE157" s="237" t="s">
        <v>231</v>
      </c>
      <c r="IF157" s="237" t="s">
        <v>231</v>
      </c>
      <c r="IG157" s="237" t="s">
        <v>231</v>
      </c>
      <c r="IH157" s="237" t="s">
        <v>231</v>
      </c>
      <c r="II157" s="237" t="s">
        <v>231</v>
      </c>
      <c r="IJ157" s="237" t="s">
        <v>231</v>
      </c>
      <c r="IK157" s="237" t="s">
        <v>232</v>
      </c>
      <c r="IL157" s="237" t="s">
        <v>232</v>
      </c>
      <c r="IM157" s="237" t="s">
        <v>232</v>
      </c>
      <c r="IN157" s="237" t="s">
        <v>232</v>
      </c>
      <c r="IO157" s="237" t="s">
        <v>220</v>
      </c>
      <c r="IP157" s="237" t="s">
        <v>493</v>
      </c>
      <c r="IQ157" s="237" t="s">
        <v>219</v>
      </c>
      <c r="IR157" s="237" t="s">
        <v>512</v>
      </c>
      <c r="IS157" s="237" t="s">
        <v>492</v>
      </c>
      <c r="IT157" s="237" t="s">
        <v>492</v>
      </c>
    </row>
    <row r="158" spans="1:254" ht="15" x14ac:dyDescent="0.25">
      <c r="A158" s="259" t="str">
        <f>HYPERLINK("http://www.ofsted.gov.uk/inspection-reports/find-inspection-report/provider/ELS/145159 ","Ofsted School Webpage")</f>
        <v>Ofsted School Webpage</v>
      </c>
      <c r="B158" s="240">
        <v>145159</v>
      </c>
      <c r="C158" s="240">
        <v>9266017</v>
      </c>
      <c r="D158" s="240" t="s">
        <v>900</v>
      </c>
      <c r="E158" s="240" t="s">
        <v>248</v>
      </c>
      <c r="F158" s="240" t="s">
        <v>501</v>
      </c>
      <c r="G158" s="240" t="s">
        <v>516</v>
      </c>
      <c r="H158" s="240" t="s">
        <v>516</v>
      </c>
      <c r="I158" s="240" t="s">
        <v>528</v>
      </c>
      <c r="J158" s="240" t="s">
        <v>901</v>
      </c>
      <c r="K158" s="240" t="s">
        <v>93</v>
      </c>
      <c r="L158" s="240" t="s">
        <v>93</v>
      </c>
      <c r="M158" s="240" t="s">
        <v>93</v>
      </c>
      <c r="N158" s="240" t="s">
        <v>90</v>
      </c>
      <c r="O158" s="240" t="s">
        <v>486</v>
      </c>
      <c r="P158" s="240" t="s">
        <v>487</v>
      </c>
      <c r="Q158" s="241">
        <v>10054012</v>
      </c>
      <c r="R158" s="242">
        <v>43473</v>
      </c>
      <c r="S158" s="242">
        <v>43475</v>
      </c>
      <c r="T158" s="242">
        <v>43529</v>
      </c>
      <c r="U158" s="240" t="s">
        <v>499</v>
      </c>
      <c r="V158" s="240" t="s">
        <v>489</v>
      </c>
      <c r="W158" s="240">
        <v>3</v>
      </c>
      <c r="X158" s="240">
        <v>3</v>
      </c>
      <c r="Y158" s="240">
        <v>3</v>
      </c>
      <c r="Z158" s="240">
        <v>3</v>
      </c>
      <c r="AA158" s="240">
        <v>3</v>
      </c>
      <c r="AB158" s="240" t="s">
        <v>486</v>
      </c>
      <c r="AC158" s="240" t="s">
        <v>486</v>
      </c>
      <c r="AD158" s="240" t="s">
        <v>219</v>
      </c>
      <c r="AE158" s="240" t="s">
        <v>512</v>
      </c>
      <c r="AF158" s="240" t="s">
        <v>490</v>
      </c>
      <c r="AG158" s="240" t="s">
        <v>486</v>
      </c>
      <c r="AH158" s="240" t="s">
        <v>486</v>
      </c>
      <c r="AI158" s="240" t="s">
        <v>486</v>
      </c>
      <c r="AJ158" s="240" t="s">
        <v>486</v>
      </c>
      <c r="AK158" s="240" t="s">
        <v>486</v>
      </c>
      <c r="AL158" s="240" t="s">
        <v>486</v>
      </c>
      <c r="AM158" s="240" t="s">
        <v>545</v>
      </c>
      <c r="AN158" s="240" t="s">
        <v>546</v>
      </c>
      <c r="AO158" s="240" t="s">
        <v>231</v>
      </c>
      <c r="AP158" s="240" t="s">
        <v>231</v>
      </c>
      <c r="AQ158" s="240" t="s">
        <v>231</v>
      </c>
      <c r="AR158" s="240" t="s">
        <v>231</v>
      </c>
      <c r="AS158" s="240" t="s">
        <v>546</v>
      </c>
      <c r="AT158" s="240" t="s">
        <v>231</v>
      </c>
      <c r="AU158" s="240" t="s">
        <v>546</v>
      </c>
      <c r="AV158" s="240" t="s">
        <v>231</v>
      </c>
      <c r="AW158" s="240" t="s">
        <v>231</v>
      </c>
      <c r="AX158" s="240" t="s">
        <v>231</v>
      </c>
      <c r="AY158" s="240" t="s">
        <v>231</v>
      </c>
      <c r="AZ158" s="240" t="s">
        <v>231</v>
      </c>
      <c r="BA158" s="240" t="s">
        <v>231</v>
      </c>
      <c r="BB158" s="240" t="s">
        <v>231</v>
      </c>
      <c r="BC158" s="240" t="s">
        <v>231</v>
      </c>
      <c r="BD158" s="240" t="s">
        <v>492</v>
      </c>
      <c r="BE158" s="240" t="s">
        <v>231</v>
      </c>
      <c r="BF158" s="240" t="s">
        <v>231</v>
      </c>
      <c r="BG158" s="240" t="s">
        <v>231</v>
      </c>
      <c r="BH158" s="240" t="s">
        <v>231</v>
      </c>
      <c r="BI158" s="240" t="s">
        <v>231</v>
      </c>
      <c r="BJ158" s="240" t="s">
        <v>231</v>
      </c>
      <c r="BK158" s="240" t="s">
        <v>231</v>
      </c>
      <c r="BL158" s="240" t="s">
        <v>492</v>
      </c>
      <c r="BM158" s="240" t="s">
        <v>492</v>
      </c>
      <c r="BN158" s="240" t="s">
        <v>231</v>
      </c>
      <c r="BO158" s="240" t="s">
        <v>231</v>
      </c>
      <c r="BP158" s="240" t="s">
        <v>232</v>
      </c>
      <c r="BQ158" s="240" t="s">
        <v>232</v>
      </c>
      <c r="BR158" s="240" t="s">
        <v>232</v>
      </c>
      <c r="BS158" s="240" t="s">
        <v>232</v>
      </c>
      <c r="BT158" s="240" t="s">
        <v>232</v>
      </c>
      <c r="BU158" s="240" t="s">
        <v>232</v>
      </c>
      <c r="BV158" s="240" t="s">
        <v>232</v>
      </c>
      <c r="BW158" s="240" t="s">
        <v>232</v>
      </c>
      <c r="BX158" s="240" t="s">
        <v>232</v>
      </c>
      <c r="BY158" s="240" t="s">
        <v>231</v>
      </c>
      <c r="BZ158" s="240" t="s">
        <v>231</v>
      </c>
      <c r="CA158" s="240" t="s">
        <v>231</v>
      </c>
      <c r="CB158" s="240" t="s">
        <v>231</v>
      </c>
      <c r="CC158" s="240" t="s">
        <v>231</v>
      </c>
      <c r="CD158" s="240" t="s">
        <v>231</v>
      </c>
      <c r="CE158" s="240" t="s">
        <v>231</v>
      </c>
      <c r="CF158" s="240" t="s">
        <v>231</v>
      </c>
      <c r="CG158" s="240" t="s">
        <v>231</v>
      </c>
      <c r="CH158" s="240" t="s">
        <v>231</v>
      </c>
      <c r="CI158" s="240" t="s">
        <v>231</v>
      </c>
      <c r="CJ158" s="240" t="s">
        <v>231</v>
      </c>
      <c r="CK158" s="240" t="s">
        <v>231</v>
      </c>
      <c r="CL158" s="240" t="s">
        <v>231</v>
      </c>
      <c r="CM158" s="240" t="s">
        <v>231</v>
      </c>
      <c r="CN158" s="240" t="s">
        <v>231</v>
      </c>
      <c r="CO158" s="240" t="s">
        <v>231</v>
      </c>
      <c r="CP158" s="240" t="s">
        <v>231</v>
      </c>
      <c r="CQ158" s="240" t="s">
        <v>231</v>
      </c>
      <c r="CR158" s="240" t="s">
        <v>231</v>
      </c>
      <c r="CS158" s="240" t="s">
        <v>231</v>
      </c>
      <c r="CT158" s="240" t="s">
        <v>492</v>
      </c>
      <c r="CU158" s="240" t="s">
        <v>492</v>
      </c>
      <c r="CV158" s="240" t="s">
        <v>492</v>
      </c>
      <c r="CW158" s="240" t="s">
        <v>231</v>
      </c>
      <c r="CX158" s="240" t="s">
        <v>231</v>
      </c>
      <c r="CY158" s="240" t="s">
        <v>231</v>
      </c>
      <c r="CZ158" s="240" t="s">
        <v>231</v>
      </c>
      <c r="DA158" s="240" t="s">
        <v>231</v>
      </c>
      <c r="DB158" s="240" t="s">
        <v>231</v>
      </c>
      <c r="DC158" s="240" t="s">
        <v>231</v>
      </c>
      <c r="DD158" s="240" t="s">
        <v>231</v>
      </c>
      <c r="DE158" s="240" t="s">
        <v>231</v>
      </c>
      <c r="DF158" s="240" t="s">
        <v>231</v>
      </c>
      <c r="DG158" s="240" t="s">
        <v>231</v>
      </c>
      <c r="DH158" s="240" t="s">
        <v>231</v>
      </c>
      <c r="DI158" s="240" t="s">
        <v>231</v>
      </c>
      <c r="DJ158" s="240" t="s">
        <v>231</v>
      </c>
      <c r="DK158" s="240" t="s">
        <v>231</v>
      </c>
      <c r="DL158" s="240" t="s">
        <v>231</v>
      </c>
      <c r="DM158" s="240" t="s">
        <v>231</v>
      </c>
      <c r="DN158" s="240" t="s">
        <v>231</v>
      </c>
      <c r="DO158" s="240" t="s">
        <v>231</v>
      </c>
      <c r="DP158" s="240" t="s">
        <v>231</v>
      </c>
      <c r="DQ158" s="240" t="s">
        <v>231</v>
      </c>
      <c r="DR158" s="240" t="s">
        <v>231</v>
      </c>
      <c r="DS158" s="240" t="s">
        <v>231</v>
      </c>
      <c r="DT158" s="240" t="s">
        <v>492</v>
      </c>
      <c r="DU158" s="240" t="s">
        <v>231</v>
      </c>
      <c r="DV158" s="240" t="s">
        <v>492</v>
      </c>
      <c r="DW158" s="240" t="s">
        <v>492</v>
      </c>
      <c r="DX158" s="240" t="s">
        <v>492</v>
      </c>
      <c r="DY158" s="240" t="s">
        <v>492</v>
      </c>
      <c r="DZ158" s="240" t="s">
        <v>492</v>
      </c>
      <c r="EA158" s="240" t="s">
        <v>492</v>
      </c>
      <c r="EB158" s="240" t="s">
        <v>492</v>
      </c>
      <c r="EC158" s="240" t="s">
        <v>492</v>
      </c>
      <c r="ED158" s="240" t="s">
        <v>492</v>
      </c>
      <c r="EE158" s="240" t="s">
        <v>492</v>
      </c>
      <c r="EF158" s="240" t="s">
        <v>492</v>
      </c>
      <c r="EG158" s="240" t="s">
        <v>492</v>
      </c>
      <c r="EH158" s="240" t="s">
        <v>492</v>
      </c>
      <c r="EI158" s="240" t="s">
        <v>492</v>
      </c>
      <c r="EJ158" s="240" t="s">
        <v>231</v>
      </c>
      <c r="EK158" s="240" t="s">
        <v>231</v>
      </c>
      <c r="EL158" s="240" t="s">
        <v>231</v>
      </c>
      <c r="EM158" s="240" t="s">
        <v>231</v>
      </c>
      <c r="EN158" s="240" t="s">
        <v>231</v>
      </c>
      <c r="EO158" s="240" t="s">
        <v>231</v>
      </c>
      <c r="EP158" s="240" t="s">
        <v>231</v>
      </c>
      <c r="EQ158" s="240" t="s">
        <v>231</v>
      </c>
      <c r="ER158" s="240" t="s">
        <v>231</v>
      </c>
      <c r="ES158" s="240" t="s">
        <v>231</v>
      </c>
      <c r="ET158" s="240" t="s">
        <v>231</v>
      </c>
      <c r="EU158" s="240" t="s">
        <v>231</v>
      </c>
      <c r="EV158" s="240" t="s">
        <v>231</v>
      </c>
      <c r="EW158" s="240" t="s">
        <v>231</v>
      </c>
      <c r="EX158" s="240" t="s">
        <v>231</v>
      </c>
      <c r="EY158" s="240" t="s">
        <v>231</v>
      </c>
      <c r="EZ158" s="240" t="s">
        <v>231</v>
      </c>
      <c r="FA158" s="240" t="s">
        <v>231</v>
      </c>
      <c r="FB158" s="240" t="s">
        <v>231</v>
      </c>
      <c r="FC158" s="240" t="s">
        <v>231</v>
      </c>
      <c r="FD158" s="240" t="s">
        <v>231</v>
      </c>
      <c r="FE158" s="240" t="s">
        <v>231</v>
      </c>
      <c r="FF158" s="240" t="s">
        <v>492</v>
      </c>
      <c r="FG158" s="240" t="s">
        <v>492</v>
      </c>
      <c r="FH158" s="240" t="s">
        <v>492</v>
      </c>
      <c r="FI158" s="240" t="s">
        <v>492</v>
      </c>
      <c r="FJ158" s="240" t="s">
        <v>492</v>
      </c>
      <c r="FK158" s="240" t="s">
        <v>492</v>
      </c>
      <c r="FL158" s="240" t="s">
        <v>492</v>
      </c>
      <c r="FM158" s="240" t="s">
        <v>231</v>
      </c>
      <c r="FN158" s="240" t="s">
        <v>492</v>
      </c>
      <c r="FO158" s="240" t="s">
        <v>231</v>
      </c>
      <c r="FP158" s="240" t="s">
        <v>231</v>
      </c>
      <c r="FQ158" s="240" t="s">
        <v>231</v>
      </c>
      <c r="FR158" s="240" t="s">
        <v>231</v>
      </c>
      <c r="FS158" s="240" t="s">
        <v>231</v>
      </c>
      <c r="FT158" s="240" t="s">
        <v>231</v>
      </c>
      <c r="FU158" s="240" t="s">
        <v>231</v>
      </c>
      <c r="FV158" s="240" t="s">
        <v>231</v>
      </c>
      <c r="FW158" s="240" t="s">
        <v>231</v>
      </c>
      <c r="FX158" s="240" t="s">
        <v>492</v>
      </c>
      <c r="FY158" s="240" t="s">
        <v>231</v>
      </c>
      <c r="FZ158" s="240" t="s">
        <v>231</v>
      </c>
      <c r="GA158" s="240" t="s">
        <v>231</v>
      </c>
      <c r="GB158" s="240" t="s">
        <v>231</v>
      </c>
      <c r="GC158" s="240" t="s">
        <v>231</v>
      </c>
      <c r="GD158" s="240" t="s">
        <v>231</v>
      </c>
      <c r="GE158" s="240" t="s">
        <v>231</v>
      </c>
      <c r="GF158" s="240" t="s">
        <v>231</v>
      </c>
      <c r="GG158" s="240" t="s">
        <v>231</v>
      </c>
      <c r="GH158" s="240" t="s">
        <v>231</v>
      </c>
      <c r="GI158" s="240" t="s">
        <v>231</v>
      </c>
      <c r="GJ158" s="240" t="s">
        <v>231</v>
      </c>
      <c r="GK158" s="240" t="s">
        <v>231</v>
      </c>
      <c r="GL158" s="240" t="s">
        <v>231</v>
      </c>
      <c r="GM158" s="240" t="s">
        <v>231</v>
      </c>
      <c r="GN158" s="240" t="s">
        <v>231</v>
      </c>
      <c r="GO158" s="240" t="s">
        <v>231</v>
      </c>
      <c r="GP158" s="240" t="s">
        <v>492</v>
      </c>
      <c r="GQ158" s="240" t="s">
        <v>232</v>
      </c>
      <c r="GR158" s="240" t="s">
        <v>231</v>
      </c>
      <c r="GS158" s="240" t="s">
        <v>231</v>
      </c>
      <c r="GT158" s="240" t="s">
        <v>232</v>
      </c>
      <c r="GU158" s="240" t="s">
        <v>232</v>
      </c>
      <c r="GV158" s="240" t="s">
        <v>492</v>
      </c>
      <c r="GW158" s="240" t="s">
        <v>231</v>
      </c>
      <c r="GX158" s="240" t="s">
        <v>231</v>
      </c>
      <c r="GY158" s="240" t="s">
        <v>231</v>
      </c>
      <c r="GZ158" s="240" t="s">
        <v>231</v>
      </c>
      <c r="HA158" s="240" t="s">
        <v>492</v>
      </c>
      <c r="HB158" s="240" t="s">
        <v>232</v>
      </c>
      <c r="HC158" s="240" t="s">
        <v>232</v>
      </c>
      <c r="HD158" s="240" t="s">
        <v>232</v>
      </c>
      <c r="HE158" s="240" t="s">
        <v>492</v>
      </c>
      <c r="HF158" s="240" t="s">
        <v>232</v>
      </c>
      <c r="HG158" s="240" t="s">
        <v>232</v>
      </c>
      <c r="HH158" s="240" t="s">
        <v>231</v>
      </c>
      <c r="HI158" s="240" t="s">
        <v>232</v>
      </c>
      <c r="HJ158" s="240" t="s">
        <v>232</v>
      </c>
      <c r="HK158" s="240" t="s">
        <v>232</v>
      </c>
      <c r="HL158" s="240" t="s">
        <v>232</v>
      </c>
      <c r="HM158" s="240" t="s">
        <v>232</v>
      </c>
      <c r="HN158" s="240" t="s">
        <v>232</v>
      </c>
      <c r="HO158" s="240" t="s">
        <v>232</v>
      </c>
      <c r="HP158" s="240" t="s">
        <v>232</v>
      </c>
      <c r="HQ158" s="240" t="s">
        <v>492</v>
      </c>
      <c r="HR158" s="240" t="s">
        <v>492</v>
      </c>
      <c r="HS158" s="240" t="s">
        <v>492</v>
      </c>
      <c r="HT158" s="240" t="s">
        <v>492</v>
      </c>
      <c r="HU158" s="240" t="s">
        <v>231</v>
      </c>
      <c r="HV158" s="240" t="s">
        <v>231</v>
      </c>
      <c r="HW158" s="240" t="s">
        <v>231</v>
      </c>
      <c r="HX158" s="240" t="s">
        <v>231</v>
      </c>
      <c r="HY158" s="240" t="s">
        <v>231</v>
      </c>
      <c r="HZ158" s="240" t="s">
        <v>231</v>
      </c>
      <c r="IA158" s="240" t="s">
        <v>231</v>
      </c>
      <c r="IB158" s="240" t="s">
        <v>231</v>
      </c>
      <c r="IC158" s="240" t="s">
        <v>231</v>
      </c>
      <c r="ID158" s="240" t="s">
        <v>231</v>
      </c>
      <c r="IE158" s="240" t="s">
        <v>231</v>
      </c>
      <c r="IF158" s="240" t="s">
        <v>231</v>
      </c>
      <c r="IG158" s="240" t="s">
        <v>231</v>
      </c>
      <c r="IH158" s="240" t="s">
        <v>231</v>
      </c>
      <c r="II158" s="240" t="s">
        <v>231</v>
      </c>
      <c r="IJ158" s="240" t="s">
        <v>231</v>
      </c>
      <c r="IK158" s="240" t="s">
        <v>232</v>
      </c>
      <c r="IL158" s="240" t="s">
        <v>232</v>
      </c>
      <c r="IM158" s="240" t="s">
        <v>232</v>
      </c>
      <c r="IN158" s="240" t="s">
        <v>231</v>
      </c>
      <c r="IO158" s="240" t="s">
        <v>220</v>
      </c>
      <c r="IP158" s="240" t="s">
        <v>493</v>
      </c>
      <c r="IQ158" s="240" t="s">
        <v>219</v>
      </c>
      <c r="IR158" s="240" t="s">
        <v>490</v>
      </c>
      <c r="IS158" s="240" t="s">
        <v>492</v>
      </c>
      <c r="IT158" s="240" t="s">
        <v>492</v>
      </c>
    </row>
    <row r="159" spans="1:254" ht="15" x14ac:dyDescent="0.25">
      <c r="A159" s="258" t="str">
        <f>HYPERLINK("http://www.ofsted.gov.uk/inspection-reports/find-inspection-report/provider/ELS/113950 ","Ofsted School Webpage")</f>
        <v>Ofsted School Webpage</v>
      </c>
      <c r="B159" s="237">
        <v>113950</v>
      </c>
      <c r="C159" s="237">
        <v>8356016</v>
      </c>
      <c r="D159" s="237" t="s">
        <v>902</v>
      </c>
      <c r="E159" s="237" t="s">
        <v>248</v>
      </c>
      <c r="F159" s="237" t="s">
        <v>501</v>
      </c>
      <c r="G159" s="237" t="s">
        <v>483</v>
      </c>
      <c r="H159" s="237" t="s">
        <v>483</v>
      </c>
      <c r="I159" s="237" t="s">
        <v>643</v>
      </c>
      <c r="J159" s="237" t="s">
        <v>903</v>
      </c>
      <c r="K159" s="237" t="s">
        <v>93</v>
      </c>
      <c r="L159" s="237" t="s">
        <v>93</v>
      </c>
      <c r="M159" s="237" t="s">
        <v>93</v>
      </c>
      <c r="N159" s="237" t="s">
        <v>90</v>
      </c>
      <c r="O159" s="237" t="s">
        <v>486</v>
      </c>
      <c r="P159" s="237" t="s">
        <v>487</v>
      </c>
      <c r="Q159" s="238">
        <v>10056304</v>
      </c>
      <c r="R159" s="239">
        <v>43473</v>
      </c>
      <c r="S159" s="239">
        <v>43475</v>
      </c>
      <c r="T159" s="239">
        <v>43503</v>
      </c>
      <c r="U159" s="237" t="s">
        <v>2930</v>
      </c>
      <c r="V159" s="237" t="s">
        <v>489</v>
      </c>
      <c r="W159" s="237">
        <v>2</v>
      </c>
      <c r="X159" s="237">
        <v>2</v>
      </c>
      <c r="Y159" s="237">
        <v>2</v>
      </c>
      <c r="Z159" s="237">
        <v>2</v>
      </c>
      <c r="AA159" s="237">
        <v>2</v>
      </c>
      <c r="AB159" s="237" t="s">
        <v>486</v>
      </c>
      <c r="AC159" s="237">
        <v>2</v>
      </c>
      <c r="AD159" s="237" t="s">
        <v>219</v>
      </c>
      <c r="AE159" s="237" t="s">
        <v>490</v>
      </c>
      <c r="AF159" s="237" t="s">
        <v>486</v>
      </c>
      <c r="AG159" s="237" t="s">
        <v>486</v>
      </c>
      <c r="AH159" s="237" t="s">
        <v>486</v>
      </c>
      <c r="AI159" s="237" t="s">
        <v>486</v>
      </c>
      <c r="AJ159" s="237" t="s">
        <v>486</v>
      </c>
      <c r="AK159" s="237" t="s">
        <v>486</v>
      </c>
      <c r="AL159" s="237" t="s">
        <v>486</v>
      </c>
      <c r="AM159" s="237" t="s">
        <v>491</v>
      </c>
      <c r="AN159" s="237" t="s">
        <v>231</v>
      </c>
      <c r="AO159" s="237" t="s">
        <v>231</v>
      </c>
      <c r="AP159" s="237" t="s">
        <v>231</v>
      </c>
      <c r="AQ159" s="237" t="s">
        <v>231</v>
      </c>
      <c r="AR159" s="237" t="s">
        <v>231</v>
      </c>
      <c r="AS159" s="237" t="s">
        <v>231</v>
      </c>
      <c r="AT159" s="237" t="s">
        <v>231</v>
      </c>
      <c r="AU159" s="237" t="s">
        <v>231</v>
      </c>
      <c r="AV159" s="237" t="s">
        <v>231</v>
      </c>
      <c r="AW159" s="237" t="s">
        <v>231</v>
      </c>
      <c r="AX159" s="237" t="s">
        <v>231</v>
      </c>
      <c r="AY159" s="237" t="s">
        <v>231</v>
      </c>
      <c r="AZ159" s="237" t="s">
        <v>231</v>
      </c>
      <c r="BA159" s="237" t="s">
        <v>231</v>
      </c>
      <c r="BB159" s="237" t="s">
        <v>231</v>
      </c>
      <c r="BC159" s="237" t="s">
        <v>231</v>
      </c>
      <c r="BD159" s="237" t="s">
        <v>231</v>
      </c>
      <c r="BE159" s="237" t="s">
        <v>231</v>
      </c>
      <c r="BF159" s="237" t="s">
        <v>231</v>
      </c>
      <c r="BG159" s="237" t="s">
        <v>231</v>
      </c>
      <c r="BH159" s="237" t="s">
        <v>231</v>
      </c>
      <c r="BI159" s="237" t="s">
        <v>231</v>
      </c>
      <c r="BJ159" s="237" t="s">
        <v>231</v>
      </c>
      <c r="BK159" s="237" t="s">
        <v>231</v>
      </c>
      <c r="BL159" s="237" t="s">
        <v>492</v>
      </c>
      <c r="BM159" s="237" t="s">
        <v>231</v>
      </c>
      <c r="BN159" s="237" t="s">
        <v>231</v>
      </c>
      <c r="BO159" s="237" t="s">
        <v>231</v>
      </c>
      <c r="BP159" s="237" t="s">
        <v>231</v>
      </c>
      <c r="BQ159" s="237" t="s">
        <v>231</v>
      </c>
      <c r="BR159" s="237" t="s">
        <v>231</v>
      </c>
      <c r="BS159" s="237" t="s">
        <v>231</v>
      </c>
      <c r="BT159" s="237" t="s">
        <v>231</v>
      </c>
      <c r="BU159" s="237" t="s">
        <v>231</v>
      </c>
      <c r="BV159" s="237" t="s">
        <v>231</v>
      </c>
      <c r="BW159" s="237" t="s">
        <v>231</v>
      </c>
      <c r="BX159" s="237" t="s">
        <v>231</v>
      </c>
      <c r="BY159" s="237" t="s">
        <v>231</v>
      </c>
      <c r="BZ159" s="237" t="s">
        <v>231</v>
      </c>
      <c r="CA159" s="237" t="s">
        <v>231</v>
      </c>
      <c r="CB159" s="237" t="s">
        <v>231</v>
      </c>
      <c r="CC159" s="237" t="s">
        <v>231</v>
      </c>
      <c r="CD159" s="237" t="s">
        <v>231</v>
      </c>
      <c r="CE159" s="237" t="s">
        <v>231</v>
      </c>
      <c r="CF159" s="237" t="s">
        <v>231</v>
      </c>
      <c r="CG159" s="237" t="s">
        <v>231</v>
      </c>
      <c r="CH159" s="237" t="s">
        <v>231</v>
      </c>
      <c r="CI159" s="237" t="s">
        <v>231</v>
      </c>
      <c r="CJ159" s="237" t="s">
        <v>231</v>
      </c>
      <c r="CK159" s="237" t="s">
        <v>231</v>
      </c>
      <c r="CL159" s="237" t="s">
        <v>231</v>
      </c>
      <c r="CM159" s="237" t="s">
        <v>231</v>
      </c>
      <c r="CN159" s="237" t="s">
        <v>231</v>
      </c>
      <c r="CO159" s="237" t="s">
        <v>231</v>
      </c>
      <c r="CP159" s="237" t="s">
        <v>231</v>
      </c>
      <c r="CQ159" s="237" t="s">
        <v>231</v>
      </c>
      <c r="CR159" s="237" t="s">
        <v>231</v>
      </c>
      <c r="CS159" s="237" t="s">
        <v>231</v>
      </c>
      <c r="CT159" s="237" t="s">
        <v>231</v>
      </c>
      <c r="CU159" s="237" t="s">
        <v>231</v>
      </c>
      <c r="CV159" s="237" t="s">
        <v>231</v>
      </c>
      <c r="CW159" s="237" t="s">
        <v>231</v>
      </c>
      <c r="CX159" s="237" t="s">
        <v>231</v>
      </c>
      <c r="CY159" s="237" t="s">
        <v>231</v>
      </c>
      <c r="CZ159" s="237" t="s">
        <v>231</v>
      </c>
      <c r="DA159" s="237" t="s">
        <v>231</v>
      </c>
      <c r="DB159" s="237" t="s">
        <v>231</v>
      </c>
      <c r="DC159" s="237" t="s">
        <v>231</v>
      </c>
      <c r="DD159" s="237" t="s">
        <v>231</v>
      </c>
      <c r="DE159" s="237" t="s">
        <v>231</v>
      </c>
      <c r="DF159" s="237" t="s">
        <v>231</v>
      </c>
      <c r="DG159" s="237" t="s">
        <v>231</v>
      </c>
      <c r="DH159" s="237" t="s">
        <v>231</v>
      </c>
      <c r="DI159" s="237" t="s">
        <v>231</v>
      </c>
      <c r="DJ159" s="237" t="s">
        <v>231</v>
      </c>
      <c r="DK159" s="237" t="s">
        <v>231</v>
      </c>
      <c r="DL159" s="237" t="s">
        <v>231</v>
      </c>
      <c r="DM159" s="237" t="s">
        <v>231</v>
      </c>
      <c r="DN159" s="237" t="s">
        <v>231</v>
      </c>
      <c r="DO159" s="237" t="s">
        <v>231</v>
      </c>
      <c r="DP159" s="237" t="s">
        <v>231</v>
      </c>
      <c r="DQ159" s="237" t="s">
        <v>231</v>
      </c>
      <c r="DR159" s="237" t="s">
        <v>231</v>
      </c>
      <c r="DS159" s="237" t="s">
        <v>231</v>
      </c>
      <c r="DT159" s="237" t="s">
        <v>231</v>
      </c>
      <c r="DU159" s="237" t="s">
        <v>231</v>
      </c>
      <c r="DV159" s="237" t="s">
        <v>231</v>
      </c>
      <c r="DW159" s="237" t="s">
        <v>231</v>
      </c>
      <c r="DX159" s="237" t="s">
        <v>231</v>
      </c>
      <c r="DY159" s="237" t="s">
        <v>231</v>
      </c>
      <c r="DZ159" s="237" t="s">
        <v>231</v>
      </c>
      <c r="EA159" s="237" t="s">
        <v>231</v>
      </c>
      <c r="EB159" s="237" t="s">
        <v>231</v>
      </c>
      <c r="EC159" s="237" t="s">
        <v>231</v>
      </c>
      <c r="ED159" s="237" t="s">
        <v>231</v>
      </c>
      <c r="EE159" s="237" t="s">
        <v>231</v>
      </c>
      <c r="EF159" s="237" t="s">
        <v>231</v>
      </c>
      <c r="EG159" s="237" t="s">
        <v>231</v>
      </c>
      <c r="EH159" s="237" t="s">
        <v>231</v>
      </c>
      <c r="EI159" s="237" t="s">
        <v>231</v>
      </c>
      <c r="EJ159" s="237" t="s">
        <v>231</v>
      </c>
      <c r="EK159" s="237" t="s">
        <v>231</v>
      </c>
      <c r="EL159" s="237" t="s">
        <v>231</v>
      </c>
      <c r="EM159" s="237" t="s">
        <v>231</v>
      </c>
      <c r="EN159" s="237" t="s">
        <v>231</v>
      </c>
      <c r="EO159" s="237" t="s">
        <v>231</v>
      </c>
      <c r="EP159" s="237" t="s">
        <v>231</v>
      </c>
      <c r="EQ159" s="237" t="s">
        <v>231</v>
      </c>
      <c r="ER159" s="237" t="s">
        <v>231</v>
      </c>
      <c r="ES159" s="237" t="s">
        <v>231</v>
      </c>
      <c r="ET159" s="237" t="s">
        <v>231</v>
      </c>
      <c r="EU159" s="237" t="s">
        <v>231</v>
      </c>
      <c r="EV159" s="237" t="s">
        <v>231</v>
      </c>
      <c r="EW159" s="237" t="s">
        <v>231</v>
      </c>
      <c r="EX159" s="237" t="s">
        <v>231</v>
      </c>
      <c r="EY159" s="237" t="s">
        <v>231</v>
      </c>
      <c r="EZ159" s="237" t="s">
        <v>231</v>
      </c>
      <c r="FA159" s="237" t="s">
        <v>231</v>
      </c>
      <c r="FB159" s="237" t="s">
        <v>231</v>
      </c>
      <c r="FC159" s="237" t="s">
        <v>231</v>
      </c>
      <c r="FD159" s="237" t="s">
        <v>231</v>
      </c>
      <c r="FE159" s="237" t="s">
        <v>231</v>
      </c>
      <c r="FF159" s="237" t="s">
        <v>231</v>
      </c>
      <c r="FG159" s="237" t="s">
        <v>231</v>
      </c>
      <c r="FH159" s="237" t="s">
        <v>231</v>
      </c>
      <c r="FI159" s="237" t="s">
        <v>231</v>
      </c>
      <c r="FJ159" s="237" t="s">
        <v>231</v>
      </c>
      <c r="FK159" s="237" t="s">
        <v>231</v>
      </c>
      <c r="FL159" s="237" t="s">
        <v>231</v>
      </c>
      <c r="FM159" s="237" t="s">
        <v>231</v>
      </c>
      <c r="FN159" s="237" t="s">
        <v>231</v>
      </c>
      <c r="FO159" s="237" t="s">
        <v>231</v>
      </c>
      <c r="FP159" s="237" t="s">
        <v>231</v>
      </c>
      <c r="FQ159" s="237" t="s">
        <v>231</v>
      </c>
      <c r="FR159" s="237" t="s">
        <v>231</v>
      </c>
      <c r="FS159" s="237" t="s">
        <v>231</v>
      </c>
      <c r="FT159" s="237" t="s">
        <v>231</v>
      </c>
      <c r="FU159" s="237" t="s">
        <v>231</v>
      </c>
      <c r="FV159" s="237" t="s">
        <v>231</v>
      </c>
      <c r="FW159" s="237" t="s">
        <v>231</v>
      </c>
      <c r="FX159" s="237" t="s">
        <v>231</v>
      </c>
      <c r="FY159" s="237" t="s">
        <v>231</v>
      </c>
      <c r="FZ159" s="237" t="s">
        <v>231</v>
      </c>
      <c r="GA159" s="237" t="s">
        <v>231</v>
      </c>
      <c r="GB159" s="237" t="s">
        <v>231</v>
      </c>
      <c r="GC159" s="237" t="s">
        <v>231</v>
      </c>
      <c r="GD159" s="237" t="s">
        <v>231</v>
      </c>
      <c r="GE159" s="237" t="s">
        <v>231</v>
      </c>
      <c r="GF159" s="237" t="s">
        <v>231</v>
      </c>
      <c r="GG159" s="237" t="s">
        <v>231</v>
      </c>
      <c r="GH159" s="237" t="s">
        <v>231</v>
      </c>
      <c r="GI159" s="237" t="s">
        <v>231</v>
      </c>
      <c r="GJ159" s="237" t="s">
        <v>231</v>
      </c>
      <c r="GK159" s="237" t="s">
        <v>231</v>
      </c>
      <c r="GL159" s="237" t="s">
        <v>231</v>
      </c>
      <c r="GM159" s="237" t="s">
        <v>231</v>
      </c>
      <c r="GN159" s="237" t="s">
        <v>231</v>
      </c>
      <c r="GO159" s="237" t="s">
        <v>231</v>
      </c>
      <c r="GP159" s="237" t="s">
        <v>231</v>
      </c>
      <c r="GQ159" s="237" t="s">
        <v>231</v>
      </c>
      <c r="GR159" s="237" t="s">
        <v>231</v>
      </c>
      <c r="GS159" s="237" t="s">
        <v>231</v>
      </c>
      <c r="GT159" s="237" t="s">
        <v>231</v>
      </c>
      <c r="GU159" s="237" t="s">
        <v>231</v>
      </c>
      <c r="GV159" s="237" t="s">
        <v>231</v>
      </c>
      <c r="GW159" s="237" t="s">
        <v>231</v>
      </c>
      <c r="GX159" s="237" t="s">
        <v>231</v>
      </c>
      <c r="GY159" s="237" t="s">
        <v>231</v>
      </c>
      <c r="GZ159" s="237" t="s">
        <v>231</v>
      </c>
      <c r="HA159" s="237" t="s">
        <v>231</v>
      </c>
      <c r="HB159" s="237" t="s">
        <v>231</v>
      </c>
      <c r="HC159" s="237" t="s">
        <v>231</v>
      </c>
      <c r="HD159" s="237" t="s">
        <v>231</v>
      </c>
      <c r="HE159" s="237" t="s">
        <v>231</v>
      </c>
      <c r="HF159" s="237" t="s">
        <v>231</v>
      </c>
      <c r="HG159" s="237" t="s">
        <v>231</v>
      </c>
      <c r="HH159" s="237" t="s">
        <v>231</v>
      </c>
      <c r="HI159" s="237" t="s">
        <v>231</v>
      </c>
      <c r="HJ159" s="237" t="s">
        <v>231</v>
      </c>
      <c r="HK159" s="237" t="s">
        <v>231</v>
      </c>
      <c r="HL159" s="237" t="s">
        <v>231</v>
      </c>
      <c r="HM159" s="237" t="s">
        <v>231</v>
      </c>
      <c r="HN159" s="237" t="s">
        <v>231</v>
      </c>
      <c r="HO159" s="237" t="s">
        <v>231</v>
      </c>
      <c r="HP159" s="237" t="s">
        <v>231</v>
      </c>
      <c r="HQ159" s="237" t="s">
        <v>231</v>
      </c>
      <c r="HR159" s="237" t="s">
        <v>492</v>
      </c>
      <c r="HS159" s="237" t="s">
        <v>492</v>
      </c>
      <c r="HT159" s="237" t="s">
        <v>492</v>
      </c>
      <c r="HU159" s="237" t="s">
        <v>231</v>
      </c>
      <c r="HV159" s="237" t="s">
        <v>231</v>
      </c>
      <c r="HW159" s="237" t="s">
        <v>231</v>
      </c>
      <c r="HX159" s="237" t="s">
        <v>231</v>
      </c>
      <c r="HY159" s="237" t="s">
        <v>231</v>
      </c>
      <c r="HZ159" s="237" t="s">
        <v>231</v>
      </c>
      <c r="IA159" s="237" t="s">
        <v>231</v>
      </c>
      <c r="IB159" s="237" t="s">
        <v>231</v>
      </c>
      <c r="IC159" s="237" t="s">
        <v>231</v>
      </c>
      <c r="ID159" s="237" t="s">
        <v>231</v>
      </c>
      <c r="IE159" s="237" t="s">
        <v>231</v>
      </c>
      <c r="IF159" s="237" t="s">
        <v>231</v>
      </c>
      <c r="IG159" s="237" t="s">
        <v>231</v>
      </c>
      <c r="IH159" s="237" t="s">
        <v>231</v>
      </c>
      <c r="II159" s="237" t="s">
        <v>231</v>
      </c>
      <c r="IJ159" s="237" t="s">
        <v>231</v>
      </c>
      <c r="IK159" s="237" t="s">
        <v>231</v>
      </c>
      <c r="IL159" s="237" t="s">
        <v>231</v>
      </c>
      <c r="IM159" s="237" t="s">
        <v>231</v>
      </c>
      <c r="IN159" s="237" t="s">
        <v>231</v>
      </c>
      <c r="IO159" s="237" t="s">
        <v>219</v>
      </c>
      <c r="IP159" s="237" t="s">
        <v>493</v>
      </c>
      <c r="IQ159" s="237" t="s">
        <v>219</v>
      </c>
      <c r="IR159" s="237" t="s">
        <v>490</v>
      </c>
      <c r="IS159" s="237" t="s">
        <v>492</v>
      </c>
      <c r="IT159" s="237" t="s">
        <v>492</v>
      </c>
    </row>
    <row r="160" spans="1:254" ht="15" x14ac:dyDescent="0.25">
      <c r="A160" s="259" t="str">
        <f>HYPERLINK("http://www.ofsted.gov.uk/inspection-reports/find-inspection-report/provider/ELS/105999 ","Ofsted School Webpage")</f>
        <v>Ofsted School Webpage</v>
      </c>
      <c r="B160" s="240">
        <v>105999</v>
      </c>
      <c r="C160" s="240">
        <v>3556020</v>
      </c>
      <c r="D160" s="240" t="s">
        <v>904</v>
      </c>
      <c r="E160" s="240" t="s">
        <v>247</v>
      </c>
      <c r="F160" s="240" t="s">
        <v>482</v>
      </c>
      <c r="G160" s="240" t="s">
        <v>495</v>
      </c>
      <c r="H160" s="240" t="s">
        <v>495</v>
      </c>
      <c r="I160" s="240" t="s">
        <v>601</v>
      </c>
      <c r="J160" s="240" t="s">
        <v>905</v>
      </c>
      <c r="K160" s="240" t="s">
        <v>93</v>
      </c>
      <c r="L160" s="240" t="s">
        <v>81</v>
      </c>
      <c r="M160" s="240" t="s">
        <v>81</v>
      </c>
      <c r="N160" s="240" t="s">
        <v>81</v>
      </c>
      <c r="O160" s="240" t="s">
        <v>486</v>
      </c>
      <c r="P160" s="240" t="s">
        <v>487</v>
      </c>
      <c r="Q160" s="241">
        <v>10067879</v>
      </c>
      <c r="R160" s="242">
        <v>43473</v>
      </c>
      <c r="S160" s="242">
        <v>43475</v>
      </c>
      <c r="T160" s="242">
        <v>43515</v>
      </c>
      <c r="U160" s="240" t="s">
        <v>488</v>
      </c>
      <c r="V160" s="240" t="s">
        <v>489</v>
      </c>
      <c r="W160" s="240">
        <v>3</v>
      </c>
      <c r="X160" s="240">
        <v>3</v>
      </c>
      <c r="Y160" s="240">
        <v>2</v>
      </c>
      <c r="Z160" s="240">
        <v>2</v>
      </c>
      <c r="AA160" s="240">
        <v>2</v>
      </c>
      <c r="AB160" s="240" t="s">
        <v>486</v>
      </c>
      <c r="AC160" s="240" t="s">
        <v>486</v>
      </c>
      <c r="AD160" s="240" t="s">
        <v>219</v>
      </c>
      <c r="AE160" s="240" t="s">
        <v>490</v>
      </c>
      <c r="AF160" s="240" t="s">
        <v>486</v>
      </c>
      <c r="AG160" s="240" t="s">
        <v>486</v>
      </c>
      <c r="AH160" s="240" t="s">
        <v>486</v>
      </c>
      <c r="AI160" s="240" t="s">
        <v>486</v>
      </c>
      <c r="AJ160" s="240" t="s">
        <v>486</v>
      </c>
      <c r="AK160" s="240" t="s">
        <v>486</v>
      </c>
      <c r="AL160" s="240" t="s">
        <v>486</v>
      </c>
      <c r="AM160" s="240" t="s">
        <v>545</v>
      </c>
      <c r="AN160" s="240" t="s">
        <v>546</v>
      </c>
      <c r="AO160" s="240" t="s">
        <v>546</v>
      </c>
      <c r="AP160" s="240" t="s">
        <v>231</v>
      </c>
      <c r="AQ160" s="240" t="s">
        <v>231</v>
      </c>
      <c r="AR160" s="240" t="s">
        <v>231</v>
      </c>
      <c r="AS160" s="240" t="s">
        <v>231</v>
      </c>
      <c r="AT160" s="240" t="s">
        <v>231</v>
      </c>
      <c r="AU160" s="240" t="s">
        <v>546</v>
      </c>
      <c r="AV160" s="240" t="s">
        <v>232</v>
      </c>
      <c r="AW160" s="240" t="s">
        <v>232</v>
      </c>
      <c r="AX160" s="240" t="s">
        <v>231</v>
      </c>
      <c r="AY160" s="240" t="s">
        <v>231</v>
      </c>
      <c r="AZ160" s="240" t="s">
        <v>231</v>
      </c>
      <c r="BA160" s="240" t="s">
        <v>232</v>
      </c>
      <c r="BB160" s="240" t="s">
        <v>231</v>
      </c>
      <c r="BC160" s="240" t="s">
        <v>231</v>
      </c>
      <c r="BD160" s="240" t="s">
        <v>492</v>
      </c>
      <c r="BE160" s="240" t="s">
        <v>232</v>
      </c>
      <c r="BF160" s="240" t="s">
        <v>231</v>
      </c>
      <c r="BG160" s="240" t="s">
        <v>232</v>
      </c>
      <c r="BH160" s="240" t="s">
        <v>231</v>
      </c>
      <c r="BI160" s="240" t="s">
        <v>231</v>
      </c>
      <c r="BJ160" s="240" t="s">
        <v>231</v>
      </c>
      <c r="BK160" s="240" t="s">
        <v>231</v>
      </c>
      <c r="BL160" s="240" t="s">
        <v>492</v>
      </c>
      <c r="BM160" s="240" t="s">
        <v>492</v>
      </c>
      <c r="BN160" s="240" t="s">
        <v>231</v>
      </c>
      <c r="BO160" s="240" t="s">
        <v>231</v>
      </c>
      <c r="BP160" s="240" t="s">
        <v>231</v>
      </c>
      <c r="BQ160" s="240" t="s">
        <v>231</v>
      </c>
      <c r="BR160" s="240" t="s">
        <v>231</v>
      </c>
      <c r="BS160" s="240" t="s">
        <v>231</v>
      </c>
      <c r="BT160" s="240" t="s">
        <v>231</v>
      </c>
      <c r="BU160" s="240" t="s">
        <v>231</v>
      </c>
      <c r="BV160" s="240" t="s">
        <v>231</v>
      </c>
      <c r="BW160" s="240" t="s">
        <v>231</v>
      </c>
      <c r="BX160" s="240" t="s">
        <v>231</v>
      </c>
      <c r="BY160" s="240" t="s">
        <v>231</v>
      </c>
      <c r="BZ160" s="240" t="s">
        <v>231</v>
      </c>
      <c r="CA160" s="240" t="s">
        <v>231</v>
      </c>
      <c r="CB160" s="240" t="s">
        <v>232</v>
      </c>
      <c r="CC160" s="240" t="s">
        <v>231</v>
      </c>
      <c r="CD160" s="240" t="s">
        <v>232</v>
      </c>
      <c r="CE160" s="240" t="s">
        <v>231</v>
      </c>
      <c r="CF160" s="240" t="s">
        <v>231</v>
      </c>
      <c r="CG160" s="240" t="s">
        <v>231</v>
      </c>
      <c r="CH160" s="240" t="s">
        <v>231</v>
      </c>
      <c r="CI160" s="240" t="s">
        <v>231</v>
      </c>
      <c r="CJ160" s="240" t="s">
        <v>232</v>
      </c>
      <c r="CK160" s="240" t="s">
        <v>231</v>
      </c>
      <c r="CL160" s="240" t="s">
        <v>231</v>
      </c>
      <c r="CM160" s="240" t="s">
        <v>231</v>
      </c>
      <c r="CN160" s="240" t="s">
        <v>231</v>
      </c>
      <c r="CO160" s="240" t="s">
        <v>231</v>
      </c>
      <c r="CP160" s="240" t="s">
        <v>231</v>
      </c>
      <c r="CQ160" s="240" t="s">
        <v>231</v>
      </c>
      <c r="CR160" s="240" t="s">
        <v>231</v>
      </c>
      <c r="CS160" s="240" t="s">
        <v>231</v>
      </c>
      <c r="CT160" s="240" t="s">
        <v>492</v>
      </c>
      <c r="CU160" s="240" t="s">
        <v>492</v>
      </c>
      <c r="CV160" s="240" t="s">
        <v>492</v>
      </c>
      <c r="CW160" s="240" t="s">
        <v>231</v>
      </c>
      <c r="CX160" s="240" t="s">
        <v>231</v>
      </c>
      <c r="CY160" s="240" t="s">
        <v>231</v>
      </c>
      <c r="CZ160" s="240" t="s">
        <v>231</v>
      </c>
      <c r="DA160" s="240" t="s">
        <v>231</v>
      </c>
      <c r="DB160" s="240" t="s">
        <v>231</v>
      </c>
      <c r="DC160" s="240" t="s">
        <v>231</v>
      </c>
      <c r="DD160" s="240" t="s">
        <v>231</v>
      </c>
      <c r="DE160" s="240" t="s">
        <v>231</v>
      </c>
      <c r="DF160" s="240" t="s">
        <v>231</v>
      </c>
      <c r="DG160" s="240" t="s">
        <v>231</v>
      </c>
      <c r="DH160" s="240" t="s">
        <v>231</v>
      </c>
      <c r="DI160" s="240" t="s">
        <v>231</v>
      </c>
      <c r="DJ160" s="240" t="s">
        <v>231</v>
      </c>
      <c r="DK160" s="240" t="s">
        <v>231</v>
      </c>
      <c r="DL160" s="240" t="s">
        <v>231</v>
      </c>
      <c r="DM160" s="240" t="s">
        <v>231</v>
      </c>
      <c r="DN160" s="240" t="s">
        <v>231</v>
      </c>
      <c r="DO160" s="240" t="s">
        <v>231</v>
      </c>
      <c r="DP160" s="240" t="s">
        <v>231</v>
      </c>
      <c r="DQ160" s="240" t="s">
        <v>231</v>
      </c>
      <c r="DR160" s="240" t="s">
        <v>231</v>
      </c>
      <c r="DS160" s="240" t="s">
        <v>231</v>
      </c>
      <c r="DT160" s="240" t="s">
        <v>231</v>
      </c>
      <c r="DU160" s="240" t="s">
        <v>231</v>
      </c>
      <c r="DV160" s="240" t="s">
        <v>231</v>
      </c>
      <c r="DW160" s="240" t="s">
        <v>231</v>
      </c>
      <c r="DX160" s="240" t="s">
        <v>231</v>
      </c>
      <c r="DY160" s="240" t="s">
        <v>231</v>
      </c>
      <c r="DZ160" s="240" t="s">
        <v>231</v>
      </c>
      <c r="EA160" s="240" t="s">
        <v>231</v>
      </c>
      <c r="EB160" s="240" t="s">
        <v>231</v>
      </c>
      <c r="EC160" s="240" t="s">
        <v>231</v>
      </c>
      <c r="ED160" s="240" t="s">
        <v>231</v>
      </c>
      <c r="EE160" s="240" t="s">
        <v>231</v>
      </c>
      <c r="EF160" s="240" t="s">
        <v>231</v>
      </c>
      <c r="EG160" s="240" t="s">
        <v>231</v>
      </c>
      <c r="EH160" s="240" t="s">
        <v>231</v>
      </c>
      <c r="EI160" s="240" t="s">
        <v>231</v>
      </c>
      <c r="EJ160" s="240" t="s">
        <v>231</v>
      </c>
      <c r="EK160" s="240" t="s">
        <v>231</v>
      </c>
      <c r="EL160" s="240" t="s">
        <v>231</v>
      </c>
      <c r="EM160" s="240" t="s">
        <v>231</v>
      </c>
      <c r="EN160" s="240" t="s">
        <v>231</v>
      </c>
      <c r="EO160" s="240" t="s">
        <v>231</v>
      </c>
      <c r="EP160" s="240" t="s">
        <v>231</v>
      </c>
      <c r="EQ160" s="240" t="s">
        <v>231</v>
      </c>
      <c r="ER160" s="240" t="s">
        <v>231</v>
      </c>
      <c r="ES160" s="240" t="s">
        <v>231</v>
      </c>
      <c r="ET160" s="240" t="s">
        <v>231</v>
      </c>
      <c r="EU160" s="240" t="s">
        <v>231</v>
      </c>
      <c r="EV160" s="240" t="s">
        <v>231</v>
      </c>
      <c r="EW160" s="240" t="s">
        <v>231</v>
      </c>
      <c r="EX160" s="240" t="s">
        <v>231</v>
      </c>
      <c r="EY160" s="240" t="s">
        <v>231</v>
      </c>
      <c r="EZ160" s="240" t="s">
        <v>231</v>
      </c>
      <c r="FA160" s="240" t="s">
        <v>231</v>
      </c>
      <c r="FB160" s="240" t="s">
        <v>231</v>
      </c>
      <c r="FC160" s="240" t="s">
        <v>231</v>
      </c>
      <c r="FD160" s="240" t="s">
        <v>231</v>
      </c>
      <c r="FE160" s="240" t="s">
        <v>231</v>
      </c>
      <c r="FF160" s="240" t="s">
        <v>231</v>
      </c>
      <c r="FG160" s="240" t="s">
        <v>231</v>
      </c>
      <c r="FH160" s="240" t="s">
        <v>231</v>
      </c>
      <c r="FI160" s="240" t="s">
        <v>231</v>
      </c>
      <c r="FJ160" s="240" t="s">
        <v>231</v>
      </c>
      <c r="FK160" s="240" t="s">
        <v>231</v>
      </c>
      <c r="FL160" s="240" t="s">
        <v>231</v>
      </c>
      <c r="FM160" s="240" t="s">
        <v>231</v>
      </c>
      <c r="FN160" s="240" t="s">
        <v>231</v>
      </c>
      <c r="FO160" s="240" t="s">
        <v>231</v>
      </c>
      <c r="FP160" s="240" t="s">
        <v>231</v>
      </c>
      <c r="FQ160" s="240" t="s">
        <v>231</v>
      </c>
      <c r="FR160" s="240" t="s">
        <v>231</v>
      </c>
      <c r="FS160" s="240" t="s">
        <v>231</v>
      </c>
      <c r="FT160" s="240" t="s">
        <v>231</v>
      </c>
      <c r="FU160" s="240" t="s">
        <v>231</v>
      </c>
      <c r="FV160" s="240" t="s">
        <v>231</v>
      </c>
      <c r="FW160" s="240" t="s">
        <v>231</v>
      </c>
      <c r="FX160" s="240" t="s">
        <v>231</v>
      </c>
      <c r="FY160" s="240" t="s">
        <v>231</v>
      </c>
      <c r="FZ160" s="240" t="s">
        <v>231</v>
      </c>
      <c r="GA160" s="240" t="s">
        <v>231</v>
      </c>
      <c r="GB160" s="240" t="s">
        <v>231</v>
      </c>
      <c r="GC160" s="240" t="s">
        <v>231</v>
      </c>
      <c r="GD160" s="240" t="s">
        <v>231</v>
      </c>
      <c r="GE160" s="240" t="s">
        <v>231</v>
      </c>
      <c r="GF160" s="240" t="s">
        <v>231</v>
      </c>
      <c r="GG160" s="240" t="s">
        <v>231</v>
      </c>
      <c r="GH160" s="240" t="s">
        <v>231</v>
      </c>
      <c r="GI160" s="240" t="s">
        <v>231</v>
      </c>
      <c r="GJ160" s="240" t="s">
        <v>231</v>
      </c>
      <c r="GK160" s="240" t="s">
        <v>231</v>
      </c>
      <c r="GL160" s="240" t="s">
        <v>231</v>
      </c>
      <c r="GM160" s="240" t="s">
        <v>231</v>
      </c>
      <c r="GN160" s="240" t="s">
        <v>231</v>
      </c>
      <c r="GO160" s="240" t="s">
        <v>231</v>
      </c>
      <c r="GP160" s="240" t="s">
        <v>231</v>
      </c>
      <c r="GQ160" s="240" t="s">
        <v>231</v>
      </c>
      <c r="GR160" s="240" t="s">
        <v>231</v>
      </c>
      <c r="GS160" s="240" t="s">
        <v>231</v>
      </c>
      <c r="GT160" s="240" t="s">
        <v>231</v>
      </c>
      <c r="GU160" s="240" t="s">
        <v>231</v>
      </c>
      <c r="GV160" s="240" t="s">
        <v>231</v>
      </c>
      <c r="GW160" s="240" t="s">
        <v>231</v>
      </c>
      <c r="GX160" s="240" t="s">
        <v>231</v>
      </c>
      <c r="GY160" s="240" t="s">
        <v>492</v>
      </c>
      <c r="GZ160" s="240" t="s">
        <v>492</v>
      </c>
      <c r="HA160" s="240" t="s">
        <v>231</v>
      </c>
      <c r="HB160" s="240" t="s">
        <v>231</v>
      </c>
      <c r="HC160" s="240" t="s">
        <v>231</v>
      </c>
      <c r="HD160" s="240" t="s">
        <v>231</v>
      </c>
      <c r="HE160" s="240" t="s">
        <v>492</v>
      </c>
      <c r="HF160" s="240" t="s">
        <v>231</v>
      </c>
      <c r="HG160" s="240" t="s">
        <v>492</v>
      </c>
      <c r="HH160" s="240" t="s">
        <v>231</v>
      </c>
      <c r="HI160" s="240" t="s">
        <v>231</v>
      </c>
      <c r="HJ160" s="240" t="s">
        <v>231</v>
      </c>
      <c r="HK160" s="240" t="s">
        <v>231</v>
      </c>
      <c r="HL160" s="240" t="s">
        <v>231</v>
      </c>
      <c r="HM160" s="240" t="s">
        <v>231</v>
      </c>
      <c r="HN160" s="240" t="s">
        <v>231</v>
      </c>
      <c r="HO160" s="240" t="s">
        <v>231</v>
      </c>
      <c r="HP160" s="240" t="s">
        <v>231</v>
      </c>
      <c r="HQ160" s="240" t="s">
        <v>492</v>
      </c>
      <c r="HR160" s="240" t="s">
        <v>492</v>
      </c>
      <c r="HS160" s="240" t="s">
        <v>492</v>
      </c>
      <c r="HT160" s="240" t="s">
        <v>492</v>
      </c>
      <c r="HU160" s="240" t="s">
        <v>231</v>
      </c>
      <c r="HV160" s="240" t="s">
        <v>231</v>
      </c>
      <c r="HW160" s="240" t="s">
        <v>231</v>
      </c>
      <c r="HX160" s="240" t="s">
        <v>231</v>
      </c>
      <c r="HY160" s="240" t="s">
        <v>231</v>
      </c>
      <c r="HZ160" s="240" t="s">
        <v>231</v>
      </c>
      <c r="IA160" s="240" t="s">
        <v>231</v>
      </c>
      <c r="IB160" s="240" t="s">
        <v>231</v>
      </c>
      <c r="IC160" s="240" t="s">
        <v>231</v>
      </c>
      <c r="ID160" s="240" t="s">
        <v>231</v>
      </c>
      <c r="IE160" s="240" t="s">
        <v>231</v>
      </c>
      <c r="IF160" s="240" t="s">
        <v>231</v>
      </c>
      <c r="IG160" s="240" t="s">
        <v>231</v>
      </c>
      <c r="IH160" s="240" t="s">
        <v>231</v>
      </c>
      <c r="II160" s="240" t="s">
        <v>231</v>
      </c>
      <c r="IJ160" s="240" t="s">
        <v>231</v>
      </c>
      <c r="IK160" s="240" t="s">
        <v>232</v>
      </c>
      <c r="IL160" s="240" t="s">
        <v>232</v>
      </c>
      <c r="IM160" s="240" t="s">
        <v>232</v>
      </c>
      <c r="IN160" s="240" t="s">
        <v>231</v>
      </c>
      <c r="IO160" s="240" t="s">
        <v>220</v>
      </c>
      <c r="IP160" s="240" t="s">
        <v>493</v>
      </c>
      <c r="IQ160" s="240" t="s">
        <v>219</v>
      </c>
      <c r="IR160" s="240" t="s">
        <v>512</v>
      </c>
      <c r="IS160" s="240" t="s">
        <v>492</v>
      </c>
      <c r="IT160" s="240" t="s">
        <v>492</v>
      </c>
    </row>
    <row r="161" spans="1:254" ht="15" x14ac:dyDescent="0.25">
      <c r="A161" s="258" t="str">
        <f>HYPERLINK("http://www.ofsted.gov.uk/inspection-reports/find-inspection-report/provider/ELS/131136 ","Ofsted School Webpage")</f>
        <v>Ofsted School Webpage</v>
      </c>
      <c r="B161" s="237">
        <v>131136</v>
      </c>
      <c r="C161" s="237">
        <v>3846120</v>
      </c>
      <c r="D161" s="237" t="s">
        <v>906</v>
      </c>
      <c r="E161" s="237" t="s">
        <v>248</v>
      </c>
      <c r="F161" s="237" t="s">
        <v>501</v>
      </c>
      <c r="G161" s="237" t="s">
        <v>523</v>
      </c>
      <c r="H161" s="237" t="s">
        <v>524</v>
      </c>
      <c r="I161" s="237" t="s">
        <v>525</v>
      </c>
      <c r="J161" s="237" t="s">
        <v>907</v>
      </c>
      <c r="K161" s="237" t="s">
        <v>93</v>
      </c>
      <c r="L161" s="237" t="s">
        <v>93</v>
      </c>
      <c r="M161" s="237" t="s">
        <v>93</v>
      </c>
      <c r="N161" s="237" t="s">
        <v>90</v>
      </c>
      <c r="O161" s="237" t="s">
        <v>486</v>
      </c>
      <c r="P161" s="237" t="s">
        <v>487</v>
      </c>
      <c r="Q161" s="238">
        <v>10061253</v>
      </c>
      <c r="R161" s="239">
        <v>43480</v>
      </c>
      <c r="S161" s="239">
        <v>43482</v>
      </c>
      <c r="T161" s="239">
        <v>43503</v>
      </c>
      <c r="U161" s="237" t="s">
        <v>488</v>
      </c>
      <c r="V161" s="237" t="s">
        <v>489</v>
      </c>
      <c r="W161" s="237">
        <v>2</v>
      </c>
      <c r="X161" s="237">
        <v>2</v>
      </c>
      <c r="Y161" s="237">
        <v>2</v>
      </c>
      <c r="Z161" s="237">
        <v>2</v>
      </c>
      <c r="AA161" s="237">
        <v>2</v>
      </c>
      <c r="AB161" s="237" t="s">
        <v>486</v>
      </c>
      <c r="AC161" s="237" t="s">
        <v>486</v>
      </c>
      <c r="AD161" s="237" t="s">
        <v>219</v>
      </c>
      <c r="AE161" s="237" t="s">
        <v>490</v>
      </c>
      <c r="AF161" s="237" t="s">
        <v>486</v>
      </c>
      <c r="AG161" s="237" t="s">
        <v>486</v>
      </c>
      <c r="AH161" s="237" t="s">
        <v>486</v>
      </c>
      <c r="AI161" s="237" t="s">
        <v>486</v>
      </c>
      <c r="AJ161" s="237" t="s">
        <v>486</v>
      </c>
      <c r="AK161" s="237" t="s">
        <v>486</v>
      </c>
      <c r="AL161" s="237" t="s">
        <v>486</v>
      </c>
      <c r="AM161" s="237" t="s">
        <v>491</v>
      </c>
      <c r="AN161" s="237" t="s">
        <v>231</v>
      </c>
      <c r="AO161" s="237" t="s">
        <v>231</v>
      </c>
      <c r="AP161" s="237" t="s">
        <v>231</v>
      </c>
      <c r="AQ161" s="237" t="s">
        <v>231</v>
      </c>
      <c r="AR161" s="237" t="s">
        <v>231</v>
      </c>
      <c r="AS161" s="237" t="s">
        <v>231</v>
      </c>
      <c r="AT161" s="237" t="s">
        <v>231</v>
      </c>
      <c r="AU161" s="237" t="s">
        <v>231</v>
      </c>
      <c r="AV161" s="237" t="s">
        <v>231</v>
      </c>
      <c r="AW161" s="237" t="s">
        <v>231</v>
      </c>
      <c r="AX161" s="237" t="s">
        <v>231</v>
      </c>
      <c r="AY161" s="237" t="s">
        <v>231</v>
      </c>
      <c r="AZ161" s="237" t="s">
        <v>231</v>
      </c>
      <c r="BA161" s="237" t="s">
        <v>231</v>
      </c>
      <c r="BB161" s="237" t="s">
        <v>231</v>
      </c>
      <c r="BC161" s="237" t="s">
        <v>231</v>
      </c>
      <c r="BD161" s="237" t="s">
        <v>492</v>
      </c>
      <c r="BE161" s="237" t="s">
        <v>231</v>
      </c>
      <c r="BF161" s="237" t="s">
        <v>231</v>
      </c>
      <c r="BG161" s="237" t="s">
        <v>231</v>
      </c>
      <c r="BH161" s="237" t="s">
        <v>231</v>
      </c>
      <c r="BI161" s="237" t="s">
        <v>231</v>
      </c>
      <c r="BJ161" s="237" t="s">
        <v>231</v>
      </c>
      <c r="BK161" s="237" t="s">
        <v>231</v>
      </c>
      <c r="BL161" s="237" t="s">
        <v>492</v>
      </c>
      <c r="BM161" s="237" t="s">
        <v>231</v>
      </c>
      <c r="BN161" s="237" t="s">
        <v>231</v>
      </c>
      <c r="BO161" s="237" t="s">
        <v>231</v>
      </c>
      <c r="BP161" s="237" t="s">
        <v>231</v>
      </c>
      <c r="BQ161" s="237" t="s">
        <v>231</v>
      </c>
      <c r="BR161" s="237" t="s">
        <v>231</v>
      </c>
      <c r="BS161" s="237" t="s">
        <v>231</v>
      </c>
      <c r="BT161" s="237" t="s">
        <v>231</v>
      </c>
      <c r="BU161" s="237" t="s">
        <v>231</v>
      </c>
      <c r="BV161" s="237" t="s">
        <v>231</v>
      </c>
      <c r="BW161" s="237" t="s">
        <v>231</v>
      </c>
      <c r="BX161" s="237" t="s">
        <v>231</v>
      </c>
      <c r="BY161" s="237" t="s">
        <v>231</v>
      </c>
      <c r="BZ161" s="237" t="s">
        <v>231</v>
      </c>
      <c r="CA161" s="237" t="s">
        <v>231</v>
      </c>
      <c r="CB161" s="237" t="s">
        <v>231</v>
      </c>
      <c r="CC161" s="237" t="s">
        <v>231</v>
      </c>
      <c r="CD161" s="237" t="s">
        <v>231</v>
      </c>
      <c r="CE161" s="237" t="s">
        <v>231</v>
      </c>
      <c r="CF161" s="237" t="s">
        <v>231</v>
      </c>
      <c r="CG161" s="237" t="s">
        <v>231</v>
      </c>
      <c r="CH161" s="237" t="s">
        <v>231</v>
      </c>
      <c r="CI161" s="237" t="s">
        <v>231</v>
      </c>
      <c r="CJ161" s="237" t="s">
        <v>231</v>
      </c>
      <c r="CK161" s="237" t="s">
        <v>231</v>
      </c>
      <c r="CL161" s="237" t="s">
        <v>231</v>
      </c>
      <c r="CM161" s="237" t="s">
        <v>231</v>
      </c>
      <c r="CN161" s="237" t="s">
        <v>231</v>
      </c>
      <c r="CO161" s="237" t="s">
        <v>231</v>
      </c>
      <c r="CP161" s="237" t="s">
        <v>231</v>
      </c>
      <c r="CQ161" s="237" t="s">
        <v>231</v>
      </c>
      <c r="CR161" s="237" t="s">
        <v>231</v>
      </c>
      <c r="CS161" s="237" t="s">
        <v>231</v>
      </c>
      <c r="CT161" s="237" t="s">
        <v>492</v>
      </c>
      <c r="CU161" s="237" t="s">
        <v>492</v>
      </c>
      <c r="CV161" s="237" t="s">
        <v>492</v>
      </c>
      <c r="CW161" s="237" t="s">
        <v>231</v>
      </c>
      <c r="CX161" s="237" t="s">
        <v>231</v>
      </c>
      <c r="CY161" s="237" t="s">
        <v>231</v>
      </c>
      <c r="CZ161" s="237" t="s">
        <v>231</v>
      </c>
      <c r="DA161" s="237" t="s">
        <v>231</v>
      </c>
      <c r="DB161" s="237" t="s">
        <v>231</v>
      </c>
      <c r="DC161" s="237" t="s">
        <v>231</v>
      </c>
      <c r="DD161" s="237" t="s">
        <v>231</v>
      </c>
      <c r="DE161" s="237" t="s">
        <v>231</v>
      </c>
      <c r="DF161" s="237" t="s">
        <v>231</v>
      </c>
      <c r="DG161" s="237" t="s">
        <v>231</v>
      </c>
      <c r="DH161" s="237" t="s">
        <v>231</v>
      </c>
      <c r="DI161" s="237" t="s">
        <v>231</v>
      </c>
      <c r="DJ161" s="237" t="s">
        <v>231</v>
      </c>
      <c r="DK161" s="237" t="s">
        <v>231</v>
      </c>
      <c r="DL161" s="237" t="s">
        <v>231</v>
      </c>
      <c r="DM161" s="237" t="s">
        <v>231</v>
      </c>
      <c r="DN161" s="237" t="s">
        <v>231</v>
      </c>
      <c r="DO161" s="237" t="s">
        <v>231</v>
      </c>
      <c r="DP161" s="237" t="s">
        <v>231</v>
      </c>
      <c r="DQ161" s="237" t="s">
        <v>231</v>
      </c>
      <c r="DR161" s="237" t="s">
        <v>231</v>
      </c>
      <c r="DS161" s="237" t="s">
        <v>231</v>
      </c>
      <c r="DT161" s="237" t="s">
        <v>492</v>
      </c>
      <c r="DU161" s="237" t="s">
        <v>231</v>
      </c>
      <c r="DV161" s="237" t="s">
        <v>231</v>
      </c>
      <c r="DW161" s="237" t="s">
        <v>231</v>
      </c>
      <c r="DX161" s="237" t="s">
        <v>231</v>
      </c>
      <c r="DY161" s="237" t="s">
        <v>231</v>
      </c>
      <c r="DZ161" s="237" t="s">
        <v>231</v>
      </c>
      <c r="EA161" s="237" t="s">
        <v>231</v>
      </c>
      <c r="EB161" s="237" t="s">
        <v>231</v>
      </c>
      <c r="EC161" s="237" t="s">
        <v>231</v>
      </c>
      <c r="ED161" s="237" t="s">
        <v>231</v>
      </c>
      <c r="EE161" s="237" t="s">
        <v>231</v>
      </c>
      <c r="EF161" s="237" t="s">
        <v>231</v>
      </c>
      <c r="EG161" s="237" t="s">
        <v>231</v>
      </c>
      <c r="EH161" s="237" t="s">
        <v>492</v>
      </c>
      <c r="EI161" s="237" t="s">
        <v>492</v>
      </c>
      <c r="EJ161" s="237" t="s">
        <v>231</v>
      </c>
      <c r="EK161" s="237" t="s">
        <v>231</v>
      </c>
      <c r="EL161" s="237" t="s">
        <v>231</v>
      </c>
      <c r="EM161" s="237" t="s">
        <v>231</v>
      </c>
      <c r="EN161" s="237" t="s">
        <v>231</v>
      </c>
      <c r="EO161" s="237" t="s">
        <v>231</v>
      </c>
      <c r="EP161" s="237" t="s">
        <v>231</v>
      </c>
      <c r="EQ161" s="237" t="s">
        <v>231</v>
      </c>
      <c r="ER161" s="237" t="s">
        <v>231</v>
      </c>
      <c r="ES161" s="237" t="s">
        <v>231</v>
      </c>
      <c r="ET161" s="237" t="s">
        <v>231</v>
      </c>
      <c r="EU161" s="237" t="s">
        <v>231</v>
      </c>
      <c r="EV161" s="237" t="s">
        <v>231</v>
      </c>
      <c r="EW161" s="237" t="s">
        <v>231</v>
      </c>
      <c r="EX161" s="237" t="s">
        <v>231</v>
      </c>
      <c r="EY161" s="237" t="s">
        <v>231</v>
      </c>
      <c r="EZ161" s="237" t="s">
        <v>231</v>
      </c>
      <c r="FA161" s="237" t="s">
        <v>231</v>
      </c>
      <c r="FB161" s="237" t="s">
        <v>231</v>
      </c>
      <c r="FC161" s="237" t="s">
        <v>231</v>
      </c>
      <c r="FD161" s="237" t="s">
        <v>231</v>
      </c>
      <c r="FE161" s="237" t="s">
        <v>231</v>
      </c>
      <c r="FF161" s="237" t="s">
        <v>231</v>
      </c>
      <c r="FG161" s="237" t="s">
        <v>231</v>
      </c>
      <c r="FH161" s="237" t="s">
        <v>231</v>
      </c>
      <c r="FI161" s="237" t="s">
        <v>231</v>
      </c>
      <c r="FJ161" s="237" t="s">
        <v>231</v>
      </c>
      <c r="FK161" s="237" t="s">
        <v>231</v>
      </c>
      <c r="FL161" s="237" t="s">
        <v>231</v>
      </c>
      <c r="FM161" s="237" t="s">
        <v>231</v>
      </c>
      <c r="FN161" s="237" t="s">
        <v>231</v>
      </c>
      <c r="FO161" s="237" t="s">
        <v>231</v>
      </c>
      <c r="FP161" s="237" t="s">
        <v>231</v>
      </c>
      <c r="FQ161" s="237" t="s">
        <v>231</v>
      </c>
      <c r="FR161" s="237" t="s">
        <v>231</v>
      </c>
      <c r="FS161" s="237" t="s">
        <v>231</v>
      </c>
      <c r="FT161" s="237" t="s">
        <v>492</v>
      </c>
      <c r="FU161" s="237" t="s">
        <v>231</v>
      </c>
      <c r="FV161" s="237" t="s">
        <v>231</v>
      </c>
      <c r="FW161" s="237" t="s">
        <v>231</v>
      </c>
      <c r="FX161" s="237" t="s">
        <v>492</v>
      </c>
      <c r="FY161" s="237" t="s">
        <v>231</v>
      </c>
      <c r="FZ161" s="237" t="s">
        <v>231</v>
      </c>
      <c r="GA161" s="237" t="s">
        <v>231</v>
      </c>
      <c r="GB161" s="237" t="s">
        <v>231</v>
      </c>
      <c r="GC161" s="237" t="s">
        <v>231</v>
      </c>
      <c r="GD161" s="237" t="s">
        <v>231</v>
      </c>
      <c r="GE161" s="237" t="s">
        <v>231</v>
      </c>
      <c r="GF161" s="237" t="s">
        <v>231</v>
      </c>
      <c r="GG161" s="237" t="s">
        <v>231</v>
      </c>
      <c r="GH161" s="237" t="s">
        <v>231</v>
      </c>
      <c r="GI161" s="237" t="s">
        <v>231</v>
      </c>
      <c r="GJ161" s="237" t="s">
        <v>492</v>
      </c>
      <c r="GK161" s="237" t="s">
        <v>492</v>
      </c>
      <c r="GL161" s="237" t="s">
        <v>492</v>
      </c>
      <c r="GM161" s="237" t="s">
        <v>231</v>
      </c>
      <c r="GN161" s="237" t="s">
        <v>231</v>
      </c>
      <c r="GO161" s="237" t="s">
        <v>231</v>
      </c>
      <c r="GP161" s="237" t="s">
        <v>492</v>
      </c>
      <c r="GQ161" s="237" t="s">
        <v>231</v>
      </c>
      <c r="GR161" s="237" t="s">
        <v>231</v>
      </c>
      <c r="GS161" s="237" t="s">
        <v>231</v>
      </c>
      <c r="GT161" s="237" t="s">
        <v>231</v>
      </c>
      <c r="GU161" s="237" t="s">
        <v>231</v>
      </c>
      <c r="GV161" s="237" t="s">
        <v>492</v>
      </c>
      <c r="GW161" s="237" t="s">
        <v>231</v>
      </c>
      <c r="GX161" s="237" t="s">
        <v>231</v>
      </c>
      <c r="GY161" s="237" t="s">
        <v>231</v>
      </c>
      <c r="GZ161" s="237" t="s">
        <v>231</v>
      </c>
      <c r="HA161" s="237" t="s">
        <v>492</v>
      </c>
      <c r="HB161" s="237" t="s">
        <v>231</v>
      </c>
      <c r="HC161" s="237" t="s">
        <v>231</v>
      </c>
      <c r="HD161" s="237" t="s">
        <v>231</v>
      </c>
      <c r="HE161" s="237" t="s">
        <v>231</v>
      </c>
      <c r="HF161" s="237" t="s">
        <v>492</v>
      </c>
      <c r="HG161" s="237" t="s">
        <v>231</v>
      </c>
      <c r="HH161" s="237" t="s">
        <v>231</v>
      </c>
      <c r="HI161" s="237" t="s">
        <v>231</v>
      </c>
      <c r="HJ161" s="237" t="s">
        <v>231</v>
      </c>
      <c r="HK161" s="237" t="s">
        <v>231</v>
      </c>
      <c r="HL161" s="237" t="s">
        <v>231</v>
      </c>
      <c r="HM161" s="237" t="s">
        <v>231</v>
      </c>
      <c r="HN161" s="237" t="s">
        <v>231</v>
      </c>
      <c r="HO161" s="237" t="s">
        <v>231</v>
      </c>
      <c r="HP161" s="237" t="s">
        <v>231</v>
      </c>
      <c r="HQ161" s="237" t="s">
        <v>492</v>
      </c>
      <c r="HR161" s="237" t="s">
        <v>492</v>
      </c>
      <c r="HS161" s="237" t="s">
        <v>492</v>
      </c>
      <c r="HT161" s="237" t="s">
        <v>492</v>
      </c>
      <c r="HU161" s="237" t="s">
        <v>231</v>
      </c>
      <c r="HV161" s="237" t="s">
        <v>231</v>
      </c>
      <c r="HW161" s="237" t="s">
        <v>231</v>
      </c>
      <c r="HX161" s="237" t="s">
        <v>231</v>
      </c>
      <c r="HY161" s="237" t="s">
        <v>231</v>
      </c>
      <c r="HZ161" s="237" t="s">
        <v>231</v>
      </c>
      <c r="IA161" s="237" t="s">
        <v>231</v>
      </c>
      <c r="IB161" s="237" t="s">
        <v>231</v>
      </c>
      <c r="IC161" s="237" t="s">
        <v>231</v>
      </c>
      <c r="ID161" s="237" t="s">
        <v>231</v>
      </c>
      <c r="IE161" s="237" t="s">
        <v>231</v>
      </c>
      <c r="IF161" s="237" t="s">
        <v>231</v>
      </c>
      <c r="IG161" s="237" t="s">
        <v>231</v>
      </c>
      <c r="IH161" s="237" t="s">
        <v>231</v>
      </c>
      <c r="II161" s="237" t="s">
        <v>231</v>
      </c>
      <c r="IJ161" s="237" t="s">
        <v>231</v>
      </c>
      <c r="IK161" s="237" t="s">
        <v>231</v>
      </c>
      <c r="IL161" s="237" t="s">
        <v>231</v>
      </c>
      <c r="IM161" s="237" t="s">
        <v>231</v>
      </c>
      <c r="IN161" s="237" t="s">
        <v>231</v>
      </c>
      <c r="IO161" s="237" t="s">
        <v>220</v>
      </c>
      <c r="IP161" s="237" t="s">
        <v>493</v>
      </c>
      <c r="IQ161" s="237" t="s">
        <v>219</v>
      </c>
      <c r="IR161" s="237" t="s">
        <v>490</v>
      </c>
      <c r="IS161" s="237" t="s">
        <v>492</v>
      </c>
      <c r="IT161" s="237" t="s">
        <v>492</v>
      </c>
    </row>
    <row r="162" spans="1:254" ht="15" x14ac:dyDescent="0.25">
      <c r="A162" s="259" t="str">
        <f>HYPERLINK("http://www.ofsted.gov.uk/inspection-reports/find-inspection-report/provider/ELS/134091 ","Ofsted School Webpage")</f>
        <v>Ofsted School Webpage</v>
      </c>
      <c r="B162" s="240">
        <v>134091</v>
      </c>
      <c r="C162" s="240">
        <v>3306105</v>
      </c>
      <c r="D162" s="240" t="s">
        <v>908</v>
      </c>
      <c r="E162" s="240" t="s">
        <v>247</v>
      </c>
      <c r="F162" s="240" t="s">
        <v>482</v>
      </c>
      <c r="G162" s="240" t="s">
        <v>502</v>
      </c>
      <c r="H162" s="240" t="s">
        <v>502</v>
      </c>
      <c r="I162" s="240" t="s">
        <v>909</v>
      </c>
      <c r="J162" s="240" t="s">
        <v>910</v>
      </c>
      <c r="K162" s="240" t="s">
        <v>93</v>
      </c>
      <c r="L162" s="240" t="s">
        <v>71</v>
      </c>
      <c r="M162" s="240" t="s">
        <v>71</v>
      </c>
      <c r="N162" s="240" t="s">
        <v>71</v>
      </c>
      <c r="O162" s="240" t="s">
        <v>486</v>
      </c>
      <c r="P162" s="240" t="s">
        <v>487</v>
      </c>
      <c r="Q162" s="241">
        <v>10056216</v>
      </c>
      <c r="R162" s="242">
        <v>43480</v>
      </c>
      <c r="S162" s="242">
        <v>43482</v>
      </c>
      <c r="T162" s="242">
        <v>43528</v>
      </c>
      <c r="U162" s="240" t="s">
        <v>488</v>
      </c>
      <c r="V162" s="240" t="s">
        <v>489</v>
      </c>
      <c r="W162" s="240">
        <v>1</v>
      </c>
      <c r="X162" s="240">
        <v>1</v>
      </c>
      <c r="Y162" s="240">
        <v>1</v>
      </c>
      <c r="Z162" s="240">
        <v>1</v>
      </c>
      <c r="AA162" s="240">
        <v>1</v>
      </c>
      <c r="AB162" s="240">
        <v>1</v>
      </c>
      <c r="AC162" s="240" t="s">
        <v>486</v>
      </c>
      <c r="AD162" s="240" t="s">
        <v>219</v>
      </c>
      <c r="AE162" s="240" t="s">
        <v>490</v>
      </c>
      <c r="AF162" s="240" t="s">
        <v>486</v>
      </c>
      <c r="AG162" s="240" t="s">
        <v>486</v>
      </c>
      <c r="AH162" s="240" t="s">
        <v>486</v>
      </c>
      <c r="AI162" s="240" t="s">
        <v>486</v>
      </c>
      <c r="AJ162" s="240" t="s">
        <v>486</v>
      </c>
      <c r="AK162" s="240" t="s">
        <v>486</v>
      </c>
      <c r="AL162" s="240" t="s">
        <v>486</v>
      </c>
      <c r="AM162" s="240" t="s">
        <v>491</v>
      </c>
      <c r="AN162" s="240" t="s">
        <v>231</v>
      </c>
      <c r="AO162" s="240" t="s">
        <v>231</v>
      </c>
      <c r="AP162" s="240" t="s">
        <v>231</v>
      </c>
      <c r="AQ162" s="240" t="s">
        <v>231</v>
      </c>
      <c r="AR162" s="240" t="s">
        <v>231</v>
      </c>
      <c r="AS162" s="240" t="s">
        <v>231</v>
      </c>
      <c r="AT162" s="240" t="s">
        <v>231</v>
      </c>
      <c r="AU162" s="240" t="s">
        <v>231</v>
      </c>
      <c r="AV162" s="240" t="s">
        <v>231</v>
      </c>
      <c r="AW162" s="240" t="s">
        <v>231</v>
      </c>
      <c r="AX162" s="240" t="s">
        <v>231</v>
      </c>
      <c r="AY162" s="240" t="s">
        <v>231</v>
      </c>
      <c r="AZ162" s="240" t="s">
        <v>231</v>
      </c>
      <c r="BA162" s="240" t="s">
        <v>231</v>
      </c>
      <c r="BB162" s="240" t="s">
        <v>231</v>
      </c>
      <c r="BC162" s="240" t="s">
        <v>231</v>
      </c>
      <c r="BD162" s="240" t="s">
        <v>492</v>
      </c>
      <c r="BE162" s="240" t="s">
        <v>231</v>
      </c>
      <c r="BF162" s="240" t="s">
        <v>231</v>
      </c>
      <c r="BG162" s="240" t="s">
        <v>231</v>
      </c>
      <c r="BH162" s="240" t="s">
        <v>492</v>
      </c>
      <c r="BI162" s="240" t="s">
        <v>492</v>
      </c>
      <c r="BJ162" s="240" t="s">
        <v>492</v>
      </c>
      <c r="BK162" s="240" t="s">
        <v>492</v>
      </c>
      <c r="BL162" s="240" t="s">
        <v>231</v>
      </c>
      <c r="BM162" s="240" t="s">
        <v>492</v>
      </c>
      <c r="BN162" s="240" t="s">
        <v>231</v>
      </c>
      <c r="BO162" s="240" t="s">
        <v>231</v>
      </c>
      <c r="BP162" s="240" t="s">
        <v>231</v>
      </c>
      <c r="BQ162" s="240" t="s">
        <v>231</v>
      </c>
      <c r="BR162" s="240" t="s">
        <v>231</v>
      </c>
      <c r="BS162" s="240" t="s">
        <v>231</v>
      </c>
      <c r="BT162" s="240" t="s">
        <v>231</v>
      </c>
      <c r="BU162" s="240" t="s">
        <v>231</v>
      </c>
      <c r="BV162" s="240" t="s">
        <v>231</v>
      </c>
      <c r="BW162" s="240" t="s">
        <v>231</v>
      </c>
      <c r="BX162" s="240" t="s">
        <v>231</v>
      </c>
      <c r="BY162" s="240" t="s">
        <v>231</v>
      </c>
      <c r="BZ162" s="240" t="s">
        <v>231</v>
      </c>
      <c r="CA162" s="240" t="s">
        <v>231</v>
      </c>
      <c r="CB162" s="240" t="s">
        <v>231</v>
      </c>
      <c r="CC162" s="240" t="s">
        <v>231</v>
      </c>
      <c r="CD162" s="240" t="s">
        <v>231</v>
      </c>
      <c r="CE162" s="240" t="s">
        <v>231</v>
      </c>
      <c r="CF162" s="240" t="s">
        <v>231</v>
      </c>
      <c r="CG162" s="240" t="s">
        <v>231</v>
      </c>
      <c r="CH162" s="240" t="s">
        <v>231</v>
      </c>
      <c r="CI162" s="240" t="s">
        <v>231</v>
      </c>
      <c r="CJ162" s="240" t="s">
        <v>231</v>
      </c>
      <c r="CK162" s="240" t="s">
        <v>231</v>
      </c>
      <c r="CL162" s="240" t="s">
        <v>231</v>
      </c>
      <c r="CM162" s="240" t="s">
        <v>231</v>
      </c>
      <c r="CN162" s="240" t="s">
        <v>231</v>
      </c>
      <c r="CO162" s="240" t="s">
        <v>231</v>
      </c>
      <c r="CP162" s="240" t="s">
        <v>231</v>
      </c>
      <c r="CQ162" s="240" t="s">
        <v>231</v>
      </c>
      <c r="CR162" s="240" t="s">
        <v>231</v>
      </c>
      <c r="CS162" s="240" t="s">
        <v>231</v>
      </c>
      <c r="CT162" s="240" t="s">
        <v>492</v>
      </c>
      <c r="CU162" s="240" t="s">
        <v>492</v>
      </c>
      <c r="CV162" s="240" t="s">
        <v>492</v>
      </c>
      <c r="CW162" s="240" t="s">
        <v>231</v>
      </c>
      <c r="CX162" s="240" t="s">
        <v>231</v>
      </c>
      <c r="CY162" s="240" t="s">
        <v>231</v>
      </c>
      <c r="CZ162" s="240" t="s">
        <v>231</v>
      </c>
      <c r="DA162" s="240" t="s">
        <v>231</v>
      </c>
      <c r="DB162" s="240" t="s">
        <v>231</v>
      </c>
      <c r="DC162" s="240" t="s">
        <v>231</v>
      </c>
      <c r="DD162" s="240" t="s">
        <v>231</v>
      </c>
      <c r="DE162" s="240" t="s">
        <v>231</v>
      </c>
      <c r="DF162" s="240" t="s">
        <v>231</v>
      </c>
      <c r="DG162" s="240" t="s">
        <v>231</v>
      </c>
      <c r="DH162" s="240" t="s">
        <v>231</v>
      </c>
      <c r="DI162" s="240" t="s">
        <v>231</v>
      </c>
      <c r="DJ162" s="240" t="s">
        <v>231</v>
      </c>
      <c r="DK162" s="240" t="s">
        <v>231</v>
      </c>
      <c r="DL162" s="240" t="s">
        <v>231</v>
      </c>
      <c r="DM162" s="240" t="s">
        <v>231</v>
      </c>
      <c r="DN162" s="240" t="s">
        <v>231</v>
      </c>
      <c r="DO162" s="240" t="s">
        <v>231</v>
      </c>
      <c r="DP162" s="240" t="s">
        <v>231</v>
      </c>
      <c r="DQ162" s="240" t="s">
        <v>231</v>
      </c>
      <c r="DR162" s="240" t="s">
        <v>231</v>
      </c>
      <c r="DS162" s="240" t="s">
        <v>231</v>
      </c>
      <c r="DT162" s="240" t="s">
        <v>492</v>
      </c>
      <c r="DU162" s="240" t="s">
        <v>231</v>
      </c>
      <c r="DV162" s="240" t="s">
        <v>231</v>
      </c>
      <c r="DW162" s="240" t="s">
        <v>231</v>
      </c>
      <c r="DX162" s="240" t="s">
        <v>231</v>
      </c>
      <c r="DY162" s="240" t="s">
        <v>231</v>
      </c>
      <c r="DZ162" s="240" t="s">
        <v>231</v>
      </c>
      <c r="EA162" s="240" t="s">
        <v>231</v>
      </c>
      <c r="EB162" s="240" t="s">
        <v>231</v>
      </c>
      <c r="EC162" s="240" t="s">
        <v>231</v>
      </c>
      <c r="ED162" s="240" t="s">
        <v>231</v>
      </c>
      <c r="EE162" s="240" t="s">
        <v>231</v>
      </c>
      <c r="EF162" s="240" t="s">
        <v>231</v>
      </c>
      <c r="EG162" s="240" t="s">
        <v>231</v>
      </c>
      <c r="EH162" s="240" t="s">
        <v>492</v>
      </c>
      <c r="EI162" s="240" t="s">
        <v>231</v>
      </c>
      <c r="EJ162" s="240" t="s">
        <v>231</v>
      </c>
      <c r="EK162" s="240" t="s">
        <v>231</v>
      </c>
      <c r="EL162" s="240" t="s">
        <v>231</v>
      </c>
      <c r="EM162" s="240" t="s">
        <v>231</v>
      </c>
      <c r="EN162" s="240" t="s">
        <v>231</v>
      </c>
      <c r="EO162" s="240" t="s">
        <v>231</v>
      </c>
      <c r="EP162" s="240" t="s">
        <v>231</v>
      </c>
      <c r="EQ162" s="240" t="s">
        <v>231</v>
      </c>
      <c r="ER162" s="240" t="s">
        <v>231</v>
      </c>
      <c r="ES162" s="240" t="s">
        <v>231</v>
      </c>
      <c r="ET162" s="240" t="s">
        <v>231</v>
      </c>
      <c r="EU162" s="240" t="s">
        <v>231</v>
      </c>
      <c r="EV162" s="240" t="s">
        <v>231</v>
      </c>
      <c r="EW162" s="240" t="s">
        <v>231</v>
      </c>
      <c r="EX162" s="240" t="s">
        <v>231</v>
      </c>
      <c r="EY162" s="240" t="s">
        <v>231</v>
      </c>
      <c r="EZ162" s="240" t="s">
        <v>231</v>
      </c>
      <c r="FA162" s="240" t="s">
        <v>231</v>
      </c>
      <c r="FB162" s="240" t="s">
        <v>231</v>
      </c>
      <c r="FC162" s="240" t="s">
        <v>231</v>
      </c>
      <c r="FD162" s="240" t="s">
        <v>231</v>
      </c>
      <c r="FE162" s="240" t="s">
        <v>231</v>
      </c>
      <c r="FF162" s="240" t="s">
        <v>231</v>
      </c>
      <c r="FG162" s="240" t="s">
        <v>231</v>
      </c>
      <c r="FH162" s="240" t="s">
        <v>231</v>
      </c>
      <c r="FI162" s="240" t="s">
        <v>231</v>
      </c>
      <c r="FJ162" s="240" t="s">
        <v>231</v>
      </c>
      <c r="FK162" s="240" t="s">
        <v>231</v>
      </c>
      <c r="FL162" s="240" t="s">
        <v>231</v>
      </c>
      <c r="FM162" s="240" t="s">
        <v>231</v>
      </c>
      <c r="FN162" s="240" t="s">
        <v>231</v>
      </c>
      <c r="FO162" s="240" t="s">
        <v>231</v>
      </c>
      <c r="FP162" s="240" t="s">
        <v>231</v>
      </c>
      <c r="FQ162" s="240" t="s">
        <v>231</v>
      </c>
      <c r="FR162" s="240" t="s">
        <v>231</v>
      </c>
      <c r="FS162" s="240" t="s">
        <v>231</v>
      </c>
      <c r="FT162" s="240" t="s">
        <v>492</v>
      </c>
      <c r="FU162" s="240" t="s">
        <v>231</v>
      </c>
      <c r="FV162" s="240" t="s">
        <v>231</v>
      </c>
      <c r="FW162" s="240" t="s">
        <v>231</v>
      </c>
      <c r="FX162" s="240" t="s">
        <v>492</v>
      </c>
      <c r="FY162" s="240" t="s">
        <v>231</v>
      </c>
      <c r="FZ162" s="240" t="s">
        <v>231</v>
      </c>
      <c r="GA162" s="240" t="s">
        <v>231</v>
      </c>
      <c r="GB162" s="240" t="s">
        <v>231</v>
      </c>
      <c r="GC162" s="240" t="s">
        <v>231</v>
      </c>
      <c r="GD162" s="240" t="s">
        <v>231</v>
      </c>
      <c r="GE162" s="240" t="s">
        <v>231</v>
      </c>
      <c r="GF162" s="240" t="s">
        <v>231</v>
      </c>
      <c r="GG162" s="240" t="s">
        <v>231</v>
      </c>
      <c r="GH162" s="240" t="s">
        <v>231</v>
      </c>
      <c r="GI162" s="240" t="s">
        <v>231</v>
      </c>
      <c r="GJ162" s="240" t="s">
        <v>231</v>
      </c>
      <c r="GK162" s="240" t="s">
        <v>231</v>
      </c>
      <c r="GL162" s="240" t="s">
        <v>231</v>
      </c>
      <c r="GM162" s="240" t="s">
        <v>231</v>
      </c>
      <c r="GN162" s="240" t="s">
        <v>231</v>
      </c>
      <c r="GO162" s="240" t="s">
        <v>231</v>
      </c>
      <c r="GP162" s="240" t="s">
        <v>492</v>
      </c>
      <c r="GQ162" s="240" t="s">
        <v>231</v>
      </c>
      <c r="GR162" s="240" t="s">
        <v>231</v>
      </c>
      <c r="GS162" s="240" t="s">
        <v>231</v>
      </c>
      <c r="GT162" s="240" t="s">
        <v>231</v>
      </c>
      <c r="GU162" s="240" t="s">
        <v>231</v>
      </c>
      <c r="GV162" s="240" t="s">
        <v>492</v>
      </c>
      <c r="GW162" s="240" t="s">
        <v>231</v>
      </c>
      <c r="GX162" s="240" t="s">
        <v>231</v>
      </c>
      <c r="GY162" s="240" t="s">
        <v>231</v>
      </c>
      <c r="GZ162" s="240" t="s">
        <v>492</v>
      </c>
      <c r="HA162" s="240" t="s">
        <v>231</v>
      </c>
      <c r="HB162" s="240" t="s">
        <v>231</v>
      </c>
      <c r="HC162" s="240" t="s">
        <v>231</v>
      </c>
      <c r="HD162" s="240" t="s">
        <v>231</v>
      </c>
      <c r="HE162" s="240" t="s">
        <v>231</v>
      </c>
      <c r="HF162" s="240" t="s">
        <v>492</v>
      </c>
      <c r="HG162" s="240" t="s">
        <v>231</v>
      </c>
      <c r="HH162" s="240" t="s">
        <v>231</v>
      </c>
      <c r="HI162" s="240" t="s">
        <v>231</v>
      </c>
      <c r="HJ162" s="240" t="s">
        <v>231</v>
      </c>
      <c r="HK162" s="240" t="s">
        <v>231</v>
      </c>
      <c r="HL162" s="240" t="s">
        <v>231</v>
      </c>
      <c r="HM162" s="240" t="s">
        <v>231</v>
      </c>
      <c r="HN162" s="240" t="s">
        <v>231</v>
      </c>
      <c r="HO162" s="240" t="s">
        <v>231</v>
      </c>
      <c r="HP162" s="240" t="s">
        <v>231</v>
      </c>
      <c r="HQ162" s="240" t="s">
        <v>231</v>
      </c>
      <c r="HR162" s="240" t="s">
        <v>231</v>
      </c>
      <c r="HS162" s="240" t="s">
        <v>231</v>
      </c>
      <c r="HT162" s="240" t="s">
        <v>231</v>
      </c>
      <c r="HU162" s="240" t="s">
        <v>231</v>
      </c>
      <c r="HV162" s="240" t="s">
        <v>231</v>
      </c>
      <c r="HW162" s="240" t="s">
        <v>231</v>
      </c>
      <c r="HX162" s="240" t="s">
        <v>231</v>
      </c>
      <c r="HY162" s="240" t="s">
        <v>231</v>
      </c>
      <c r="HZ162" s="240" t="s">
        <v>231</v>
      </c>
      <c r="IA162" s="240" t="s">
        <v>231</v>
      </c>
      <c r="IB162" s="240" t="s">
        <v>231</v>
      </c>
      <c r="IC162" s="240" t="s">
        <v>231</v>
      </c>
      <c r="ID162" s="240" t="s">
        <v>231</v>
      </c>
      <c r="IE162" s="240" t="s">
        <v>231</v>
      </c>
      <c r="IF162" s="240" t="s">
        <v>231</v>
      </c>
      <c r="IG162" s="240" t="s">
        <v>231</v>
      </c>
      <c r="IH162" s="240" t="s">
        <v>231</v>
      </c>
      <c r="II162" s="240" t="s">
        <v>231</v>
      </c>
      <c r="IJ162" s="240" t="s">
        <v>231</v>
      </c>
      <c r="IK162" s="240" t="s">
        <v>231</v>
      </c>
      <c r="IL162" s="240" t="s">
        <v>231</v>
      </c>
      <c r="IM162" s="240" t="s">
        <v>231</v>
      </c>
      <c r="IN162" s="240" t="s">
        <v>231</v>
      </c>
      <c r="IO162" s="240" t="s">
        <v>220</v>
      </c>
      <c r="IP162" s="240" t="s">
        <v>493</v>
      </c>
      <c r="IQ162" s="240" t="s">
        <v>219</v>
      </c>
      <c r="IR162" s="240" t="s">
        <v>490</v>
      </c>
      <c r="IS162" s="240" t="s">
        <v>231</v>
      </c>
      <c r="IT162" s="240" t="s">
        <v>231</v>
      </c>
    </row>
    <row r="163" spans="1:254" ht="15" x14ac:dyDescent="0.25">
      <c r="A163" s="258" t="str">
        <f>HYPERLINK("http://www.ofsted.gov.uk/inspection-reports/find-inspection-report/provider/ELS/119015 ","Ofsted School Webpage")</f>
        <v>Ofsted School Webpage</v>
      </c>
      <c r="B163" s="237">
        <v>119015</v>
      </c>
      <c r="C163" s="237">
        <v>8866065</v>
      </c>
      <c r="D163" s="237" t="s">
        <v>911</v>
      </c>
      <c r="E163" s="237" t="s">
        <v>248</v>
      </c>
      <c r="F163" s="237" t="s">
        <v>501</v>
      </c>
      <c r="G163" s="237" t="s">
        <v>581</v>
      </c>
      <c r="H163" s="237" t="s">
        <v>581</v>
      </c>
      <c r="I163" s="237" t="s">
        <v>694</v>
      </c>
      <c r="J163" s="237" t="s">
        <v>912</v>
      </c>
      <c r="K163" s="237" t="s">
        <v>93</v>
      </c>
      <c r="L163" s="237" t="s">
        <v>93</v>
      </c>
      <c r="M163" s="237" t="s">
        <v>93</v>
      </c>
      <c r="N163" s="237" t="s">
        <v>90</v>
      </c>
      <c r="O163" s="237" t="s">
        <v>486</v>
      </c>
      <c r="P163" s="237" t="s">
        <v>487</v>
      </c>
      <c r="Q163" s="238">
        <v>10056670</v>
      </c>
      <c r="R163" s="239">
        <v>43480</v>
      </c>
      <c r="S163" s="239">
        <v>43482</v>
      </c>
      <c r="T163" s="239">
        <v>43499</v>
      </c>
      <c r="U163" s="237" t="s">
        <v>488</v>
      </c>
      <c r="V163" s="237" t="s">
        <v>489</v>
      </c>
      <c r="W163" s="237">
        <v>2</v>
      </c>
      <c r="X163" s="237">
        <v>2</v>
      </c>
      <c r="Y163" s="237">
        <v>2</v>
      </c>
      <c r="Z163" s="237">
        <v>2</v>
      </c>
      <c r="AA163" s="237">
        <v>2</v>
      </c>
      <c r="AB163" s="237" t="s">
        <v>486</v>
      </c>
      <c r="AC163" s="237" t="s">
        <v>486</v>
      </c>
      <c r="AD163" s="237" t="s">
        <v>219</v>
      </c>
      <c r="AE163" s="237" t="s">
        <v>512</v>
      </c>
      <c r="AF163" s="237" t="s">
        <v>490</v>
      </c>
      <c r="AG163" s="237" t="s">
        <v>490</v>
      </c>
      <c r="AH163" s="237" t="s">
        <v>486</v>
      </c>
      <c r="AI163" s="237" t="s">
        <v>486</v>
      </c>
      <c r="AJ163" s="237" t="s">
        <v>486</v>
      </c>
      <c r="AK163" s="237" t="s">
        <v>486</v>
      </c>
      <c r="AL163" s="237" t="s">
        <v>486</v>
      </c>
      <c r="AM163" s="237" t="s">
        <v>491</v>
      </c>
      <c r="AN163" s="237" t="s">
        <v>231</v>
      </c>
      <c r="AO163" s="237" t="s">
        <v>231</v>
      </c>
      <c r="AP163" s="237" t="s">
        <v>231</v>
      </c>
      <c r="AQ163" s="237" t="s">
        <v>231</v>
      </c>
      <c r="AR163" s="237" t="s">
        <v>231</v>
      </c>
      <c r="AS163" s="237" t="s">
        <v>231</v>
      </c>
      <c r="AT163" s="237" t="s">
        <v>231</v>
      </c>
      <c r="AU163" s="237" t="s">
        <v>231</v>
      </c>
      <c r="AV163" s="237" t="s">
        <v>231</v>
      </c>
      <c r="AW163" s="237" t="s">
        <v>231</v>
      </c>
      <c r="AX163" s="237" t="s">
        <v>231</v>
      </c>
      <c r="AY163" s="237" t="s">
        <v>231</v>
      </c>
      <c r="AZ163" s="237" t="s">
        <v>231</v>
      </c>
      <c r="BA163" s="237" t="s">
        <v>231</v>
      </c>
      <c r="BB163" s="237" t="s">
        <v>231</v>
      </c>
      <c r="BC163" s="237" t="s">
        <v>231</v>
      </c>
      <c r="BD163" s="237" t="s">
        <v>492</v>
      </c>
      <c r="BE163" s="237" t="s">
        <v>231</v>
      </c>
      <c r="BF163" s="237" t="s">
        <v>231</v>
      </c>
      <c r="BG163" s="237" t="s">
        <v>231</v>
      </c>
      <c r="BH163" s="237" t="s">
        <v>231</v>
      </c>
      <c r="BI163" s="237" t="s">
        <v>231</v>
      </c>
      <c r="BJ163" s="237" t="s">
        <v>231</v>
      </c>
      <c r="BK163" s="237" t="s">
        <v>231</v>
      </c>
      <c r="BL163" s="237" t="s">
        <v>492</v>
      </c>
      <c r="BM163" s="237" t="s">
        <v>231</v>
      </c>
      <c r="BN163" s="237" t="s">
        <v>231</v>
      </c>
      <c r="BO163" s="237" t="s">
        <v>231</v>
      </c>
      <c r="BP163" s="237" t="s">
        <v>231</v>
      </c>
      <c r="BQ163" s="237" t="s">
        <v>231</v>
      </c>
      <c r="BR163" s="237" t="s">
        <v>231</v>
      </c>
      <c r="BS163" s="237" t="s">
        <v>231</v>
      </c>
      <c r="BT163" s="237" t="s">
        <v>231</v>
      </c>
      <c r="BU163" s="237" t="s">
        <v>231</v>
      </c>
      <c r="BV163" s="237" t="s">
        <v>231</v>
      </c>
      <c r="BW163" s="237" t="s">
        <v>231</v>
      </c>
      <c r="BX163" s="237" t="s">
        <v>231</v>
      </c>
      <c r="BY163" s="237" t="s">
        <v>231</v>
      </c>
      <c r="BZ163" s="237" t="s">
        <v>231</v>
      </c>
      <c r="CA163" s="237" t="s">
        <v>231</v>
      </c>
      <c r="CB163" s="237" t="s">
        <v>231</v>
      </c>
      <c r="CC163" s="237" t="s">
        <v>231</v>
      </c>
      <c r="CD163" s="237" t="s">
        <v>231</v>
      </c>
      <c r="CE163" s="237" t="s">
        <v>231</v>
      </c>
      <c r="CF163" s="237" t="s">
        <v>231</v>
      </c>
      <c r="CG163" s="237" t="s">
        <v>231</v>
      </c>
      <c r="CH163" s="237" t="s">
        <v>231</v>
      </c>
      <c r="CI163" s="237" t="s">
        <v>231</v>
      </c>
      <c r="CJ163" s="237" t="s">
        <v>231</v>
      </c>
      <c r="CK163" s="237" t="s">
        <v>231</v>
      </c>
      <c r="CL163" s="237" t="s">
        <v>231</v>
      </c>
      <c r="CM163" s="237" t="s">
        <v>231</v>
      </c>
      <c r="CN163" s="237" t="s">
        <v>231</v>
      </c>
      <c r="CO163" s="237" t="s">
        <v>231</v>
      </c>
      <c r="CP163" s="237" t="s">
        <v>231</v>
      </c>
      <c r="CQ163" s="237" t="s">
        <v>231</v>
      </c>
      <c r="CR163" s="237" t="s">
        <v>231</v>
      </c>
      <c r="CS163" s="237" t="s">
        <v>231</v>
      </c>
      <c r="CT163" s="237" t="s">
        <v>231</v>
      </c>
      <c r="CU163" s="237" t="s">
        <v>231</v>
      </c>
      <c r="CV163" s="237" t="s">
        <v>492</v>
      </c>
      <c r="CW163" s="237" t="s">
        <v>231</v>
      </c>
      <c r="CX163" s="237" t="s">
        <v>231</v>
      </c>
      <c r="CY163" s="237" t="s">
        <v>231</v>
      </c>
      <c r="CZ163" s="237" t="s">
        <v>231</v>
      </c>
      <c r="DA163" s="237" t="s">
        <v>231</v>
      </c>
      <c r="DB163" s="237" t="s">
        <v>231</v>
      </c>
      <c r="DC163" s="237" t="s">
        <v>231</v>
      </c>
      <c r="DD163" s="237" t="s">
        <v>231</v>
      </c>
      <c r="DE163" s="237" t="s">
        <v>231</v>
      </c>
      <c r="DF163" s="237" t="s">
        <v>231</v>
      </c>
      <c r="DG163" s="237" t="s">
        <v>231</v>
      </c>
      <c r="DH163" s="237" t="s">
        <v>231</v>
      </c>
      <c r="DI163" s="237" t="s">
        <v>231</v>
      </c>
      <c r="DJ163" s="237" t="s">
        <v>231</v>
      </c>
      <c r="DK163" s="237" t="s">
        <v>231</v>
      </c>
      <c r="DL163" s="237" t="s">
        <v>231</v>
      </c>
      <c r="DM163" s="237" t="s">
        <v>231</v>
      </c>
      <c r="DN163" s="237" t="s">
        <v>231</v>
      </c>
      <c r="DO163" s="237" t="s">
        <v>231</v>
      </c>
      <c r="DP163" s="237" t="s">
        <v>231</v>
      </c>
      <c r="DQ163" s="237" t="s">
        <v>231</v>
      </c>
      <c r="DR163" s="237" t="s">
        <v>231</v>
      </c>
      <c r="DS163" s="237" t="s">
        <v>231</v>
      </c>
      <c r="DT163" s="237" t="s">
        <v>231</v>
      </c>
      <c r="DU163" s="237" t="s">
        <v>231</v>
      </c>
      <c r="DV163" s="237" t="s">
        <v>231</v>
      </c>
      <c r="DW163" s="237" t="s">
        <v>231</v>
      </c>
      <c r="DX163" s="237" t="s">
        <v>231</v>
      </c>
      <c r="DY163" s="237" t="s">
        <v>231</v>
      </c>
      <c r="DZ163" s="237" t="s">
        <v>231</v>
      </c>
      <c r="EA163" s="237" t="s">
        <v>231</v>
      </c>
      <c r="EB163" s="237" t="s">
        <v>231</v>
      </c>
      <c r="EC163" s="237" t="s">
        <v>231</v>
      </c>
      <c r="ED163" s="237" t="s">
        <v>231</v>
      </c>
      <c r="EE163" s="237" t="s">
        <v>231</v>
      </c>
      <c r="EF163" s="237" t="s">
        <v>231</v>
      </c>
      <c r="EG163" s="237" t="s">
        <v>231</v>
      </c>
      <c r="EH163" s="237" t="s">
        <v>492</v>
      </c>
      <c r="EI163" s="237" t="s">
        <v>231</v>
      </c>
      <c r="EJ163" s="237" t="s">
        <v>231</v>
      </c>
      <c r="EK163" s="237" t="s">
        <v>231</v>
      </c>
      <c r="EL163" s="237" t="s">
        <v>231</v>
      </c>
      <c r="EM163" s="237" t="s">
        <v>231</v>
      </c>
      <c r="EN163" s="237" t="s">
        <v>231</v>
      </c>
      <c r="EO163" s="237" t="s">
        <v>231</v>
      </c>
      <c r="EP163" s="237" t="s">
        <v>231</v>
      </c>
      <c r="EQ163" s="237" t="s">
        <v>231</v>
      </c>
      <c r="ER163" s="237" t="s">
        <v>231</v>
      </c>
      <c r="ES163" s="237" t="s">
        <v>231</v>
      </c>
      <c r="ET163" s="237" t="s">
        <v>231</v>
      </c>
      <c r="EU163" s="237" t="s">
        <v>231</v>
      </c>
      <c r="EV163" s="237" t="s">
        <v>231</v>
      </c>
      <c r="EW163" s="237" t="s">
        <v>231</v>
      </c>
      <c r="EX163" s="237" t="s">
        <v>231</v>
      </c>
      <c r="EY163" s="237" t="s">
        <v>231</v>
      </c>
      <c r="EZ163" s="237" t="s">
        <v>231</v>
      </c>
      <c r="FA163" s="237" t="s">
        <v>231</v>
      </c>
      <c r="FB163" s="237" t="s">
        <v>231</v>
      </c>
      <c r="FC163" s="237" t="s">
        <v>231</v>
      </c>
      <c r="FD163" s="237" t="s">
        <v>231</v>
      </c>
      <c r="FE163" s="237" t="s">
        <v>231</v>
      </c>
      <c r="FF163" s="237" t="s">
        <v>231</v>
      </c>
      <c r="FG163" s="237" t="s">
        <v>231</v>
      </c>
      <c r="FH163" s="237" t="s">
        <v>231</v>
      </c>
      <c r="FI163" s="237" t="s">
        <v>231</v>
      </c>
      <c r="FJ163" s="237" t="s">
        <v>231</v>
      </c>
      <c r="FK163" s="237" t="s">
        <v>231</v>
      </c>
      <c r="FL163" s="237" t="s">
        <v>231</v>
      </c>
      <c r="FM163" s="237" t="s">
        <v>231</v>
      </c>
      <c r="FN163" s="237" t="s">
        <v>231</v>
      </c>
      <c r="FO163" s="237" t="s">
        <v>231</v>
      </c>
      <c r="FP163" s="237" t="s">
        <v>231</v>
      </c>
      <c r="FQ163" s="237" t="s">
        <v>231</v>
      </c>
      <c r="FR163" s="237" t="s">
        <v>231</v>
      </c>
      <c r="FS163" s="237" t="s">
        <v>231</v>
      </c>
      <c r="FT163" s="237" t="s">
        <v>231</v>
      </c>
      <c r="FU163" s="237" t="s">
        <v>231</v>
      </c>
      <c r="FV163" s="237" t="s">
        <v>231</v>
      </c>
      <c r="FW163" s="237" t="s">
        <v>231</v>
      </c>
      <c r="FX163" s="237" t="s">
        <v>492</v>
      </c>
      <c r="FY163" s="237" t="s">
        <v>231</v>
      </c>
      <c r="FZ163" s="237" t="s">
        <v>231</v>
      </c>
      <c r="GA163" s="237" t="s">
        <v>231</v>
      </c>
      <c r="GB163" s="237" t="s">
        <v>231</v>
      </c>
      <c r="GC163" s="237" t="s">
        <v>231</v>
      </c>
      <c r="GD163" s="237" t="s">
        <v>231</v>
      </c>
      <c r="GE163" s="237" t="s">
        <v>231</v>
      </c>
      <c r="GF163" s="237" t="s">
        <v>231</v>
      </c>
      <c r="GG163" s="237" t="s">
        <v>231</v>
      </c>
      <c r="GH163" s="237" t="s">
        <v>231</v>
      </c>
      <c r="GI163" s="237" t="s">
        <v>231</v>
      </c>
      <c r="GJ163" s="237" t="s">
        <v>231</v>
      </c>
      <c r="GK163" s="237" t="s">
        <v>231</v>
      </c>
      <c r="GL163" s="237" t="s">
        <v>231</v>
      </c>
      <c r="GM163" s="237" t="s">
        <v>231</v>
      </c>
      <c r="GN163" s="237" t="s">
        <v>231</v>
      </c>
      <c r="GO163" s="237" t="s">
        <v>231</v>
      </c>
      <c r="GP163" s="237" t="s">
        <v>492</v>
      </c>
      <c r="GQ163" s="237" t="s">
        <v>231</v>
      </c>
      <c r="GR163" s="237" t="s">
        <v>231</v>
      </c>
      <c r="GS163" s="237" t="s">
        <v>231</v>
      </c>
      <c r="GT163" s="237" t="s">
        <v>231</v>
      </c>
      <c r="GU163" s="237" t="s">
        <v>231</v>
      </c>
      <c r="GV163" s="237" t="s">
        <v>231</v>
      </c>
      <c r="GW163" s="237" t="s">
        <v>231</v>
      </c>
      <c r="GX163" s="237" t="s">
        <v>231</v>
      </c>
      <c r="GY163" s="237" t="s">
        <v>231</v>
      </c>
      <c r="GZ163" s="237" t="s">
        <v>231</v>
      </c>
      <c r="HA163" s="237" t="s">
        <v>231</v>
      </c>
      <c r="HB163" s="237" t="s">
        <v>231</v>
      </c>
      <c r="HC163" s="237" t="s">
        <v>231</v>
      </c>
      <c r="HD163" s="237" t="s">
        <v>231</v>
      </c>
      <c r="HE163" s="237" t="s">
        <v>231</v>
      </c>
      <c r="HF163" s="237" t="s">
        <v>231</v>
      </c>
      <c r="HG163" s="237" t="s">
        <v>231</v>
      </c>
      <c r="HH163" s="237" t="s">
        <v>231</v>
      </c>
      <c r="HI163" s="237" t="s">
        <v>231</v>
      </c>
      <c r="HJ163" s="237" t="s">
        <v>231</v>
      </c>
      <c r="HK163" s="237" t="s">
        <v>231</v>
      </c>
      <c r="HL163" s="237" t="s">
        <v>231</v>
      </c>
      <c r="HM163" s="237" t="s">
        <v>231</v>
      </c>
      <c r="HN163" s="237" t="s">
        <v>231</v>
      </c>
      <c r="HO163" s="237" t="s">
        <v>231</v>
      </c>
      <c r="HP163" s="237" t="s">
        <v>231</v>
      </c>
      <c r="HQ163" s="237" t="s">
        <v>231</v>
      </c>
      <c r="HR163" s="237" t="s">
        <v>231</v>
      </c>
      <c r="HS163" s="237" t="s">
        <v>231</v>
      </c>
      <c r="HT163" s="237" t="s">
        <v>231</v>
      </c>
      <c r="HU163" s="237" t="s">
        <v>231</v>
      </c>
      <c r="HV163" s="237" t="s">
        <v>231</v>
      </c>
      <c r="HW163" s="237" t="s">
        <v>231</v>
      </c>
      <c r="HX163" s="237" t="s">
        <v>231</v>
      </c>
      <c r="HY163" s="237" t="s">
        <v>231</v>
      </c>
      <c r="HZ163" s="237" t="s">
        <v>231</v>
      </c>
      <c r="IA163" s="237" t="s">
        <v>231</v>
      </c>
      <c r="IB163" s="237" t="s">
        <v>231</v>
      </c>
      <c r="IC163" s="237" t="s">
        <v>231</v>
      </c>
      <c r="ID163" s="237" t="s">
        <v>231</v>
      </c>
      <c r="IE163" s="237" t="s">
        <v>231</v>
      </c>
      <c r="IF163" s="237" t="s">
        <v>231</v>
      </c>
      <c r="IG163" s="237" t="s">
        <v>231</v>
      </c>
      <c r="IH163" s="237" t="s">
        <v>231</v>
      </c>
      <c r="II163" s="237" t="s">
        <v>231</v>
      </c>
      <c r="IJ163" s="237" t="s">
        <v>231</v>
      </c>
      <c r="IK163" s="237" t="s">
        <v>231</v>
      </c>
      <c r="IL163" s="237" t="s">
        <v>231</v>
      </c>
      <c r="IM163" s="237" t="s">
        <v>231</v>
      </c>
      <c r="IN163" s="237" t="s">
        <v>231</v>
      </c>
      <c r="IO163" s="237" t="s">
        <v>219</v>
      </c>
      <c r="IP163" s="237" t="s">
        <v>220</v>
      </c>
      <c r="IQ163" s="237" t="s">
        <v>219</v>
      </c>
      <c r="IR163" s="237" t="s">
        <v>490</v>
      </c>
      <c r="IS163" s="237" t="s">
        <v>492</v>
      </c>
      <c r="IT163" s="237" t="s">
        <v>492</v>
      </c>
    </row>
    <row r="164" spans="1:254" ht="15" x14ac:dyDescent="0.25">
      <c r="A164" s="259" t="str">
        <f>HYPERLINK("http://www.ofsted.gov.uk/inspection-reports/find-inspection-report/provider/ELS/113562 ","Ofsted School Webpage")</f>
        <v>Ofsted School Webpage</v>
      </c>
      <c r="B164" s="240">
        <v>113562</v>
      </c>
      <c r="C164" s="240">
        <v>8786001</v>
      </c>
      <c r="D164" s="240" t="s">
        <v>913</v>
      </c>
      <c r="E164" s="240" t="s">
        <v>247</v>
      </c>
      <c r="F164" s="240" t="s">
        <v>482</v>
      </c>
      <c r="G164" s="240" t="s">
        <v>483</v>
      </c>
      <c r="H164" s="240" t="s">
        <v>483</v>
      </c>
      <c r="I164" s="240" t="s">
        <v>747</v>
      </c>
      <c r="J164" s="240" t="s">
        <v>914</v>
      </c>
      <c r="K164" s="240" t="s">
        <v>93</v>
      </c>
      <c r="L164" s="240" t="s">
        <v>93</v>
      </c>
      <c r="M164" s="240" t="s">
        <v>93</v>
      </c>
      <c r="N164" s="240" t="s">
        <v>90</v>
      </c>
      <c r="O164" s="240" t="s">
        <v>486</v>
      </c>
      <c r="P164" s="240" t="s">
        <v>487</v>
      </c>
      <c r="Q164" s="241">
        <v>10053752</v>
      </c>
      <c r="R164" s="242">
        <v>43480</v>
      </c>
      <c r="S164" s="242">
        <v>43482</v>
      </c>
      <c r="T164" s="242">
        <v>43523</v>
      </c>
      <c r="U164" s="240" t="s">
        <v>488</v>
      </c>
      <c r="V164" s="240" t="s">
        <v>489</v>
      </c>
      <c r="W164" s="240">
        <v>3</v>
      </c>
      <c r="X164" s="240">
        <v>3</v>
      </c>
      <c r="Y164" s="240">
        <v>2</v>
      </c>
      <c r="Z164" s="240">
        <v>3</v>
      </c>
      <c r="AA164" s="240">
        <v>3</v>
      </c>
      <c r="AB164" s="240">
        <v>2</v>
      </c>
      <c r="AC164" s="240" t="s">
        <v>486</v>
      </c>
      <c r="AD164" s="240" t="s">
        <v>219</v>
      </c>
      <c r="AE164" s="240" t="s">
        <v>490</v>
      </c>
      <c r="AF164" s="240" t="s">
        <v>486</v>
      </c>
      <c r="AG164" s="240" t="s">
        <v>486</v>
      </c>
      <c r="AH164" s="240" t="s">
        <v>486</v>
      </c>
      <c r="AI164" s="240" t="s">
        <v>486</v>
      </c>
      <c r="AJ164" s="240" t="s">
        <v>486</v>
      </c>
      <c r="AK164" s="240" t="s">
        <v>486</v>
      </c>
      <c r="AL164" s="240" t="s">
        <v>486</v>
      </c>
      <c r="AM164" s="240" t="s">
        <v>491</v>
      </c>
      <c r="AN164" s="240" t="s">
        <v>231</v>
      </c>
      <c r="AO164" s="240" t="s">
        <v>231</v>
      </c>
      <c r="AP164" s="240" t="s">
        <v>231</v>
      </c>
      <c r="AQ164" s="240" t="s">
        <v>231</v>
      </c>
      <c r="AR164" s="240" t="s">
        <v>231</v>
      </c>
      <c r="AS164" s="240" t="s">
        <v>231</v>
      </c>
      <c r="AT164" s="240" t="s">
        <v>231</v>
      </c>
      <c r="AU164" s="240" t="s">
        <v>231</v>
      </c>
      <c r="AV164" s="240" t="s">
        <v>231</v>
      </c>
      <c r="AW164" s="240" t="s">
        <v>231</v>
      </c>
      <c r="AX164" s="240" t="s">
        <v>231</v>
      </c>
      <c r="AY164" s="240" t="s">
        <v>231</v>
      </c>
      <c r="AZ164" s="240" t="s">
        <v>231</v>
      </c>
      <c r="BA164" s="240" t="s">
        <v>231</v>
      </c>
      <c r="BB164" s="240" t="s">
        <v>231</v>
      </c>
      <c r="BC164" s="240" t="s">
        <v>231</v>
      </c>
      <c r="BD164" s="240" t="s">
        <v>231</v>
      </c>
      <c r="BE164" s="240" t="s">
        <v>231</v>
      </c>
      <c r="BF164" s="240" t="s">
        <v>231</v>
      </c>
      <c r="BG164" s="240" t="s">
        <v>231</v>
      </c>
      <c r="BH164" s="240" t="s">
        <v>231</v>
      </c>
      <c r="BI164" s="240" t="s">
        <v>231</v>
      </c>
      <c r="BJ164" s="240" t="s">
        <v>231</v>
      </c>
      <c r="BK164" s="240" t="s">
        <v>231</v>
      </c>
      <c r="BL164" s="240" t="s">
        <v>231</v>
      </c>
      <c r="BM164" s="240" t="s">
        <v>231</v>
      </c>
      <c r="BN164" s="240" t="s">
        <v>231</v>
      </c>
      <c r="BO164" s="240" t="s">
        <v>231</v>
      </c>
      <c r="BP164" s="240" t="s">
        <v>231</v>
      </c>
      <c r="BQ164" s="240" t="s">
        <v>231</v>
      </c>
      <c r="BR164" s="240" t="s">
        <v>231</v>
      </c>
      <c r="BS164" s="240" t="s">
        <v>231</v>
      </c>
      <c r="BT164" s="240" t="s">
        <v>231</v>
      </c>
      <c r="BU164" s="240" t="s">
        <v>231</v>
      </c>
      <c r="BV164" s="240" t="s">
        <v>231</v>
      </c>
      <c r="BW164" s="240" t="s">
        <v>231</v>
      </c>
      <c r="BX164" s="240" t="s">
        <v>231</v>
      </c>
      <c r="BY164" s="240" t="s">
        <v>231</v>
      </c>
      <c r="BZ164" s="240" t="s">
        <v>231</v>
      </c>
      <c r="CA164" s="240" t="s">
        <v>231</v>
      </c>
      <c r="CB164" s="240" t="s">
        <v>231</v>
      </c>
      <c r="CC164" s="240" t="s">
        <v>231</v>
      </c>
      <c r="CD164" s="240" t="s">
        <v>231</v>
      </c>
      <c r="CE164" s="240" t="s">
        <v>231</v>
      </c>
      <c r="CF164" s="240" t="s">
        <v>231</v>
      </c>
      <c r="CG164" s="240" t="s">
        <v>231</v>
      </c>
      <c r="CH164" s="240" t="s">
        <v>231</v>
      </c>
      <c r="CI164" s="240" t="s">
        <v>231</v>
      </c>
      <c r="CJ164" s="240" t="s">
        <v>231</v>
      </c>
      <c r="CK164" s="240" t="s">
        <v>231</v>
      </c>
      <c r="CL164" s="240" t="s">
        <v>231</v>
      </c>
      <c r="CM164" s="240" t="s">
        <v>231</v>
      </c>
      <c r="CN164" s="240" t="s">
        <v>231</v>
      </c>
      <c r="CO164" s="240" t="s">
        <v>231</v>
      </c>
      <c r="CP164" s="240" t="s">
        <v>231</v>
      </c>
      <c r="CQ164" s="240" t="s">
        <v>231</v>
      </c>
      <c r="CR164" s="240" t="s">
        <v>231</v>
      </c>
      <c r="CS164" s="240" t="s">
        <v>231</v>
      </c>
      <c r="CT164" s="240" t="s">
        <v>492</v>
      </c>
      <c r="CU164" s="240" t="s">
        <v>492</v>
      </c>
      <c r="CV164" s="240" t="s">
        <v>492</v>
      </c>
      <c r="CW164" s="240" t="s">
        <v>231</v>
      </c>
      <c r="CX164" s="240" t="s">
        <v>231</v>
      </c>
      <c r="CY164" s="240" t="s">
        <v>231</v>
      </c>
      <c r="CZ164" s="240" t="s">
        <v>231</v>
      </c>
      <c r="DA164" s="240" t="s">
        <v>231</v>
      </c>
      <c r="DB164" s="240" t="s">
        <v>231</v>
      </c>
      <c r="DC164" s="240" t="s">
        <v>231</v>
      </c>
      <c r="DD164" s="240" t="s">
        <v>231</v>
      </c>
      <c r="DE164" s="240" t="s">
        <v>231</v>
      </c>
      <c r="DF164" s="240" t="s">
        <v>231</v>
      </c>
      <c r="DG164" s="240" t="s">
        <v>231</v>
      </c>
      <c r="DH164" s="240" t="s">
        <v>231</v>
      </c>
      <c r="DI164" s="240" t="s">
        <v>231</v>
      </c>
      <c r="DJ164" s="240" t="s">
        <v>231</v>
      </c>
      <c r="DK164" s="240" t="s">
        <v>231</v>
      </c>
      <c r="DL164" s="240" t="s">
        <v>231</v>
      </c>
      <c r="DM164" s="240" t="s">
        <v>231</v>
      </c>
      <c r="DN164" s="240" t="s">
        <v>231</v>
      </c>
      <c r="DO164" s="240" t="s">
        <v>231</v>
      </c>
      <c r="DP164" s="240" t="s">
        <v>231</v>
      </c>
      <c r="DQ164" s="240" t="s">
        <v>231</v>
      </c>
      <c r="DR164" s="240" t="s">
        <v>231</v>
      </c>
      <c r="DS164" s="240" t="s">
        <v>231</v>
      </c>
      <c r="DT164" s="240" t="s">
        <v>492</v>
      </c>
      <c r="DU164" s="240" t="s">
        <v>231</v>
      </c>
      <c r="DV164" s="240" t="s">
        <v>231</v>
      </c>
      <c r="DW164" s="240" t="s">
        <v>231</v>
      </c>
      <c r="DX164" s="240" t="s">
        <v>231</v>
      </c>
      <c r="DY164" s="240" t="s">
        <v>231</v>
      </c>
      <c r="DZ164" s="240" t="s">
        <v>231</v>
      </c>
      <c r="EA164" s="240" t="s">
        <v>231</v>
      </c>
      <c r="EB164" s="240" t="s">
        <v>231</v>
      </c>
      <c r="EC164" s="240" t="s">
        <v>231</v>
      </c>
      <c r="ED164" s="240" t="s">
        <v>231</v>
      </c>
      <c r="EE164" s="240" t="s">
        <v>231</v>
      </c>
      <c r="EF164" s="240" t="s">
        <v>231</v>
      </c>
      <c r="EG164" s="240" t="s">
        <v>231</v>
      </c>
      <c r="EH164" s="240" t="s">
        <v>492</v>
      </c>
      <c r="EI164" s="240" t="s">
        <v>492</v>
      </c>
      <c r="EJ164" s="240" t="s">
        <v>231</v>
      </c>
      <c r="EK164" s="240" t="s">
        <v>231</v>
      </c>
      <c r="EL164" s="240" t="s">
        <v>231</v>
      </c>
      <c r="EM164" s="240" t="s">
        <v>231</v>
      </c>
      <c r="EN164" s="240" t="s">
        <v>231</v>
      </c>
      <c r="EO164" s="240" t="s">
        <v>231</v>
      </c>
      <c r="EP164" s="240" t="s">
        <v>231</v>
      </c>
      <c r="EQ164" s="240" t="s">
        <v>231</v>
      </c>
      <c r="ER164" s="240" t="s">
        <v>231</v>
      </c>
      <c r="ES164" s="240" t="s">
        <v>231</v>
      </c>
      <c r="ET164" s="240" t="s">
        <v>231</v>
      </c>
      <c r="EU164" s="240" t="s">
        <v>231</v>
      </c>
      <c r="EV164" s="240" t="s">
        <v>231</v>
      </c>
      <c r="EW164" s="240" t="s">
        <v>231</v>
      </c>
      <c r="EX164" s="240" t="s">
        <v>231</v>
      </c>
      <c r="EY164" s="240" t="s">
        <v>231</v>
      </c>
      <c r="EZ164" s="240" t="s">
        <v>231</v>
      </c>
      <c r="FA164" s="240" t="s">
        <v>231</v>
      </c>
      <c r="FB164" s="240" t="s">
        <v>231</v>
      </c>
      <c r="FC164" s="240" t="s">
        <v>231</v>
      </c>
      <c r="FD164" s="240" t="s">
        <v>231</v>
      </c>
      <c r="FE164" s="240" t="s">
        <v>231</v>
      </c>
      <c r="FF164" s="240" t="s">
        <v>231</v>
      </c>
      <c r="FG164" s="240" t="s">
        <v>231</v>
      </c>
      <c r="FH164" s="240" t="s">
        <v>231</v>
      </c>
      <c r="FI164" s="240" t="s">
        <v>231</v>
      </c>
      <c r="FJ164" s="240" t="s">
        <v>231</v>
      </c>
      <c r="FK164" s="240" t="s">
        <v>231</v>
      </c>
      <c r="FL164" s="240" t="s">
        <v>231</v>
      </c>
      <c r="FM164" s="240" t="s">
        <v>231</v>
      </c>
      <c r="FN164" s="240" t="s">
        <v>231</v>
      </c>
      <c r="FO164" s="240" t="s">
        <v>231</v>
      </c>
      <c r="FP164" s="240" t="s">
        <v>231</v>
      </c>
      <c r="FQ164" s="240" t="s">
        <v>231</v>
      </c>
      <c r="FR164" s="240" t="s">
        <v>231</v>
      </c>
      <c r="FS164" s="240" t="s">
        <v>231</v>
      </c>
      <c r="FT164" s="240" t="s">
        <v>231</v>
      </c>
      <c r="FU164" s="240" t="s">
        <v>231</v>
      </c>
      <c r="FV164" s="240" t="s">
        <v>231</v>
      </c>
      <c r="FW164" s="240" t="s">
        <v>231</v>
      </c>
      <c r="FX164" s="240" t="s">
        <v>231</v>
      </c>
      <c r="FY164" s="240" t="s">
        <v>231</v>
      </c>
      <c r="FZ164" s="240" t="s">
        <v>231</v>
      </c>
      <c r="GA164" s="240" t="s">
        <v>231</v>
      </c>
      <c r="GB164" s="240" t="s">
        <v>231</v>
      </c>
      <c r="GC164" s="240" t="s">
        <v>231</v>
      </c>
      <c r="GD164" s="240" t="s">
        <v>231</v>
      </c>
      <c r="GE164" s="240" t="s">
        <v>231</v>
      </c>
      <c r="GF164" s="240" t="s">
        <v>231</v>
      </c>
      <c r="GG164" s="240" t="s">
        <v>231</v>
      </c>
      <c r="GH164" s="240" t="s">
        <v>231</v>
      </c>
      <c r="GI164" s="240" t="s">
        <v>231</v>
      </c>
      <c r="GJ164" s="240" t="s">
        <v>231</v>
      </c>
      <c r="GK164" s="240" t="s">
        <v>231</v>
      </c>
      <c r="GL164" s="240" t="s">
        <v>231</v>
      </c>
      <c r="GM164" s="240" t="s">
        <v>231</v>
      </c>
      <c r="GN164" s="240" t="s">
        <v>231</v>
      </c>
      <c r="GO164" s="240" t="s">
        <v>231</v>
      </c>
      <c r="GP164" s="240" t="s">
        <v>492</v>
      </c>
      <c r="GQ164" s="240" t="s">
        <v>231</v>
      </c>
      <c r="GR164" s="240" t="s">
        <v>231</v>
      </c>
      <c r="GS164" s="240" t="s">
        <v>231</v>
      </c>
      <c r="GT164" s="240" t="s">
        <v>231</v>
      </c>
      <c r="GU164" s="240" t="s">
        <v>231</v>
      </c>
      <c r="GV164" s="240" t="s">
        <v>492</v>
      </c>
      <c r="GW164" s="240" t="s">
        <v>231</v>
      </c>
      <c r="GX164" s="240" t="s">
        <v>231</v>
      </c>
      <c r="GY164" s="240" t="s">
        <v>492</v>
      </c>
      <c r="GZ164" s="240" t="s">
        <v>231</v>
      </c>
      <c r="HA164" s="240" t="s">
        <v>231</v>
      </c>
      <c r="HB164" s="240" t="s">
        <v>231</v>
      </c>
      <c r="HC164" s="240" t="s">
        <v>231</v>
      </c>
      <c r="HD164" s="240" t="s">
        <v>231</v>
      </c>
      <c r="HE164" s="240" t="s">
        <v>231</v>
      </c>
      <c r="HF164" s="240" t="s">
        <v>231</v>
      </c>
      <c r="HG164" s="240" t="s">
        <v>231</v>
      </c>
      <c r="HH164" s="240" t="s">
        <v>231</v>
      </c>
      <c r="HI164" s="240" t="s">
        <v>231</v>
      </c>
      <c r="HJ164" s="240" t="s">
        <v>231</v>
      </c>
      <c r="HK164" s="240" t="s">
        <v>231</v>
      </c>
      <c r="HL164" s="240" t="s">
        <v>231</v>
      </c>
      <c r="HM164" s="240" t="s">
        <v>231</v>
      </c>
      <c r="HN164" s="240" t="s">
        <v>231</v>
      </c>
      <c r="HO164" s="240" t="s">
        <v>231</v>
      </c>
      <c r="HP164" s="240" t="s">
        <v>231</v>
      </c>
      <c r="HQ164" s="240" t="s">
        <v>231</v>
      </c>
      <c r="HR164" s="240" t="s">
        <v>492</v>
      </c>
      <c r="HS164" s="240" t="s">
        <v>492</v>
      </c>
      <c r="HT164" s="240" t="s">
        <v>492</v>
      </c>
      <c r="HU164" s="240" t="s">
        <v>231</v>
      </c>
      <c r="HV164" s="240" t="s">
        <v>231</v>
      </c>
      <c r="HW164" s="240" t="s">
        <v>231</v>
      </c>
      <c r="HX164" s="240" t="s">
        <v>231</v>
      </c>
      <c r="HY164" s="240" t="s">
        <v>231</v>
      </c>
      <c r="HZ164" s="240" t="s">
        <v>231</v>
      </c>
      <c r="IA164" s="240" t="s">
        <v>231</v>
      </c>
      <c r="IB164" s="240" t="s">
        <v>231</v>
      </c>
      <c r="IC164" s="240" t="s">
        <v>231</v>
      </c>
      <c r="ID164" s="240" t="s">
        <v>231</v>
      </c>
      <c r="IE164" s="240" t="s">
        <v>231</v>
      </c>
      <c r="IF164" s="240" t="s">
        <v>231</v>
      </c>
      <c r="IG164" s="240" t="s">
        <v>231</v>
      </c>
      <c r="IH164" s="240" t="s">
        <v>231</v>
      </c>
      <c r="II164" s="240" t="s">
        <v>231</v>
      </c>
      <c r="IJ164" s="240" t="s">
        <v>231</v>
      </c>
      <c r="IK164" s="240" t="s">
        <v>231</v>
      </c>
      <c r="IL164" s="240" t="s">
        <v>231</v>
      </c>
      <c r="IM164" s="240" t="s">
        <v>231</v>
      </c>
      <c r="IN164" s="240" t="s">
        <v>231</v>
      </c>
      <c r="IO164" s="240" t="s">
        <v>220</v>
      </c>
      <c r="IP164" s="240" t="s">
        <v>493</v>
      </c>
      <c r="IQ164" s="240" t="s">
        <v>597</v>
      </c>
      <c r="IR164" s="240" t="s">
        <v>490</v>
      </c>
      <c r="IS164" s="240" t="s">
        <v>231</v>
      </c>
      <c r="IT164" s="240" t="s">
        <v>231</v>
      </c>
    </row>
    <row r="165" spans="1:254" ht="15" x14ac:dyDescent="0.25">
      <c r="A165" s="258" t="str">
        <f>HYPERLINK("http://www.ofsted.gov.uk/inspection-reports/find-inspection-report/provider/ELS/135901 ","Ofsted School Webpage")</f>
        <v>Ofsted School Webpage</v>
      </c>
      <c r="B165" s="237">
        <v>135901</v>
      </c>
      <c r="C165" s="237">
        <v>2096409</v>
      </c>
      <c r="D165" s="237" t="s">
        <v>915</v>
      </c>
      <c r="E165" s="237" t="s">
        <v>247</v>
      </c>
      <c r="F165" s="237" t="s">
        <v>482</v>
      </c>
      <c r="G165" s="237" t="s">
        <v>506</v>
      </c>
      <c r="H165" s="237" t="s">
        <v>506</v>
      </c>
      <c r="I165" s="237" t="s">
        <v>739</v>
      </c>
      <c r="J165" s="237" t="s">
        <v>916</v>
      </c>
      <c r="K165" s="237" t="s">
        <v>93</v>
      </c>
      <c r="L165" s="237" t="s">
        <v>93</v>
      </c>
      <c r="M165" s="237" t="s">
        <v>93</v>
      </c>
      <c r="N165" s="237" t="s">
        <v>90</v>
      </c>
      <c r="O165" s="237" t="s">
        <v>486</v>
      </c>
      <c r="P165" s="237" t="s">
        <v>487</v>
      </c>
      <c r="Q165" s="238">
        <v>10067179</v>
      </c>
      <c r="R165" s="239">
        <v>43480</v>
      </c>
      <c r="S165" s="239">
        <v>43482</v>
      </c>
      <c r="T165" s="239">
        <v>43499</v>
      </c>
      <c r="U165" s="237" t="s">
        <v>488</v>
      </c>
      <c r="V165" s="237" t="s">
        <v>489</v>
      </c>
      <c r="W165" s="237">
        <v>2</v>
      </c>
      <c r="X165" s="237">
        <v>2</v>
      </c>
      <c r="Y165" s="237">
        <v>2</v>
      </c>
      <c r="Z165" s="237">
        <v>2</v>
      </c>
      <c r="AA165" s="237">
        <v>2</v>
      </c>
      <c r="AB165" s="237" t="s">
        <v>486</v>
      </c>
      <c r="AC165" s="237" t="s">
        <v>486</v>
      </c>
      <c r="AD165" s="237" t="s">
        <v>219</v>
      </c>
      <c r="AE165" s="237" t="s">
        <v>490</v>
      </c>
      <c r="AF165" s="237" t="s">
        <v>486</v>
      </c>
      <c r="AG165" s="237" t="s">
        <v>486</v>
      </c>
      <c r="AH165" s="237" t="s">
        <v>486</v>
      </c>
      <c r="AI165" s="237" t="s">
        <v>486</v>
      </c>
      <c r="AJ165" s="237" t="s">
        <v>486</v>
      </c>
      <c r="AK165" s="237" t="s">
        <v>486</v>
      </c>
      <c r="AL165" s="237" t="s">
        <v>486</v>
      </c>
      <c r="AM165" s="237" t="s">
        <v>491</v>
      </c>
      <c r="AN165" s="237" t="s">
        <v>231</v>
      </c>
      <c r="AO165" s="237" t="s">
        <v>231</v>
      </c>
      <c r="AP165" s="237" t="s">
        <v>231</v>
      </c>
      <c r="AQ165" s="237" t="s">
        <v>231</v>
      </c>
      <c r="AR165" s="237" t="s">
        <v>231</v>
      </c>
      <c r="AS165" s="237" t="s">
        <v>231</v>
      </c>
      <c r="AT165" s="237" t="s">
        <v>231</v>
      </c>
      <c r="AU165" s="237" t="s">
        <v>231</v>
      </c>
      <c r="AV165" s="237" t="s">
        <v>231</v>
      </c>
      <c r="AW165" s="237" t="s">
        <v>231</v>
      </c>
      <c r="AX165" s="237" t="s">
        <v>231</v>
      </c>
      <c r="AY165" s="237" t="s">
        <v>231</v>
      </c>
      <c r="AZ165" s="237" t="s">
        <v>231</v>
      </c>
      <c r="BA165" s="237" t="s">
        <v>231</v>
      </c>
      <c r="BB165" s="237" t="s">
        <v>231</v>
      </c>
      <c r="BC165" s="237" t="s">
        <v>231</v>
      </c>
      <c r="BD165" s="237" t="s">
        <v>492</v>
      </c>
      <c r="BE165" s="237" t="s">
        <v>231</v>
      </c>
      <c r="BF165" s="237" t="s">
        <v>231</v>
      </c>
      <c r="BG165" s="237" t="s">
        <v>231</v>
      </c>
      <c r="BH165" s="237" t="s">
        <v>231</v>
      </c>
      <c r="BI165" s="237" t="s">
        <v>231</v>
      </c>
      <c r="BJ165" s="237" t="s">
        <v>231</v>
      </c>
      <c r="BK165" s="237" t="s">
        <v>231</v>
      </c>
      <c r="BL165" s="237" t="s">
        <v>492</v>
      </c>
      <c r="BM165" s="237" t="s">
        <v>492</v>
      </c>
      <c r="BN165" s="237" t="s">
        <v>231</v>
      </c>
      <c r="BO165" s="237" t="s">
        <v>231</v>
      </c>
      <c r="BP165" s="237" t="s">
        <v>231</v>
      </c>
      <c r="BQ165" s="237" t="s">
        <v>231</v>
      </c>
      <c r="BR165" s="237" t="s">
        <v>231</v>
      </c>
      <c r="BS165" s="237" t="s">
        <v>231</v>
      </c>
      <c r="BT165" s="237" t="s">
        <v>231</v>
      </c>
      <c r="BU165" s="237" t="s">
        <v>231</v>
      </c>
      <c r="BV165" s="237" t="s">
        <v>231</v>
      </c>
      <c r="BW165" s="237" t="s">
        <v>231</v>
      </c>
      <c r="BX165" s="237" t="s">
        <v>231</v>
      </c>
      <c r="BY165" s="237" t="s">
        <v>231</v>
      </c>
      <c r="BZ165" s="237" t="s">
        <v>231</v>
      </c>
      <c r="CA165" s="237" t="s">
        <v>231</v>
      </c>
      <c r="CB165" s="237" t="s">
        <v>231</v>
      </c>
      <c r="CC165" s="237" t="s">
        <v>231</v>
      </c>
      <c r="CD165" s="237" t="s">
        <v>231</v>
      </c>
      <c r="CE165" s="237" t="s">
        <v>231</v>
      </c>
      <c r="CF165" s="237" t="s">
        <v>231</v>
      </c>
      <c r="CG165" s="237" t="s">
        <v>231</v>
      </c>
      <c r="CH165" s="237" t="s">
        <v>231</v>
      </c>
      <c r="CI165" s="237" t="s">
        <v>231</v>
      </c>
      <c r="CJ165" s="237" t="s">
        <v>231</v>
      </c>
      <c r="CK165" s="237" t="s">
        <v>231</v>
      </c>
      <c r="CL165" s="237" t="s">
        <v>231</v>
      </c>
      <c r="CM165" s="237" t="s">
        <v>231</v>
      </c>
      <c r="CN165" s="237" t="s">
        <v>231</v>
      </c>
      <c r="CO165" s="237" t="s">
        <v>231</v>
      </c>
      <c r="CP165" s="237" t="s">
        <v>231</v>
      </c>
      <c r="CQ165" s="237" t="s">
        <v>231</v>
      </c>
      <c r="CR165" s="237" t="s">
        <v>231</v>
      </c>
      <c r="CS165" s="237" t="s">
        <v>231</v>
      </c>
      <c r="CT165" s="237" t="s">
        <v>661</v>
      </c>
      <c r="CU165" s="237" t="s">
        <v>661</v>
      </c>
      <c r="CV165" s="237" t="s">
        <v>661</v>
      </c>
      <c r="CW165" s="237" t="s">
        <v>231</v>
      </c>
      <c r="CX165" s="237" t="s">
        <v>231</v>
      </c>
      <c r="CY165" s="237" t="s">
        <v>231</v>
      </c>
      <c r="CZ165" s="237" t="s">
        <v>231</v>
      </c>
      <c r="DA165" s="237" t="s">
        <v>231</v>
      </c>
      <c r="DB165" s="237" t="s">
        <v>231</v>
      </c>
      <c r="DC165" s="237" t="s">
        <v>231</v>
      </c>
      <c r="DD165" s="237" t="s">
        <v>231</v>
      </c>
      <c r="DE165" s="237" t="s">
        <v>231</v>
      </c>
      <c r="DF165" s="237" t="s">
        <v>231</v>
      </c>
      <c r="DG165" s="237" t="s">
        <v>231</v>
      </c>
      <c r="DH165" s="237" t="s">
        <v>231</v>
      </c>
      <c r="DI165" s="237" t="s">
        <v>231</v>
      </c>
      <c r="DJ165" s="237" t="s">
        <v>231</v>
      </c>
      <c r="DK165" s="237" t="s">
        <v>231</v>
      </c>
      <c r="DL165" s="237" t="s">
        <v>231</v>
      </c>
      <c r="DM165" s="237" t="s">
        <v>231</v>
      </c>
      <c r="DN165" s="237" t="s">
        <v>231</v>
      </c>
      <c r="DO165" s="237" t="s">
        <v>231</v>
      </c>
      <c r="DP165" s="237" t="s">
        <v>486</v>
      </c>
      <c r="DQ165" s="237" t="s">
        <v>231</v>
      </c>
      <c r="DR165" s="237" t="s">
        <v>231</v>
      </c>
      <c r="DS165" s="237" t="s">
        <v>231</v>
      </c>
      <c r="DT165" s="237" t="s">
        <v>661</v>
      </c>
      <c r="DU165" s="237" t="s">
        <v>231</v>
      </c>
      <c r="DV165" s="237" t="s">
        <v>231</v>
      </c>
      <c r="DW165" s="237" t="s">
        <v>231</v>
      </c>
      <c r="DX165" s="237" t="s">
        <v>231</v>
      </c>
      <c r="DY165" s="237" t="s">
        <v>231</v>
      </c>
      <c r="DZ165" s="237" t="s">
        <v>231</v>
      </c>
      <c r="EA165" s="237" t="s">
        <v>231</v>
      </c>
      <c r="EB165" s="237" t="s">
        <v>231</v>
      </c>
      <c r="EC165" s="237" t="s">
        <v>231</v>
      </c>
      <c r="ED165" s="237" t="s">
        <v>231</v>
      </c>
      <c r="EE165" s="237" t="s">
        <v>231</v>
      </c>
      <c r="EF165" s="237" t="s">
        <v>231</v>
      </c>
      <c r="EG165" s="237" t="s">
        <v>231</v>
      </c>
      <c r="EH165" s="237" t="s">
        <v>661</v>
      </c>
      <c r="EI165" s="237" t="s">
        <v>661</v>
      </c>
      <c r="EJ165" s="237" t="s">
        <v>231</v>
      </c>
      <c r="EK165" s="237" t="s">
        <v>231</v>
      </c>
      <c r="EL165" s="237" t="s">
        <v>231</v>
      </c>
      <c r="EM165" s="237" t="s">
        <v>231</v>
      </c>
      <c r="EN165" s="237" t="s">
        <v>231</v>
      </c>
      <c r="EO165" s="237" t="s">
        <v>231</v>
      </c>
      <c r="EP165" s="237" t="s">
        <v>231</v>
      </c>
      <c r="EQ165" s="237" t="s">
        <v>231</v>
      </c>
      <c r="ER165" s="237" t="s">
        <v>231</v>
      </c>
      <c r="ES165" s="237" t="s">
        <v>231</v>
      </c>
      <c r="ET165" s="237" t="s">
        <v>231</v>
      </c>
      <c r="EU165" s="237" t="s">
        <v>231</v>
      </c>
      <c r="EV165" s="237" t="s">
        <v>231</v>
      </c>
      <c r="EW165" s="237" t="s">
        <v>231</v>
      </c>
      <c r="EX165" s="237" t="s">
        <v>231</v>
      </c>
      <c r="EY165" s="237" t="s">
        <v>231</v>
      </c>
      <c r="EZ165" s="237" t="s">
        <v>231</v>
      </c>
      <c r="FA165" s="237" t="s">
        <v>231</v>
      </c>
      <c r="FB165" s="237" t="s">
        <v>231</v>
      </c>
      <c r="FC165" s="237" t="s">
        <v>231</v>
      </c>
      <c r="FD165" s="237" t="s">
        <v>231</v>
      </c>
      <c r="FE165" s="237" t="s">
        <v>231</v>
      </c>
      <c r="FF165" s="237" t="s">
        <v>231</v>
      </c>
      <c r="FG165" s="237" t="s">
        <v>231</v>
      </c>
      <c r="FH165" s="237" t="s">
        <v>231</v>
      </c>
      <c r="FI165" s="237" t="s">
        <v>231</v>
      </c>
      <c r="FJ165" s="237" t="s">
        <v>231</v>
      </c>
      <c r="FK165" s="237" t="s">
        <v>231</v>
      </c>
      <c r="FL165" s="237" t="s">
        <v>231</v>
      </c>
      <c r="FM165" s="237" t="s">
        <v>231</v>
      </c>
      <c r="FN165" s="237" t="s">
        <v>231</v>
      </c>
      <c r="FO165" s="237" t="s">
        <v>231</v>
      </c>
      <c r="FP165" s="237" t="s">
        <v>231</v>
      </c>
      <c r="FQ165" s="237" t="s">
        <v>231</v>
      </c>
      <c r="FR165" s="237" t="s">
        <v>231</v>
      </c>
      <c r="FS165" s="237" t="s">
        <v>231</v>
      </c>
      <c r="FT165" s="237" t="s">
        <v>231</v>
      </c>
      <c r="FU165" s="237" t="s">
        <v>231</v>
      </c>
      <c r="FV165" s="237" t="s">
        <v>231</v>
      </c>
      <c r="FW165" s="237" t="s">
        <v>231</v>
      </c>
      <c r="FX165" s="237" t="s">
        <v>492</v>
      </c>
      <c r="FY165" s="237" t="s">
        <v>231</v>
      </c>
      <c r="FZ165" s="237" t="s">
        <v>231</v>
      </c>
      <c r="GA165" s="237" t="s">
        <v>231</v>
      </c>
      <c r="GB165" s="237" t="s">
        <v>231</v>
      </c>
      <c r="GC165" s="237" t="s">
        <v>231</v>
      </c>
      <c r="GD165" s="237" t="s">
        <v>231</v>
      </c>
      <c r="GE165" s="237" t="s">
        <v>231</v>
      </c>
      <c r="GF165" s="237" t="s">
        <v>231</v>
      </c>
      <c r="GG165" s="237" t="s">
        <v>231</v>
      </c>
      <c r="GH165" s="237" t="s">
        <v>231</v>
      </c>
      <c r="GI165" s="237" t="s">
        <v>231</v>
      </c>
      <c r="GJ165" s="237" t="s">
        <v>231</v>
      </c>
      <c r="GK165" s="237" t="s">
        <v>231</v>
      </c>
      <c r="GL165" s="237" t="s">
        <v>231</v>
      </c>
      <c r="GM165" s="237" t="s">
        <v>231</v>
      </c>
      <c r="GN165" s="237" t="s">
        <v>231</v>
      </c>
      <c r="GO165" s="237" t="s">
        <v>231</v>
      </c>
      <c r="GP165" s="237" t="s">
        <v>661</v>
      </c>
      <c r="GQ165" s="237" t="s">
        <v>231</v>
      </c>
      <c r="GR165" s="237" t="s">
        <v>231</v>
      </c>
      <c r="GS165" s="237" t="s">
        <v>231</v>
      </c>
      <c r="GT165" s="237" t="s">
        <v>231</v>
      </c>
      <c r="GU165" s="237" t="s">
        <v>231</v>
      </c>
      <c r="GV165" s="237" t="s">
        <v>231</v>
      </c>
      <c r="GW165" s="237" t="s">
        <v>231</v>
      </c>
      <c r="GX165" s="237" t="s">
        <v>231</v>
      </c>
      <c r="GY165" s="237" t="s">
        <v>492</v>
      </c>
      <c r="GZ165" s="237" t="s">
        <v>492</v>
      </c>
      <c r="HA165" s="237" t="s">
        <v>231</v>
      </c>
      <c r="HB165" s="237" t="s">
        <v>231</v>
      </c>
      <c r="HC165" s="237" t="s">
        <v>231</v>
      </c>
      <c r="HD165" s="237" t="s">
        <v>231</v>
      </c>
      <c r="HE165" s="237" t="s">
        <v>492</v>
      </c>
      <c r="HF165" s="237" t="s">
        <v>231</v>
      </c>
      <c r="HG165" s="237" t="s">
        <v>231</v>
      </c>
      <c r="HH165" s="237" t="s">
        <v>231</v>
      </c>
      <c r="HI165" s="237" t="s">
        <v>231</v>
      </c>
      <c r="HJ165" s="237" t="s">
        <v>231</v>
      </c>
      <c r="HK165" s="237" t="s">
        <v>231</v>
      </c>
      <c r="HL165" s="237" t="s">
        <v>231</v>
      </c>
      <c r="HM165" s="237" t="s">
        <v>231</v>
      </c>
      <c r="HN165" s="237" t="s">
        <v>231</v>
      </c>
      <c r="HO165" s="237" t="s">
        <v>231</v>
      </c>
      <c r="HP165" s="237" t="s">
        <v>231</v>
      </c>
      <c r="HQ165" s="237" t="s">
        <v>492</v>
      </c>
      <c r="HR165" s="237" t="s">
        <v>492</v>
      </c>
      <c r="HS165" s="237" t="s">
        <v>492</v>
      </c>
      <c r="HT165" s="237" t="s">
        <v>492</v>
      </c>
      <c r="HU165" s="237" t="s">
        <v>231</v>
      </c>
      <c r="HV165" s="237" t="s">
        <v>231</v>
      </c>
      <c r="HW165" s="237" t="s">
        <v>231</v>
      </c>
      <c r="HX165" s="237" t="s">
        <v>231</v>
      </c>
      <c r="HY165" s="237" t="s">
        <v>231</v>
      </c>
      <c r="HZ165" s="237" t="s">
        <v>231</v>
      </c>
      <c r="IA165" s="237" t="s">
        <v>231</v>
      </c>
      <c r="IB165" s="237" t="s">
        <v>231</v>
      </c>
      <c r="IC165" s="237" t="s">
        <v>231</v>
      </c>
      <c r="ID165" s="237" t="s">
        <v>231</v>
      </c>
      <c r="IE165" s="237" t="s">
        <v>231</v>
      </c>
      <c r="IF165" s="237" t="s">
        <v>231</v>
      </c>
      <c r="IG165" s="237" t="s">
        <v>231</v>
      </c>
      <c r="IH165" s="237" t="s">
        <v>231</v>
      </c>
      <c r="II165" s="237" t="s">
        <v>231</v>
      </c>
      <c r="IJ165" s="237" t="s">
        <v>231</v>
      </c>
      <c r="IK165" s="237" t="s">
        <v>231</v>
      </c>
      <c r="IL165" s="237" t="s">
        <v>231</v>
      </c>
      <c r="IM165" s="237" t="s">
        <v>231</v>
      </c>
      <c r="IN165" s="237" t="s">
        <v>231</v>
      </c>
      <c r="IO165" s="237" t="s">
        <v>220</v>
      </c>
      <c r="IP165" s="237" t="s">
        <v>493</v>
      </c>
      <c r="IQ165" s="237" t="s">
        <v>219</v>
      </c>
      <c r="IR165" s="237" t="s">
        <v>490</v>
      </c>
      <c r="IS165" s="237" t="s">
        <v>492</v>
      </c>
      <c r="IT165" s="237" t="s">
        <v>492</v>
      </c>
    </row>
    <row r="166" spans="1:254" ht="15" x14ac:dyDescent="0.25">
      <c r="A166" s="259" t="str">
        <f>HYPERLINK("http://www.ofsted.gov.uk/inspection-reports/find-inspection-report/provider/ELS/142572 ","Ofsted School Webpage")</f>
        <v>Ofsted School Webpage</v>
      </c>
      <c r="B166" s="240">
        <v>142572</v>
      </c>
      <c r="C166" s="240">
        <v>2046012</v>
      </c>
      <c r="D166" s="240" t="s">
        <v>917</v>
      </c>
      <c r="E166" s="240" t="s">
        <v>247</v>
      </c>
      <c r="F166" s="240" t="s">
        <v>482</v>
      </c>
      <c r="G166" s="240" t="s">
        <v>506</v>
      </c>
      <c r="H166" s="240" t="s">
        <v>506</v>
      </c>
      <c r="I166" s="240" t="s">
        <v>617</v>
      </c>
      <c r="J166" s="240" t="s">
        <v>918</v>
      </c>
      <c r="K166" s="240" t="s">
        <v>93</v>
      </c>
      <c r="L166" s="240" t="s">
        <v>81</v>
      </c>
      <c r="M166" s="240" t="s">
        <v>81</v>
      </c>
      <c r="N166" s="240" t="s">
        <v>81</v>
      </c>
      <c r="O166" s="240" t="s">
        <v>486</v>
      </c>
      <c r="P166" s="240" t="s">
        <v>487</v>
      </c>
      <c r="Q166" s="241">
        <v>10055490</v>
      </c>
      <c r="R166" s="242">
        <v>43480</v>
      </c>
      <c r="S166" s="242">
        <v>43482</v>
      </c>
      <c r="T166" s="242">
        <v>43503</v>
      </c>
      <c r="U166" s="240" t="s">
        <v>488</v>
      </c>
      <c r="V166" s="240" t="s">
        <v>489</v>
      </c>
      <c r="W166" s="240">
        <v>2</v>
      </c>
      <c r="X166" s="240">
        <v>2</v>
      </c>
      <c r="Y166" s="240">
        <v>2</v>
      </c>
      <c r="Z166" s="240">
        <v>2</v>
      </c>
      <c r="AA166" s="240">
        <v>2</v>
      </c>
      <c r="AB166" s="240" t="s">
        <v>486</v>
      </c>
      <c r="AC166" s="240" t="s">
        <v>486</v>
      </c>
      <c r="AD166" s="240" t="s">
        <v>219</v>
      </c>
      <c r="AE166" s="240" t="s">
        <v>512</v>
      </c>
      <c r="AF166" s="240" t="s">
        <v>486</v>
      </c>
      <c r="AG166" s="240" t="s">
        <v>490</v>
      </c>
      <c r="AH166" s="240" t="s">
        <v>490</v>
      </c>
      <c r="AI166" s="240" t="s">
        <v>486</v>
      </c>
      <c r="AJ166" s="240" t="s">
        <v>486</v>
      </c>
      <c r="AK166" s="240" t="s">
        <v>486</v>
      </c>
      <c r="AL166" s="240" t="s">
        <v>486</v>
      </c>
      <c r="AM166" s="240" t="s">
        <v>491</v>
      </c>
      <c r="AN166" s="240" t="s">
        <v>231</v>
      </c>
      <c r="AO166" s="240" t="s">
        <v>231</v>
      </c>
      <c r="AP166" s="240" t="s">
        <v>231</v>
      </c>
      <c r="AQ166" s="240" t="s">
        <v>231</v>
      </c>
      <c r="AR166" s="240" t="s">
        <v>231</v>
      </c>
      <c r="AS166" s="240" t="s">
        <v>231</v>
      </c>
      <c r="AT166" s="240" t="s">
        <v>231</v>
      </c>
      <c r="AU166" s="240" t="s">
        <v>231</v>
      </c>
      <c r="AV166" s="240" t="s">
        <v>231</v>
      </c>
      <c r="AW166" s="240" t="s">
        <v>231</v>
      </c>
      <c r="AX166" s="240" t="s">
        <v>231</v>
      </c>
      <c r="AY166" s="240" t="s">
        <v>231</v>
      </c>
      <c r="AZ166" s="240" t="s">
        <v>231</v>
      </c>
      <c r="BA166" s="240" t="s">
        <v>231</v>
      </c>
      <c r="BB166" s="240" t="s">
        <v>231</v>
      </c>
      <c r="BC166" s="240" t="s">
        <v>231</v>
      </c>
      <c r="BD166" s="240" t="s">
        <v>231</v>
      </c>
      <c r="BE166" s="240" t="s">
        <v>231</v>
      </c>
      <c r="BF166" s="240" t="s">
        <v>231</v>
      </c>
      <c r="BG166" s="240" t="s">
        <v>231</v>
      </c>
      <c r="BH166" s="240" t="s">
        <v>492</v>
      </c>
      <c r="BI166" s="240" t="s">
        <v>492</v>
      </c>
      <c r="BJ166" s="240" t="s">
        <v>492</v>
      </c>
      <c r="BK166" s="240" t="s">
        <v>492</v>
      </c>
      <c r="BL166" s="240" t="s">
        <v>492</v>
      </c>
      <c r="BM166" s="240" t="s">
        <v>492</v>
      </c>
      <c r="BN166" s="240" t="s">
        <v>231</v>
      </c>
      <c r="BO166" s="240" t="s">
        <v>231</v>
      </c>
      <c r="BP166" s="240" t="s">
        <v>231</v>
      </c>
      <c r="BQ166" s="240" t="s">
        <v>231</v>
      </c>
      <c r="BR166" s="240" t="s">
        <v>231</v>
      </c>
      <c r="BS166" s="240" t="s">
        <v>231</v>
      </c>
      <c r="BT166" s="240" t="s">
        <v>231</v>
      </c>
      <c r="BU166" s="240" t="s">
        <v>231</v>
      </c>
      <c r="BV166" s="240" t="s">
        <v>231</v>
      </c>
      <c r="BW166" s="240" t="s">
        <v>231</v>
      </c>
      <c r="BX166" s="240" t="s">
        <v>231</v>
      </c>
      <c r="BY166" s="240" t="s">
        <v>231</v>
      </c>
      <c r="BZ166" s="240" t="s">
        <v>231</v>
      </c>
      <c r="CA166" s="240" t="s">
        <v>231</v>
      </c>
      <c r="CB166" s="240" t="s">
        <v>231</v>
      </c>
      <c r="CC166" s="240" t="s">
        <v>231</v>
      </c>
      <c r="CD166" s="240" t="s">
        <v>231</v>
      </c>
      <c r="CE166" s="240" t="s">
        <v>231</v>
      </c>
      <c r="CF166" s="240" t="s">
        <v>231</v>
      </c>
      <c r="CG166" s="240" t="s">
        <v>231</v>
      </c>
      <c r="CH166" s="240" t="s">
        <v>231</v>
      </c>
      <c r="CI166" s="240" t="s">
        <v>231</v>
      </c>
      <c r="CJ166" s="240" t="s">
        <v>231</v>
      </c>
      <c r="CK166" s="240" t="s">
        <v>231</v>
      </c>
      <c r="CL166" s="240" t="s">
        <v>231</v>
      </c>
      <c r="CM166" s="240" t="s">
        <v>231</v>
      </c>
      <c r="CN166" s="240" t="s">
        <v>231</v>
      </c>
      <c r="CO166" s="240" t="s">
        <v>231</v>
      </c>
      <c r="CP166" s="240" t="s">
        <v>231</v>
      </c>
      <c r="CQ166" s="240" t="s">
        <v>231</v>
      </c>
      <c r="CR166" s="240" t="s">
        <v>231</v>
      </c>
      <c r="CS166" s="240" t="s">
        <v>231</v>
      </c>
      <c r="CT166" s="240" t="s">
        <v>492</v>
      </c>
      <c r="CU166" s="240" t="s">
        <v>492</v>
      </c>
      <c r="CV166" s="240" t="s">
        <v>492</v>
      </c>
      <c r="CW166" s="240" t="s">
        <v>231</v>
      </c>
      <c r="CX166" s="240" t="s">
        <v>231</v>
      </c>
      <c r="CY166" s="240" t="s">
        <v>231</v>
      </c>
      <c r="CZ166" s="240" t="s">
        <v>231</v>
      </c>
      <c r="DA166" s="240" t="s">
        <v>231</v>
      </c>
      <c r="DB166" s="240" t="s">
        <v>231</v>
      </c>
      <c r="DC166" s="240" t="s">
        <v>231</v>
      </c>
      <c r="DD166" s="240" t="s">
        <v>231</v>
      </c>
      <c r="DE166" s="240" t="s">
        <v>231</v>
      </c>
      <c r="DF166" s="240" t="s">
        <v>231</v>
      </c>
      <c r="DG166" s="240" t="s">
        <v>231</v>
      </c>
      <c r="DH166" s="240" t="s">
        <v>231</v>
      </c>
      <c r="DI166" s="240" t="s">
        <v>231</v>
      </c>
      <c r="DJ166" s="240" t="s">
        <v>231</v>
      </c>
      <c r="DK166" s="240" t="s">
        <v>231</v>
      </c>
      <c r="DL166" s="240" t="s">
        <v>231</v>
      </c>
      <c r="DM166" s="240" t="s">
        <v>231</v>
      </c>
      <c r="DN166" s="240" t="s">
        <v>231</v>
      </c>
      <c r="DO166" s="240" t="s">
        <v>231</v>
      </c>
      <c r="DP166" s="240" t="s">
        <v>231</v>
      </c>
      <c r="DQ166" s="240" t="s">
        <v>231</v>
      </c>
      <c r="DR166" s="240" t="s">
        <v>231</v>
      </c>
      <c r="DS166" s="240" t="s">
        <v>231</v>
      </c>
      <c r="DT166" s="240" t="s">
        <v>492</v>
      </c>
      <c r="DU166" s="240" t="s">
        <v>231</v>
      </c>
      <c r="DV166" s="240" t="s">
        <v>492</v>
      </c>
      <c r="DW166" s="240" t="s">
        <v>492</v>
      </c>
      <c r="DX166" s="240" t="s">
        <v>492</v>
      </c>
      <c r="DY166" s="240" t="s">
        <v>492</v>
      </c>
      <c r="DZ166" s="240" t="s">
        <v>492</v>
      </c>
      <c r="EA166" s="240" t="s">
        <v>492</v>
      </c>
      <c r="EB166" s="240" t="s">
        <v>492</v>
      </c>
      <c r="EC166" s="240" t="s">
        <v>492</v>
      </c>
      <c r="ED166" s="240" t="s">
        <v>492</v>
      </c>
      <c r="EE166" s="240" t="s">
        <v>492</v>
      </c>
      <c r="EF166" s="240" t="s">
        <v>492</v>
      </c>
      <c r="EG166" s="240" t="s">
        <v>492</v>
      </c>
      <c r="EH166" s="240" t="s">
        <v>492</v>
      </c>
      <c r="EI166" s="240" t="s">
        <v>492</v>
      </c>
      <c r="EJ166" s="240" t="s">
        <v>231</v>
      </c>
      <c r="EK166" s="240" t="s">
        <v>231</v>
      </c>
      <c r="EL166" s="240" t="s">
        <v>231</v>
      </c>
      <c r="EM166" s="240" t="s">
        <v>231</v>
      </c>
      <c r="EN166" s="240" t="s">
        <v>231</v>
      </c>
      <c r="EO166" s="240" t="s">
        <v>231</v>
      </c>
      <c r="EP166" s="240" t="s">
        <v>231</v>
      </c>
      <c r="EQ166" s="240" t="s">
        <v>231</v>
      </c>
      <c r="ER166" s="240" t="s">
        <v>231</v>
      </c>
      <c r="ES166" s="240" t="s">
        <v>231</v>
      </c>
      <c r="ET166" s="240" t="s">
        <v>231</v>
      </c>
      <c r="EU166" s="240" t="s">
        <v>231</v>
      </c>
      <c r="EV166" s="240" t="s">
        <v>231</v>
      </c>
      <c r="EW166" s="240" t="s">
        <v>231</v>
      </c>
      <c r="EX166" s="240" t="s">
        <v>231</v>
      </c>
      <c r="EY166" s="240" t="s">
        <v>231</v>
      </c>
      <c r="EZ166" s="240" t="s">
        <v>231</v>
      </c>
      <c r="FA166" s="240" t="s">
        <v>231</v>
      </c>
      <c r="FB166" s="240" t="s">
        <v>231</v>
      </c>
      <c r="FC166" s="240" t="s">
        <v>231</v>
      </c>
      <c r="FD166" s="240" t="s">
        <v>231</v>
      </c>
      <c r="FE166" s="240" t="s">
        <v>231</v>
      </c>
      <c r="FF166" s="240" t="s">
        <v>231</v>
      </c>
      <c r="FG166" s="240" t="s">
        <v>492</v>
      </c>
      <c r="FH166" s="240" t="s">
        <v>492</v>
      </c>
      <c r="FI166" s="240" t="s">
        <v>492</v>
      </c>
      <c r="FJ166" s="240" t="s">
        <v>492</v>
      </c>
      <c r="FK166" s="240" t="s">
        <v>492</v>
      </c>
      <c r="FL166" s="240" t="s">
        <v>492</v>
      </c>
      <c r="FM166" s="240" t="s">
        <v>231</v>
      </c>
      <c r="FN166" s="240" t="s">
        <v>231</v>
      </c>
      <c r="FO166" s="240" t="s">
        <v>231</v>
      </c>
      <c r="FP166" s="240" t="s">
        <v>231</v>
      </c>
      <c r="FQ166" s="240" t="s">
        <v>231</v>
      </c>
      <c r="FR166" s="240" t="s">
        <v>231</v>
      </c>
      <c r="FS166" s="240" t="s">
        <v>492</v>
      </c>
      <c r="FT166" s="240" t="s">
        <v>492</v>
      </c>
      <c r="FU166" s="240" t="s">
        <v>231</v>
      </c>
      <c r="FV166" s="240" t="s">
        <v>231</v>
      </c>
      <c r="FW166" s="240" t="s">
        <v>231</v>
      </c>
      <c r="FX166" s="240" t="s">
        <v>492</v>
      </c>
      <c r="FY166" s="240" t="s">
        <v>492</v>
      </c>
      <c r="FZ166" s="240" t="s">
        <v>231</v>
      </c>
      <c r="GA166" s="240" t="s">
        <v>231</v>
      </c>
      <c r="GB166" s="240" t="s">
        <v>231</v>
      </c>
      <c r="GC166" s="240" t="s">
        <v>231</v>
      </c>
      <c r="GD166" s="240" t="s">
        <v>231</v>
      </c>
      <c r="GE166" s="240" t="s">
        <v>231</v>
      </c>
      <c r="GF166" s="240" t="s">
        <v>231</v>
      </c>
      <c r="GG166" s="240" t="s">
        <v>231</v>
      </c>
      <c r="GH166" s="240" t="s">
        <v>231</v>
      </c>
      <c r="GI166" s="240" t="s">
        <v>231</v>
      </c>
      <c r="GJ166" s="240" t="s">
        <v>231</v>
      </c>
      <c r="GK166" s="240" t="s">
        <v>231</v>
      </c>
      <c r="GL166" s="240" t="s">
        <v>231</v>
      </c>
      <c r="GM166" s="240" t="s">
        <v>231</v>
      </c>
      <c r="GN166" s="240" t="s">
        <v>231</v>
      </c>
      <c r="GO166" s="240" t="s">
        <v>231</v>
      </c>
      <c r="GP166" s="240" t="s">
        <v>492</v>
      </c>
      <c r="GQ166" s="240" t="s">
        <v>231</v>
      </c>
      <c r="GR166" s="240" t="s">
        <v>231</v>
      </c>
      <c r="GS166" s="240" t="s">
        <v>231</v>
      </c>
      <c r="GT166" s="240" t="s">
        <v>231</v>
      </c>
      <c r="GU166" s="240" t="s">
        <v>231</v>
      </c>
      <c r="GV166" s="240" t="s">
        <v>231</v>
      </c>
      <c r="GW166" s="240" t="s">
        <v>231</v>
      </c>
      <c r="GX166" s="240" t="s">
        <v>231</v>
      </c>
      <c r="GY166" s="240" t="s">
        <v>231</v>
      </c>
      <c r="GZ166" s="240" t="s">
        <v>231</v>
      </c>
      <c r="HA166" s="240" t="s">
        <v>231</v>
      </c>
      <c r="HB166" s="240" t="s">
        <v>231</v>
      </c>
      <c r="HC166" s="240" t="s">
        <v>231</v>
      </c>
      <c r="HD166" s="240" t="s">
        <v>231</v>
      </c>
      <c r="HE166" s="240" t="s">
        <v>492</v>
      </c>
      <c r="HF166" s="240" t="s">
        <v>231</v>
      </c>
      <c r="HG166" s="240" t="s">
        <v>231</v>
      </c>
      <c r="HH166" s="240" t="s">
        <v>231</v>
      </c>
      <c r="HI166" s="240" t="s">
        <v>231</v>
      </c>
      <c r="HJ166" s="240" t="s">
        <v>231</v>
      </c>
      <c r="HK166" s="240" t="s">
        <v>231</v>
      </c>
      <c r="HL166" s="240" t="s">
        <v>231</v>
      </c>
      <c r="HM166" s="240" t="s">
        <v>231</v>
      </c>
      <c r="HN166" s="240" t="s">
        <v>231</v>
      </c>
      <c r="HO166" s="240" t="s">
        <v>231</v>
      </c>
      <c r="HP166" s="240" t="s">
        <v>231</v>
      </c>
      <c r="HQ166" s="240" t="s">
        <v>231</v>
      </c>
      <c r="HR166" s="240" t="s">
        <v>492</v>
      </c>
      <c r="HS166" s="240" t="s">
        <v>492</v>
      </c>
      <c r="HT166" s="240" t="s">
        <v>492</v>
      </c>
      <c r="HU166" s="240" t="s">
        <v>231</v>
      </c>
      <c r="HV166" s="240" t="s">
        <v>231</v>
      </c>
      <c r="HW166" s="240" t="s">
        <v>231</v>
      </c>
      <c r="HX166" s="240" t="s">
        <v>231</v>
      </c>
      <c r="HY166" s="240" t="s">
        <v>231</v>
      </c>
      <c r="HZ166" s="240" t="s">
        <v>231</v>
      </c>
      <c r="IA166" s="240" t="s">
        <v>231</v>
      </c>
      <c r="IB166" s="240" t="s">
        <v>231</v>
      </c>
      <c r="IC166" s="240" t="s">
        <v>231</v>
      </c>
      <c r="ID166" s="240" t="s">
        <v>231</v>
      </c>
      <c r="IE166" s="240" t="s">
        <v>231</v>
      </c>
      <c r="IF166" s="240" t="s">
        <v>231</v>
      </c>
      <c r="IG166" s="240" t="s">
        <v>231</v>
      </c>
      <c r="IH166" s="240" t="s">
        <v>231</v>
      </c>
      <c r="II166" s="240" t="s">
        <v>231</v>
      </c>
      <c r="IJ166" s="240" t="s">
        <v>231</v>
      </c>
      <c r="IK166" s="240" t="s">
        <v>231</v>
      </c>
      <c r="IL166" s="240" t="s">
        <v>231</v>
      </c>
      <c r="IM166" s="240" t="s">
        <v>231</v>
      </c>
      <c r="IN166" s="240" t="s">
        <v>231</v>
      </c>
      <c r="IO166" s="240" t="s">
        <v>220</v>
      </c>
      <c r="IP166" s="240" t="s">
        <v>493</v>
      </c>
      <c r="IQ166" s="240" t="s">
        <v>219</v>
      </c>
      <c r="IR166" s="240" t="s">
        <v>490</v>
      </c>
      <c r="IS166" s="240" t="s">
        <v>492</v>
      </c>
      <c r="IT166" s="240" t="s">
        <v>492</v>
      </c>
    </row>
    <row r="167" spans="1:254" ht="15" x14ac:dyDescent="0.25">
      <c r="A167" s="258" t="str">
        <f>HYPERLINK("http://www.ofsted.gov.uk/inspection-reports/find-inspection-report/provider/ELS/132848 ","Ofsted School Webpage")</f>
        <v>Ofsted School Webpage</v>
      </c>
      <c r="B167" s="237">
        <v>132848</v>
      </c>
      <c r="C167" s="237">
        <v>3206501</v>
      </c>
      <c r="D167" s="237" t="s">
        <v>919</v>
      </c>
      <c r="E167" s="237" t="s">
        <v>247</v>
      </c>
      <c r="F167" s="237" t="s">
        <v>482</v>
      </c>
      <c r="G167" s="237" t="s">
        <v>506</v>
      </c>
      <c r="H167" s="237" t="s">
        <v>506</v>
      </c>
      <c r="I167" s="237" t="s">
        <v>671</v>
      </c>
      <c r="J167" s="237" t="s">
        <v>920</v>
      </c>
      <c r="K167" s="237" t="s">
        <v>84</v>
      </c>
      <c r="L167" s="237" t="s">
        <v>83</v>
      </c>
      <c r="M167" s="237" t="s">
        <v>84</v>
      </c>
      <c r="N167" s="237" t="s">
        <v>84</v>
      </c>
      <c r="O167" s="237" t="s">
        <v>486</v>
      </c>
      <c r="P167" s="237" t="s">
        <v>487</v>
      </c>
      <c r="Q167" s="238">
        <v>10068029</v>
      </c>
      <c r="R167" s="239">
        <v>43480</v>
      </c>
      <c r="S167" s="239">
        <v>43482</v>
      </c>
      <c r="T167" s="239">
        <v>43528</v>
      </c>
      <c r="U167" s="237" t="s">
        <v>488</v>
      </c>
      <c r="V167" s="237" t="s">
        <v>489</v>
      </c>
      <c r="W167" s="237">
        <v>4</v>
      </c>
      <c r="X167" s="237">
        <v>4</v>
      </c>
      <c r="Y167" s="237">
        <v>3</v>
      </c>
      <c r="Z167" s="237">
        <v>3</v>
      </c>
      <c r="AA167" s="237">
        <v>3</v>
      </c>
      <c r="AB167" s="237" t="s">
        <v>486</v>
      </c>
      <c r="AC167" s="237" t="s">
        <v>486</v>
      </c>
      <c r="AD167" s="237" t="s">
        <v>219</v>
      </c>
      <c r="AE167" s="237" t="s">
        <v>490</v>
      </c>
      <c r="AF167" s="237" t="s">
        <v>486</v>
      </c>
      <c r="AG167" s="237" t="s">
        <v>486</v>
      </c>
      <c r="AH167" s="237" t="s">
        <v>486</v>
      </c>
      <c r="AI167" s="237" t="s">
        <v>486</v>
      </c>
      <c r="AJ167" s="237" t="s">
        <v>486</v>
      </c>
      <c r="AK167" s="237" t="s">
        <v>486</v>
      </c>
      <c r="AL167" s="237" t="s">
        <v>486</v>
      </c>
      <c r="AM167" s="237" t="s">
        <v>545</v>
      </c>
      <c r="AN167" s="237" t="s">
        <v>231</v>
      </c>
      <c r="AO167" s="237" t="s">
        <v>231</v>
      </c>
      <c r="AP167" s="237" t="s">
        <v>231</v>
      </c>
      <c r="AQ167" s="237" t="s">
        <v>231</v>
      </c>
      <c r="AR167" s="237" t="s">
        <v>231</v>
      </c>
      <c r="AS167" s="237" t="s">
        <v>231</v>
      </c>
      <c r="AT167" s="237" t="s">
        <v>231</v>
      </c>
      <c r="AU167" s="237" t="s">
        <v>546</v>
      </c>
      <c r="AV167" s="237" t="s">
        <v>231</v>
      </c>
      <c r="AW167" s="237" t="s">
        <v>231</v>
      </c>
      <c r="AX167" s="237" t="s">
        <v>231</v>
      </c>
      <c r="AY167" s="237" t="s">
        <v>231</v>
      </c>
      <c r="AZ167" s="237" t="s">
        <v>231</v>
      </c>
      <c r="BA167" s="237" t="s">
        <v>231</v>
      </c>
      <c r="BB167" s="237" t="s">
        <v>231</v>
      </c>
      <c r="BC167" s="237" t="s">
        <v>231</v>
      </c>
      <c r="BD167" s="237" t="s">
        <v>492</v>
      </c>
      <c r="BE167" s="237" t="s">
        <v>231</v>
      </c>
      <c r="BF167" s="237" t="s">
        <v>231</v>
      </c>
      <c r="BG167" s="237" t="s">
        <v>231</v>
      </c>
      <c r="BH167" s="237" t="s">
        <v>231</v>
      </c>
      <c r="BI167" s="237" t="s">
        <v>231</v>
      </c>
      <c r="BJ167" s="237" t="s">
        <v>231</v>
      </c>
      <c r="BK167" s="237" t="s">
        <v>231</v>
      </c>
      <c r="BL167" s="237" t="s">
        <v>492</v>
      </c>
      <c r="BM167" s="237" t="s">
        <v>492</v>
      </c>
      <c r="BN167" s="237" t="s">
        <v>231</v>
      </c>
      <c r="BO167" s="237" t="s">
        <v>231</v>
      </c>
      <c r="BP167" s="237" t="s">
        <v>231</v>
      </c>
      <c r="BQ167" s="237" t="s">
        <v>231</v>
      </c>
      <c r="BR167" s="237" t="s">
        <v>231</v>
      </c>
      <c r="BS167" s="237" t="s">
        <v>231</v>
      </c>
      <c r="BT167" s="237" t="s">
        <v>231</v>
      </c>
      <c r="BU167" s="237" t="s">
        <v>231</v>
      </c>
      <c r="BV167" s="237" t="s">
        <v>231</v>
      </c>
      <c r="BW167" s="237" t="s">
        <v>231</v>
      </c>
      <c r="BX167" s="237" t="s">
        <v>231</v>
      </c>
      <c r="BY167" s="237" t="s">
        <v>231</v>
      </c>
      <c r="BZ167" s="237" t="s">
        <v>231</v>
      </c>
      <c r="CA167" s="237" t="s">
        <v>231</v>
      </c>
      <c r="CB167" s="237" t="s">
        <v>231</v>
      </c>
      <c r="CC167" s="237" t="s">
        <v>231</v>
      </c>
      <c r="CD167" s="237" t="s">
        <v>231</v>
      </c>
      <c r="CE167" s="237" t="s">
        <v>231</v>
      </c>
      <c r="CF167" s="237" t="s">
        <v>231</v>
      </c>
      <c r="CG167" s="237" t="s">
        <v>231</v>
      </c>
      <c r="CH167" s="237" t="s">
        <v>231</v>
      </c>
      <c r="CI167" s="237" t="s">
        <v>231</v>
      </c>
      <c r="CJ167" s="237" t="s">
        <v>231</v>
      </c>
      <c r="CK167" s="237" t="s">
        <v>231</v>
      </c>
      <c r="CL167" s="237" t="s">
        <v>231</v>
      </c>
      <c r="CM167" s="237" t="s">
        <v>231</v>
      </c>
      <c r="CN167" s="237" t="s">
        <v>231</v>
      </c>
      <c r="CO167" s="237" t="s">
        <v>231</v>
      </c>
      <c r="CP167" s="237" t="s">
        <v>231</v>
      </c>
      <c r="CQ167" s="237" t="s">
        <v>231</v>
      </c>
      <c r="CR167" s="237" t="s">
        <v>231</v>
      </c>
      <c r="CS167" s="237" t="s">
        <v>231</v>
      </c>
      <c r="CT167" s="237" t="s">
        <v>231</v>
      </c>
      <c r="CU167" s="237" t="s">
        <v>492</v>
      </c>
      <c r="CV167" s="237" t="s">
        <v>492</v>
      </c>
      <c r="CW167" s="237" t="s">
        <v>231</v>
      </c>
      <c r="CX167" s="237" t="s">
        <v>231</v>
      </c>
      <c r="CY167" s="237" t="s">
        <v>231</v>
      </c>
      <c r="CZ167" s="237" t="s">
        <v>231</v>
      </c>
      <c r="DA167" s="237" t="s">
        <v>231</v>
      </c>
      <c r="DB167" s="237" t="s">
        <v>231</v>
      </c>
      <c r="DC167" s="237" t="s">
        <v>231</v>
      </c>
      <c r="DD167" s="237" t="s">
        <v>231</v>
      </c>
      <c r="DE167" s="237" t="s">
        <v>231</v>
      </c>
      <c r="DF167" s="237" t="s">
        <v>231</v>
      </c>
      <c r="DG167" s="237" t="s">
        <v>231</v>
      </c>
      <c r="DH167" s="237" t="s">
        <v>231</v>
      </c>
      <c r="DI167" s="237" t="s">
        <v>231</v>
      </c>
      <c r="DJ167" s="237" t="s">
        <v>231</v>
      </c>
      <c r="DK167" s="237" t="s">
        <v>231</v>
      </c>
      <c r="DL167" s="237" t="s">
        <v>231</v>
      </c>
      <c r="DM167" s="237" t="s">
        <v>231</v>
      </c>
      <c r="DN167" s="237" t="s">
        <v>231</v>
      </c>
      <c r="DO167" s="237" t="s">
        <v>231</v>
      </c>
      <c r="DP167" s="237" t="s">
        <v>231</v>
      </c>
      <c r="DQ167" s="237" t="s">
        <v>231</v>
      </c>
      <c r="DR167" s="237" t="s">
        <v>231</v>
      </c>
      <c r="DS167" s="237" t="s">
        <v>231</v>
      </c>
      <c r="DT167" s="237" t="s">
        <v>492</v>
      </c>
      <c r="DU167" s="237" t="s">
        <v>231</v>
      </c>
      <c r="DV167" s="237" t="s">
        <v>231</v>
      </c>
      <c r="DW167" s="237" t="s">
        <v>231</v>
      </c>
      <c r="DX167" s="237" t="s">
        <v>231</v>
      </c>
      <c r="DY167" s="237" t="s">
        <v>231</v>
      </c>
      <c r="DZ167" s="237" t="s">
        <v>231</v>
      </c>
      <c r="EA167" s="237" t="s">
        <v>231</v>
      </c>
      <c r="EB167" s="237" t="s">
        <v>231</v>
      </c>
      <c r="EC167" s="237" t="s">
        <v>231</v>
      </c>
      <c r="ED167" s="237" t="s">
        <v>231</v>
      </c>
      <c r="EE167" s="237" t="s">
        <v>231</v>
      </c>
      <c r="EF167" s="237" t="s">
        <v>231</v>
      </c>
      <c r="EG167" s="237" t="s">
        <v>231</v>
      </c>
      <c r="EH167" s="237" t="s">
        <v>492</v>
      </c>
      <c r="EI167" s="237" t="s">
        <v>231</v>
      </c>
      <c r="EJ167" s="237" t="s">
        <v>231</v>
      </c>
      <c r="EK167" s="237" t="s">
        <v>231</v>
      </c>
      <c r="EL167" s="237" t="s">
        <v>231</v>
      </c>
      <c r="EM167" s="237" t="s">
        <v>231</v>
      </c>
      <c r="EN167" s="237" t="s">
        <v>231</v>
      </c>
      <c r="EO167" s="237" t="s">
        <v>231</v>
      </c>
      <c r="EP167" s="237" t="s">
        <v>231</v>
      </c>
      <c r="EQ167" s="237" t="s">
        <v>231</v>
      </c>
      <c r="ER167" s="237" t="s">
        <v>231</v>
      </c>
      <c r="ES167" s="237" t="s">
        <v>231</v>
      </c>
      <c r="ET167" s="237" t="s">
        <v>231</v>
      </c>
      <c r="EU167" s="237" t="s">
        <v>231</v>
      </c>
      <c r="EV167" s="237" t="s">
        <v>231</v>
      </c>
      <c r="EW167" s="237" t="s">
        <v>231</v>
      </c>
      <c r="EX167" s="237" t="s">
        <v>231</v>
      </c>
      <c r="EY167" s="237" t="s">
        <v>231</v>
      </c>
      <c r="EZ167" s="237" t="s">
        <v>231</v>
      </c>
      <c r="FA167" s="237" t="s">
        <v>231</v>
      </c>
      <c r="FB167" s="237" t="s">
        <v>231</v>
      </c>
      <c r="FC167" s="237" t="s">
        <v>231</v>
      </c>
      <c r="FD167" s="237" t="s">
        <v>231</v>
      </c>
      <c r="FE167" s="237" t="s">
        <v>231</v>
      </c>
      <c r="FF167" s="237" t="s">
        <v>231</v>
      </c>
      <c r="FG167" s="237" t="s">
        <v>231</v>
      </c>
      <c r="FH167" s="237" t="s">
        <v>231</v>
      </c>
      <c r="FI167" s="237" t="s">
        <v>231</v>
      </c>
      <c r="FJ167" s="237" t="s">
        <v>231</v>
      </c>
      <c r="FK167" s="237" t="s">
        <v>231</v>
      </c>
      <c r="FL167" s="237" t="s">
        <v>231</v>
      </c>
      <c r="FM167" s="237" t="s">
        <v>231</v>
      </c>
      <c r="FN167" s="237" t="s">
        <v>231</v>
      </c>
      <c r="FO167" s="237" t="s">
        <v>231</v>
      </c>
      <c r="FP167" s="237" t="s">
        <v>231</v>
      </c>
      <c r="FQ167" s="237" t="s">
        <v>231</v>
      </c>
      <c r="FR167" s="237" t="s">
        <v>231</v>
      </c>
      <c r="FS167" s="237" t="s">
        <v>492</v>
      </c>
      <c r="FT167" s="237" t="s">
        <v>231</v>
      </c>
      <c r="FU167" s="237" t="s">
        <v>231</v>
      </c>
      <c r="FV167" s="237" t="s">
        <v>231</v>
      </c>
      <c r="FW167" s="237" t="s">
        <v>231</v>
      </c>
      <c r="FX167" s="237" t="s">
        <v>492</v>
      </c>
      <c r="FY167" s="237" t="s">
        <v>231</v>
      </c>
      <c r="FZ167" s="237" t="s">
        <v>231</v>
      </c>
      <c r="GA167" s="237" t="s">
        <v>231</v>
      </c>
      <c r="GB167" s="237" t="s">
        <v>231</v>
      </c>
      <c r="GC167" s="237" t="s">
        <v>231</v>
      </c>
      <c r="GD167" s="237" t="s">
        <v>231</v>
      </c>
      <c r="GE167" s="237" t="s">
        <v>231</v>
      </c>
      <c r="GF167" s="237" t="s">
        <v>231</v>
      </c>
      <c r="GG167" s="237" t="s">
        <v>231</v>
      </c>
      <c r="GH167" s="237" t="s">
        <v>231</v>
      </c>
      <c r="GI167" s="237" t="s">
        <v>231</v>
      </c>
      <c r="GJ167" s="237" t="s">
        <v>231</v>
      </c>
      <c r="GK167" s="237" t="s">
        <v>231</v>
      </c>
      <c r="GL167" s="237" t="s">
        <v>231</v>
      </c>
      <c r="GM167" s="237" t="s">
        <v>231</v>
      </c>
      <c r="GN167" s="237" t="s">
        <v>231</v>
      </c>
      <c r="GO167" s="237" t="s">
        <v>231</v>
      </c>
      <c r="GP167" s="237" t="s">
        <v>492</v>
      </c>
      <c r="GQ167" s="237" t="s">
        <v>231</v>
      </c>
      <c r="GR167" s="237" t="s">
        <v>231</v>
      </c>
      <c r="GS167" s="237" t="s">
        <v>231</v>
      </c>
      <c r="GT167" s="237" t="s">
        <v>231</v>
      </c>
      <c r="GU167" s="237" t="s">
        <v>231</v>
      </c>
      <c r="GV167" s="237" t="s">
        <v>231</v>
      </c>
      <c r="GW167" s="237" t="s">
        <v>231</v>
      </c>
      <c r="GX167" s="237" t="s">
        <v>231</v>
      </c>
      <c r="GY167" s="237" t="s">
        <v>492</v>
      </c>
      <c r="GZ167" s="237" t="s">
        <v>492</v>
      </c>
      <c r="HA167" s="237" t="s">
        <v>231</v>
      </c>
      <c r="HB167" s="237" t="s">
        <v>231</v>
      </c>
      <c r="HC167" s="237" t="s">
        <v>486</v>
      </c>
      <c r="HD167" s="237" t="s">
        <v>231</v>
      </c>
      <c r="HE167" s="237" t="s">
        <v>231</v>
      </c>
      <c r="HF167" s="237" t="s">
        <v>231</v>
      </c>
      <c r="HG167" s="237" t="s">
        <v>231</v>
      </c>
      <c r="HH167" s="237" t="s">
        <v>231</v>
      </c>
      <c r="HI167" s="237" t="s">
        <v>231</v>
      </c>
      <c r="HJ167" s="237" t="s">
        <v>231</v>
      </c>
      <c r="HK167" s="237" t="s">
        <v>231</v>
      </c>
      <c r="HL167" s="237" t="s">
        <v>231</v>
      </c>
      <c r="HM167" s="237" t="s">
        <v>231</v>
      </c>
      <c r="HN167" s="237" t="s">
        <v>231</v>
      </c>
      <c r="HO167" s="237" t="s">
        <v>231</v>
      </c>
      <c r="HP167" s="237" t="s">
        <v>231</v>
      </c>
      <c r="HQ167" s="237" t="s">
        <v>231</v>
      </c>
      <c r="HR167" s="237" t="s">
        <v>231</v>
      </c>
      <c r="HS167" s="237" t="s">
        <v>231</v>
      </c>
      <c r="HT167" s="237" t="s">
        <v>231</v>
      </c>
      <c r="HU167" s="237" t="s">
        <v>231</v>
      </c>
      <c r="HV167" s="237" t="s">
        <v>231</v>
      </c>
      <c r="HW167" s="237" t="s">
        <v>231</v>
      </c>
      <c r="HX167" s="237" t="s">
        <v>231</v>
      </c>
      <c r="HY167" s="237" t="s">
        <v>231</v>
      </c>
      <c r="HZ167" s="237" t="s">
        <v>231</v>
      </c>
      <c r="IA167" s="237" t="s">
        <v>231</v>
      </c>
      <c r="IB167" s="237" t="s">
        <v>231</v>
      </c>
      <c r="IC167" s="237" t="s">
        <v>231</v>
      </c>
      <c r="ID167" s="237" t="s">
        <v>231</v>
      </c>
      <c r="IE167" s="237" t="s">
        <v>231</v>
      </c>
      <c r="IF167" s="237" t="s">
        <v>231</v>
      </c>
      <c r="IG167" s="237" t="s">
        <v>231</v>
      </c>
      <c r="IH167" s="237" t="s">
        <v>231</v>
      </c>
      <c r="II167" s="237" t="s">
        <v>231</v>
      </c>
      <c r="IJ167" s="237" t="s">
        <v>231</v>
      </c>
      <c r="IK167" s="237" t="s">
        <v>232</v>
      </c>
      <c r="IL167" s="237" t="s">
        <v>232</v>
      </c>
      <c r="IM167" s="237" t="s">
        <v>232</v>
      </c>
      <c r="IN167" s="237" t="s">
        <v>232</v>
      </c>
      <c r="IO167" s="237" t="s">
        <v>220</v>
      </c>
      <c r="IP167" s="237" t="s">
        <v>493</v>
      </c>
      <c r="IQ167" s="237" t="s">
        <v>219</v>
      </c>
      <c r="IR167" s="237" t="s">
        <v>490</v>
      </c>
      <c r="IS167" s="237" t="s">
        <v>492</v>
      </c>
      <c r="IT167" s="237" t="s">
        <v>492</v>
      </c>
    </row>
    <row r="168" spans="1:254" ht="15" x14ac:dyDescent="0.25">
      <c r="A168" s="259" t="str">
        <f>HYPERLINK("http://www.ofsted.gov.uk/inspection-reports/find-inspection-report/provider/ELS/136936 ","Ofsted School Webpage")</f>
        <v>Ofsted School Webpage</v>
      </c>
      <c r="B168" s="240">
        <v>136936</v>
      </c>
      <c r="C168" s="240">
        <v>3736002</v>
      </c>
      <c r="D168" s="240" t="s">
        <v>921</v>
      </c>
      <c r="E168" s="240" t="s">
        <v>248</v>
      </c>
      <c r="F168" s="240" t="s">
        <v>501</v>
      </c>
      <c r="G168" s="240" t="s">
        <v>523</v>
      </c>
      <c r="H168" s="240" t="s">
        <v>524</v>
      </c>
      <c r="I168" s="240" t="s">
        <v>553</v>
      </c>
      <c r="J168" s="240" t="s">
        <v>922</v>
      </c>
      <c r="K168" s="240" t="s">
        <v>93</v>
      </c>
      <c r="L168" s="240" t="s">
        <v>93</v>
      </c>
      <c r="M168" s="240" t="s">
        <v>93</v>
      </c>
      <c r="N168" s="240" t="s">
        <v>90</v>
      </c>
      <c r="O168" s="240" t="s">
        <v>486</v>
      </c>
      <c r="P168" s="240" t="s">
        <v>487</v>
      </c>
      <c r="Q168" s="241">
        <v>10055379</v>
      </c>
      <c r="R168" s="242">
        <v>43480</v>
      </c>
      <c r="S168" s="242">
        <v>43482</v>
      </c>
      <c r="T168" s="242">
        <v>43529</v>
      </c>
      <c r="U168" s="240" t="s">
        <v>2930</v>
      </c>
      <c r="V168" s="240" t="s">
        <v>489</v>
      </c>
      <c r="W168" s="240">
        <v>2</v>
      </c>
      <c r="X168" s="240">
        <v>2</v>
      </c>
      <c r="Y168" s="240">
        <v>2</v>
      </c>
      <c r="Z168" s="240">
        <v>2</v>
      </c>
      <c r="AA168" s="240">
        <v>2</v>
      </c>
      <c r="AB168" s="240" t="s">
        <v>486</v>
      </c>
      <c r="AC168" s="240">
        <v>2</v>
      </c>
      <c r="AD168" s="240" t="s">
        <v>219</v>
      </c>
      <c r="AE168" s="240" t="s">
        <v>490</v>
      </c>
      <c r="AF168" s="240" t="s">
        <v>486</v>
      </c>
      <c r="AG168" s="240" t="s">
        <v>486</v>
      </c>
      <c r="AH168" s="240" t="s">
        <v>486</v>
      </c>
      <c r="AI168" s="240" t="s">
        <v>486</v>
      </c>
      <c r="AJ168" s="240" t="s">
        <v>486</v>
      </c>
      <c r="AK168" s="240" t="s">
        <v>486</v>
      </c>
      <c r="AL168" s="240" t="s">
        <v>486</v>
      </c>
      <c r="AM168" s="240" t="s">
        <v>491</v>
      </c>
      <c r="AN168" s="240" t="s">
        <v>231</v>
      </c>
      <c r="AO168" s="240" t="s">
        <v>231</v>
      </c>
      <c r="AP168" s="240" t="s">
        <v>231</v>
      </c>
      <c r="AQ168" s="240" t="s">
        <v>231</v>
      </c>
      <c r="AR168" s="240" t="s">
        <v>231</v>
      </c>
      <c r="AS168" s="240" t="s">
        <v>231</v>
      </c>
      <c r="AT168" s="240" t="s">
        <v>231</v>
      </c>
      <c r="AU168" s="240" t="s">
        <v>231</v>
      </c>
      <c r="AV168" s="240" t="s">
        <v>231</v>
      </c>
      <c r="AW168" s="240" t="s">
        <v>231</v>
      </c>
      <c r="AX168" s="240" t="s">
        <v>231</v>
      </c>
      <c r="AY168" s="240" t="s">
        <v>231</v>
      </c>
      <c r="AZ168" s="240" t="s">
        <v>231</v>
      </c>
      <c r="BA168" s="240" t="s">
        <v>231</v>
      </c>
      <c r="BB168" s="240" t="s">
        <v>231</v>
      </c>
      <c r="BC168" s="240" t="s">
        <v>231</v>
      </c>
      <c r="BD168" s="240" t="s">
        <v>492</v>
      </c>
      <c r="BE168" s="240" t="s">
        <v>231</v>
      </c>
      <c r="BF168" s="240" t="s">
        <v>231</v>
      </c>
      <c r="BG168" s="240" t="s">
        <v>231</v>
      </c>
      <c r="BH168" s="240" t="s">
        <v>231</v>
      </c>
      <c r="BI168" s="240" t="s">
        <v>231</v>
      </c>
      <c r="BJ168" s="240" t="s">
        <v>231</v>
      </c>
      <c r="BK168" s="240" t="s">
        <v>231</v>
      </c>
      <c r="BL168" s="240" t="s">
        <v>492</v>
      </c>
      <c r="BM168" s="240" t="s">
        <v>231</v>
      </c>
      <c r="BN168" s="240" t="s">
        <v>231</v>
      </c>
      <c r="BO168" s="240" t="s">
        <v>231</v>
      </c>
      <c r="BP168" s="240" t="s">
        <v>231</v>
      </c>
      <c r="BQ168" s="240" t="s">
        <v>231</v>
      </c>
      <c r="BR168" s="240" t="s">
        <v>231</v>
      </c>
      <c r="BS168" s="240" t="s">
        <v>231</v>
      </c>
      <c r="BT168" s="240" t="s">
        <v>231</v>
      </c>
      <c r="BU168" s="240" t="s">
        <v>231</v>
      </c>
      <c r="BV168" s="240" t="s">
        <v>231</v>
      </c>
      <c r="BW168" s="240" t="s">
        <v>231</v>
      </c>
      <c r="BX168" s="240" t="s">
        <v>231</v>
      </c>
      <c r="BY168" s="240" t="s">
        <v>231</v>
      </c>
      <c r="BZ168" s="240" t="s">
        <v>231</v>
      </c>
      <c r="CA168" s="240" t="s">
        <v>231</v>
      </c>
      <c r="CB168" s="240" t="s">
        <v>231</v>
      </c>
      <c r="CC168" s="240" t="s">
        <v>231</v>
      </c>
      <c r="CD168" s="240" t="s">
        <v>231</v>
      </c>
      <c r="CE168" s="240" t="s">
        <v>231</v>
      </c>
      <c r="CF168" s="240" t="s">
        <v>231</v>
      </c>
      <c r="CG168" s="240" t="s">
        <v>231</v>
      </c>
      <c r="CH168" s="240" t="s">
        <v>231</v>
      </c>
      <c r="CI168" s="240" t="s">
        <v>231</v>
      </c>
      <c r="CJ168" s="240" t="s">
        <v>231</v>
      </c>
      <c r="CK168" s="240" t="s">
        <v>231</v>
      </c>
      <c r="CL168" s="240" t="s">
        <v>231</v>
      </c>
      <c r="CM168" s="240" t="s">
        <v>231</v>
      </c>
      <c r="CN168" s="240" t="s">
        <v>231</v>
      </c>
      <c r="CO168" s="240" t="s">
        <v>231</v>
      </c>
      <c r="CP168" s="240" t="s">
        <v>231</v>
      </c>
      <c r="CQ168" s="240" t="s">
        <v>231</v>
      </c>
      <c r="CR168" s="240" t="s">
        <v>231</v>
      </c>
      <c r="CS168" s="240" t="s">
        <v>231</v>
      </c>
      <c r="CT168" s="240" t="s">
        <v>492</v>
      </c>
      <c r="CU168" s="240" t="s">
        <v>492</v>
      </c>
      <c r="CV168" s="240" t="s">
        <v>492</v>
      </c>
      <c r="CW168" s="240" t="s">
        <v>231</v>
      </c>
      <c r="CX168" s="240" t="s">
        <v>231</v>
      </c>
      <c r="CY168" s="240" t="s">
        <v>231</v>
      </c>
      <c r="CZ168" s="240" t="s">
        <v>231</v>
      </c>
      <c r="DA168" s="240" t="s">
        <v>231</v>
      </c>
      <c r="DB168" s="240" t="s">
        <v>231</v>
      </c>
      <c r="DC168" s="240" t="s">
        <v>231</v>
      </c>
      <c r="DD168" s="240" t="s">
        <v>231</v>
      </c>
      <c r="DE168" s="240" t="s">
        <v>231</v>
      </c>
      <c r="DF168" s="240" t="s">
        <v>231</v>
      </c>
      <c r="DG168" s="240" t="s">
        <v>231</v>
      </c>
      <c r="DH168" s="240" t="s">
        <v>231</v>
      </c>
      <c r="DI168" s="240" t="s">
        <v>231</v>
      </c>
      <c r="DJ168" s="240" t="s">
        <v>231</v>
      </c>
      <c r="DK168" s="240" t="s">
        <v>231</v>
      </c>
      <c r="DL168" s="240" t="s">
        <v>231</v>
      </c>
      <c r="DM168" s="240" t="s">
        <v>231</v>
      </c>
      <c r="DN168" s="240" t="s">
        <v>231</v>
      </c>
      <c r="DO168" s="240" t="s">
        <v>231</v>
      </c>
      <c r="DP168" s="240" t="s">
        <v>231</v>
      </c>
      <c r="DQ168" s="240" t="s">
        <v>231</v>
      </c>
      <c r="DR168" s="240" t="s">
        <v>231</v>
      </c>
      <c r="DS168" s="240" t="s">
        <v>231</v>
      </c>
      <c r="DT168" s="240" t="s">
        <v>492</v>
      </c>
      <c r="DU168" s="240" t="s">
        <v>231</v>
      </c>
      <c r="DV168" s="240" t="s">
        <v>231</v>
      </c>
      <c r="DW168" s="240" t="s">
        <v>231</v>
      </c>
      <c r="DX168" s="240" t="s">
        <v>231</v>
      </c>
      <c r="DY168" s="240" t="s">
        <v>231</v>
      </c>
      <c r="DZ168" s="240" t="s">
        <v>231</v>
      </c>
      <c r="EA168" s="240" t="s">
        <v>231</v>
      </c>
      <c r="EB168" s="240" t="s">
        <v>231</v>
      </c>
      <c r="EC168" s="240" t="s">
        <v>231</v>
      </c>
      <c r="ED168" s="240" t="s">
        <v>231</v>
      </c>
      <c r="EE168" s="240" t="s">
        <v>231</v>
      </c>
      <c r="EF168" s="240" t="s">
        <v>231</v>
      </c>
      <c r="EG168" s="240" t="s">
        <v>231</v>
      </c>
      <c r="EH168" s="240" t="s">
        <v>492</v>
      </c>
      <c r="EI168" s="240" t="s">
        <v>231</v>
      </c>
      <c r="EJ168" s="240" t="s">
        <v>231</v>
      </c>
      <c r="EK168" s="240" t="s">
        <v>231</v>
      </c>
      <c r="EL168" s="240" t="s">
        <v>231</v>
      </c>
      <c r="EM168" s="240" t="s">
        <v>231</v>
      </c>
      <c r="EN168" s="240" t="s">
        <v>231</v>
      </c>
      <c r="EO168" s="240" t="s">
        <v>231</v>
      </c>
      <c r="EP168" s="240" t="s">
        <v>231</v>
      </c>
      <c r="EQ168" s="240" t="s">
        <v>231</v>
      </c>
      <c r="ER168" s="240" t="s">
        <v>231</v>
      </c>
      <c r="ES168" s="240" t="s">
        <v>231</v>
      </c>
      <c r="ET168" s="240" t="s">
        <v>231</v>
      </c>
      <c r="EU168" s="240" t="s">
        <v>231</v>
      </c>
      <c r="EV168" s="240" t="s">
        <v>231</v>
      </c>
      <c r="EW168" s="240" t="s">
        <v>231</v>
      </c>
      <c r="EX168" s="240" t="s">
        <v>231</v>
      </c>
      <c r="EY168" s="240" t="s">
        <v>231</v>
      </c>
      <c r="EZ168" s="240" t="s">
        <v>231</v>
      </c>
      <c r="FA168" s="240" t="s">
        <v>231</v>
      </c>
      <c r="FB168" s="240" t="s">
        <v>231</v>
      </c>
      <c r="FC168" s="240" t="s">
        <v>231</v>
      </c>
      <c r="FD168" s="240" t="s">
        <v>231</v>
      </c>
      <c r="FE168" s="240" t="s">
        <v>231</v>
      </c>
      <c r="FF168" s="240" t="s">
        <v>231</v>
      </c>
      <c r="FG168" s="240" t="s">
        <v>231</v>
      </c>
      <c r="FH168" s="240" t="s">
        <v>231</v>
      </c>
      <c r="FI168" s="240" t="s">
        <v>231</v>
      </c>
      <c r="FJ168" s="240" t="s">
        <v>231</v>
      </c>
      <c r="FK168" s="240" t="s">
        <v>231</v>
      </c>
      <c r="FL168" s="240" t="s">
        <v>231</v>
      </c>
      <c r="FM168" s="240" t="s">
        <v>231</v>
      </c>
      <c r="FN168" s="240" t="s">
        <v>231</v>
      </c>
      <c r="FO168" s="240" t="s">
        <v>231</v>
      </c>
      <c r="FP168" s="240" t="s">
        <v>231</v>
      </c>
      <c r="FQ168" s="240" t="s">
        <v>231</v>
      </c>
      <c r="FR168" s="240" t="s">
        <v>231</v>
      </c>
      <c r="FS168" s="240" t="s">
        <v>231</v>
      </c>
      <c r="FT168" s="240" t="s">
        <v>231</v>
      </c>
      <c r="FU168" s="240" t="s">
        <v>231</v>
      </c>
      <c r="FV168" s="240" t="s">
        <v>231</v>
      </c>
      <c r="FW168" s="240" t="s">
        <v>231</v>
      </c>
      <c r="FX168" s="240" t="s">
        <v>492</v>
      </c>
      <c r="FY168" s="240" t="s">
        <v>231</v>
      </c>
      <c r="FZ168" s="240" t="s">
        <v>231</v>
      </c>
      <c r="GA168" s="240" t="s">
        <v>231</v>
      </c>
      <c r="GB168" s="240" t="s">
        <v>231</v>
      </c>
      <c r="GC168" s="240" t="s">
        <v>231</v>
      </c>
      <c r="GD168" s="240" t="s">
        <v>231</v>
      </c>
      <c r="GE168" s="240" t="s">
        <v>231</v>
      </c>
      <c r="GF168" s="240" t="s">
        <v>231</v>
      </c>
      <c r="GG168" s="240" t="s">
        <v>231</v>
      </c>
      <c r="GH168" s="240" t="s">
        <v>231</v>
      </c>
      <c r="GI168" s="240" t="s">
        <v>231</v>
      </c>
      <c r="GJ168" s="240" t="s">
        <v>231</v>
      </c>
      <c r="GK168" s="240" t="s">
        <v>231</v>
      </c>
      <c r="GL168" s="240" t="s">
        <v>231</v>
      </c>
      <c r="GM168" s="240" t="s">
        <v>231</v>
      </c>
      <c r="GN168" s="240" t="s">
        <v>231</v>
      </c>
      <c r="GO168" s="240" t="s">
        <v>231</v>
      </c>
      <c r="GP168" s="240" t="s">
        <v>492</v>
      </c>
      <c r="GQ168" s="240" t="s">
        <v>231</v>
      </c>
      <c r="GR168" s="240" t="s">
        <v>231</v>
      </c>
      <c r="GS168" s="240" t="s">
        <v>231</v>
      </c>
      <c r="GT168" s="240" t="s">
        <v>231</v>
      </c>
      <c r="GU168" s="240" t="s">
        <v>231</v>
      </c>
      <c r="GV168" s="240" t="s">
        <v>492</v>
      </c>
      <c r="GW168" s="240" t="s">
        <v>231</v>
      </c>
      <c r="GX168" s="240" t="s">
        <v>231</v>
      </c>
      <c r="GY168" s="240" t="s">
        <v>231</v>
      </c>
      <c r="GZ168" s="240" t="s">
        <v>231</v>
      </c>
      <c r="HA168" s="240" t="s">
        <v>231</v>
      </c>
      <c r="HB168" s="240" t="s">
        <v>231</v>
      </c>
      <c r="HC168" s="240" t="s">
        <v>231</v>
      </c>
      <c r="HD168" s="240" t="s">
        <v>231</v>
      </c>
      <c r="HE168" s="240" t="s">
        <v>231</v>
      </c>
      <c r="HF168" s="240" t="s">
        <v>231</v>
      </c>
      <c r="HG168" s="240" t="s">
        <v>231</v>
      </c>
      <c r="HH168" s="240" t="s">
        <v>231</v>
      </c>
      <c r="HI168" s="240" t="s">
        <v>231</v>
      </c>
      <c r="HJ168" s="240" t="s">
        <v>231</v>
      </c>
      <c r="HK168" s="240" t="s">
        <v>231</v>
      </c>
      <c r="HL168" s="240" t="s">
        <v>231</v>
      </c>
      <c r="HM168" s="240" t="s">
        <v>231</v>
      </c>
      <c r="HN168" s="240" t="s">
        <v>231</v>
      </c>
      <c r="HO168" s="240" t="s">
        <v>231</v>
      </c>
      <c r="HP168" s="240" t="s">
        <v>231</v>
      </c>
      <c r="HQ168" s="240" t="s">
        <v>231</v>
      </c>
      <c r="HR168" s="240" t="s">
        <v>492</v>
      </c>
      <c r="HS168" s="240" t="s">
        <v>492</v>
      </c>
      <c r="HT168" s="240" t="s">
        <v>492</v>
      </c>
      <c r="HU168" s="240" t="s">
        <v>231</v>
      </c>
      <c r="HV168" s="240" t="s">
        <v>231</v>
      </c>
      <c r="HW168" s="240" t="s">
        <v>231</v>
      </c>
      <c r="HX168" s="240" t="s">
        <v>231</v>
      </c>
      <c r="HY168" s="240" t="s">
        <v>231</v>
      </c>
      <c r="HZ168" s="240" t="s">
        <v>231</v>
      </c>
      <c r="IA168" s="240" t="s">
        <v>231</v>
      </c>
      <c r="IB168" s="240" t="s">
        <v>231</v>
      </c>
      <c r="IC168" s="240" t="s">
        <v>231</v>
      </c>
      <c r="ID168" s="240" t="s">
        <v>231</v>
      </c>
      <c r="IE168" s="240" t="s">
        <v>231</v>
      </c>
      <c r="IF168" s="240" t="s">
        <v>231</v>
      </c>
      <c r="IG168" s="240" t="s">
        <v>231</v>
      </c>
      <c r="IH168" s="240" t="s">
        <v>231</v>
      </c>
      <c r="II168" s="240" t="s">
        <v>231</v>
      </c>
      <c r="IJ168" s="240" t="s">
        <v>231</v>
      </c>
      <c r="IK168" s="240" t="s">
        <v>231</v>
      </c>
      <c r="IL168" s="240" t="s">
        <v>231</v>
      </c>
      <c r="IM168" s="240" t="s">
        <v>231</v>
      </c>
      <c r="IN168" s="240" t="s">
        <v>231</v>
      </c>
      <c r="IO168" s="240" t="s">
        <v>220</v>
      </c>
      <c r="IP168" s="240" t="s">
        <v>493</v>
      </c>
      <c r="IQ168" s="240" t="s">
        <v>219</v>
      </c>
      <c r="IR168" s="240" t="s">
        <v>490</v>
      </c>
      <c r="IS168" s="240" t="s">
        <v>492</v>
      </c>
      <c r="IT168" s="240" t="s">
        <v>492</v>
      </c>
    </row>
    <row r="169" spans="1:254" ht="15" x14ac:dyDescent="0.25">
      <c r="A169" s="258" t="str">
        <f>HYPERLINK("http://www.ofsted.gov.uk/inspection-reports/find-inspection-report/provider/ELS/146036 ","Ofsted School Webpage")</f>
        <v>Ofsted School Webpage</v>
      </c>
      <c r="B169" s="237">
        <v>146036</v>
      </c>
      <c r="C169" s="237">
        <v>8466026</v>
      </c>
      <c r="D169" s="237" t="s">
        <v>923</v>
      </c>
      <c r="E169" s="237" t="s">
        <v>248</v>
      </c>
      <c r="F169" s="237" t="s">
        <v>501</v>
      </c>
      <c r="G169" s="237" t="s">
        <v>581</v>
      </c>
      <c r="H169" s="237" t="s">
        <v>581</v>
      </c>
      <c r="I169" s="237" t="s">
        <v>924</v>
      </c>
      <c r="J169" s="237" t="s">
        <v>925</v>
      </c>
      <c r="K169" s="237" t="s">
        <v>93</v>
      </c>
      <c r="L169" s="237" t="s">
        <v>93</v>
      </c>
      <c r="M169" s="237" t="s">
        <v>93</v>
      </c>
      <c r="N169" s="237" t="s">
        <v>90</v>
      </c>
      <c r="O169" s="237" t="s">
        <v>486</v>
      </c>
      <c r="P169" s="237" t="s">
        <v>487</v>
      </c>
      <c r="Q169" s="238">
        <v>10081031</v>
      </c>
      <c r="R169" s="239">
        <v>43480</v>
      </c>
      <c r="S169" s="239">
        <v>43482</v>
      </c>
      <c r="T169" s="239">
        <v>43502</v>
      </c>
      <c r="U169" s="237" t="s">
        <v>499</v>
      </c>
      <c r="V169" s="237" t="s">
        <v>489</v>
      </c>
      <c r="W169" s="237">
        <v>2</v>
      </c>
      <c r="X169" s="237">
        <v>2</v>
      </c>
      <c r="Y169" s="237">
        <v>2</v>
      </c>
      <c r="Z169" s="237">
        <v>2</v>
      </c>
      <c r="AA169" s="237">
        <v>2</v>
      </c>
      <c r="AB169" s="237" t="s">
        <v>486</v>
      </c>
      <c r="AC169" s="237" t="s">
        <v>486</v>
      </c>
      <c r="AD169" s="237" t="s">
        <v>219</v>
      </c>
      <c r="AE169" s="237" t="s">
        <v>490</v>
      </c>
      <c r="AF169" s="237" t="s">
        <v>486</v>
      </c>
      <c r="AG169" s="237" t="s">
        <v>486</v>
      </c>
      <c r="AH169" s="237" t="s">
        <v>486</v>
      </c>
      <c r="AI169" s="237" t="s">
        <v>486</v>
      </c>
      <c r="AJ169" s="237" t="s">
        <v>486</v>
      </c>
      <c r="AK169" s="237" t="s">
        <v>486</v>
      </c>
      <c r="AL169" s="237" t="s">
        <v>486</v>
      </c>
      <c r="AM169" s="237" t="s">
        <v>491</v>
      </c>
      <c r="AN169" s="237" t="s">
        <v>231</v>
      </c>
      <c r="AO169" s="237" t="s">
        <v>231</v>
      </c>
      <c r="AP169" s="237" t="s">
        <v>231</v>
      </c>
      <c r="AQ169" s="237" t="s">
        <v>231</v>
      </c>
      <c r="AR169" s="237" t="s">
        <v>231</v>
      </c>
      <c r="AS169" s="237" t="s">
        <v>231</v>
      </c>
      <c r="AT169" s="237" t="s">
        <v>231</v>
      </c>
      <c r="AU169" s="237" t="s">
        <v>231</v>
      </c>
      <c r="AV169" s="237" t="s">
        <v>231</v>
      </c>
      <c r="AW169" s="237" t="s">
        <v>231</v>
      </c>
      <c r="AX169" s="237" t="s">
        <v>231</v>
      </c>
      <c r="AY169" s="237" t="s">
        <v>231</v>
      </c>
      <c r="AZ169" s="237" t="s">
        <v>231</v>
      </c>
      <c r="BA169" s="237" t="s">
        <v>231</v>
      </c>
      <c r="BB169" s="237" t="s">
        <v>231</v>
      </c>
      <c r="BC169" s="237" t="s">
        <v>231</v>
      </c>
      <c r="BD169" s="237" t="s">
        <v>492</v>
      </c>
      <c r="BE169" s="237" t="s">
        <v>231</v>
      </c>
      <c r="BF169" s="237" t="s">
        <v>231</v>
      </c>
      <c r="BG169" s="237" t="s">
        <v>231</v>
      </c>
      <c r="BH169" s="237" t="s">
        <v>231</v>
      </c>
      <c r="BI169" s="237" t="s">
        <v>231</v>
      </c>
      <c r="BJ169" s="237" t="s">
        <v>231</v>
      </c>
      <c r="BK169" s="237" t="s">
        <v>231</v>
      </c>
      <c r="BL169" s="237" t="s">
        <v>492</v>
      </c>
      <c r="BM169" s="237" t="s">
        <v>231</v>
      </c>
      <c r="BN169" s="237" t="s">
        <v>231</v>
      </c>
      <c r="BO169" s="237" t="s">
        <v>231</v>
      </c>
      <c r="BP169" s="237" t="s">
        <v>231</v>
      </c>
      <c r="BQ169" s="237" t="s">
        <v>231</v>
      </c>
      <c r="BR169" s="237" t="s">
        <v>231</v>
      </c>
      <c r="BS169" s="237" t="s">
        <v>231</v>
      </c>
      <c r="BT169" s="237" t="s">
        <v>231</v>
      </c>
      <c r="BU169" s="237" t="s">
        <v>231</v>
      </c>
      <c r="BV169" s="237" t="s">
        <v>231</v>
      </c>
      <c r="BW169" s="237" t="s">
        <v>231</v>
      </c>
      <c r="BX169" s="237" t="s">
        <v>231</v>
      </c>
      <c r="BY169" s="237" t="s">
        <v>231</v>
      </c>
      <c r="BZ169" s="237" t="s">
        <v>231</v>
      </c>
      <c r="CA169" s="237" t="s">
        <v>231</v>
      </c>
      <c r="CB169" s="237" t="s">
        <v>231</v>
      </c>
      <c r="CC169" s="237" t="s">
        <v>231</v>
      </c>
      <c r="CD169" s="237" t="s">
        <v>231</v>
      </c>
      <c r="CE169" s="237" t="s">
        <v>231</v>
      </c>
      <c r="CF169" s="237" t="s">
        <v>231</v>
      </c>
      <c r="CG169" s="237" t="s">
        <v>231</v>
      </c>
      <c r="CH169" s="237" t="s">
        <v>231</v>
      </c>
      <c r="CI169" s="237" t="s">
        <v>231</v>
      </c>
      <c r="CJ169" s="237" t="s">
        <v>231</v>
      </c>
      <c r="CK169" s="237" t="s">
        <v>231</v>
      </c>
      <c r="CL169" s="237" t="s">
        <v>231</v>
      </c>
      <c r="CM169" s="237" t="s">
        <v>231</v>
      </c>
      <c r="CN169" s="237" t="s">
        <v>231</v>
      </c>
      <c r="CO169" s="237" t="s">
        <v>231</v>
      </c>
      <c r="CP169" s="237" t="s">
        <v>231</v>
      </c>
      <c r="CQ169" s="237" t="s">
        <v>231</v>
      </c>
      <c r="CR169" s="237" t="s">
        <v>231</v>
      </c>
      <c r="CS169" s="237" t="s">
        <v>231</v>
      </c>
      <c r="CT169" s="237" t="s">
        <v>492</v>
      </c>
      <c r="CU169" s="237" t="s">
        <v>492</v>
      </c>
      <c r="CV169" s="237" t="s">
        <v>492</v>
      </c>
      <c r="CW169" s="237" t="s">
        <v>231</v>
      </c>
      <c r="CX169" s="237" t="s">
        <v>231</v>
      </c>
      <c r="CY169" s="237" t="s">
        <v>231</v>
      </c>
      <c r="CZ169" s="237" t="s">
        <v>231</v>
      </c>
      <c r="DA169" s="237" t="s">
        <v>231</v>
      </c>
      <c r="DB169" s="237" t="s">
        <v>231</v>
      </c>
      <c r="DC169" s="237" t="s">
        <v>231</v>
      </c>
      <c r="DD169" s="237" t="s">
        <v>231</v>
      </c>
      <c r="DE169" s="237" t="s">
        <v>231</v>
      </c>
      <c r="DF169" s="237" t="s">
        <v>231</v>
      </c>
      <c r="DG169" s="237" t="s">
        <v>231</v>
      </c>
      <c r="DH169" s="237" t="s">
        <v>231</v>
      </c>
      <c r="DI169" s="237" t="s">
        <v>231</v>
      </c>
      <c r="DJ169" s="237" t="s">
        <v>231</v>
      </c>
      <c r="DK169" s="237" t="s">
        <v>231</v>
      </c>
      <c r="DL169" s="237" t="s">
        <v>231</v>
      </c>
      <c r="DM169" s="237" t="s">
        <v>231</v>
      </c>
      <c r="DN169" s="237" t="s">
        <v>231</v>
      </c>
      <c r="DO169" s="237" t="s">
        <v>231</v>
      </c>
      <c r="DP169" s="237" t="s">
        <v>231</v>
      </c>
      <c r="DQ169" s="237" t="s">
        <v>231</v>
      </c>
      <c r="DR169" s="237" t="s">
        <v>231</v>
      </c>
      <c r="DS169" s="237" t="s">
        <v>231</v>
      </c>
      <c r="DT169" s="237" t="s">
        <v>492</v>
      </c>
      <c r="DU169" s="237" t="s">
        <v>231</v>
      </c>
      <c r="DV169" s="237" t="s">
        <v>231</v>
      </c>
      <c r="DW169" s="237" t="s">
        <v>231</v>
      </c>
      <c r="DX169" s="237" t="s">
        <v>231</v>
      </c>
      <c r="DY169" s="237" t="s">
        <v>231</v>
      </c>
      <c r="DZ169" s="237" t="s">
        <v>231</v>
      </c>
      <c r="EA169" s="237" t="s">
        <v>231</v>
      </c>
      <c r="EB169" s="237" t="s">
        <v>231</v>
      </c>
      <c r="EC169" s="237" t="s">
        <v>231</v>
      </c>
      <c r="ED169" s="237" t="s">
        <v>231</v>
      </c>
      <c r="EE169" s="237" t="s">
        <v>231</v>
      </c>
      <c r="EF169" s="237" t="s">
        <v>231</v>
      </c>
      <c r="EG169" s="237" t="s">
        <v>231</v>
      </c>
      <c r="EH169" s="237" t="s">
        <v>492</v>
      </c>
      <c r="EI169" s="237" t="s">
        <v>231</v>
      </c>
      <c r="EJ169" s="237" t="s">
        <v>231</v>
      </c>
      <c r="EK169" s="237" t="s">
        <v>231</v>
      </c>
      <c r="EL169" s="237" t="s">
        <v>231</v>
      </c>
      <c r="EM169" s="237" t="s">
        <v>231</v>
      </c>
      <c r="EN169" s="237" t="s">
        <v>231</v>
      </c>
      <c r="EO169" s="237" t="s">
        <v>231</v>
      </c>
      <c r="EP169" s="237" t="s">
        <v>231</v>
      </c>
      <c r="EQ169" s="237" t="s">
        <v>231</v>
      </c>
      <c r="ER169" s="237" t="s">
        <v>231</v>
      </c>
      <c r="ES169" s="237" t="s">
        <v>231</v>
      </c>
      <c r="ET169" s="237" t="s">
        <v>231</v>
      </c>
      <c r="EU169" s="237" t="s">
        <v>231</v>
      </c>
      <c r="EV169" s="237" t="s">
        <v>231</v>
      </c>
      <c r="EW169" s="237" t="s">
        <v>231</v>
      </c>
      <c r="EX169" s="237" t="s">
        <v>231</v>
      </c>
      <c r="EY169" s="237" t="s">
        <v>231</v>
      </c>
      <c r="EZ169" s="237" t="s">
        <v>231</v>
      </c>
      <c r="FA169" s="237" t="s">
        <v>231</v>
      </c>
      <c r="FB169" s="237" t="s">
        <v>231</v>
      </c>
      <c r="FC169" s="237" t="s">
        <v>231</v>
      </c>
      <c r="FD169" s="237" t="s">
        <v>231</v>
      </c>
      <c r="FE169" s="237" t="s">
        <v>231</v>
      </c>
      <c r="FF169" s="237" t="s">
        <v>231</v>
      </c>
      <c r="FG169" s="237" t="s">
        <v>231</v>
      </c>
      <c r="FH169" s="237" t="s">
        <v>231</v>
      </c>
      <c r="FI169" s="237" t="s">
        <v>231</v>
      </c>
      <c r="FJ169" s="237" t="s">
        <v>231</v>
      </c>
      <c r="FK169" s="237" t="s">
        <v>231</v>
      </c>
      <c r="FL169" s="237" t="s">
        <v>231</v>
      </c>
      <c r="FM169" s="237" t="s">
        <v>231</v>
      </c>
      <c r="FN169" s="237" t="s">
        <v>231</v>
      </c>
      <c r="FO169" s="237" t="s">
        <v>231</v>
      </c>
      <c r="FP169" s="237" t="s">
        <v>231</v>
      </c>
      <c r="FQ169" s="237" t="s">
        <v>231</v>
      </c>
      <c r="FR169" s="237" t="s">
        <v>231</v>
      </c>
      <c r="FS169" s="237" t="s">
        <v>231</v>
      </c>
      <c r="FT169" s="237" t="s">
        <v>231</v>
      </c>
      <c r="FU169" s="237" t="s">
        <v>231</v>
      </c>
      <c r="FV169" s="237" t="s">
        <v>231</v>
      </c>
      <c r="FW169" s="237" t="s">
        <v>231</v>
      </c>
      <c r="FX169" s="237" t="s">
        <v>492</v>
      </c>
      <c r="FY169" s="237" t="s">
        <v>231</v>
      </c>
      <c r="FZ169" s="237" t="s">
        <v>231</v>
      </c>
      <c r="GA169" s="237" t="s">
        <v>231</v>
      </c>
      <c r="GB169" s="237" t="s">
        <v>231</v>
      </c>
      <c r="GC169" s="237" t="s">
        <v>231</v>
      </c>
      <c r="GD169" s="237" t="s">
        <v>231</v>
      </c>
      <c r="GE169" s="237" t="s">
        <v>231</v>
      </c>
      <c r="GF169" s="237" t="s">
        <v>231</v>
      </c>
      <c r="GG169" s="237" t="s">
        <v>231</v>
      </c>
      <c r="GH169" s="237" t="s">
        <v>231</v>
      </c>
      <c r="GI169" s="237" t="s">
        <v>231</v>
      </c>
      <c r="GJ169" s="237" t="s">
        <v>231</v>
      </c>
      <c r="GK169" s="237" t="s">
        <v>231</v>
      </c>
      <c r="GL169" s="237" t="s">
        <v>231</v>
      </c>
      <c r="GM169" s="237" t="s">
        <v>231</v>
      </c>
      <c r="GN169" s="237" t="s">
        <v>231</v>
      </c>
      <c r="GO169" s="237" t="s">
        <v>231</v>
      </c>
      <c r="GP169" s="237" t="s">
        <v>492</v>
      </c>
      <c r="GQ169" s="237" t="s">
        <v>231</v>
      </c>
      <c r="GR169" s="237" t="s">
        <v>231</v>
      </c>
      <c r="GS169" s="237" t="s">
        <v>231</v>
      </c>
      <c r="GT169" s="237" t="s">
        <v>231</v>
      </c>
      <c r="GU169" s="237" t="s">
        <v>231</v>
      </c>
      <c r="GV169" s="237" t="s">
        <v>492</v>
      </c>
      <c r="GW169" s="237" t="s">
        <v>231</v>
      </c>
      <c r="GX169" s="237" t="s">
        <v>231</v>
      </c>
      <c r="GY169" s="237" t="s">
        <v>231</v>
      </c>
      <c r="GZ169" s="237" t="s">
        <v>231</v>
      </c>
      <c r="HA169" s="237" t="s">
        <v>231</v>
      </c>
      <c r="HB169" s="237" t="s">
        <v>231</v>
      </c>
      <c r="HC169" s="237" t="s">
        <v>231</v>
      </c>
      <c r="HD169" s="237" t="s">
        <v>231</v>
      </c>
      <c r="HE169" s="237" t="s">
        <v>231</v>
      </c>
      <c r="HF169" s="237" t="s">
        <v>492</v>
      </c>
      <c r="HG169" s="237" t="s">
        <v>231</v>
      </c>
      <c r="HH169" s="237" t="s">
        <v>231</v>
      </c>
      <c r="HI169" s="237" t="s">
        <v>231</v>
      </c>
      <c r="HJ169" s="237" t="s">
        <v>231</v>
      </c>
      <c r="HK169" s="237" t="s">
        <v>231</v>
      </c>
      <c r="HL169" s="237" t="s">
        <v>231</v>
      </c>
      <c r="HM169" s="237" t="s">
        <v>231</v>
      </c>
      <c r="HN169" s="237" t="s">
        <v>231</v>
      </c>
      <c r="HO169" s="237" t="s">
        <v>231</v>
      </c>
      <c r="HP169" s="237" t="s">
        <v>231</v>
      </c>
      <c r="HQ169" s="237" t="s">
        <v>231</v>
      </c>
      <c r="HR169" s="237" t="s">
        <v>231</v>
      </c>
      <c r="HS169" s="237" t="s">
        <v>231</v>
      </c>
      <c r="HT169" s="237" t="s">
        <v>231</v>
      </c>
      <c r="HU169" s="237" t="s">
        <v>231</v>
      </c>
      <c r="HV169" s="237" t="s">
        <v>231</v>
      </c>
      <c r="HW169" s="237" t="s">
        <v>231</v>
      </c>
      <c r="HX169" s="237" t="s">
        <v>231</v>
      </c>
      <c r="HY169" s="237" t="s">
        <v>231</v>
      </c>
      <c r="HZ169" s="237" t="s">
        <v>231</v>
      </c>
      <c r="IA169" s="237" t="s">
        <v>231</v>
      </c>
      <c r="IB169" s="237" t="s">
        <v>231</v>
      </c>
      <c r="IC169" s="237" t="s">
        <v>231</v>
      </c>
      <c r="ID169" s="237" t="s">
        <v>231</v>
      </c>
      <c r="IE169" s="237" t="s">
        <v>231</v>
      </c>
      <c r="IF169" s="237" t="s">
        <v>231</v>
      </c>
      <c r="IG169" s="237" t="s">
        <v>231</v>
      </c>
      <c r="IH169" s="237" t="s">
        <v>231</v>
      </c>
      <c r="II169" s="237" t="s">
        <v>231</v>
      </c>
      <c r="IJ169" s="237" t="s">
        <v>231</v>
      </c>
      <c r="IK169" s="237" t="s">
        <v>231</v>
      </c>
      <c r="IL169" s="237" t="s">
        <v>231</v>
      </c>
      <c r="IM169" s="237" t="s">
        <v>231</v>
      </c>
      <c r="IN169" s="237" t="s">
        <v>231</v>
      </c>
      <c r="IO169" s="237" t="s">
        <v>220</v>
      </c>
      <c r="IP169" s="237" t="s">
        <v>493</v>
      </c>
      <c r="IQ169" s="237" t="s">
        <v>219</v>
      </c>
      <c r="IR169" s="237" t="s">
        <v>490</v>
      </c>
      <c r="IS169" s="237" t="s">
        <v>492</v>
      </c>
      <c r="IT169" s="237" t="s">
        <v>492</v>
      </c>
    </row>
    <row r="170" spans="1:254" ht="15" x14ac:dyDescent="0.25">
      <c r="A170" s="259" t="str">
        <f>HYPERLINK("http://www.ofsted.gov.uk/inspection-reports/find-inspection-report/provider/ELS/123933 ","Ofsted School Webpage")</f>
        <v>Ofsted School Webpage</v>
      </c>
      <c r="B170" s="240">
        <v>123933</v>
      </c>
      <c r="C170" s="240">
        <v>9336185</v>
      </c>
      <c r="D170" s="240" t="s">
        <v>926</v>
      </c>
      <c r="E170" s="240" t="s">
        <v>248</v>
      </c>
      <c r="F170" s="240" t="s">
        <v>501</v>
      </c>
      <c r="G170" s="240" t="s">
        <v>483</v>
      </c>
      <c r="H170" s="240" t="s">
        <v>483</v>
      </c>
      <c r="I170" s="240" t="s">
        <v>531</v>
      </c>
      <c r="J170" s="240" t="s">
        <v>927</v>
      </c>
      <c r="K170" s="240" t="s">
        <v>93</v>
      </c>
      <c r="L170" s="240" t="s">
        <v>93</v>
      </c>
      <c r="M170" s="240" t="s">
        <v>93</v>
      </c>
      <c r="N170" s="240" t="s">
        <v>90</v>
      </c>
      <c r="O170" s="240" t="s">
        <v>486</v>
      </c>
      <c r="P170" s="240" t="s">
        <v>487</v>
      </c>
      <c r="Q170" s="241">
        <v>10056309</v>
      </c>
      <c r="R170" s="242">
        <v>43480</v>
      </c>
      <c r="S170" s="242">
        <v>43482</v>
      </c>
      <c r="T170" s="242">
        <v>43521</v>
      </c>
      <c r="U170" s="240" t="s">
        <v>488</v>
      </c>
      <c r="V170" s="240" t="s">
        <v>489</v>
      </c>
      <c r="W170" s="240">
        <v>2</v>
      </c>
      <c r="X170" s="240">
        <v>2</v>
      </c>
      <c r="Y170" s="240">
        <v>2</v>
      </c>
      <c r="Z170" s="240">
        <v>2</v>
      </c>
      <c r="AA170" s="240">
        <v>2</v>
      </c>
      <c r="AB170" s="240" t="s">
        <v>486</v>
      </c>
      <c r="AC170" s="240">
        <v>2</v>
      </c>
      <c r="AD170" s="240" t="s">
        <v>219</v>
      </c>
      <c r="AE170" s="240" t="s">
        <v>490</v>
      </c>
      <c r="AF170" s="240" t="s">
        <v>486</v>
      </c>
      <c r="AG170" s="240" t="s">
        <v>486</v>
      </c>
      <c r="AH170" s="240" t="s">
        <v>486</v>
      </c>
      <c r="AI170" s="240" t="s">
        <v>486</v>
      </c>
      <c r="AJ170" s="240" t="s">
        <v>486</v>
      </c>
      <c r="AK170" s="240" t="s">
        <v>486</v>
      </c>
      <c r="AL170" s="240" t="s">
        <v>486</v>
      </c>
      <c r="AM170" s="240" t="s">
        <v>491</v>
      </c>
      <c r="AN170" s="240" t="s">
        <v>231</v>
      </c>
      <c r="AO170" s="240" t="s">
        <v>231</v>
      </c>
      <c r="AP170" s="240" t="s">
        <v>231</v>
      </c>
      <c r="AQ170" s="240" t="s">
        <v>231</v>
      </c>
      <c r="AR170" s="240" t="s">
        <v>231</v>
      </c>
      <c r="AS170" s="240" t="s">
        <v>231</v>
      </c>
      <c r="AT170" s="240" t="s">
        <v>231</v>
      </c>
      <c r="AU170" s="240" t="s">
        <v>231</v>
      </c>
      <c r="AV170" s="240" t="s">
        <v>231</v>
      </c>
      <c r="AW170" s="240" t="s">
        <v>231</v>
      </c>
      <c r="AX170" s="240" t="s">
        <v>231</v>
      </c>
      <c r="AY170" s="240" t="s">
        <v>231</v>
      </c>
      <c r="AZ170" s="240" t="s">
        <v>231</v>
      </c>
      <c r="BA170" s="240" t="s">
        <v>231</v>
      </c>
      <c r="BB170" s="240" t="s">
        <v>231</v>
      </c>
      <c r="BC170" s="240" t="s">
        <v>231</v>
      </c>
      <c r="BD170" s="240" t="s">
        <v>492</v>
      </c>
      <c r="BE170" s="240" t="s">
        <v>231</v>
      </c>
      <c r="BF170" s="240" t="s">
        <v>231</v>
      </c>
      <c r="BG170" s="240" t="s">
        <v>231</v>
      </c>
      <c r="BH170" s="240" t="s">
        <v>231</v>
      </c>
      <c r="BI170" s="240" t="s">
        <v>231</v>
      </c>
      <c r="BJ170" s="240" t="s">
        <v>231</v>
      </c>
      <c r="BK170" s="240" t="s">
        <v>231</v>
      </c>
      <c r="BL170" s="240" t="s">
        <v>231</v>
      </c>
      <c r="BM170" s="240" t="s">
        <v>231</v>
      </c>
      <c r="BN170" s="240" t="s">
        <v>231</v>
      </c>
      <c r="BO170" s="240" t="s">
        <v>231</v>
      </c>
      <c r="BP170" s="240" t="s">
        <v>231</v>
      </c>
      <c r="BQ170" s="240" t="s">
        <v>231</v>
      </c>
      <c r="BR170" s="240" t="s">
        <v>231</v>
      </c>
      <c r="BS170" s="240" t="s">
        <v>231</v>
      </c>
      <c r="BT170" s="240" t="s">
        <v>231</v>
      </c>
      <c r="BU170" s="240" t="s">
        <v>231</v>
      </c>
      <c r="BV170" s="240" t="s">
        <v>231</v>
      </c>
      <c r="BW170" s="240" t="s">
        <v>231</v>
      </c>
      <c r="BX170" s="240" t="s">
        <v>231</v>
      </c>
      <c r="BY170" s="240" t="s">
        <v>231</v>
      </c>
      <c r="BZ170" s="240" t="s">
        <v>231</v>
      </c>
      <c r="CA170" s="240" t="s">
        <v>231</v>
      </c>
      <c r="CB170" s="240" t="s">
        <v>231</v>
      </c>
      <c r="CC170" s="240" t="s">
        <v>231</v>
      </c>
      <c r="CD170" s="240" t="s">
        <v>231</v>
      </c>
      <c r="CE170" s="240" t="s">
        <v>231</v>
      </c>
      <c r="CF170" s="240" t="s">
        <v>231</v>
      </c>
      <c r="CG170" s="240" t="s">
        <v>231</v>
      </c>
      <c r="CH170" s="240" t="s">
        <v>231</v>
      </c>
      <c r="CI170" s="240" t="s">
        <v>231</v>
      </c>
      <c r="CJ170" s="240" t="s">
        <v>231</v>
      </c>
      <c r="CK170" s="240" t="s">
        <v>231</v>
      </c>
      <c r="CL170" s="240" t="s">
        <v>231</v>
      </c>
      <c r="CM170" s="240" t="s">
        <v>231</v>
      </c>
      <c r="CN170" s="240" t="s">
        <v>231</v>
      </c>
      <c r="CO170" s="240" t="s">
        <v>231</v>
      </c>
      <c r="CP170" s="240" t="s">
        <v>231</v>
      </c>
      <c r="CQ170" s="240" t="s">
        <v>231</v>
      </c>
      <c r="CR170" s="240" t="s">
        <v>231</v>
      </c>
      <c r="CS170" s="240" t="s">
        <v>231</v>
      </c>
      <c r="CT170" s="240" t="s">
        <v>231</v>
      </c>
      <c r="CU170" s="240" t="s">
        <v>231</v>
      </c>
      <c r="CV170" s="240" t="s">
        <v>231</v>
      </c>
      <c r="CW170" s="240" t="s">
        <v>231</v>
      </c>
      <c r="CX170" s="240" t="s">
        <v>231</v>
      </c>
      <c r="CY170" s="240" t="s">
        <v>231</v>
      </c>
      <c r="CZ170" s="240" t="s">
        <v>231</v>
      </c>
      <c r="DA170" s="240" t="s">
        <v>231</v>
      </c>
      <c r="DB170" s="240" t="s">
        <v>231</v>
      </c>
      <c r="DC170" s="240" t="s">
        <v>231</v>
      </c>
      <c r="DD170" s="240" t="s">
        <v>231</v>
      </c>
      <c r="DE170" s="240" t="s">
        <v>231</v>
      </c>
      <c r="DF170" s="240" t="s">
        <v>231</v>
      </c>
      <c r="DG170" s="240" t="s">
        <v>231</v>
      </c>
      <c r="DH170" s="240" t="s">
        <v>231</v>
      </c>
      <c r="DI170" s="240" t="s">
        <v>231</v>
      </c>
      <c r="DJ170" s="240" t="s">
        <v>231</v>
      </c>
      <c r="DK170" s="240" t="s">
        <v>231</v>
      </c>
      <c r="DL170" s="240" t="s">
        <v>231</v>
      </c>
      <c r="DM170" s="240" t="s">
        <v>231</v>
      </c>
      <c r="DN170" s="240" t="s">
        <v>231</v>
      </c>
      <c r="DO170" s="240" t="s">
        <v>231</v>
      </c>
      <c r="DP170" s="240" t="s">
        <v>231</v>
      </c>
      <c r="DQ170" s="240" t="s">
        <v>231</v>
      </c>
      <c r="DR170" s="240" t="s">
        <v>231</v>
      </c>
      <c r="DS170" s="240" t="s">
        <v>231</v>
      </c>
      <c r="DT170" s="240" t="s">
        <v>231</v>
      </c>
      <c r="DU170" s="240" t="s">
        <v>231</v>
      </c>
      <c r="DV170" s="240" t="s">
        <v>231</v>
      </c>
      <c r="DW170" s="240" t="s">
        <v>231</v>
      </c>
      <c r="DX170" s="240" t="s">
        <v>231</v>
      </c>
      <c r="DY170" s="240" t="s">
        <v>231</v>
      </c>
      <c r="DZ170" s="240" t="s">
        <v>231</v>
      </c>
      <c r="EA170" s="240" t="s">
        <v>231</v>
      </c>
      <c r="EB170" s="240" t="s">
        <v>231</v>
      </c>
      <c r="EC170" s="240" t="s">
        <v>231</v>
      </c>
      <c r="ED170" s="240" t="s">
        <v>231</v>
      </c>
      <c r="EE170" s="240" t="s">
        <v>231</v>
      </c>
      <c r="EF170" s="240" t="s">
        <v>231</v>
      </c>
      <c r="EG170" s="240" t="s">
        <v>231</v>
      </c>
      <c r="EH170" s="240" t="s">
        <v>492</v>
      </c>
      <c r="EI170" s="240" t="s">
        <v>231</v>
      </c>
      <c r="EJ170" s="240" t="s">
        <v>231</v>
      </c>
      <c r="EK170" s="240" t="s">
        <v>231</v>
      </c>
      <c r="EL170" s="240" t="s">
        <v>231</v>
      </c>
      <c r="EM170" s="240" t="s">
        <v>231</v>
      </c>
      <c r="EN170" s="240" t="s">
        <v>231</v>
      </c>
      <c r="EO170" s="240" t="s">
        <v>231</v>
      </c>
      <c r="EP170" s="240" t="s">
        <v>231</v>
      </c>
      <c r="EQ170" s="240" t="s">
        <v>231</v>
      </c>
      <c r="ER170" s="240" t="s">
        <v>231</v>
      </c>
      <c r="ES170" s="240" t="s">
        <v>231</v>
      </c>
      <c r="ET170" s="240" t="s">
        <v>231</v>
      </c>
      <c r="EU170" s="240" t="s">
        <v>231</v>
      </c>
      <c r="EV170" s="240" t="s">
        <v>231</v>
      </c>
      <c r="EW170" s="240" t="s">
        <v>231</v>
      </c>
      <c r="EX170" s="240" t="s">
        <v>231</v>
      </c>
      <c r="EY170" s="240" t="s">
        <v>231</v>
      </c>
      <c r="EZ170" s="240" t="s">
        <v>231</v>
      </c>
      <c r="FA170" s="240" t="s">
        <v>231</v>
      </c>
      <c r="FB170" s="240" t="s">
        <v>231</v>
      </c>
      <c r="FC170" s="240" t="s">
        <v>231</v>
      </c>
      <c r="FD170" s="240" t="s">
        <v>231</v>
      </c>
      <c r="FE170" s="240" t="s">
        <v>231</v>
      </c>
      <c r="FF170" s="240" t="s">
        <v>231</v>
      </c>
      <c r="FG170" s="240" t="s">
        <v>231</v>
      </c>
      <c r="FH170" s="240" t="s">
        <v>231</v>
      </c>
      <c r="FI170" s="240" t="s">
        <v>231</v>
      </c>
      <c r="FJ170" s="240" t="s">
        <v>231</v>
      </c>
      <c r="FK170" s="240" t="s">
        <v>231</v>
      </c>
      <c r="FL170" s="240" t="s">
        <v>231</v>
      </c>
      <c r="FM170" s="240" t="s">
        <v>231</v>
      </c>
      <c r="FN170" s="240" t="s">
        <v>231</v>
      </c>
      <c r="FO170" s="240" t="s">
        <v>231</v>
      </c>
      <c r="FP170" s="240" t="s">
        <v>231</v>
      </c>
      <c r="FQ170" s="240" t="s">
        <v>231</v>
      </c>
      <c r="FR170" s="240" t="s">
        <v>231</v>
      </c>
      <c r="FS170" s="240" t="s">
        <v>231</v>
      </c>
      <c r="FT170" s="240" t="s">
        <v>231</v>
      </c>
      <c r="FU170" s="240" t="s">
        <v>231</v>
      </c>
      <c r="FV170" s="240" t="s">
        <v>231</v>
      </c>
      <c r="FW170" s="240" t="s">
        <v>231</v>
      </c>
      <c r="FX170" s="240" t="s">
        <v>231</v>
      </c>
      <c r="FY170" s="240" t="s">
        <v>231</v>
      </c>
      <c r="FZ170" s="240" t="s">
        <v>231</v>
      </c>
      <c r="GA170" s="240" t="s">
        <v>231</v>
      </c>
      <c r="GB170" s="240" t="s">
        <v>231</v>
      </c>
      <c r="GC170" s="240" t="s">
        <v>231</v>
      </c>
      <c r="GD170" s="240" t="s">
        <v>231</v>
      </c>
      <c r="GE170" s="240" t="s">
        <v>231</v>
      </c>
      <c r="GF170" s="240" t="s">
        <v>231</v>
      </c>
      <c r="GG170" s="240" t="s">
        <v>231</v>
      </c>
      <c r="GH170" s="240" t="s">
        <v>231</v>
      </c>
      <c r="GI170" s="240" t="s">
        <v>231</v>
      </c>
      <c r="GJ170" s="240" t="s">
        <v>231</v>
      </c>
      <c r="GK170" s="240" t="s">
        <v>231</v>
      </c>
      <c r="GL170" s="240" t="s">
        <v>231</v>
      </c>
      <c r="GM170" s="240" t="s">
        <v>231</v>
      </c>
      <c r="GN170" s="240" t="s">
        <v>231</v>
      </c>
      <c r="GO170" s="240" t="s">
        <v>231</v>
      </c>
      <c r="GP170" s="240" t="s">
        <v>492</v>
      </c>
      <c r="GQ170" s="240" t="s">
        <v>231</v>
      </c>
      <c r="GR170" s="240" t="s">
        <v>231</v>
      </c>
      <c r="GS170" s="240" t="s">
        <v>231</v>
      </c>
      <c r="GT170" s="240" t="s">
        <v>231</v>
      </c>
      <c r="GU170" s="240" t="s">
        <v>231</v>
      </c>
      <c r="GV170" s="240" t="s">
        <v>231</v>
      </c>
      <c r="GW170" s="240" t="s">
        <v>231</v>
      </c>
      <c r="GX170" s="240" t="s">
        <v>231</v>
      </c>
      <c r="GY170" s="240" t="s">
        <v>231</v>
      </c>
      <c r="GZ170" s="240" t="s">
        <v>231</v>
      </c>
      <c r="HA170" s="240" t="s">
        <v>231</v>
      </c>
      <c r="HB170" s="240" t="s">
        <v>231</v>
      </c>
      <c r="HC170" s="240" t="s">
        <v>231</v>
      </c>
      <c r="HD170" s="240" t="s">
        <v>231</v>
      </c>
      <c r="HE170" s="240" t="s">
        <v>231</v>
      </c>
      <c r="HF170" s="240" t="s">
        <v>231</v>
      </c>
      <c r="HG170" s="240" t="s">
        <v>231</v>
      </c>
      <c r="HH170" s="240" t="s">
        <v>231</v>
      </c>
      <c r="HI170" s="240" t="s">
        <v>231</v>
      </c>
      <c r="HJ170" s="240" t="s">
        <v>231</v>
      </c>
      <c r="HK170" s="240" t="s">
        <v>231</v>
      </c>
      <c r="HL170" s="240" t="s">
        <v>231</v>
      </c>
      <c r="HM170" s="240" t="s">
        <v>231</v>
      </c>
      <c r="HN170" s="240" t="s">
        <v>231</v>
      </c>
      <c r="HO170" s="240" t="s">
        <v>231</v>
      </c>
      <c r="HP170" s="240" t="s">
        <v>231</v>
      </c>
      <c r="HQ170" s="240" t="s">
        <v>231</v>
      </c>
      <c r="HR170" s="240" t="s">
        <v>231</v>
      </c>
      <c r="HS170" s="240" t="s">
        <v>231</v>
      </c>
      <c r="HT170" s="240" t="s">
        <v>231</v>
      </c>
      <c r="HU170" s="240" t="s">
        <v>231</v>
      </c>
      <c r="HV170" s="240" t="s">
        <v>231</v>
      </c>
      <c r="HW170" s="240" t="s">
        <v>231</v>
      </c>
      <c r="HX170" s="240" t="s">
        <v>231</v>
      </c>
      <c r="HY170" s="240" t="s">
        <v>231</v>
      </c>
      <c r="HZ170" s="240" t="s">
        <v>231</v>
      </c>
      <c r="IA170" s="240" t="s">
        <v>231</v>
      </c>
      <c r="IB170" s="240" t="s">
        <v>231</v>
      </c>
      <c r="IC170" s="240" t="s">
        <v>231</v>
      </c>
      <c r="ID170" s="240" t="s">
        <v>231</v>
      </c>
      <c r="IE170" s="240" t="s">
        <v>231</v>
      </c>
      <c r="IF170" s="240" t="s">
        <v>231</v>
      </c>
      <c r="IG170" s="240" t="s">
        <v>231</v>
      </c>
      <c r="IH170" s="240" t="s">
        <v>231</v>
      </c>
      <c r="II170" s="240" t="s">
        <v>231</v>
      </c>
      <c r="IJ170" s="240" t="s">
        <v>231</v>
      </c>
      <c r="IK170" s="240" t="s">
        <v>231</v>
      </c>
      <c r="IL170" s="240" t="s">
        <v>231</v>
      </c>
      <c r="IM170" s="240" t="s">
        <v>231</v>
      </c>
      <c r="IN170" s="240" t="s">
        <v>231</v>
      </c>
      <c r="IO170" s="240" t="s">
        <v>220</v>
      </c>
      <c r="IP170" s="240" t="s">
        <v>493</v>
      </c>
      <c r="IQ170" s="240" t="s">
        <v>219</v>
      </c>
      <c r="IR170" s="240" t="s">
        <v>490</v>
      </c>
      <c r="IS170" s="240" t="s">
        <v>492</v>
      </c>
      <c r="IT170" s="240" t="s">
        <v>492</v>
      </c>
    </row>
    <row r="171" spans="1:254" ht="15" x14ac:dyDescent="0.25">
      <c r="A171" s="258" t="str">
        <f>HYPERLINK("http://www.ofsted.gov.uk/inspection-reports/find-inspection-report/provider/ELS/137327 ","Ofsted School Webpage")</f>
        <v>Ofsted School Webpage</v>
      </c>
      <c r="B171" s="237">
        <v>137327</v>
      </c>
      <c r="C171" s="237">
        <v>9256000</v>
      </c>
      <c r="D171" s="237" t="s">
        <v>928</v>
      </c>
      <c r="E171" s="237" t="s">
        <v>247</v>
      </c>
      <c r="F171" s="237" t="s">
        <v>482</v>
      </c>
      <c r="G171" s="237" t="s">
        <v>572</v>
      </c>
      <c r="H171" s="237" t="s">
        <v>572</v>
      </c>
      <c r="I171" s="237" t="s">
        <v>929</v>
      </c>
      <c r="J171" s="237" t="s">
        <v>930</v>
      </c>
      <c r="K171" s="237" t="s">
        <v>93</v>
      </c>
      <c r="L171" s="237" t="s">
        <v>93</v>
      </c>
      <c r="M171" s="237" t="s">
        <v>93</v>
      </c>
      <c r="N171" s="237" t="s">
        <v>90</v>
      </c>
      <c r="O171" s="237" t="s">
        <v>486</v>
      </c>
      <c r="P171" s="237" t="s">
        <v>487</v>
      </c>
      <c r="Q171" s="238">
        <v>10078681</v>
      </c>
      <c r="R171" s="239">
        <v>43480</v>
      </c>
      <c r="S171" s="239">
        <v>43482</v>
      </c>
      <c r="T171" s="239">
        <v>43501</v>
      </c>
      <c r="U171" s="237" t="s">
        <v>488</v>
      </c>
      <c r="V171" s="237" t="s">
        <v>489</v>
      </c>
      <c r="W171" s="237">
        <v>1</v>
      </c>
      <c r="X171" s="237">
        <v>1</v>
      </c>
      <c r="Y171" s="237">
        <v>1</v>
      </c>
      <c r="Z171" s="237">
        <v>1</v>
      </c>
      <c r="AA171" s="237">
        <v>1</v>
      </c>
      <c r="AB171" s="237">
        <v>1</v>
      </c>
      <c r="AC171" s="237" t="s">
        <v>486</v>
      </c>
      <c r="AD171" s="237" t="s">
        <v>219</v>
      </c>
      <c r="AE171" s="237" t="s">
        <v>490</v>
      </c>
      <c r="AF171" s="237" t="s">
        <v>486</v>
      </c>
      <c r="AG171" s="237" t="s">
        <v>486</v>
      </c>
      <c r="AH171" s="237" t="s">
        <v>486</v>
      </c>
      <c r="AI171" s="237" t="s">
        <v>486</v>
      </c>
      <c r="AJ171" s="237" t="s">
        <v>486</v>
      </c>
      <c r="AK171" s="237" t="s">
        <v>486</v>
      </c>
      <c r="AL171" s="237" t="s">
        <v>486</v>
      </c>
      <c r="AM171" s="237" t="s">
        <v>491</v>
      </c>
      <c r="AN171" s="237" t="s">
        <v>231</v>
      </c>
      <c r="AO171" s="237" t="s">
        <v>231</v>
      </c>
      <c r="AP171" s="237" t="s">
        <v>231</v>
      </c>
      <c r="AQ171" s="237" t="s">
        <v>231</v>
      </c>
      <c r="AR171" s="237" t="s">
        <v>231</v>
      </c>
      <c r="AS171" s="237" t="s">
        <v>231</v>
      </c>
      <c r="AT171" s="237" t="s">
        <v>231</v>
      </c>
      <c r="AU171" s="237" t="s">
        <v>231</v>
      </c>
      <c r="AV171" s="237" t="s">
        <v>231</v>
      </c>
      <c r="AW171" s="237" t="s">
        <v>231</v>
      </c>
      <c r="AX171" s="237" t="s">
        <v>231</v>
      </c>
      <c r="AY171" s="237" t="s">
        <v>231</v>
      </c>
      <c r="AZ171" s="237" t="s">
        <v>231</v>
      </c>
      <c r="BA171" s="237" t="s">
        <v>231</v>
      </c>
      <c r="BB171" s="237" t="s">
        <v>231</v>
      </c>
      <c r="BC171" s="237" t="s">
        <v>231</v>
      </c>
      <c r="BD171" s="237" t="s">
        <v>492</v>
      </c>
      <c r="BE171" s="237" t="s">
        <v>231</v>
      </c>
      <c r="BF171" s="237" t="s">
        <v>231</v>
      </c>
      <c r="BG171" s="237" t="s">
        <v>231</v>
      </c>
      <c r="BH171" s="237" t="s">
        <v>492</v>
      </c>
      <c r="BI171" s="237" t="s">
        <v>492</v>
      </c>
      <c r="BJ171" s="237" t="s">
        <v>492</v>
      </c>
      <c r="BK171" s="237" t="s">
        <v>492</v>
      </c>
      <c r="BL171" s="237" t="s">
        <v>231</v>
      </c>
      <c r="BM171" s="237" t="s">
        <v>492</v>
      </c>
      <c r="BN171" s="237" t="s">
        <v>231</v>
      </c>
      <c r="BO171" s="237" t="s">
        <v>231</v>
      </c>
      <c r="BP171" s="237" t="s">
        <v>231</v>
      </c>
      <c r="BQ171" s="237" t="s">
        <v>231</v>
      </c>
      <c r="BR171" s="237" t="s">
        <v>231</v>
      </c>
      <c r="BS171" s="237" t="s">
        <v>231</v>
      </c>
      <c r="BT171" s="237" t="s">
        <v>231</v>
      </c>
      <c r="BU171" s="237" t="s">
        <v>231</v>
      </c>
      <c r="BV171" s="237" t="s">
        <v>231</v>
      </c>
      <c r="BW171" s="237" t="s">
        <v>231</v>
      </c>
      <c r="BX171" s="237" t="s">
        <v>231</v>
      </c>
      <c r="BY171" s="237" t="s">
        <v>231</v>
      </c>
      <c r="BZ171" s="237" t="s">
        <v>231</v>
      </c>
      <c r="CA171" s="237" t="s">
        <v>231</v>
      </c>
      <c r="CB171" s="237" t="s">
        <v>231</v>
      </c>
      <c r="CC171" s="237" t="s">
        <v>231</v>
      </c>
      <c r="CD171" s="237" t="s">
        <v>231</v>
      </c>
      <c r="CE171" s="237" t="s">
        <v>231</v>
      </c>
      <c r="CF171" s="237" t="s">
        <v>231</v>
      </c>
      <c r="CG171" s="237" t="s">
        <v>231</v>
      </c>
      <c r="CH171" s="237" t="s">
        <v>231</v>
      </c>
      <c r="CI171" s="237" t="s">
        <v>231</v>
      </c>
      <c r="CJ171" s="237" t="s">
        <v>231</v>
      </c>
      <c r="CK171" s="237" t="s">
        <v>231</v>
      </c>
      <c r="CL171" s="237" t="s">
        <v>231</v>
      </c>
      <c r="CM171" s="237" t="s">
        <v>231</v>
      </c>
      <c r="CN171" s="237" t="s">
        <v>231</v>
      </c>
      <c r="CO171" s="237" t="s">
        <v>231</v>
      </c>
      <c r="CP171" s="237" t="s">
        <v>231</v>
      </c>
      <c r="CQ171" s="237" t="s">
        <v>231</v>
      </c>
      <c r="CR171" s="237" t="s">
        <v>231</v>
      </c>
      <c r="CS171" s="237" t="s">
        <v>231</v>
      </c>
      <c r="CT171" s="237" t="s">
        <v>492</v>
      </c>
      <c r="CU171" s="237" t="s">
        <v>492</v>
      </c>
      <c r="CV171" s="237" t="s">
        <v>492</v>
      </c>
      <c r="CW171" s="237" t="s">
        <v>492</v>
      </c>
      <c r="CX171" s="237" t="s">
        <v>231</v>
      </c>
      <c r="CY171" s="237" t="s">
        <v>231</v>
      </c>
      <c r="CZ171" s="237" t="s">
        <v>231</v>
      </c>
      <c r="DA171" s="237" t="s">
        <v>231</v>
      </c>
      <c r="DB171" s="237" t="s">
        <v>231</v>
      </c>
      <c r="DC171" s="237" t="s">
        <v>231</v>
      </c>
      <c r="DD171" s="237" t="s">
        <v>231</v>
      </c>
      <c r="DE171" s="237" t="s">
        <v>231</v>
      </c>
      <c r="DF171" s="237" t="s">
        <v>231</v>
      </c>
      <c r="DG171" s="237" t="s">
        <v>231</v>
      </c>
      <c r="DH171" s="237" t="s">
        <v>231</v>
      </c>
      <c r="DI171" s="237" t="s">
        <v>231</v>
      </c>
      <c r="DJ171" s="237" t="s">
        <v>231</v>
      </c>
      <c r="DK171" s="237" t="s">
        <v>231</v>
      </c>
      <c r="DL171" s="237" t="s">
        <v>231</v>
      </c>
      <c r="DM171" s="237" t="s">
        <v>231</v>
      </c>
      <c r="DN171" s="237" t="s">
        <v>231</v>
      </c>
      <c r="DO171" s="237" t="s">
        <v>231</v>
      </c>
      <c r="DP171" s="237" t="s">
        <v>231</v>
      </c>
      <c r="DQ171" s="237" t="s">
        <v>231</v>
      </c>
      <c r="DR171" s="237" t="s">
        <v>492</v>
      </c>
      <c r="DS171" s="237" t="s">
        <v>492</v>
      </c>
      <c r="DT171" s="237" t="s">
        <v>492</v>
      </c>
      <c r="DU171" s="237" t="s">
        <v>231</v>
      </c>
      <c r="DV171" s="237" t="s">
        <v>492</v>
      </c>
      <c r="DW171" s="237" t="s">
        <v>492</v>
      </c>
      <c r="DX171" s="237" t="s">
        <v>492</v>
      </c>
      <c r="DY171" s="237" t="s">
        <v>492</v>
      </c>
      <c r="DZ171" s="237" t="s">
        <v>492</v>
      </c>
      <c r="EA171" s="237" t="s">
        <v>492</v>
      </c>
      <c r="EB171" s="237" t="s">
        <v>492</v>
      </c>
      <c r="EC171" s="237" t="s">
        <v>492</v>
      </c>
      <c r="ED171" s="237" t="s">
        <v>492</v>
      </c>
      <c r="EE171" s="237" t="s">
        <v>492</v>
      </c>
      <c r="EF171" s="237" t="s">
        <v>492</v>
      </c>
      <c r="EG171" s="237" t="s">
        <v>492</v>
      </c>
      <c r="EH171" s="237" t="s">
        <v>492</v>
      </c>
      <c r="EI171" s="237" t="s">
        <v>492</v>
      </c>
      <c r="EJ171" s="237" t="s">
        <v>231</v>
      </c>
      <c r="EK171" s="237" t="s">
        <v>231</v>
      </c>
      <c r="EL171" s="237" t="s">
        <v>231</v>
      </c>
      <c r="EM171" s="237" t="s">
        <v>231</v>
      </c>
      <c r="EN171" s="237" t="s">
        <v>231</v>
      </c>
      <c r="EO171" s="237" t="s">
        <v>231</v>
      </c>
      <c r="EP171" s="237" t="s">
        <v>231</v>
      </c>
      <c r="EQ171" s="237" t="s">
        <v>231</v>
      </c>
      <c r="ER171" s="237" t="s">
        <v>231</v>
      </c>
      <c r="ES171" s="237" t="s">
        <v>231</v>
      </c>
      <c r="ET171" s="237" t="s">
        <v>231</v>
      </c>
      <c r="EU171" s="237" t="s">
        <v>231</v>
      </c>
      <c r="EV171" s="237" t="s">
        <v>231</v>
      </c>
      <c r="EW171" s="237" t="s">
        <v>231</v>
      </c>
      <c r="EX171" s="237" t="s">
        <v>231</v>
      </c>
      <c r="EY171" s="237" t="s">
        <v>231</v>
      </c>
      <c r="EZ171" s="237" t="s">
        <v>231</v>
      </c>
      <c r="FA171" s="237" t="s">
        <v>231</v>
      </c>
      <c r="FB171" s="237" t="s">
        <v>231</v>
      </c>
      <c r="FC171" s="237" t="s">
        <v>231</v>
      </c>
      <c r="FD171" s="237" t="s">
        <v>231</v>
      </c>
      <c r="FE171" s="237" t="s">
        <v>231</v>
      </c>
      <c r="FF171" s="237" t="s">
        <v>492</v>
      </c>
      <c r="FG171" s="237" t="s">
        <v>492</v>
      </c>
      <c r="FH171" s="237" t="s">
        <v>492</v>
      </c>
      <c r="FI171" s="237" t="s">
        <v>492</v>
      </c>
      <c r="FJ171" s="237" t="s">
        <v>492</v>
      </c>
      <c r="FK171" s="237" t="s">
        <v>492</v>
      </c>
      <c r="FL171" s="237" t="s">
        <v>492</v>
      </c>
      <c r="FM171" s="237" t="s">
        <v>231</v>
      </c>
      <c r="FN171" s="237" t="s">
        <v>492</v>
      </c>
      <c r="FO171" s="237" t="s">
        <v>493</v>
      </c>
      <c r="FP171" s="237" t="s">
        <v>492</v>
      </c>
      <c r="FQ171" s="237" t="s">
        <v>231</v>
      </c>
      <c r="FR171" s="237" t="s">
        <v>231</v>
      </c>
      <c r="FS171" s="237" t="s">
        <v>231</v>
      </c>
      <c r="FT171" s="237" t="s">
        <v>492</v>
      </c>
      <c r="FU171" s="237" t="s">
        <v>231</v>
      </c>
      <c r="FV171" s="237" t="s">
        <v>231</v>
      </c>
      <c r="FW171" s="237" t="s">
        <v>231</v>
      </c>
      <c r="FX171" s="237" t="s">
        <v>492</v>
      </c>
      <c r="FY171" s="237" t="s">
        <v>231</v>
      </c>
      <c r="FZ171" s="237" t="s">
        <v>231</v>
      </c>
      <c r="GA171" s="237" t="s">
        <v>231</v>
      </c>
      <c r="GB171" s="237" t="s">
        <v>231</v>
      </c>
      <c r="GC171" s="237" t="s">
        <v>231</v>
      </c>
      <c r="GD171" s="237" t="s">
        <v>231</v>
      </c>
      <c r="GE171" s="237" t="s">
        <v>231</v>
      </c>
      <c r="GF171" s="237" t="s">
        <v>231</v>
      </c>
      <c r="GG171" s="237" t="s">
        <v>231</v>
      </c>
      <c r="GH171" s="237" t="s">
        <v>231</v>
      </c>
      <c r="GI171" s="237" t="s">
        <v>231</v>
      </c>
      <c r="GJ171" s="237" t="s">
        <v>231</v>
      </c>
      <c r="GK171" s="237" t="s">
        <v>231</v>
      </c>
      <c r="GL171" s="237" t="s">
        <v>231</v>
      </c>
      <c r="GM171" s="237" t="s">
        <v>231</v>
      </c>
      <c r="GN171" s="237" t="s">
        <v>231</v>
      </c>
      <c r="GO171" s="237" t="s">
        <v>231</v>
      </c>
      <c r="GP171" s="237" t="s">
        <v>492</v>
      </c>
      <c r="GQ171" s="237" t="s">
        <v>231</v>
      </c>
      <c r="GR171" s="237" t="s">
        <v>231</v>
      </c>
      <c r="GS171" s="237" t="s">
        <v>231</v>
      </c>
      <c r="GT171" s="237" t="s">
        <v>231</v>
      </c>
      <c r="GU171" s="237" t="s">
        <v>231</v>
      </c>
      <c r="GV171" s="237" t="s">
        <v>492</v>
      </c>
      <c r="GW171" s="237" t="s">
        <v>231</v>
      </c>
      <c r="GX171" s="237" t="s">
        <v>231</v>
      </c>
      <c r="GY171" s="237" t="s">
        <v>492</v>
      </c>
      <c r="GZ171" s="237" t="s">
        <v>492</v>
      </c>
      <c r="HA171" s="237" t="s">
        <v>231</v>
      </c>
      <c r="HB171" s="237" t="s">
        <v>231</v>
      </c>
      <c r="HC171" s="237" t="s">
        <v>231</v>
      </c>
      <c r="HD171" s="237" t="s">
        <v>231</v>
      </c>
      <c r="HE171" s="237" t="s">
        <v>231</v>
      </c>
      <c r="HF171" s="237" t="s">
        <v>231</v>
      </c>
      <c r="HG171" s="237" t="s">
        <v>492</v>
      </c>
      <c r="HH171" s="237" t="s">
        <v>231</v>
      </c>
      <c r="HI171" s="237" t="s">
        <v>231</v>
      </c>
      <c r="HJ171" s="237" t="s">
        <v>231</v>
      </c>
      <c r="HK171" s="237" t="s">
        <v>231</v>
      </c>
      <c r="HL171" s="237" t="s">
        <v>231</v>
      </c>
      <c r="HM171" s="237" t="s">
        <v>231</v>
      </c>
      <c r="HN171" s="237" t="s">
        <v>231</v>
      </c>
      <c r="HO171" s="237" t="s">
        <v>231</v>
      </c>
      <c r="HP171" s="237" t="s">
        <v>231</v>
      </c>
      <c r="HQ171" s="237" t="s">
        <v>492</v>
      </c>
      <c r="HR171" s="237" t="s">
        <v>492</v>
      </c>
      <c r="HS171" s="237" t="s">
        <v>492</v>
      </c>
      <c r="HT171" s="237" t="s">
        <v>492</v>
      </c>
      <c r="HU171" s="237" t="s">
        <v>231</v>
      </c>
      <c r="HV171" s="237" t="s">
        <v>231</v>
      </c>
      <c r="HW171" s="237" t="s">
        <v>231</v>
      </c>
      <c r="HX171" s="237" t="s">
        <v>231</v>
      </c>
      <c r="HY171" s="237" t="s">
        <v>231</v>
      </c>
      <c r="HZ171" s="237" t="s">
        <v>231</v>
      </c>
      <c r="IA171" s="237" t="s">
        <v>231</v>
      </c>
      <c r="IB171" s="237" t="s">
        <v>231</v>
      </c>
      <c r="IC171" s="237" t="s">
        <v>231</v>
      </c>
      <c r="ID171" s="237" t="s">
        <v>231</v>
      </c>
      <c r="IE171" s="237" t="s">
        <v>231</v>
      </c>
      <c r="IF171" s="237" t="s">
        <v>231</v>
      </c>
      <c r="IG171" s="237" t="s">
        <v>231</v>
      </c>
      <c r="IH171" s="237" t="s">
        <v>231</v>
      </c>
      <c r="II171" s="237" t="s">
        <v>231</v>
      </c>
      <c r="IJ171" s="237" t="s">
        <v>231</v>
      </c>
      <c r="IK171" s="237" t="s">
        <v>231</v>
      </c>
      <c r="IL171" s="237" t="s">
        <v>231</v>
      </c>
      <c r="IM171" s="237" t="s">
        <v>231</v>
      </c>
      <c r="IN171" s="237" t="s">
        <v>231</v>
      </c>
      <c r="IO171" s="237" t="s">
        <v>220</v>
      </c>
      <c r="IP171" s="237" t="s">
        <v>493</v>
      </c>
      <c r="IQ171" s="237" t="s">
        <v>219</v>
      </c>
      <c r="IR171" s="237" t="s">
        <v>490</v>
      </c>
      <c r="IS171" s="237" t="s">
        <v>231</v>
      </c>
      <c r="IT171" s="237" t="s">
        <v>231</v>
      </c>
    </row>
    <row r="172" spans="1:254" ht="15" x14ac:dyDescent="0.25">
      <c r="A172" s="259" t="str">
        <f>HYPERLINK("http://www.ofsted.gov.uk/inspection-reports/find-inspection-report/provider/ELS/130913 ","Ofsted School Webpage")</f>
        <v>Ofsted School Webpage</v>
      </c>
      <c r="B172" s="240">
        <v>130913</v>
      </c>
      <c r="C172" s="240">
        <v>3576056</v>
      </c>
      <c r="D172" s="240" t="s">
        <v>931</v>
      </c>
      <c r="E172" s="240" t="s">
        <v>248</v>
      </c>
      <c r="F172" s="240" t="s">
        <v>501</v>
      </c>
      <c r="G172" s="240" t="s">
        <v>495</v>
      </c>
      <c r="H172" s="240" t="s">
        <v>495</v>
      </c>
      <c r="I172" s="240" t="s">
        <v>834</v>
      </c>
      <c r="J172" s="240" t="s">
        <v>932</v>
      </c>
      <c r="K172" s="240" t="s">
        <v>93</v>
      </c>
      <c r="L172" s="240" t="s">
        <v>93</v>
      </c>
      <c r="M172" s="240" t="s">
        <v>93</v>
      </c>
      <c r="N172" s="240" t="s">
        <v>90</v>
      </c>
      <c r="O172" s="240" t="s">
        <v>486</v>
      </c>
      <c r="P172" s="240" t="s">
        <v>487</v>
      </c>
      <c r="Q172" s="241">
        <v>10067887</v>
      </c>
      <c r="R172" s="242">
        <v>43480</v>
      </c>
      <c r="S172" s="242">
        <v>43482</v>
      </c>
      <c r="T172" s="242">
        <v>43502</v>
      </c>
      <c r="U172" s="240" t="s">
        <v>488</v>
      </c>
      <c r="V172" s="240" t="s">
        <v>489</v>
      </c>
      <c r="W172" s="240">
        <v>2</v>
      </c>
      <c r="X172" s="240">
        <v>2</v>
      </c>
      <c r="Y172" s="240">
        <v>2</v>
      </c>
      <c r="Z172" s="240">
        <v>2</v>
      </c>
      <c r="AA172" s="240">
        <v>2</v>
      </c>
      <c r="AB172" s="240" t="s">
        <v>486</v>
      </c>
      <c r="AC172" s="240" t="s">
        <v>486</v>
      </c>
      <c r="AD172" s="240" t="s">
        <v>219</v>
      </c>
      <c r="AE172" s="240" t="s">
        <v>490</v>
      </c>
      <c r="AF172" s="240" t="s">
        <v>486</v>
      </c>
      <c r="AG172" s="240" t="s">
        <v>486</v>
      </c>
      <c r="AH172" s="240" t="s">
        <v>486</v>
      </c>
      <c r="AI172" s="240" t="s">
        <v>486</v>
      </c>
      <c r="AJ172" s="240" t="s">
        <v>486</v>
      </c>
      <c r="AK172" s="240" t="s">
        <v>486</v>
      </c>
      <c r="AL172" s="240" t="s">
        <v>486</v>
      </c>
      <c r="AM172" s="240" t="s">
        <v>491</v>
      </c>
      <c r="AN172" s="240" t="s">
        <v>231</v>
      </c>
      <c r="AO172" s="240" t="s">
        <v>231</v>
      </c>
      <c r="AP172" s="240" t="s">
        <v>231</v>
      </c>
      <c r="AQ172" s="240" t="s">
        <v>231</v>
      </c>
      <c r="AR172" s="240" t="s">
        <v>231</v>
      </c>
      <c r="AS172" s="240" t="s">
        <v>231</v>
      </c>
      <c r="AT172" s="240" t="s">
        <v>231</v>
      </c>
      <c r="AU172" s="240" t="s">
        <v>231</v>
      </c>
      <c r="AV172" s="240" t="s">
        <v>231</v>
      </c>
      <c r="AW172" s="240" t="s">
        <v>231</v>
      </c>
      <c r="AX172" s="240" t="s">
        <v>231</v>
      </c>
      <c r="AY172" s="240" t="s">
        <v>231</v>
      </c>
      <c r="AZ172" s="240" t="s">
        <v>231</v>
      </c>
      <c r="BA172" s="240" t="s">
        <v>231</v>
      </c>
      <c r="BB172" s="240" t="s">
        <v>231</v>
      </c>
      <c r="BC172" s="240" t="s">
        <v>231</v>
      </c>
      <c r="BD172" s="240" t="s">
        <v>492</v>
      </c>
      <c r="BE172" s="240" t="s">
        <v>231</v>
      </c>
      <c r="BF172" s="240" t="s">
        <v>231</v>
      </c>
      <c r="BG172" s="240" t="s">
        <v>231</v>
      </c>
      <c r="BH172" s="240" t="s">
        <v>231</v>
      </c>
      <c r="BI172" s="240" t="s">
        <v>231</v>
      </c>
      <c r="BJ172" s="240" t="s">
        <v>231</v>
      </c>
      <c r="BK172" s="240" t="s">
        <v>231</v>
      </c>
      <c r="BL172" s="240" t="s">
        <v>492</v>
      </c>
      <c r="BM172" s="240" t="s">
        <v>492</v>
      </c>
      <c r="BN172" s="240" t="s">
        <v>231</v>
      </c>
      <c r="BO172" s="240" t="s">
        <v>231</v>
      </c>
      <c r="BP172" s="240" t="s">
        <v>231</v>
      </c>
      <c r="BQ172" s="240" t="s">
        <v>231</v>
      </c>
      <c r="BR172" s="240" t="s">
        <v>231</v>
      </c>
      <c r="BS172" s="240" t="s">
        <v>231</v>
      </c>
      <c r="BT172" s="240" t="s">
        <v>231</v>
      </c>
      <c r="BU172" s="240" t="s">
        <v>231</v>
      </c>
      <c r="BV172" s="240" t="s">
        <v>231</v>
      </c>
      <c r="BW172" s="240" t="s">
        <v>231</v>
      </c>
      <c r="BX172" s="240" t="s">
        <v>231</v>
      </c>
      <c r="BY172" s="240" t="s">
        <v>231</v>
      </c>
      <c r="BZ172" s="240" t="s">
        <v>231</v>
      </c>
      <c r="CA172" s="240" t="s">
        <v>231</v>
      </c>
      <c r="CB172" s="240" t="s">
        <v>231</v>
      </c>
      <c r="CC172" s="240" t="s">
        <v>231</v>
      </c>
      <c r="CD172" s="240" t="s">
        <v>231</v>
      </c>
      <c r="CE172" s="240" t="s">
        <v>231</v>
      </c>
      <c r="CF172" s="240" t="s">
        <v>231</v>
      </c>
      <c r="CG172" s="240" t="s">
        <v>231</v>
      </c>
      <c r="CH172" s="240" t="s">
        <v>231</v>
      </c>
      <c r="CI172" s="240" t="s">
        <v>231</v>
      </c>
      <c r="CJ172" s="240" t="s">
        <v>231</v>
      </c>
      <c r="CK172" s="240" t="s">
        <v>231</v>
      </c>
      <c r="CL172" s="240" t="s">
        <v>231</v>
      </c>
      <c r="CM172" s="240" t="s">
        <v>231</v>
      </c>
      <c r="CN172" s="240" t="s">
        <v>231</v>
      </c>
      <c r="CO172" s="240" t="s">
        <v>231</v>
      </c>
      <c r="CP172" s="240" t="s">
        <v>231</v>
      </c>
      <c r="CQ172" s="240" t="s">
        <v>231</v>
      </c>
      <c r="CR172" s="240" t="s">
        <v>231</v>
      </c>
      <c r="CS172" s="240" t="s">
        <v>231</v>
      </c>
      <c r="CT172" s="240" t="s">
        <v>231</v>
      </c>
      <c r="CU172" s="240" t="s">
        <v>492</v>
      </c>
      <c r="CV172" s="240" t="s">
        <v>492</v>
      </c>
      <c r="CW172" s="240" t="s">
        <v>231</v>
      </c>
      <c r="CX172" s="240" t="s">
        <v>231</v>
      </c>
      <c r="CY172" s="240" t="s">
        <v>231</v>
      </c>
      <c r="CZ172" s="240" t="s">
        <v>231</v>
      </c>
      <c r="DA172" s="240" t="s">
        <v>231</v>
      </c>
      <c r="DB172" s="240" t="s">
        <v>231</v>
      </c>
      <c r="DC172" s="240" t="s">
        <v>231</v>
      </c>
      <c r="DD172" s="240" t="s">
        <v>231</v>
      </c>
      <c r="DE172" s="240" t="s">
        <v>231</v>
      </c>
      <c r="DF172" s="240" t="s">
        <v>231</v>
      </c>
      <c r="DG172" s="240" t="s">
        <v>231</v>
      </c>
      <c r="DH172" s="240" t="s">
        <v>231</v>
      </c>
      <c r="DI172" s="240" t="s">
        <v>231</v>
      </c>
      <c r="DJ172" s="240" t="s">
        <v>231</v>
      </c>
      <c r="DK172" s="240" t="s">
        <v>231</v>
      </c>
      <c r="DL172" s="240" t="s">
        <v>231</v>
      </c>
      <c r="DM172" s="240" t="s">
        <v>231</v>
      </c>
      <c r="DN172" s="240" t="s">
        <v>231</v>
      </c>
      <c r="DO172" s="240" t="s">
        <v>231</v>
      </c>
      <c r="DP172" s="240" t="s">
        <v>231</v>
      </c>
      <c r="DQ172" s="240" t="s">
        <v>231</v>
      </c>
      <c r="DR172" s="240" t="s">
        <v>231</v>
      </c>
      <c r="DS172" s="240" t="s">
        <v>231</v>
      </c>
      <c r="DT172" s="240" t="s">
        <v>231</v>
      </c>
      <c r="DU172" s="240" t="s">
        <v>231</v>
      </c>
      <c r="DV172" s="240" t="s">
        <v>231</v>
      </c>
      <c r="DW172" s="240" t="s">
        <v>231</v>
      </c>
      <c r="DX172" s="240" t="s">
        <v>231</v>
      </c>
      <c r="DY172" s="240" t="s">
        <v>231</v>
      </c>
      <c r="DZ172" s="240" t="s">
        <v>231</v>
      </c>
      <c r="EA172" s="240" t="s">
        <v>231</v>
      </c>
      <c r="EB172" s="240" t="s">
        <v>231</v>
      </c>
      <c r="EC172" s="240" t="s">
        <v>231</v>
      </c>
      <c r="ED172" s="240" t="s">
        <v>231</v>
      </c>
      <c r="EE172" s="240" t="s">
        <v>231</v>
      </c>
      <c r="EF172" s="240" t="s">
        <v>231</v>
      </c>
      <c r="EG172" s="240" t="s">
        <v>231</v>
      </c>
      <c r="EH172" s="240" t="s">
        <v>231</v>
      </c>
      <c r="EI172" s="240" t="s">
        <v>231</v>
      </c>
      <c r="EJ172" s="240" t="s">
        <v>231</v>
      </c>
      <c r="EK172" s="240" t="s">
        <v>231</v>
      </c>
      <c r="EL172" s="240" t="s">
        <v>231</v>
      </c>
      <c r="EM172" s="240" t="s">
        <v>231</v>
      </c>
      <c r="EN172" s="240" t="s">
        <v>231</v>
      </c>
      <c r="EO172" s="240" t="s">
        <v>231</v>
      </c>
      <c r="EP172" s="240" t="s">
        <v>231</v>
      </c>
      <c r="EQ172" s="240" t="s">
        <v>231</v>
      </c>
      <c r="ER172" s="240" t="s">
        <v>231</v>
      </c>
      <c r="ES172" s="240" t="s">
        <v>231</v>
      </c>
      <c r="ET172" s="240" t="s">
        <v>231</v>
      </c>
      <c r="EU172" s="240" t="s">
        <v>231</v>
      </c>
      <c r="EV172" s="240" t="s">
        <v>231</v>
      </c>
      <c r="EW172" s="240" t="s">
        <v>231</v>
      </c>
      <c r="EX172" s="240" t="s">
        <v>231</v>
      </c>
      <c r="EY172" s="240" t="s">
        <v>231</v>
      </c>
      <c r="EZ172" s="240" t="s">
        <v>231</v>
      </c>
      <c r="FA172" s="240" t="s">
        <v>231</v>
      </c>
      <c r="FB172" s="240" t="s">
        <v>231</v>
      </c>
      <c r="FC172" s="240" t="s">
        <v>231</v>
      </c>
      <c r="FD172" s="240" t="s">
        <v>231</v>
      </c>
      <c r="FE172" s="240" t="s">
        <v>231</v>
      </c>
      <c r="FF172" s="240" t="s">
        <v>231</v>
      </c>
      <c r="FG172" s="240" t="s">
        <v>231</v>
      </c>
      <c r="FH172" s="240" t="s">
        <v>231</v>
      </c>
      <c r="FI172" s="240" t="s">
        <v>231</v>
      </c>
      <c r="FJ172" s="240" t="s">
        <v>231</v>
      </c>
      <c r="FK172" s="240" t="s">
        <v>231</v>
      </c>
      <c r="FL172" s="240" t="s">
        <v>231</v>
      </c>
      <c r="FM172" s="240" t="s">
        <v>231</v>
      </c>
      <c r="FN172" s="240" t="s">
        <v>231</v>
      </c>
      <c r="FO172" s="240" t="s">
        <v>231</v>
      </c>
      <c r="FP172" s="240" t="s">
        <v>231</v>
      </c>
      <c r="FQ172" s="240" t="s">
        <v>231</v>
      </c>
      <c r="FR172" s="240" t="s">
        <v>231</v>
      </c>
      <c r="FS172" s="240" t="s">
        <v>492</v>
      </c>
      <c r="FT172" s="240" t="s">
        <v>231</v>
      </c>
      <c r="FU172" s="240" t="s">
        <v>231</v>
      </c>
      <c r="FV172" s="240" t="s">
        <v>231</v>
      </c>
      <c r="FW172" s="240" t="s">
        <v>231</v>
      </c>
      <c r="FX172" s="240" t="s">
        <v>492</v>
      </c>
      <c r="FY172" s="240" t="s">
        <v>231</v>
      </c>
      <c r="FZ172" s="240" t="s">
        <v>231</v>
      </c>
      <c r="GA172" s="240" t="s">
        <v>231</v>
      </c>
      <c r="GB172" s="240" t="s">
        <v>231</v>
      </c>
      <c r="GC172" s="240" t="s">
        <v>231</v>
      </c>
      <c r="GD172" s="240" t="s">
        <v>231</v>
      </c>
      <c r="GE172" s="240" t="s">
        <v>231</v>
      </c>
      <c r="GF172" s="240" t="s">
        <v>231</v>
      </c>
      <c r="GG172" s="240" t="s">
        <v>231</v>
      </c>
      <c r="GH172" s="240" t="s">
        <v>231</v>
      </c>
      <c r="GI172" s="240" t="s">
        <v>231</v>
      </c>
      <c r="GJ172" s="240" t="s">
        <v>231</v>
      </c>
      <c r="GK172" s="240" t="s">
        <v>231</v>
      </c>
      <c r="GL172" s="240" t="s">
        <v>231</v>
      </c>
      <c r="GM172" s="240" t="s">
        <v>231</v>
      </c>
      <c r="GN172" s="240" t="s">
        <v>231</v>
      </c>
      <c r="GO172" s="240" t="s">
        <v>231</v>
      </c>
      <c r="GP172" s="240" t="s">
        <v>492</v>
      </c>
      <c r="GQ172" s="240" t="s">
        <v>231</v>
      </c>
      <c r="GR172" s="240" t="s">
        <v>231</v>
      </c>
      <c r="GS172" s="240" t="s">
        <v>231</v>
      </c>
      <c r="GT172" s="240" t="s">
        <v>492</v>
      </c>
      <c r="GU172" s="240" t="s">
        <v>492</v>
      </c>
      <c r="GV172" s="240" t="s">
        <v>492</v>
      </c>
      <c r="GW172" s="240" t="s">
        <v>231</v>
      </c>
      <c r="GX172" s="240" t="s">
        <v>231</v>
      </c>
      <c r="GY172" s="240" t="s">
        <v>231</v>
      </c>
      <c r="GZ172" s="240" t="s">
        <v>231</v>
      </c>
      <c r="HA172" s="240" t="s">
        <v>231</v>
      </c>
      <c r="HB172" s="240" t="s">
        <v>231</v>
      </c>
      <c r="HC172" s="240" t="s">
        <v>231</v>
      </c>
      <c r="HD172" s="240" t="s">
        <v>231</v>
      </c>
      <c r="HE172" s="240" t="s">
        <v>231</v>
      </c>
      <c r="HF172" s="240" t="s">
        <v>231</v>
      </c>
      <c r="HG172" s="240" t="s">
        <v>231</v>
      </c>
      <c r="HH172" s="240" t="s">
        <v>231</v>
      </c>
      <c r="HI172" s="240" t="s">
        <v>231</v>
      </c>
      <c r="HJ172" s="240" t="s">
        <v>231</v>
      </c>
      <c r="HK172" s="240" t="s">
        <v>231</v>
      </c>
      <c r="HL172" s="240" t="s">
        <v>231</v>
      </c>
      <c r="HM172" s="240" t="s">
        <v>231</v>
      </c>
      <c r="HN172" s="240" t="s">
        <v>231</v>
      </c>
      <c r="HO172" s="240" t="s">
        <v>231</v>
      </c>
      <c r="HP172" s="240" t="s">
        <v>231</v>
      </c>
      <c r="HQ172" s="240" t="s">
        <v>231</v>
      </c>
      <c r="HR172" s="240" t="s">
        <v>231</v>
      </c>
      <c r="HS172" s="240" t="s">
        <v>231</v>
      </c>
      <c r="HT172" s="240" t="s">
        <v>231</v>
      </c>
      <c r="HU172" s="240" t="s">
        <v>231</v>
      </c>
      <c r="HV172" s="240" t="s">
        <v>231</v>
      </c>
      <c r="HW172" s="240" t="s">
        <v>231</v>
      </c>
      <c r="HX172" s="240" t="s">
        <v>231</v>
      </c>
      <c r="HY172" s="240" t="s">
        <v>231</v>
      </c>
      <c r="HZ172" s="240" t="s">
        <v>231</v>
      </c>
      <c r="IA172" s="240" t="s">
        <v>231</v>
      </c>
      <c r="IB172" s="240" t="s">
        <v>231</v>
      </c>
      <c r="IC172" s="240" t="s">
        <v>231</v>
      </c>
      <c r="ID172" s="240" t="s">
        <v>231</v>
      </c>
      <c r="IE172" s="240" t="s">
        <v>231</v>
      </c>
      <c r="IF172" s="240" t="s">
        <v>231</v>
      </c>
      <c r="IG172" s="240" t="s">
        <v>231</v>
      </c>
      <c r="IH172" s="240" t="s">
        <v>231</v>
      </c>
      <c r="II172" s="240" t="s">
        <v>231</v>
      </c>
      <c r="IJ172" s="240" t="s">
        <v>231</v>
      </c>
      <c r="IK172" s="240" t="s">
        <v>231</v>
      </c>
      <c r="IL172" s="240" t="s">
        <v>231</v>
      </c>
      <c r="IM172" s="240" t="s">
        <v>231</v>
      </c>
      <c r="IN172" s="240" t="s">
        <v>231</v>
      </c>
      <c r="IO172" s="240" t="s">
        <v>219</v>
      </c>
      <c r="IP172" s="240" t="s">
        <v>219</v>
      </c>
      <c r="IQ172" s="240" t="s">
        <v>219</v>
      </c>
      <c r="IR172" s="240" t="s">
        <v>490</v>
      </c>
      <c r="IS172" s="240" t="s">
        <v>231</v>
      </c>
      <c r="IT172" s="240" t="s">
        <v>231</v>
      </c>
    </row>
    <row r="173" spans="1:254" ht="15" x14ac:dyDescent="0.25">
      <c r="A173" s="258" t="str">
        <f>HYPERLINK("http://www.ofsted.gov.uk/inspection-reports/find-inspection-report/provider/ELS/106150 ","Ofsted School Webpage")</f>
        <v>Ofsted School Webpage</v>
      </c>
      <c r="B173" s="237">
        <v>106150</v>
      </c>
      <c r="C173" s="237">
        <v>3566008</v>
      </c>
      <c r="D173" s="237" t="s">
        <v>933</v>
      </c>
      <c r="E173" s="237" t="s">
        <v>248</v>
      </c>
      <c r="F173" s="237" t="s">
        <v>501</v>
      </c>
      <c r="G173" s="237" t="s">
        <v>495</v>
      </c>
      <c r="H173" s="237" t="s">
        <v>495</v>
      </c>
      <c r="I173" s="237" t="s">
        <v>934</v>
      </c>
      <c r="J173" s="237" t="s">
        <v>935</v>
      </c>
      <c r="K173" s="237" t="s">
        <v>93</v>
      </c>
      <c r="L173" s="237" t="s">
        <v>93</v>
      </c>
      <c r="M173" s="237" t="s">
        <v>93</v>
      </c>
      <c r="N173" s="237" t="s">
        <v>90</v>
      </c>
      <c r="O173" s="237" t="s">
        <v>486</v>
      </c>
      <c r="P173" s="237" t="s">
        <v>487</v>
      </c>
      <c r="Q173" s="238">
        <v>10053722</v>
      </c>
      <c r="R173" s="239">
        <v>43480</v>
      </c>
      <c r="S173" s="239">
        <v>43482</v>
      </c>
      <c r="T173" s="239">
        <v>43528</v>
      </c>
      <c r="U173" s="237" t="s">
        <v>488</v>
      </c>
      <c r="V173" s="237" t="s">
        <v>489</v>
      </c>
      <c r="W173" s="237">
        <v>4</v>
      </c>
      <c r="X173" s="237">
        <v>4</v>
      </c>
      <c r="Y173" s="237">
        <v>1</v>
      </c>
      <c r="Z173" s="237">
        <v>4</v>
      </c>
      <c r="AA173" s="237">
        <v>3</v>
      </c>
      <c r="AB173" s="237" t="s">
        <v>486</v>
      </c>
      <c r="AC173" s="237" t="s">
        <v>486</v>
      </c>
      <c r="AD173" s="237" t="s">
        <v>219</v>
      </c>
      <c r="AE173" s="237" t="s">
        <v>490</v>
      </c>
      <c r="AF173" s="237" t="s">
        <v>486</v>
      </c>
      <c r="AG173" s="237" t="s">
        <v>486</v>
      </c>
      <c r="AH173" s="237" t="s">
        <v>486</v>
      </c>
      <c r="AI173" s="237" t="s">
        <v>486</v>
      </c>
      <c r="AJ173" s="237" t="s">
        <v>486</v>
      </c>
      <c r="AK173" s="237" t="s">
        <v>486</v>
      </c>
      <c r="AL173" s="237" t="s">
        <v>486</v>
      </c>
      <c r="AM173" s="237" t="s">
        <v>545</v>
      </c>
      <c r="AN173" s="237" t="s">
        <v>546</v>
      </c>
      <c r="AO173" s="237" t="s">
        <v>231</v>
      </c>
      <c r="AP173" s="237" t="s">
        <v>231</v>
      </c>
      <c r="AQ173" s="237" t="s">
        <v>231</v>
      </c>
      <c r="AR173" s="237" t="s">
        <v>231</v>
      </c>
      <c r="AS173" s="237" t="s">
        <v>231</v>
      </c>
      <c r="AT173" s="237" t="s">
        <v>231</v>
      </c>
      <c r="AU173" s="237" t="s">
        <v>546</v>
      </c>
      <c r="AV173" s="237" t="s">
        <v>232</v>
      </c>
      <c r="AW173" s="237" t="s">
        <v>232</v>
      </c>
      <c r="AX173" s="237" t="s">
        <v>232</v>
      </c>
      <c r="AY173" s="237" t="s">
        <v>232</v>
      </c>
      <c r="AZ173" s="237" t="s">
        <v>231</v>
      </c>
      <c r="BA173" s="237" t="s">
        <v>231</v>
      </c>
      <c r="BB173" s="237" t="s">
        <v>231</v>
      </c>
      <c r="BC173" s="237" t="s">
        <v>231</v>
      </c>
      <c r="BD173" s="237" t="s">
        <v>492</v>
      </c>
      <c r="BE173" s="237" t="s">
        <v>231</v>
      </c>
      <c r="BF173" s="237" t="s">
        <v>231</v>
      </c>
      <c r="BG173" s="237" t="s">
        <v>231</v>
      </c>
      <c r="BH173" s="237" t="s">
        <v>231</v>
      </c>
      <c r="BI173" s="237" t="s">
        <v>231</v>
      </c>
      <c r="BJ173" s="237" t="s">
        <v>231</v>
      </c>
      <c r="BK173" s="237" t="s">
        <v>231</v>
      </c>
      <c r="BL173" s="237" t="s">
        <v>492</v>
      </c>
      <c r="BM173" s="237" t="s">
        <v>492</v>
      </c>
      <c r="BN173" s="237" t="s">
        <v>231</v>
      </c>
      <c r="BO173" s="237" t="s">
        <v>231</v>
      </c>
      <c r="BP173" s="237" t="s">
        <v>231</v>
      </c>
      <c r="BQ173" s="237" t="s">
        <v>231</v>
      </c>
      <c r="BR173" s="237" t="s">
        <v>231</v>
      </c>
      <c r="BS173" s="237" t="s">
        <v>231</v>
      </c>
      <c r="BT173" s="237" t="s">
        <v>231</v>
      </c>
      <c r="BU173" s="237" t="s">
        <v>231</v>
      </c>
      <c r="BV173" s="237" t="s">
        <v>231</v>
      </c>
      <c r="BW173" s="237" t="s">
        <v>231</v>
      </c>
      <c r="BX173" s="237" t="s">
        <v>231</v>
      </c>
      <c r="BY173" s="237" t="s">
        <v>231</v>
      </c>
      <c r="BZ173" s="237" t="s">
        <v>231</v>
      </c>
      <c r="CA173" s="237" t="s">
        <v>231</v>
      </c>
      <c r="CB173" s="237" t="s">
        <v>231</v>
      </c>
      <c r="CC173" s="237" t="s">
        <v>231</v>
      </c>
      <c r="CD173" s="237" t="s">
        <v>231</v>
      </c>
      <c r="CE173" s="237" t="s">
        <v>231</v>
      </c>
      <c r="CF173" s="237" t="s">
        <v>231</v>
      </c>
      <c r="CG173" s="237" t="s">
        <v>231</v>
      </c>
      <c r="CH173" s="237" t="s">
        <v>231</v>
      </c>
      <c r="CI173" s="237" t="s">
        <v>231</v>
      </c>
      <c r="CJ173" s="237" t="s">
        <v>231</v>
      </c>
      <c r="CK173" s="237" t="s">
        <v>231</v>
      </c>
      <c r="CL173" s="237" t="s">
        <v>231</v>
      </c>
      <c r="CM173" s="237" t="s">
        <v>231</v>
      </c>
      <c r="CN173" s="237" t="s">
        <v>231</v>
      </c>
      <c r="CO173" s="237" t="s">
        <v>231</v>
      </c>
      <c r="CP173" s="237" t="s">
        <v>231</v>
      </c>
      <c r="CQ173" s="237" t="s">
        <v>231</v>
      </c>
      <c r="CR173" s="237" t="s">
        <v>231</v>
      </c>
      <c r="CS173" s="237" t="s">
        <v>231</v>
      </c>
      <c r="CT173" s="237" t="s">
        <v>492</v>
      </c>
      <c r="CU173" s="237" t="s">
        <v>492</v>
      </c>
      <c r="CV173" s="237" t="s">
        <v>492</v>
      </c>
      <c r="CW173" s="237" t="s">
        <v>231</v>
      </c>
      <c r="CX173" s="237" t="s">
        <v>231</v>
      </c>
      <c r="CY173" s="237" t="s">
        <v>231</v>
      </c>
      <c r="CZ173" s="237" t="s">
        <v>231</v>
      </c>
      <c r="DA173" s="237" t="s">
        <v>231</v>
      </c>
      <c r="DB173" s="237" t="s">
        <v>231</v>
      </c>
      <c r="DC173" s="237" t="s">
        <v>231</v>
      </c>
      <c r="DD173" s="237" t="s">
        <v>231</v>
      </c>
      <c r="DE173" s="237" t="s">
        <v>231</v>
      </c>
      <c r="DF173" s="237" t="s">
        <v>231</v>
      </c>
      <c r="DG173" s="237" t="s">
        <v>231</v>
      </c>
      <c r="DH173" s="237" t="s">
        <v>231</v>
      </c>
      <c r="DI173" s="237" t="s">
        <v>231</v>
      </c>
      <c r="DJ173" s="237" t="s">
        <v>231</v>
      </c>
      <c r="DK173" s="237" t="s">
        <v>231</v>
      </c>
      <c r="DL173" s="237" t="s">
        <v>231</v>
      </c>
      <c r="DM173" s="237" t="s">
        <v>231</v>
      </c>
      <c r="DN173" s="237" t="s">
        <v>231</v>
      </c>
      <c r="DO173" s="237" t="s">
        <v>231</v>
      </c>
      <c r="DP173" s="237" t="s">
        <v>231</v>
      </c>
      <c r="DQ173" s="237" t="s">
        <v>231</v>
      </c>
      <c r="DR173" s="237" t="s">
        <v>231</v>
      </c>
      <c r="DS173" s="237" t="s">
        <v>492</v>
      </c>
      <c r="DT173" s="237" t="s">
        <v>492</v>
      </c>
      <c r="DU173" s="237" t="s">
        <v>231</v>
      </c>
      <c r="DV173" s="237" t="s">
        <v>231</v>
      </c>
      <c r="DW173" s="237" t="s">
        <v>231</v>
      </c>
      <c r="DX173" s="237" t="s">
        <v>231</v>
      </c>
      <c r="DY173" s="237" t="s">
        <v>231</v>
      </c>
      <c r="DZ173" s="237" t="s">
        <v>231</v>
      </c>
      <c r="EA173" s="237" t="s">
        <v>231</v>
      </c>
      <c r="EB173" s="237" t="s">
        <v>231</v>
      </c>
      <c r="EC173" s="237" t="s">
        <v>231</v>
      </c>
      <c r="ED173" s="237" t="s">
        <v>231</v>
      </c>
      <c r="EE173" s="237" t="s">
        <v>231</v>
      </c>
      <c r="EF173" s="237" t="s">
        <v>231</v>
      </c>
      <c r="EG173" s="237" t="s">
        <v>231</v>
      </c>
      <c r="EH173" s="237" t="s">
        <v>492</v>
      </c>
      <c r="EI173" s="237" t="s">
        <v>231</v>
      </c>
      <c r="EJ173" s="237" t="s">
        <v>231</v>
      </c>
      <c r="EK173" s="237" t="s">
        <v>231</v>
      </c>
      <c r="EL173" s="237" t="s">
        <v>231</v>
      </c>
      <c r="EM173" s="237" t="s">
        <v>231</v>
      </c>
      <c r="EN173" s="237" t="s">
        <v>231</v>
      </c>
      <c r="EO173" s="237" t="s">
        <v>231</v>
      </c>
      <c r="EP173" s="237" t="s">
        <v>231</v>
      </c>
      <c r="EQ173" s="237" t="s">
        <v>492</v>
      </c>
      <c r="ER173" s="237" t="s">
        <v>231</v>
      </c>
      <c r="ES173" s="237" t="s">
        <v>231</v>
      </c>
      <c r="ET173" s="237" t="s">
        <v>231</v>
      </c>
      <c r="EU173" s="237" t="s">
        <v>231</v>
      </c>
      <c r="EV173" s="237" t="s">
        <v>231</v>
      </c>
      <c r="EW173" s="237" t="s">
        <v>231</v>
      </c>
      <c r="EX173" s="237" t="s">
        <v>231</v>
      </c>
      <c r="EY173" s="237" t="s">
        <v>231</v>
      </c>
      <c r="EZ173" s="237" t="s">
        <v>231</v>
      </c>
      <c r="FA173" s="237" t="s">
        <v>231</v>
      </c>
      <c r="FB173" s="237" t="s">
        <v>231</v>
      </c>
      <c r="FC173" s="237" t="s">
        <v>231</v>
      </c>
      <c r="FD173" s="237" t="s">
        <v>231</v>
      </c>
      <c r="FE173" s="237" t="s">
        <v>231</v>
      </c>
      <c r="FF173" s="237" t="s">
        <v>231</v>
      </c>
      <c r="FG173" s="237" t="s">
        <v>231</v>
      </c>
      <c r="FH173" s="237" t="s">
        <v>231</v>
      </c>
      <c r="FI173" s="237" t="s">
        <v>231</v>
      </c>
      <c r="FJ173" s="237" t="s">
        <v>231</v>
      </c>
      <c r="FK173" s="237" t="s">
        <v>231</v>
      </c>
      <c r="FL173" s="237" t="s">
        <v>231</v>
      </c>
      <c r="FM173" s="237" t="s">
        <v>231</v>
      </c>
      <c r="FN173" s="237" t="s">
        <v>231</v>
      </c>
      <c r="FO173" s="237" t="s">
        <v>231</v>
      </c>
      <c r="FP173" s="237" t="s">
        <v>231</v>
      </c>
      <c r="FQ173" s="237" t="s">
        <v>231</v>
      </c>
      <c r="FR173" s="237" t="s">
        <v>231</v>
      </c>
      <c r="FS173" s="237" t="s">
        <v>231</v>
      </c>
      <c r="FT173" s="237" t="s">
        <v>231</v>
      </c>
      <c r="FU173" s="237" t="s">
        <v>231</v>
      </c>
      <c r="FV173" s="237" t="s">
        <v>231</v>
      </c>
      <c r="FW173" s="237" t="s">
        <v>231</v>
      </c>
      <c r="FX173" s="237" t="s">
        <v>231</v>
      </c>
      <c r="FY173" s="237" t="s">
        <v>231</v>
      </c>
      <c r="FZ173" s="237" t="s">
        <v>231</v>
      </c>
      <c r="GA173" s="237" t="s">
        <v>231</v>
      </c>
      <c r="GB173" s="237" t="s">
        <v>231</v>
      </c>
      <c r="GC173" s="237" t="s">
        <v>231</v>
      </c>
      <c r="GD173" s="237" t="s">
        <v>231</v>
      </c>
      <c r="GE173" s="237" t="s">
        <v>231</v>
      </c>
      <c r="GF173" s="237" t="s">
        <v>231</v>
      </c>
      <c r="GG173" s="237" t="s">
        <v>231</v>
      </c>
      <c r="GH173" s="237" t="s">
        <v>231</v>
      </c>
      <c r="GI173" s="237" t="s">
        <v>231</v>
      </c>
      <c r="GJ173" s="237" t="s">
        <v>231</v>
      </c>
      <c r="GK173" s="237" t="s">
        <v>231</v>
      </c>
      <c r="GL173" s="237" t="s">
        <v>231</v>
      </c>
      <c r="GM173" s="237" t="s">
        <v>231</v>
      </c>
      <c r="GN173" s="237" t="s">
        <v>231</v>
      </c>
      <c r="GO173" s="237" t="s">
        <v>231</v>
      </c>
      <c r="GP173" s="237" t="s">
        <v>492</v>
      </c>
      <c r="GQ173" s="237" t="s">
        <v>231</v>
      </c>
      <c r="GR173" s="237" t="s">
        <v>231</v>
      </c>
      <c r="GS173" s="237" t="s">
        <v>231</v>
      </c>
      <c r="GT173" s="237" t="s">
        <v>231</v>
      </c>
      <c r="GU173" s="237" t="s">
        <v>231</v>
      </c>
      <c r="GV173" s="237" t="s">
        <v>492</v>
      </c>
      <c r="GW173" s="237" t="s">
        <v>231</v>
      </c>
      <c r="GX173" s="237" t="s">
        <v>231</v>
      </c>
      <c r="GY173" s="237" t="s">
        <v>231</v>
      </c>
      <c r="GZ173" s="237" t="s">
        <v>231</v>
      </c>
      <c r="HA173" s="237" t="s">
        <v>231</v>
      </c>
      <c r="HB173" s="237" t="s">
        <v>231</v>
      </c>
      <c r="HC173" s="237" t="s">
        <v>231</v>
      </c>
      <c r="HD173" s="237" t="s">
        <v>231</v>
      </c>
      <c r="HE173" s="237" t="s">
        <v>492</v>
      </c>
      <c r="HF173" s="237" t="s">
        <v>231</v>
      </c>
      <c r="HG173" s="237" t="s">
        <v>231</v>
      </c>
      <c r="HH173" s="237" t="s">
        <v>231</v>
      </c>
      <c r="HI173" s="237" t="s">
        <v>231</v>
      </c>
      <c r="HJ173" s="237" t="s">
        <v>231</v>
      </c>
      <c r="HK173" s="237" t="s">
        <v>231</v>
      </c>
      <c r="HL173" s="237" t="s">
        <v>231</v>
      </c>
      <c r="HM173" s="237" t="s">
        <v>231</v>
      </c>
      <c r="HN173" s="237" t="s">
        <v>231</v>
      </c>
      <c r="HO173" s="237" t="s">
        <v>231</v>
      </c>
      <c r="HP173" s="237" t="s">
        <v>231</v>
      </c>
      <c r="HQ173" s="237" t="s">
        <v>231</v>
      </c>
      <c r="HR173" s="237" t="s">
        <v>492</v>
      </c>
      <c r="HS173" s="237" t="s">
        <v>492</v>
      </c>
      <c r="HT173" s="237" t="s">
        <v>492</v>
      </c>
      <c r="HU173" s="237" t="s">
        <v>231</v>
      </c>
      <c r="HV173" s="237" t="s">
        <v>231</v>
      </c>
      <c r="HW173" s="237" t="s">
        <v>231</v>
      </c>
      <c r="HX173" s="237" t="s">
        <v>231</v>
      </c>
      <c r="HY173" s="237" t="s">
        <v>231</v>
      </c>
      <c r="HZ173" s="237" t="s">
        <v>231</v>
      </c>
      <c r="IA173" s="237" t="s">
        <v>231</v>
      </c>
      <c r="IB173" s="237" t="s">
        <v>231</v>
      </c>
      <c r="IC173" s="237" t="s">
        <v>231</v>
      </c>
      <c r="ID173" s="237" t="s">
        <v>231</v>
      </c>
      <c r="IE173" s="237" t="s">
        <v>231</v>
      </c>
      <c r="IF173" s="237" t="s">
        <v>231</v>
      </c>
      <c r="IG173" s="237" t="s">
        <v>231</v>
      </c>
      <c r="IH173" s="237" t="s">
        <v>231</v>
      </c>
      <c r="II173" s="237" t="s">
        <v>231</v>
      </c>
      <c r="IJ173" s="237" t="s">
        <v>231</v>
      </c>
      <c r="IK173" s="237" t="s">
        <v>232</v>
      </c>
      <c r="IL173" s="237" t="s">
        <v>232</v>
      </c>
      <c r="IM173" s="237" t="s">
        <v>232</v>
      </c>
      <c r="IN173" s="237" t="s">
        <v>231</v>
      </c>
      <c r="IO173" s="237" t="s">
        <v>220</v>
      </c>
      <c r="IP173" s="237" t="s">
        <v>493</v>
      </c>
      <c r="IQ173" s="237" t="s">
        <v>219</v>
      </c>
      <c r="IR173" s="237" t="s">
        <v>490</v>
      </c>
      <c r="IS173" s="237" t="s">
        <v>492</v>
      </c>
      <c r="IT173" s="237" t="s">
        <v>492</v>
      </c>
    </row>
    <row r="174" spans="1:254" ht="15" x14ac:dyDescent="0.25">
      <c r="A174" s="259" t="str">
        <f>HYPERLINK("http://www.ofsted.gov.uk/inspection-reports/find-inspection-report/provider/ELS/138877 ","Ofsted School Webpage")</f>
        <v>Ofsted School Webpage</v>
      </c>
      <c r="B174" s="240">
        <v>138877</v>
      </c>
      <c r="C174" s="240">
        <v>9356002</v>
      </c>
      <c r="D174" s="240" t="s">
        <v>936</v>
      </c>
      <c r="E174" s="240" t="s">
        <v>247</v>
      </c>
      <c r="F174" s="240" t="s">
        <v>482</v>
      </c>
      <c r="G174" s="240" t="s">
        <v>516</v>
      </c>
      <c r="H174" s="240" t="s">
        <v>516</v>
      </c>
      <c r="I174" s="240" t="s">
        <v>937</v>
      </c>
      <c r="J174" s="240" t="s">
        <v>938</v>
      </c>
      <c r="K174" s="240" t="s">
        <v>93</v>
      </c>
      <c r="L174" s="240" t="s">
        <v>93</v>
      </c>
      <c r="M174" s="240" t="s">
        <v>93</v>
      </c>
      <c r="N174" s="240" t="s">
        <v>90</v>
      </c>
      <c r="O174" s="240" t="s">
        <v>486</v>
      </c>
      <c r="P174" s="240" t="s">
        <v>487</v>
      </c>
      <c r="Q174" s="241">
        <v>10056570</v>
      </c>
      <c r="R174" s="242">
        <v>43480</v>
      </c>
      <c r="S174" s="242">
        <v>43482</v>
      </c>
      <c r="T174" s="242">
        <v>43509</v>
      </c>
      <c r="U174" s="240" t="s">
        <v>488</v>
      </c>
      <c r="V174" s="240" t="s">
        <v>489</v>
      </c>
      <c r="W174" s="240">
        <v>2</v>
      </c>
      <c r="X174" s="240">
        <v>2</v>
      </c>
      <c r="Y174" s="240">
        <v>2</v>
      </c>
      <c r="Z174" s="240">
        <v>2</v>
      </c>
      <c r="AA174" s="240">
        <v>2</v>
      </c>
      <c r="AB174" s="240" t="s">
        <v>486</v>
      </c>
      <c r="AC174" s="240" t="s">
        <v>486</v>
      </c>
      <c r="AD174" s="240" t="s">
        <v>219</v>
      </c>
      <c r="AE174" s="240" t="s">
        <v>490</v>
      </c>
      <c r="AF174" s="240" t="s">
        <v>486</v>
      </c>
      <c r="AG174" s="240" t="s">
        <v>486</v>
      </c>
      <c r="AH174" s="240" t="s">
        <v>486</v>
      </c>
      <c r="AI174" s="240" t="s">
        <v>486</v>
      </c>
      <c r="AJ174" s="240" t="s">
        <v>486</v>
      </c>
      <c r="AK174" s="240" t="s">
        <v>486</v>
      </c>
      <c r="AL174" s="240" t="s">
        <v>486</v>
      </c>
      <c r="AM174" s="240" t="s">
        <v>491</v>
      </c>
      <c r="AN174" s="240" t="s">
        <v>231</v>
      </c>
      <c r="AO174" s="240" t="s">
        <v>231</v>
      </c>
      <c r="AP174" s="240" t="s">
        <v>231</v>
      </c>
      <c r="AQ174" s="240" t="s">
        <v>231</v>
      </c>
      <c r="AR174" s="240" t="s">
        <v>231</v>
      </c>
      <c r="AS174" s="240" t="s">
        <v>231</v>
      </c>
      <c r="AT174" s="240" t="s">
        <v>231</v>
      </c>
      <c r="AU174" s="240" t="s">
        <v>231</v>
      </c>
      <c r="AV174" s="240" t="s">
        <v>231</v>
      </c>
      <c r="AW174" s="240" t="s">
        <v>231</v>
      </c>
      <c r="AX174" s="240" t="s">
        <v>231</v>
      </c>
      <c r="AY174" s="240" t="s">
        <v>231</v>
      </c>
      <c r="AZ174" s="240" t="s">
        <v>231</v>
      </c>
      <c r="BA174" s="240" t="s">
        <v>231</v>
      </c>
      <c r="BB174" s="240" t="s">
        <v>231</v>
      </c>
      <c r="BC174" s="240" t="s">
        <v>231</v>
      </c>
      <c r="BD174" s="240" t="s">
        <v>231</v>
      </c>
      <c r="BE174" s="240" t="s">
        <v>231</v>
      </c>
      <c r="BF174" s="240" t="s">
        <v>231</v>
      </c>
      <c r="BG174" s="240" t="s">
        <v>231</v>
      </c>
      <c r="BH174" s="240" t="s">
        <v>492</v>
      </c>
      <c r="BI174" s="240" t="s">
        <v>492</v>
      </c>
      <c r="BJ174" s="240" t="s">
        <v>492</v>
      </c>
      <c r="BK174" s="240" t="s">
        <v>492</v>
      </c>
      <c r="BL174" s="240" t="s">
        <v>492</v>
      </c>
      <c r="BM174" s="240" t="s">
        <v>492</v>
      </c>
      <c r="BN174" s="240" t="s">
        <v>231</v>
      </c>
      <c r="BO174" s="240" t="s">
        <v>231</v>
      </c>
      <c r="BP174" s="240" t="s">
        <v>231</v>
      </c>
      <c r="BQ174" s="240" t="s">
        <v>231</v>
      </c>
      <c r="BR174" s="240" t="s">
        <v>231</v>
      </c>
      <c r="BS174" s="240" t="s">
        <v>231</v>
      </c>
      <c r="BT174" s="240" t="s">
        <v>231</v>
      </c>
      <c r="BU174" s="240" t="s">
        <v>231</v>
      </c>
      <c r="BV174" s="240" t="s">
        <v>231</v>
      </c>
      <c r="BW174" s="240" t="s">
        <v>231</v>
      </c>
      <c r="BX174" s="240" t="s">
        <v>231</v>
      </c>
      <c r="BY174" s="240" t="s">
        <v>231</v>
      </c>
      <c r="BZ174" s="240" t="s">
        <v>231</v>
      </c>
      <c r="CA174" s="240" t="s">
        <v>231</v>
      </c>
      <c r="CB174" s="240" t="s">
        <v>231</v>
      </c>
      <c r="CC174" s="240" t="s">
        <v>231</v>
      </c>
      <c r="CD174" s="240" t="s">
        <v>231</v>
      </c>
      <c r="CE174" s="240" t="s">
        <v>231</v>
      </c>
      <c r="CF174" s="240" t="s">
        <v>231</v>
      </c>
      <c r="CG174" s="240" t="s">
        <v>231</v>
      </c>
      <c r="CH174" s="240" t="s">
        <v>231</v>
      </c>
      <c r="CI174" s="240" t="s">
        <v>231</v>
      </c>
      <c r="CJ174" s="240" t="s">
        <v>231</v>
      </c>
      <c r="CK174" s="240" t="s">
        <v>231</v>
      </c>
      <c r="CL174" s="240" t="s">
        <v>231</v>
      </c>
      <c r="CM174" s="240" t="s">
        <v>231</v>
      </c>
      <c r="CN174" s="240" t="s">
        <v>231</v>
      </c>
      <c r="CO174" s="240" t="s">
        <v>231</v>
      </c>
      <c r="CP174" s="240" t="s">
        <v>231</v>
      </c>
      <c r="CQ174" s="240" t="s">
        <v>231</v>
      </c>
      <c r="CR174" s="240" t="s">
        <v>231</v>
      </c>
      <c r="CS174" s="240" t="s">
        <v>231</v>
      </c>
      <c r="CT174" s="240" t="s">
        <v>231</v>
      </c>
      <c r="CU174" s="240" t="s">
        <v>231</v>
      </c>
      <c r="CV174" s="240" t="s">
        <v>492</v>
      </c>
      <c r="CW174" s="240" t="s">
        <v>231</v>
      </c>
      <c r="CX174" s="240" t="s">
        <v>231</v>
      </c>
      <c r="CY174" s="240" t="s">
        <v>231</v>
      </c>
      <c r="CZ174" s="240" t="s">
        <v>231</v>
      </c>
      <c r="DA174" s="240" t="s">
        <v>231</v>
      </c>
      <c r="DB174" s="240" t="s">
        <v>231</v>
      </c>
      <c r="DC174" s="240" t="s">
        <v>231</v>
      </c>
      <c r="DD174" s="240" t="s">
        <v>231</v>
      </c>
      <c r="DE174" s="240" t="s">
        <v>231</v>
      </c>
      <c r="DF174" s="240" t="s">
        <v>231</v>
      </c>
      <c r="DG174" s="240" t="s">
        <v>231</v>
      </c>
      <c r="DH174" s="240" t="s">
        <v>231</v>
      </c>
      <c r="DI174" s="240" t="s">
        <v>231</v>
      </c>
      <c r="DJ174" s="240" t="s">
        <v>231</v>
      </c>
      <c r="DK174" s="240" t="s">
        <v>231</v>
      </c>
      <c r="DL174" s="240" t="s">
        <v>231</v>
      </c>
      <c r="DM174" s="240" t="s">
        <v>231</v>
      </c>
      <c r="DN174" s="240" t="s">
        <v>231</v>
      </c>
      <c r="DO174" s="240" t="s">
        <v>231</v>
      </c>
      <c r="DP174" s="240" t="s">
        <v>231</v>
      </c>
      <c r="DQ174" s="240" t="s">
        <v>231</v>
      </c>
      <c r="DR174" s="240" t="s">
        <v>231</v>
      </c>
      <c r="DS174" s="240" t="s">
        <v>231</v>
      </c>
      <c r="DT174" s="240" t="s">
        <v>492</v>
      </c>
      <c r="DU174" s="240" t="s">
        <v>231</v>
      </c>
      <c r="DV174" s="240" t="s">
        <v>231</v>
      </c>
      <c r="DW174" s="240" t="s">
        <v>231</v>
      </c>
      <c r="DX174" s="240" t="s">
        <v>231</v>
      </c>
      <c r="DY174" s="240" t="s">
        <v>231</v>
      </c>
      <c r="DZ174" s="240" t="s">
        <v>231</v>
      </c>
      <c r="EA174" s="240" t="s">
        <v>231</v>
      </c>
      <c r="EB174" s="240" t="s">
        <v>231</v>
      </c>
      <c r="EC174" s="240" t="s">
        <v>231</v>
      </c>
      <c r="ED174" s="240" t="s">
        <v>231</v>
      </c>
      <c r="EE174" s="240" t="s">
        <v>231</v>
      </c>
      <c r="EF174" s="240" t="s">
        <v>231</v>
      </c>
      <c r="EG174" s="240" t="s">
        <v>231</v>
      </c>
      <c r="EH174" s="240" t="s">
        <v>492</v>
      </c>
      <c r="EI174" s="240" t="s">
        <v>231</v>
      </c>
      <c r="EJ174" s="240" t="s">
        <v>231</v>
      </c>
      <c r="EK174" s="240" t="s">
        <v>231</v>
      </c>
      <c r="EL174" s="240" t="s">
        <v>231</v>
      </c>
      <c r="EM174" s="240" t="s">
        <v>231</v>
      </c>
      <c r="EN174" s="240" t="s">
        <v>231</v>
      </c>
      <c r="EO174" s="240" t="s">
        <v>231</v>
      </c>
      <c r="EP174" s="240" t="s">
        <v>231</v>
      </c>
      <c r="EQ174" s="240" t="s">
        <v>231</v>
      </c>
      <c r="ER174" s="240" t="s">
        <v>231</v>
      </c>
      <c r="ES174" s="240" t="s">
        <v>231</v>
      </c>
      <c r="ET174" s="240" t="s">
        <v>231</v>
      </c>
      <c r="EU174" s="240" t="s">
        <v>231</v>
      </c>
      <c r="EV174" s="240" t="s">
        <v>231</v>
      </c>
      <c r="EW174" s="240" t="s">
        <v>231</v>
      </c>
      <c r="EX174" s="240" t="s">
        <v>231</v>
      </c>
      <c r="EY174" s="240" t="s">
        <v>231</v>
      </c>
      <c r="EZ174" s="240" t="s">
        <v>231</v>
      </c>
      <c r="FA174" s="240" t="s">
        <v>231</v>
      </c>
      <c r="FB174" s="240" t="s">
        <v>231</v>
      </c>
      <c r="FC174" s="240" t="s">
        <v>231</v>
      </c>
      <c r="FD174" s="240" t="s">
        <v>231</v>
      </c>
      <c r="FE174" s="240" t="s">
        <v>231</v>
      </c>
      <c r="FF174" s="240" t="s">
        <v>231</v>
      </c>
      <c r="FG174" s="240" t="s">
        <v>231</v>
      </c>
      <c r="FH174" s="240" t="s">
        <v>231</v>
      </c>
      <c r="FI174" s="240" t="s">
        <v>231</v>
      </c>
      <c r="FJ174" s="240" t="s">
        <v>231</v>
      </c>
      <c r="FK174" s="240" t="s">
        <v>231</v>
      </c>
      <c r="FL174" s="240" t="s">
        <v>231</v>
      </c>
      <c r="FM174" s="240" t="s">
        <v>231</v>
      </c>
      <c r="FN174" s="240" t="s">
        <v>231</v>
      </c>
      <c r="FO174" s="240" t="s">
        <v>231</v>
      </c>
      <c r="FP174" s="240" t="s">
        <v>231</v>
      </c>
      <c r="FQ174" s="240" t="s">
        <v>231</v>
      </c>
      <c r="FR174" s="240" t="s">
        <v>231</v>
      </c>
      <c r="FS174" s="240" t="s">
        <v>231</v>
      </c>
      <c r="FT174" s="240" t="s">
        <v>492</v>
      </c>
      <c r="FU174" s="240" t="s">
        <v>231</v>
      </c>
      <c r="FV174" s="240" t="s">
        <v>231</v>
      </c>
      <c r="FW174" s="240" t="s">
        <v>231</v>
      </c>
      <c r="FX174" s="240" t="s">
        <v>492</v>
      </c>
      <c r="FY174" s="240" t="s">
        <v>492</v>
      </c>
      <c r="FZ174" s="240" t="s">
        <v>231</v>
      </c>
      <c r="GA174" s="240" t="s">
        <v>231</v>
      </c>
      <c r="GB174" s="240" t="s">
        <v>231</v>
      </c>
      <c r="GC174" s="240" t="s">
        <v>231</v>
      </c>
      <c r="GD174" s="240" t="s">
        <v>231</v>
      </c>
      <c r="GE174" s="240" t="s">
        <v>231</v>
      </c>
      <c r="GF174" s="240" t="s">
        <v>231</v>
      </c>
      <c r="GG174" s="240" t="s">
        <v>231</v>
      </c>
      <c r="GH174" s="240" t="s">
        <v>231</v>
      </c>
      <c r="GI174" s="240" t="s">
        <v>231</v>
      </c>
      <c r="GJ174" s="240" t="s">
        <v>231</v>
      </c>
      <c r="GK174" s="240" t="s">
        <v>231</v>
      </c>
      <c r="GL174" s="240" t="s">
        <v>231</v>
      </c>
      <c r="GM174" s="240" t="s">
        <v>231</v>
      </c>
      <c r="GN174" s="240" t="s">
        <v>231</v>
      </c>
      <c r="GO174" s="240" t="s">
        <v>231</v>
      </c>
      <c r="GP174" s="240" t="s">
        <v>492</v>
      </c>
      <c r="GQ174" s="240" t="s">
        <v>231</v>
      </c>
      <c r="GR174" s="240" t="s">
        <v>231</v>
      </c>
      <c r="GS174" s="240" t="s">
        <v>231</v>
      </c>
      <c r="GT174" s="240" t="s">
        <v>231</v>
      </c>
      <c r="GU174" s="240" t="s">
        <v>231</v>
      </c>
      <c r="GV174" s="240" t="s">
        <v>231</v>
      </c>
      <c r="GW174" s="240" t="s">
        <v>231</v>
      </c>
      <c r="GX174" s="240" t="s">
        <v>231</v>
      </c>
      <c r="GY174" s="240" t="s">
        <v>231</v>
      </c>
      <c r="GZ174" s="240" t="s">
        <v>231</v>
      </c>
      <c r="HA174" s="240" t="s">
        <v>231</v>
      </c>
      <c r="HB174" s="240" t="s">
        <v>231</v>
      </c>
      <c r="HC174" s="240" t="s">
        <v>231</v>
      </c>
      <c r="HD174" s="240" t="s">
        <v>231</v>
      </c>
      <c r="HE174" s="240" t="s">
        <v>492</v>
      </c>
      <c r="HF174" s="240" t="s">
        <v>231</v>
      </c>
      <c r="HG174" s="240" t="s">
        <v>492</v>
      </c>
      <c r="HH174" s="240" t="s">
        <v>231</v>
      </c>
      <c r="HI174" s="240" t="s">
        <v>231</v>
      </c>
      <c r="HJ174" s="240" t="s">
        <v>231</v>
      </c>
      <c r="HK174" s="240" t="s">
        <v>231</v>
      </c>
      <c r="HL174" s="240" t="s">
        <v>231</v>
      </c>
      <c r="HM174" s="240" t="s">
        <v>231</v>
      </c>
      <c r="HN174" s="240" t="s">
        <v>231</v>
      </c>
      <c r="HO174" s="240" t="s">
        <v>231</v>
      </c>
      <c r="HP174" s="240" t="s">
        <v>231</v>
      </c>
      <c r="HQ174" s="240" t="s">
        <v>492</v>
      </c>
      <c r="HR174" s="240" t="s">
        <v>492</v>
      </c>
      <c r="HS174" s="240" t="s">
        <v>492</v>
      </c>
      <c r="HT174" s="240" t="s">
        <v>492</v>
      </c>
      <c r="HU174" s="240" t="s">
        <v>231</v>
      </c>
      <c r="HV174" s="240" t="s">
        <v>231</v>
      </c>
      <c r="HW174" s="240" t="s">
        <v>231</v>
      </c>
      <c r="HX174" s="240" t="s">
        <v>231</v>
      </c>
      <c r="HY174" s="240" t="s">
        <v>231</v>
      </c>
      <c r="HZ174" s="240" t="s">
        <v>231</v>
      </c>
      <c r="IA174" s="240" t="s">
        <v>231</v>
      </c>
      <c r="IB174" s="240" t="s">
        <v>231</v>
      </c>
      <c r="IC174" s="240" t="s">
        <v>231</v>
      </c>
      <c r="ID174" s="240" t="s">
        <v>231</v>
      </c>
      <c r="IE174" s="240" t="s">
        <v>231</v>
      </c>
      <c r="IF174" s="240" t="s">
        <v>231</v>
      </c>
      <c r="IG174" s="240" t="s">
        <v>231</v>
      </c>
      <c r="IH174" s="240" t="s">
        <v>231</v>
      </c>
      <c r="II174" s="240" t="s">
        <v>231</v>
      </c>
      <c r="IJ174" s="240" t="s">
        <v>231</v>
      </c>
      <c r="IK174" s="240" t="s">
        <v>231</v>
      </c>
      <c r="IL174" s="240" t="s">
        <v>231</v>
      </c>
      <c r="IM174" s="240" t="s">
        <v>231</v>
      </c>
      <c r="IN174" s="240" t="s">
        <v>231</v>
      </c>
      <c r="IO174" s="240" t="s">
        <v>220</v>
      </c>
      <c r="IP174" s="240" t="s">
        <v>493</v>
      </c>
      <c r="IQ174" s="240" t="s">
        <v>219</v>
      </c>
      <c r="IR174" s="240" t="s">
        <v>490</v>
      </c>
      <c r="IS174" s="240" t="s">
        <v>492</v>
      </c>
      <c r="IT174" s="240" t="s">
        <v>492</v>
      </c>
    </row>
    <row r="175" spans="1:254" ht="15" x14ac:dyDescent="0.25">
      <c r="A175" s="258" t="str">
        <f>HYPERLINK("http://www.ofsted.gov.uk/inspection-reports/find-inspection-report/provider/ELS/135150 ","Ofsted School Webpage")</f>
        <v>Ofsted School Webpage</v>
      </c>
      <c r="B175" s="237">
        <v>135150</v>
      </c>
      <c r="C175" s="237">
        <v>8816056</v>
      </c>
      <c r="D175" s="237" t="s">
        <v>939</v>
      </c>
      <c r="E175" s="237" t="s">
        <v>248</v>
      </c>
      <c r="F175" s="237" t="s">
        <v>501</v>
      </c>
      <c r="G175" s="237" t="s">
        <v>516</v>
      </c>
      <c r="H175" s="237" t="s">
        <v>516</v>
      </c>
      <c r="I175" s="237" t="s">
        <v>764</v>
      </c>
      <c r="J175" s="237" t="s">
        <v>940</v>
      </c>
      <c r="K175" s="237" t="s">
        <v>93</v>
      </c>
      <c r="L175" s="237" t="s">
        <v>93</v>
      </c>
      <c r="M175" s="237" t="s">
        <v>93</v>
      </c>
      <c r="N175" s="237" t="s">
        <v>90</v>
      </c>
      <c r="O175" s="237" t="s">
        <v>486</v>
      </c>
      <c r="P175" s="237" t="s">
        <v>487</v>
      </c>
      <c r="Q175" s="238">
        <v>10056566</v>
      </c>
      <c r="R175" s="239">
        <v>43480</v>
      </c>
      <c r="S175" s="239">
        <v>43482</v>
      </c>
      <c r="T175" s="239">
        <v>43522</v>
      </c>
      <c r="U175" s="237" t="s">
        <v>488</v>
      </c>
      <c r="V175" s="237" t="s">
        <v>489</v>
      </c>
      <c r="W175" s="237">
        <v>2</v>
      </c>
      <c r="X175" s="237">
        <v>2</v>
      </c>
      <c r="Y175" s="237">
        <v>2</v>
      </c>
      <c r="Z175" s="237">
        <v>2</v>
      </c>
      <c r="AA175" s="237">
        <v>2</v>
      </c>
      <c r="AB175" s="237" t="s">
        <v>486</v>
      </c>
      <c r="AC175" s="237">
        <v>2</v>
      </c>
      <c r="AD175" s="237" t="s">
        <v>219</v>
      </c>
      <c r="AE175" s="237" t="s">
        <v>490</v>
      </c>
      <c r="AF175" s="237" t="s">
        <v>486</v>
      </c>
      <c r="AG175" s="237" t="s">
        <v>486</v>
      </c>
      <c r="AH175" s="237" t="s">
        <v>486</v>
      </c>
      <c r="AI175" s="237" t="s">
        <v>486</v>
      </c>
      <c r="AJ175" s="237" t="s">
        <v>486</v>
      </c>
      <c r="AK175" s="237" t="s">
        <v>486</v>
      </c>
      <c r="AL175" s="237" t="s">
        <v>486</v>
      </c>
      <c r="AM175" s="237" t="s">
        <v>491</v>
      </c>
      <c r="AN175" s="237" t="s">
        <v>231</v>
      </c>
      <c r="AO175" s="237" t="s">
        <v>231</v>
      </c>
      <c r="AP175" s="237" t="s">
        <v>231</v>
      </c>
      <c r="AQ175" s="237" t="s">
        <v>231</v>
      </c>
      <c r="AR175" s="237" t="s">
        <v>231</v>
      </c>
      <c r="AS175" s="237" t="s">
        <v>231</v>
      </c>
      <c r="AT175" s="237" t="s">
        <v>231</v>
      </c>
      <c r="AU175" s="237" t="s">
        <v>231</v>
      </c>
      <c r="AV175" s="237" t="s">
        <v>231</v>
      </c>
      <c r="AW175" s="237" t="s">
        <v>231</v>
      </c>
      <c r="AX175" s="237" t="s">
        <v>231</v>
      </c>
      <c r="AY175" s="237" t="s">
        <v>231</v>
      </c>
      <c r="AZ175" s="237" t="s">
        <v>231</v>
      </c>
      <c r="BA175" s="237" t="s">
        <v>231</v>
      </c>
      <c r="BB175" s="237" t="s">
        <v>231</v>
      </c>
      <c r="BC175" s="237" t="s">
        <v>231</v>
      </c>
      <c r="BD175" s="237" t="s">
        <v>492</v>
      </c>
      <c r="BE175" s="237" t="s">
        <v>231</v>
      </c>
      <c r="BF175" s="237" t="s">
        <v>231</v>
      </c>
      <c r="BG175" s="237" t="s">
        <v>231</v>
      </c>
      <c r="BH175" s="237" t="s">
        <v>231</v>
      </c>
      <c r="BI175" s="237" t="s">
        <v>231</v>
      </c>
      <c r="BJ175" s="237" t="s">
        <v>231</v>
      </c>
      <c r="BK175" s="237" t="s">
        <v>231</v>
      </c>
      <c r="BL175" s="237" t="s">
        <v>492</v>
      </c>
      <c r="BM175" s="237" t="s">
        <v>492</v>
      </c>
      <c r="BN175" s="237" t="s">
        <v>231</v>
      </c>
      <c r="BO175" s="237" t="s">
        <v>231</v>
      </c>
      <c r="BP175" s="237" t="s">
        <v>231</v>
      </c>
      <c r="BQ175" s="237" t="s">
        <v>231</v>
      </c>
      <c r="BR175" s="237" t="s">
        <v>231</v>
      </c>
      <c r="BS175" s="237" t="s">
        <v>231</v>
      </c>
      <c r="BT175" s="237" t="s">
        <v>231</v>
      </c>
      <c r="BU175" s="237" t="s">
        <v>231</v>
      </c>
      <c r="BV175" s="237" t="s">
        <v>231</v>
      </c>
      <c r="BW175" s="237" t="s">
        <v>231</v>
      </c>
      <c r="BX175" s="237" t="s">
        <v>231</v>
      </c>
      <c r="BY175" s="237" t="s">
        <v>231</v>
      </c>
      <c r="BZ175" s="237" t="s">
        <v>231</v>
      </c>
      <c r="CA175" s="237" t="s">
        <v>231</v>
      </c>
      <c r="CB175" s="237" t="s">
        <v>231</v>
      </c>
      <c r="CC175" s="237" t="s">
        <v>231</v>
      </c>
      <c r="CD175" s="237" t="s">
        <v>231</v>
      </c>
      <c r="CE175" s="237" t="s">
        <v>231</v>
      </c>
      <c r="CF175" s="237" t="s">
        <v>231</v>
      </c>
      <c r="CG175" s="237" t="s">
        <v>231</v>
      </c>
      <c r="CH175" s="237" t="s">
        <v>231</v>
      </c>
      <c r="CI175" s="237" t="s">
        <v>231</v>
      </c>
      <c r="CJ175" s="237" t="s">
        <v>231</v>
      </c>
      <c r="CK175" s="237" t="s">
        <v>231</v>
      </c>
      <c r="CL175" s="237" t="s">
        <v>231</v>
      </c>
      <c r="CM175" s="237" t="s">
        <v>231</v>
      </c>
      <c r="CN175" s="237" t="s">
        <v>231</v>
      </c>
      <c r="CO175" s="237" t="s">
        <v>231</v>
      </c>
      <c r="CP175" s="237" t="s">
        <v>231</v>
      </c>
      <c r="CQ175" s="237" t="s">
        <v>231</v>
      </c>
      <c r="CR175" s="237" t="s">
        <v>231</v>
      </c>
      <c r="CS175" s="237" t="s">
        <v>231</v>
      </c>
      <c r="CT175" s="237" t="s">
        <v>492</v>
      </c>
      <c r="CU175" s="237" t="s">
        <v>492</v>
      </c>
      <c r="CV175" s="237" t="s">
        <v>492</v>
      </c>
      <c r="CW175" s="237" t="s">
        <v>492</v>
      </c>
      <c r="CX175" s="237" t="s">
        <v>231</v>
      </c>
      <c r="CY175" s="237" t="s">
        <v>231</v>
      </c>
      <c r="CZ175" s="237" t="s">
        <v>231</v>
      </c>
      <c r="DA175" s="237" t="s">
        <v>231</v>
      </c>
      <c r="DB175" s="237" t="s">
        <v>231</v>
      </c>
      <c r="DC175" s="237" t="s">
        <v>231</v>
      </c>
      <c r="DD175" s="237" t="s">
        <v>231</v>
      </c>
      <c r="DE175" s="237" t="s">
        <v>231</v>
      </c>
      <c r="DF175" s="237" t="s">
        <v>231</v>
      </c>
      <c r="DG175" s="237" t="s">
        <v>231</v>
      </c>
      <c r="DH175" s="237" t="s">
        <v>231</v>
      </c>
      <c r="DI175" s="237" t="s">
        <v>231</v>
      </c>
      <c r="DJ175" s="237" t="s">
        <v>231</v>
      </c>
      <c r="DK175" s="237" t="s">
        <v>231</v>
      </c>
      <c r="DL175" s="237" t="s">
        <v>231</v>
      </c>
      <c r="DM175" s="237" t="s">
        <v>231</v>
      </c>
      <c r="DN175" s="237" t="s">
        <v>231</v>
      </c>
      <c r="DO175" s="237" t="s">
        <v>231</v>
      </c>
      <c r="DP175" s="237" t="s">
        <v>231</v>
      </c>
      <c r="DQ175" s="237" t="s">
        <v>231</v>
      </c>
      <c r="DR175" s="237" t="s">
        <v>231</v>
      </c>
      <c r="DS175" s="237" t="s">
        <v>231</v>
      </c>
      <c r="DT175" s="237" t="s">
        <v>492</v>
      </c>
      <c r="DU175" s="237" t="s">
        <v>231</v>
      </c>
      <c r="DV175" s="237" t="s">
        <v>231</v>
      </c>
      <c r="DW175" s="237" t="s">
        <v>231</v>
      </c>
      <c r="DX175" s="237" t="s">
        <v>231</v>
      </c>
      <c r="DY175" s="237" t="s">
        <v>231</v>
      </c>
      <c r="DZ175" s="237" t="s">
        <v>231</v>
      </c>
      <c r="EA175" s="237" t="s">
        <v>231</v>
      </c>
      <c r="EB175" s="237" t="s">
        <v>231</v>
      </c>
      <c r="EC175" s="237" t="s">
        <v>231</v>
      </c>
      <c r="ED175" s="237" t="s">
        <v>231</v>
      </c>
      <c r="EE175" s="237" t="s">
        <v>231</v>
      </c>
      <c r="EF175" s="237" t="s">
        <v>231</v>
      </c>
      <c r="EG175" s="237" t="s">
        <v>231</v>
      </c>
      <c r="EH175" s="237" t="s">
        <v>492</v>
      </c>
      <c r="EI175" s="237" t="s">
        <v>231</v>
      </c>
      <c r="EJ175" s="237" t="s">
        <v>231</v>
      </c>
      <c r="EK175" s="237" t="s">
        <v>231</v>
      </c>
      <c r="EL175" s="237" t="s">
        <v>231</v>
      </c>
      <c r="EM175" s="237" t="s">
        <v>231</v>
      </c>
      <c r="EN175" s="237" t="s">
        <v>231</v>
      </c>
      <c r="EO175" s="237" t="s">
        <v>231</v>
      </c>
      <c r="EP175" s="237" t="s">
        <v>231</v>
      </c>
      <c r="EQ175" s="237" t="s">
        <v>231</v>
      </c>
      <c r="ER175" s="237" t="s">
        <v>231</v>
      </c>
      <c r="ES175" s="237" t="s">
        <v>231</v>
      </c>
      <c r="ET175" s="237" t="s">
        <v>231</v>
      </c>
      <c r="EU175" s="237" t="s">
        <v>231</v>
      </c>
      <c r="EV175" s="237" t="s">
        <v>231</v>
      </c>
      <c r="EW175" s="237" t="s">
        <v>231</v>
      </c>
      <c r="EX175" s="237" t="s">
        <v>231</v>
      </c>
      <c r="EY175" s="237" t="s">
        <v>231</v>
      </c>
      <c r="EZ175" s="237" t="s">
        <v>231</v>
      </c>
      <c r="FA175" s="237" t="s">
        <v>231</v>
      </c>
      <c r="FB175" s="237" t="s">
        <v>231</v>
      </c>
      <c r="FC175" s="237" t="s">
        <v>231</v>
      </c>
      <c r="FD175" s="237" t="s">
        <v>231</v>
      </c>
      <c r="FE175" s="237" t="s">
        <v>231</v>
      </c>
      <c r="FF175" s="237" t="s">
        <v>231</v>
      </c>
      <c r="FG175" s="237" t="s">
        <v>231</v>
      </c>
      <c r="FH175" s="237" t="s">
        <v>231</v>
      </c>
      <c r="FI175" s="237" t="s">
        <v>231</v>
      </c>
      <c r="FJ175" s="237" t="s">
        <v>231</v>
      </c>
      <c r="FK175" s="237" t="s">
        <v>231</v>
      </c>
      <c r="FL175" s="237" t="s">
        <v>231</v>
      </c>
      <c r="FM175" s="237" t="s">
        <v>231</v>
      </c>
      <c r="FN175" s="237" t="s">
        <v>231</v>
      </c>
      <c r="FO175" s="237" t="s">
        <v>231</v>
      </c>
      <c r="FP175" s="237" t="s">
        <v>231</v>
      </c>
      <c r="FQ175" s="237" t="s">
        <v>231</v>
      </c>
      <c r="FR175" s="237" t="s">
        <v>231</v>
      </c>
      <c r="FS175" s="237" t="s">
        <v>231</v>
      </c>
      <c r="FT175" s="237" t="s">
        <v>231</v>
      </c>
      <c r="FU175" s="237" t="s">
        <v>231</v>
      </c>
      <c r="FV175" s="237" t="s">
        <v>231</v>
      </c>
      <c r="FW175" s="237" t="s">
        <v>231</v>
      </c>
      <c r="FX175" s="237" t="s">
        <v>492</v>
      </c>
      <c r="FY175" s="237" t="s">
        <v>231</v>
      </c>
      <c r="FZ175" s="237" t="s">
        <v>231</v>
      </c>
      <c r="GA175" s="237" t="s">
        <v>231</v>
      </c>
      <c r="GB175" s="237" t="s">
        <v>231</v>
      </c>
      <c r="GC175" s="237" t="s">
        <v>231</v>
      </c>
      <c r="GD175" s="237" t="s">
        <v>231</v>
      </c>
      <c r="GE175" s="237" t="s">
        <v>231</v>
      </c>
      <c r="GF175" s="237" t="s">
        <v>231</v>
      </c>
      <c r="GG175" s="237" t="s">
        <v>231</v>
      </c>
      <c r="GH175" s="237" t="s">
        <v>231</v>
      </c>
      <c r="GI175" s="237" t="s">
        <v>231</v>
      </c>
      <c r="GJ175" s="237" t="s">
        <v>231</v>
      </c>
      <c r="GK175" s="237" t="s">
        <v>231</v>
      </c>
      <c r="GL175" s="237" t="s">
        <v>231</v>
      </c>
      <c r="GM175" s="237" t="s">
        <v>231</v>
      </c>
      <c r="GN175" s="237" t="s">
        <v>231</v>
      </c>
      <c r="GO175" s="237" t="s">
        <v>231</v>
      </c>
      <c r="GP175" s="237" t="s">
        <v>492</v>
      </c>
      <c r="GQ175" s="237" t="s">
        <v>231</v>
      </c>
      <c r="GR175" s="237" t="s">
        <v>231</v>
      </c>
      <c r="GS175" s="237" t="s">
        <v>231</v>
      </c>
      <c r="GT175" s="237" t="s">
        <v>231</v>
      </c>
      <c r="GU175" s="237" t="s">
        <v>231</v>
      </c>
      <c r="GV175" s="237" t="s">
        <v>231</v>
      </c>
      <c r="GW175" s="237" t="s">
        <v>231</v>
      </c>
      <c r="GX175" s="237" t="s">
        <v>231</v>
      </c>
      <c r="GY175" s="237" t="s">
        <v>231</v>
      </c>
      <c r="GZ175" s="237" t="s">
        <v>231</v>
      </c>
      <c r="HA175" s="237" t="s">
        <v>231</v>
      </c>
      <c r="HB175" s="237" t="s">
        <v>231</v>
      </c>
      <c r="HC175" s="237" t="s">
        <v>231</v>
      </c>
      <c r="HD175" s="237" t="s">
        <v>231</v>
      </c>
      <c r="HE175" s="237" t="s">
        <v>231</v>
      </c>
      <c r="HF175" s="237" t="s">
        <v>492</v>
      </c>
      <c r="HG175" s="237" t="s">
        <v>231</v>
      </c>
      <c r="HH175" s="237" t="s">
        <v>231</v>
      </c>
      <c r="HI175" s="237" t="s">
        <v>231</v>
      </c>
      <c r="HJ175" s="237" t="s">
        <v>231</v>
      </c>
      <c r="HK175" s="237" t="s">
        <v>231</v>
      </c>
      <c r="HL175" s="237" t="s">
        <v>231</v>
      </c>
      <c r="HM175" s="237" t="s">
        <v>231</v>
      </c>
      <c r="HN175" s="237" t="s">
        <v>231</v>
      </c>
      <c r="HO175" s="237" t="s">
        <v>231</v>
      </c>
      <c r="HP175" s="237" t="s">
        <v>231</v>
      </c>
      <c r="HQ175" s="237" t="s">
        <v>492</v>
      </c>
      <c r="HR175" s="237" t="s">
        <v>492</v>
      </c>
      <c r="HS175" s="237" t="s">
        <v>492</v>
      </c>
      <c r="HT175" s="237" t="s">
        <v>492</v>
      </c>
      <c r="HU175" s="237" t="s">
        <v>231</v>
      </c>
      <c r="HV175" s="237" t="s">
        <v>231</v>
      </c>
      <c r="HW175" s="237" t="s">
        <v>231</v>
      </c>
      <c r="HX175" s="237" t="s">
        <v>231</v>
      </c>
      <c r="HY175" s="237" t="s">
        <v>231</v>
      </c>
      <c r="HZ175" s="237" t="s">
        <v>231</v>
      </c>
      <c r="IA175" s="237" t="s">
        <v>231</v>
      </c>
      <c r="IB175" s="237" t="s">
        <v>231</v>
      </c>
      <c r="IC175" s="237" t="s">
        <v>231</v>
      </c>
      <c r="ID175" s="237" t="s">
        <v>231</v>
      </c>
      <c r="IE175" s="237" t="s">
        <v>231</v>
      </c>
      <c r="IF175" s="237" t="s">
        <v>231</v>
      </c>
      <c r="IG175" s="237" t="s">
        <v>231</v>
      </c>
      <c r="IH175" s="237" t="s">
        <v>231</v>
      </c>
      <c r="II175" s="237" t="s">
        <v>231</v>
      </c>
      <c r="IJ175" s="237" t="s">
        <v>231</v>
      </c>
      <c r="IK175" s="237" t="s">
        <v>231</v>
      </c>
      <c r="IL175" s="237" t="s">
        <v>231</v>
      </c>
      <c r="IM175" s="237" t="s">
        <v>231</v>
      </c>
      <c r="IN175" s="237" t="s">
        <v>231</v>
      </c>
      <c r="IO175" s="237" t="s">
        <v>220</v>
      </c>
      <c r="IP175" s="237" t="s">
        <v>493</v>
      </c>
      <c r="IQ175" s="237" t="s">
        <v>219</v>
      </c>
      <c r="IR175" s="237" t="s">
        <v>490</v>
      </c>
      <c r="IS175" s="237" t="s">
        <v>492</v>
      </c>
      <c r="IT175" s="237" t="s">
        <v>492</v>
      </c>
    </row>
    <row r="176" spans="1:254" ht="15" x14ac:dyDescent="0.25">
      <c r="A176" s="259" t="str">
        <f>HYPERLINK("http://www.ofsted.gov.uk/inspection-reports/find-inspection-report/provider/ELS/130243 ","Ofsted School Webpage")</f>
        <v>Ofsted School Webpage</v>
      </c>
      <c r="B176" s="240">
        <v>130243</v>
      </c>
      <c r="C176" s="240">
        <v>2066383</v>
      </c>
      <c r="D176" s="240" t="s">
        <v>941</v>
      </c>
      <c r="E176" s="240" t="s">
        <v>247</v>
      </c>
      <c r="F176" s="240" t="s">
        <v>482</v>
      </c>
      <c r="G176" s="240" t="s">
        <v>506</v>
      </c>
      <c r="H176" s="240" t="s">
        <v>506</v>
      </c>
      <c r="I176" s="240" t="s">
        <v>753</v>
      </c>
      <c r="J176" s="240" t="s">
        <v>942</v>
      </c>
      <c r="K176" s="240" t="s">
        <v>93</v>
      </c>
      <c r="L176" s="240" t="s">
        <v>93</v>
      </c>
      <c r="M176" s="240" t="s">
        <v>93</v>
      </c>
      <c r="N176" s="240" t="s">
        <v>90</v>
      </c>
      <c r="O176" s="240" t="s">
        <v>486</v>
      </c>
      <c r="P176" s="240" t="s">
        <v>487</v>
      </c>
      <c r="Q176" s="241">
        <v>10067131</v>
      </c>
      <c r="R176" s="242">
        <v>43480</v>
      </c>
      <c r="S176" s="242">
        <v>43482</v>
      </c>
      <c r="T176" s="242">
        <v>43506</v>
      </c>
      <c r="U176" s="240" t="s">
        <v>488</v>
      </c>
      <c r="V176" s="240" t="s">
        <v>489</v>
      </c>
      <c r="W176" s="240">
        <v>2</v>
      </c>
      <c r="X176" s="240">
        <v>2</v>
      </c>
      <c r="Y176" s="240">
        <v>2</v>
      </c>
      <c r="Z176" s="240">
        <v>2</v>
      </c>
      <c r="AA176" s="240">
        <v>2</v>
      </c>
      <c r="AB176" s="240">
        <v>2</v>
      </c>
      <c r="AC176" s="240" t="s">
        <v>486</v>
      </c>
      <c r="AD176" s="240" t="s">
        <v>219</v>
      </c>
      <c r="AE176" s="240" t="s">
        <v>512</v>
      </c>
      <c r="AF176" s="240" t="s">
        <v>486</v>
      </c>
      <c r="AG176" s="240" t="s">
        <v>486</v>
      </c>
      <c r="AH176" s="240" t="s">
        <v>490</v>
      </c>
      <c r="AI176" s="240" t="s">
        <v>490</v>
      </c>
      <c r="AJ176" s="240" t="s">
        <v>486</v>
      </c>
      <c r="AK176" s="240" t="s">
        <v>486</v>
      </c>
      <c r="AL176" s="240" t="s">
        <v>486</v>
      </c>
      <c r="AM176" s="240" t="s">
        <v>491</v>
      </c>
      <c r="AN176" s="240" t="s">
        <v>231</v>
      </c>
      <c r="AO176" s="240" t="s">
        <v>231</v>
      </c>
      <c r="AP176" s="240" t="s">
        <v>231</v>
      </c>
      <c r="AQ176" s="240" t="s">
        <v>231</v>
      </c>
      <c r="AR176" s="240" t="s">
        <v>231</v>
      </c>
      <c r="AS176" s="240" t="s">
        <v>231</v>
      </c>
      <c r="AT176" s="240" t="s">
        <v>231</v>
      </c>
      <c r="AU176" s="240" t="s">
        <v>231</v>
      </c>
      <c r="AV176" s="240" t="s">
        <v>231</v>
      </c>
      <c r="AW176" s="240" t="s">
        <v>231</v>
      </c>
      <c r="AX176" s="240" t="s">
        <v>231</v>
      </c>
      <c r="AY176" s="240" t="s">
        <v>231</v>
      </c>
      <c r="AZ176" s="240" t="s">
        <v>231</v>
      </c>
      <c r="BA176" s="240" t="s">
        <v>231</v>
      </c>
      <c r="BB176" s="240" t="s">
        <v>231</v>
      </c>
      <c r="BC176" s="240" t="s">
        <v>231</v>
      </c>
      <c r="BD176" s="240" t="s">
        <v>492</v>
      </c>
      <c r="BE176" s="240" t="s">
        <v>231</v>
      </c>
      <c r="BF176" s="240" t="s">
        <v>231</v>
      </c>
      <c r="BG176" s="240" t="s">
        <v>231</v>
      </c>
      <c r="BH176" s="240" t="s">
        <v>492</v>
      </c>
      <c r="BI176" s="240" t="s">
        <v>492</v>
      </c>
      <c r="BJ176" s="240" t="s">
        <v>492</v>
      </c>
      <c r="BK176" s="240" t="s">
        <v>492</v>
      </c>
      <c r="BL176" s="240" t="s">
        <v>231</v>
      </c>
      <c r="BM176" s="240" t="s">
        <v>492</v>
      </c>
      <c r="BN176" s="240" t="s">
        <v>231</v>
      </c>
      <c r="BO176" s="240" t="s">
        <v>231</v>
      </c>
      <c r="BP176" s="240" t="s">
        <v>231</v>
      </c>
      <c r="BQ176" s="240" t="s">
        <v>231</v>
      </c>
      <c r="BR176" s="240" t="s">
        <v>231</v>
      </c>
      <c r="BS176" s="240" t="s">
        <v>231</v>
      </c>
      <c r="BT176" s="240" t="s">
        <v>231</v>
      </c>
      <c r="BU176" s="240" t="s">
        <v>231</v>
      </c>
      <c r="BV176" s="240" t="s">
        <v>231</v>
      </c>
      <c r="BW176" s="240" t="s">
        <v>231</v>
      </c>
      <c r="BX176" s="240" t="s">
        <v>231</v>
      </c>
      <c r="BY176" s="240" t="s">
        <v>231</v>
      </c>
      <c r="BZ176" s="240" t="s">
        <v>231</v>
      </c>
      <c r="CA176" s="240" t="s">
        <v>231</v>
      </c>
      <c r="CB176" s="240" t="s">
        <v>231</v>
      </c>
      <c r="CC176" s="240" t="s">
        <v>231</v>
      </c>
      <c r="CD176" s="240" t="s">
        <v>231</v>
      </c>
      <c r="CE176" s="240" t="s">
        <v>231</v>
      </c>
      <c r="CF176" s="240" t="s">
        <v>231</v>
      </c>
      <c r="CG176" s="240" t="s">
        <v>231</v>
      </c>
      <c r="CH176" s="240" t="s">
        <v>231</v>
      </c>
      <c r="CI176" s="240" t="s">
        <v>231</v>
      </c>
      <c r="CJ176" s="240" t="s">
        <v>231</v>
      </c>
      <c r="CK176" s="240" t="s">
        <v>231</v>
      </c>
      <c r="CL176" s="240" t="s">
        <v>231</v>
      </c>
      <c r="CM176" s="240" t="s">
        <v>231</v>
      </c>
      <c r="CN176" s="240" t="s">
        <v>231</v>
      </c>
      <c r="CO176" s="240" t="s">
        <v>231</v>
      </c>
      <c r="CP176" s="240" t="s">
        <v>231</v>
      </c>
      <c r="CQ176" s="240" t="s">
        <v>231</v>
      </c>
      <c r="CR176" s="240" t="s">
        <v>231</v>
      </c>
      <c r="CS176" s="240" t="s">
        <v>231</v>
      </c>
      <c r="CT176" s="240" t="s">
        <v>492</v>
      </c>
      <c r="CU176" s="240" t="s">
        <v>492</v>
      </c>
      <c r="CV176" s="240" t="s">
        <v>492</v>
      </c>
      <c r="CW176" s="240" t="s">
        <v>231</v>
      </c>
      <c r="CX176" s="240" t="s">
        <v>231</v>
      </c>
      <c r="CY176" s="240" t="s">
        <v>231</v>
      </c>
      <c r="CZ176" s="240" t="s">
        <v>231</v>
      </c>
      <c r="DA176" s="240" t="s">
        <v>231</v>
      </c>
      <c r="DB176" s="240" t="s">
        <v>231</v>
      </c>
      <c r="DC176" s="240" t="s">
        <v>231</v>
      </c>
      <c r="DD176" s="240" t="s">
        <v>231</v>
      </c>
      <c r="DE176" s="240" t="s">
        <v>231</v>
      </c>
      <c r="DF176" s="240" t="s">
        <v>231</v>
      </c>
      <c r="DG176" s="240" t="s">
        <v>231</v>
      </c>
      <c r="DH176" s="240" t="s">
        <v>231</v>
      </c>
      <c r="DI176" s="240" t="s">
        <v>231</v>
      </c>
      <c r="DJ176" s="240" t="s">
        <v>231</v>
      </c>
      <c r="DK176" s="240" t="s">
        <v>231</v>
      </c>
      <c r="DL176" s="240" t="s">
        <v>231</v>
      </c>
      <c r="DM176" s="240" t="s">
        <v>231</v>
      </c>
      <c r="DN176" s="240" t="s">
        <v>231</v>
      </c>
      <c r="DO176" s="240" t="s">
        <v>231</v>
      </c>
      <c r="DP176" s="240" t="s">
        <v>231</v>
      </c>
      <c r="DQ176" s="240" t="s">
        <v>231</v>
      </c>
      <c r="DR176" s="240" t="s">
        <v>231</v>
      </c>
      <c r="DS176" s="240" t="s">
        <v>231</v>
      </c>
      <c r="DT176" s="240" t="s">
        <v>231</v>
      </c>
      <c r="DU176" s="240" t="s">
        <v>231</v>
      </c>
      <c r="DV176" s="240" t="s">
        <v>231</v>
      </c>
      <c r="DW176" s="240" t="s">
        <v>231</v>
      </c>
      <c r="DX176" s="240" t="s">
        <v>231</v>
      </c>
      <c r="DY176" s="240" t="s">
        <v>231</v>
      </c>
      <c r="DZ176" s="240" t="s">
        <v>231</v>
      </c>
      <c r="EA176" s="240" t="s">
        <v>231</v>
      </c>
      <c r="EB176" s="240" t="s">
        <v>231</v>
      </c>
      <c r="EC176" s="240" t="s">
        <v>231</v>
      </c>
      <c r="ED176" s="240" t="s">
        <v>231</v>
      </c>
      <c r="EE176" s="240" t="s">
        <v>231</v>
      </c>
      <c r="EF176" s="240" t="s">
        <v>231</v>
      </c>
      <c r="EG176" s="240" t="s">
        <v>231</v>
      </c>
      <c r="EH176" s="240" t="s">
        <v>492</v>
      </c>
      <c r="EI176" s="240" t="s">
        <v>231</v>
      </c>
      <c r="EJ176" s="240" t="s">
        <v>231</v>
      </c>
      <c r="EK176" s="240" t="s">
        <v>231</v>
      </c>
      <c r="EL176" s="240" t="s">
        <v>231</v>
      </c>
      <c r="EM176" s="240" t="s">
        <v>231</v>
      </c>
      <c r="EN176" s="240" t="s">
        <v>231</v>
      </c>
      <c r="EO176" s="240" t="s">
        <v>231</v>
      </c>
      <c r="EP176" s="240" t="s">
        <v>231</v>
      </c>
      <c r="EQ176" s="240" t="s">
        <v>231</v>
      </c>
      <c r="ER176" s="240" t="s">
        <v>231</v>
      </c>
      <c r="ES176" s="240" t="s">
        <v>231</v>
      </c>
      <c r="ET176" s="240" t="s">
        <v>231</v>
      </c>
      <c r="EU176" s="240" t="s">
        <v>231</v>
      </c>
      <c r="EV176" s="240" t="s">
        <v>231</v>
      </c>
      <c r="EW176" s="240" t="s">
        <v>231</v>
      </c>
      <c r="EX176" s="240" t="s">
        <v>231</v>
      </c>
      <c r="EY176" s="240" t="s">
        <v>231</v>
      </c>
      <c r="EZ176" s="240" t="s">
        <v>231</v>
      </c>
      <c r="FA176" s="240" t="s">
        <v>231</v>
      </c>
      <c r="FB176" s="240" t="s">
        <v>231</v>
      </c>
      <c r="FC176" s="240" t="s">
        <v>231</v>
      </c>
      <c r="FD176" s="240" t="s">
        <v>231</v>
      </c>
      <c r="FE176" s="240" t="s">
        <v>231</v>
      </c>
      <c r="FF176" s="240" t="s">
        <v>231</v>
      </c>
      <c r="FG176" s="240" t="s">
        <v>231</v>
      </c>
      <c r="FH176" s="240" t="s">
        <v>231</v>
      </c>
      <c r="FI176" s="240" t="s">
        <v>231</v>
      </c>
      <c r="FJ176" s="240" t="s">
        <v>231</v>
      </c>
      <c r="FK176" s="240" t="s">
        <v>231</v>
      </c>
      <c r="FL176" s="240" t="s">
        <v>231</v>
      </c>
      <c r="FM176" s="240" t="s">
        <v>231</v>
      </c>
      <c r="FN176" s="240" t="s">
        <v>231</v>
      </c>
      <c r="FO176" s="240" t="s">
        <v>231</v>
      </c>
      <c r="FP176" s="240" t="s">
        <v>231</v>
      </c>
      <c r="FQ176" s="240" t="s">
        <v>231</v>
      </c>
      <c r="FR176" s="240" t="s">
        <v>231</v>
      </c>
      <c r="FS176" s="240" t="s">
        <v>492</v>
      </c>
      <c r="FT176" s="240" t="s">
        <v>492</v>
      </c>
      <c r="FU176" s="240" t="s">
        <v>231</v>
      </c>
      <c r="FV176" s="240" t="s">
        <v>231</v>
      </c>
      <c r="FW176" s="240" t="s">
        <v>231</v>
      </c>
      <c r="FX176" s="240" t="s">
        <v>492</v>
      </c>
      <c r="FY176" s="240" t="s">
        <v>231</v>
      </c>
      <c r="FZ176" s="240" t="s">
        <v>231</v>
      </c>
      <c r="GA176" s="240" t="s">
        <v>231</v>
      </c>
      <c r="GB176" s="240" t="s">
        <v>231</v>
      </c>
      <c r="GC176" s="240" t="s">
        <v>231</v>
      </c>
      <c r="GD176" s="240" t="s">
        <v>231</v>
      </c>
      <c r="GE176" s="240" t="s">
        <v>231</v>
      </c>
      <c r="GF176" s="240" t="s">
        <v>231</v>
      </c>
      <c r="GG176" s="240" t="s">
        <v>231</v>
      </c>
      <c r="GH176" s="240" t="s">
        <v>231</v>
      </c>
      <c r="GI176" s="240" t="s">
        <v>231</v>
      </c>
      <c r="GJ176" s="240" t="s">
        <v>231</v>
      </c>
      <c r="GK176" s="240" t="s">
        <v>231</v>
      </c>
      <c r="GL176" s="240" t="s">
        <v>231</v>
      </c>
      <c r="GM176" s="240" t="s">
        <v>231</v>
      </c>
      <c r="GN176" s="240" t="s">
        <v>231</v>
      </c>
      <c r="GO176" s="240" t="s">
        <v>231</v>
      </c>
      <c r="GP176" s="240" t="s">
        <v>492</v>
      </c>
      <c r="GQ176" s="240" t="s">
        <v>231</v>
      </c>
      <c r="GR176" s="240" t="s">
        <v>231</v>
      </c>
      <c r="GS176" s="240" t="s">
        <v>231</v>
      </c>
      <c r="GT176" s="240" t="s">
        <v>231</v>
      </c>
      <c r="GU176" s="240" t="s">
        <v>231</v>
      </c>
      <c r="GV176" s="240" t="s">
        <v>231</v>
      </c>
      <c r="GW176" s="240" t="s">
        <v>231</v>
      </c>
      <c r="GX176" s="240" t="s">
        <v>231</v>
      </c>
      <c r="GY176" s="240" t="s">
        <v>492</v>
      </c>
      <c r="GZ176" s="240" t="s">
        <v>492</v>
      </c>
      <c r="HA176" s="240" t="s">
        <v>492</v>
      </c>
      <c r="HB176" s="240" t="s">
        <v>231</v>
      </c>
      <c r="HC176" s="240" t="s">
        <v>231</v>
      </c>
      <c r="HD176" s="240" t="s">
        <v>231</v>
      </c>
      <c r="HE176" s="240" t="s">
        <v>492</v>
      </c>
      <c r="HF176" s="240" t="s">
        <v>231</v>
      </c>
      <c r="HG176" s="240" t="s">
        <v>231</v>
      </c>
      <c r="HH176" s="240" t="s">
        <v>231</v>
      </c>
      <c r="HI176" s="240" t="s">
        <v>231</v>
      </c>
      <c r="HJ176" s="240" t="s">
        <v>231</v>
      </c>
      <c r="HK176" s="240" t="s">
        <v>231</v>
      </c>
      <c r="HL176" s="240" t="s">
        <v>231</v>
      </c>
      <c r="HM176" s="240" t="s">
        <v>231</v>
      </c>
      <c r="HN176" s="240" t="s">
        <v>231</v>
      </c>
      <c r="HO176" s="240" t="s">
        <v>231</v>
      </c>
      <c r="HP176" s="240" t="s">
        <v>231</v>
      </c>
      <c r="HQ176" s="240" t="s">
        <v>492</v>
      </c>
      <c r="HR176" s="240" t="s">
        <v>492</v>
      </c>
      <c r="HS176" s="240" t="s">
        <v>492</v>
      </c>
      <c r="HT176" s="240" t="s">
        <v>492</v>
      </c>
      <c r="HU176" s="240" t="s">
        <v>231</v>
      </c>
      <c r="HV176" s="240" t="s">
        <v>231</v>
      </c>
      <c r="HW176" s="240" t="s">
        <v>231</v>
      </c>
      <c r="HX176" s="240" t="s">
        <v>231</v>
      </c>
      <c r="HY176" s="240" t="s">
        <v>231</v>
      </c>
      <c r="HZ176" s="240" t="s">
        <v>231</v>
      </c>
      <c r="IA176" s="240" t="s">
        <v>231</v>
      </c>
      <c r="IB176" s="240" t="s">
        <v>231</v>
      </c>
      <c r="IC176" s="240" t="s">
        <v>231</v>
      </c>
      <c r="ID176" s="240" t="s">
        <v>231</v>
      </c>
      <c r="IE176" s="240" t="s">
        <v>231</v>
      </c>
      <c r="IF176" s="240" t="s">
        <v>231</v>
      </c>
      <c r="IG176" s="240" t="s">
        <v>231</v>
      </c>
      <c r="IH176" s="240" t="s">
        <v>231</v>
      </c>
      <c r="II176" s="240" t="s">
        <v>231</v>
      </c>
      <c r="IJ176" s="240" t="s">
        <v>231</v>
      </c>
      <c r="IK176" s="240" t="s">
        <v>231</v>
      </c>
      <c r="IL176" s="240" t="s">
        <v>231</v>
      </c>
      <c r="IM176" s="240" t="s">
        <v>231</v>
      </c>
      <c r="IN176" s="240" t="s">
        <v>231</v>
      </c>
      <c r="IO176" s="240" t="s">
        <v>220</v>
      </c>
      <c r="IP176" s="240" t="s">
        <v>493</v>
      </c>
      <c r="IQ176" s="240" t="s">
        <v>219</v>
      </c>
      <c r="IR176" s="240" t="s">
        <v>490</v>
      </c>
      <c r="IS176" s="240" t="s">
        <v>231</v>
      </c>
      <c r="IT176" s="240" t="s">
        <v>231</v>
      </c>
    </row>
    <row r="177" spans="1:254" ht="15" x14ac:dyDescent="0.25">
      <c r="A177" s="258" t="str">
        <f>HYPERLINK("http://www.ofsted.gov.uk/inspection-reports/find-inspection-report/provider/ELS/145572 ","Ofsted School Webpage")</f>
        <v>Ofsted School Webpage</v>
      </c>
      <c r="B177" s="237">
        <v>145572</v>
      </c>
      <c r="C177" s="237">
        <v>8306046</v>
      </c>
      <c r="D177" s="237" t="s">
        <v>943</v>
      </c>
      <c r="E177" s="237" t="s">
        <v>248</v>
      </c>
      <c r="F177" s="237" t="s">
        <v>501</v>
      </c>
      <c r="G177" s="237" t="s">
        <v>572</v>
      </c>
      <c r="H177" s="237" t="s">
        <v>572</v>
      </c>
      <c r="I177" s="237" t="s">
        <v>573</v>
      </c>
      <c r="J177" s="237" t="s">
        <v>944</v>
      </c>
      <c r="K177" s="237" t="s">
        <v>93</v>
      </c>
      <c r="L177" s="237" t="s">
        <v>93</v>
      </c>
      <c r="M177" s="237" t="s">
        <v>93</v>
      </c>
      <c r="N177" s="237" t="s">
        <v>90</v>
      </c>
      <c r="O177" s="237" t="s">
        <v>486</v>
      </c>
      <c r="P177" s="237" t="s">
        <v>487</v>
      </c>
      <c r="Q177" s="238">
        <v>10078674</v>
      </c>
      <c r="R177" s="239">
        <v>43487</v>
      </c>
      <c r="S177" s="239">
        <v>43489</v>
      </c>
      <c r="T177" s="239">
        <v>43534</v>
      </c>
      <c r="U177" s="237" t="s">
        <v>499</v>
      </c>
      <c r="V177" s="237" t="s">
        <v>489</v>
      </c>
      <c r="W177" s="237">
        <v>1</v>
      </c>
      <c r="X177" s="237">
        <v>1</v>
      </c>
      <c r="Y177" s="237">
        <v>1</v>
      </c>
      <c r="Z177" s="237">
        <v>1</v>
      </c>
      <c r="AA177" s="237">
        <v>2</v>
      </c>
      <c r="AB177" s="237" t="s">
        <v>486</v>
      </c>
      <c r="AC177" s="237" t="s">
        <v>486</v>
      </c>
      <c r="AD177" s="237" t="s">
        <v>219</v>
      </c>
      <c r="AE177" s="237" t="s">
        <v>490</v>
      </c>
      <c r="AF177" s="237" t="s">
        <v>486</v>
      </c>
      <c r="AG177" s="237" t="s">
        <v>486</v>
      </c>
      <c r="AH177" s="237" t="s">
        <v>486</v>
      </c>
      <c r="AI177" s="237" t="s">
        <v>486</v>
      </c>
      <c r="AJ177" s="237" t="s">
        <v>486</v>
      </c>
      <c r="AK177" s="237" t="s">
        <v>486</v>
      </c>
      <c r="AL177" s="237" t="s">
        <v>486</v>
      </c>
      <c r="AM177" s="237" t="s">
        <v>491</v>
      </c>
      <c r="AN177" s="237" t="s">
        <v>231</v>
      </c>
      <c r="AO177" s="237" t="s">
        <v>231</v>
      </c>
      <c r="AP177" s="237" t="s">
        <v>231</v>
      </c>
      <c r="AQ177" s="237" t="s">
        <v>231</v>
      </c>
      <c r="AR177" s="237" t="s">
        <v>231</v>
      </c>
      <c r="AS177" s="237" t="s">
        <v>231</v>
      </c>
      <c r="AT177" s="237" t="s">
        <v>231</v>
      </c>
      <c r="AU177" s="237" t="s">
        <v>231</v>
      </c>
      <c r="AV177" s="237" t="s">
        <v>231</v>
      </c>
      <c r="AW177" s="237" t="s">
        <v>231</v>
      </c>
      <c r="AX177" s="237" t="s">
        <v>231</v>
      </c>
      <c r="AY177" s="237" t="s">
        <v>231</v>
      </c>
      <c r="AZ177" s="237" t="s">
        <v>231</v>
      </c>
      <c r="BA177" s="237" t="s">
        <v>231</v>
      </c>
      <c r="BB177" s="237" t="s">
        <v>231</v>
      </c>
      <c r="BC177" s="237" t="s">
        <v>231</v>
      </c>
      <c r="BD177" s="237" t="s">
        <v>492</v>
      </c>
      <c r="BE177" s="237" t="s">
        <v>231</v>
      </c>
      <c r="BF177" s="237" t="s">
        <v>231</v>
      </c>
      <c r="BG177" s="237" t="s">
        <v>231</v>
      </c>
      <c r="BH177" s="237" t="s">
        <v>231</v>
      </c>
      <c r="BI177" s="237" t="s">
        <v>231</v>
      </c>
      <c r="BJ177" s="237" t="s">
        <v>231</v>
      </c>
      <c r="BK177" s="237" t="s">
        <v>231</v>
      </c>
      <c r="BL177" s="237" t="s">
        <v>492</v>
      </c>
      <c r="BM177" s="237" t="s">
        <v>231</v>
      </c>
      <c r="BN177" s="237" t="s">
        <v>231</v>
      </c>
      <c r="BO177" s="237" t="s">
        <v>231</v>
      </c>
      <c r="BP177" s="237" t="s">
        <v>231</v>
      </c>
      <c r="BQ177" s="237" t="s">
        <v>231</v>
      </c>
      <c r="BR177" s="237" t="s">
        <v>231</v>
      </c>
      <c r="BS177" s="237" t="s">
        <v>231</v>
      </c>
      <c r="BT177" s="237" t="s">
        <v>231</v>
      </c>
      <c r="BU177" s="237" t="s">
        <v>231</v>
      </c>
      <c r="BV177" s="237" t="s">
        <v>231</v>
      </c>
      <c r="BW177" s="237" t="s">
        <v>231</v>
      </c>
      <c r="BX177" s="237" t="s">
        <v>231</v>
      </c>
      <c r="BY177" s="237" t="s">
        <v>231</v>
      </c>
      <c r="BZ177" s="237" t="s">
        <v>231</v>
      </c>
      <c r="CA177" s="237" t="s">
        <v>231</v>
      </c>
      <c r="CB177" s="237" t="s">
        <v>231</v>
      </c>
      <c r="CC177" s="237" t="s">
        <v>231</v>
      </c>
      <c r="CD177" s="237" t="s">
        <v>231</v>
      </c>
      <c r="CE177" s="237" t="s">
        <v>231</v>
      </c>
      <c r="CF177" s="237" t="s">
        <v>231</v>
      </c>
      <c r="CG177" s="237" t="s">
        <v>231</v>
      </c>
      <c r="CH177" s="237" t="s">
        <v>231</v>
      </c>
      <c r="CI177" s="237" t="s">
        <v>231</v>
      </c>
      <c r="CJ177" s="237" t="s">
        <v>231</v>
      </c>
      <c r="CK177" s="237" t="s">
        <v>231</v>
      </c>
      <c r="CL177" s="237" t="s">
        <v>231</v>
      </c>
      <c r="CM177" s="237" t="s">
        <v>231</v>
      </c>
      <c r="CN177" s="237" t="s">
        <v>231</v>
      </c>
      <c r="CO177" s="237" t="s">
        <v>231</v>
      </c>
      <c r="CP177" s="237" t="s">
        <v>231</v>
      </c>
      <c r="CQ177" s="237" t="s">
        <v>231</v>
      </c>
      <c r="CR177" s="237" t="s">
        <v>231</v>
      </c>
      <c r="CS177" s="237" t="s">
        <v>231</v>
      </c>
      <c r="CT177" s="237" t="s">
        <v>492</v>
      </c>
      <c r="CU177" s="237" t="s">
        <v>492</v>
      </c>
      <c r="CV177" s="237" t="s">
        <v>492</v>
      </c>
      <c r="CW177" s="237" t="s">
        <v>231</v>
      </c>
      <c r="CX177" s="237" t="s">
        <v>231</v>
      </c>
      <c r="CY177" s="237" t="s">
        <v>231</v>
      </c>
      <c r="CZ177" s="237" t="s">
        <v>231</v>
      </c>
      <c r="DA177" s="237" t="s">
        <v>231</v>
      </c>
      <c r="DB177" s="237" t="s">
        <v>231</v>
      </c>
      <c r="DC177" s="237" t="s">
        <v>231</v>
      </c>
      <c r="DD177" s="237" t="s">
        <v>231</v>
      </c>
      <c r="DE177" s="237" t="s">
        <v>231</v>
      </c>
      <c r="DF177" s="237" t="s">
        <v>231</v>
      </c>
      <c r="DG177" s="237" t="s">
        <v>231</v>
      </c>
      <c r="DH177" s="237" t="s">
        <v>231</v>
      </c>
      <c r="DI177" s="237" t="s">
        <v>231</v>
      </c>
      <c r="DJ177" s="237" t="s">
        <v>231</v>
      </c>
      <c r="DK177" s="237" t="s">
        <v>231</v>
      </c>
      <c r="DL177" s="237" t="s">
        <v>231</v>
      </c>
      <c r="DM177" s="237" t="s">
        <v>231</v>
      </c>
      <c r="DN177" s="237" t="s">
        <v>231</v>
      </c>
      <c r="DO177" s="237" t="s">
        <v>231</v>
      </c>
      <c r="DP177" s="237" t="s">
        <v>231</v>
      </c>
      <c r="DQ177" s="237" t="s">
        <v>231</v>
      </c>
      <c r="DR177" s="237" t="s">
        <v>231</v>
      </c>
      <c r="DS177" s="237" t="s">
        <v>231</v>
      </c>
      <c r="DT177" s="237" t="s">
        <v>492</v>
      </c>
      <c r="DU177" s="237" t="s">
        <v>231</v>
      </c>
      <c r="DV177" s="237" t="s">
        <v>492</v>
      </c>
      <c r="DW177" s="237" t="s">
        <v>492</v>
      </c>
      <c r="DX177" s="237" t="s">
        <v>492</v>
      </c>
      <c r="DY177" s="237" t="s">
        <v>492</v>
      </c>
      <c r="DZ177" s="237" t="s">
        <v>492</v>
      </c>
      <c r="EA177" s="237" t="s">
        <v>492</v>
      </c>
      <c r="EB177" s="237" t="s">
        <v>492</v>
      </c>
      <c r="EC177" s="237" t="s">
        <v>492</v>
      </c>
      <c r="ED177" s="237" t="s">
        <v>492</v>
      </c>
      <c r="EE177" s="237" t="s">
        <v>492</v>
      </c>
      <c r="EF177" s="237" t="s">
        <v>492</v>
      </c>
      <c r="EG177" s="237" t="s">
        <v>492</v>
      </c>
      <c r="EH177" s="237" t="s">
        <v>492</v>
      </c>
      <c r="EI177" s="237" t="s">
        <v>492</v>
      </c>
      <c r="EJ177" s="237" t="s">
        <v>492</v>
      </c>
      <c r="EK177" s="237" t="s">
        <v>492</v>
      </c>
      <c r="EL177" s="237" t="s">
        <v>492</v>
      </c>
      <c r="EM177" s="237" t="s">
        <v>492</v>
      </c>
      <c r="EN177" s="237" t="s">
        <v>492</v>
      </c>
      <c r="EO177" s="237" t="s">
        <v>492</v>
      </c>
      <c r="EP177" s="237" t="s">
        <v>492</v>
      </c>
      <c r="EQ177" s="237" t="s">
        <v>492</v>
      </c>
      <c r="ER177" s="237" t="s">
        <v>492</v>
      </c>
      <c r="ES177" s="237" t="s">
        <v>231</v>
      </c>
      <c r="ET177" s="237" t="s">
        <v>231</v>
      </c>
      <c r="EU177" s="237" t="s">
        <v>231</v>
      </c>
      <c r="EV177" s="237" t="s">
        <v>231</v>
      </c>
      <c r="EW177" s="237" t="s">
        <v>231</v>
      </c>
      <c r="EX177" s="237" t="s">
        <v>231</v>
      </c>
      <c r="EY177" s="237" t="s">
        <v>231</v>
      </c>
      <c r="EZ177" s="237" t="s">
        <v>231</v>
      </c>
      <c r="FA177" s="237" t="s">
        <v>231</v>
      </c>
      <c r="FB177" s="237" t="s">
        <v>231</v>
      </c>
      <c r="FC177" s="237" t="s">
        <v>231</v>
      </c>
      <c r="FD177" s="237" t="s">
        <v>231</v>
      </c>
      <c r="FE177" s="237" t="s">
        <v>231</v>
      </c>
      <c r="FF177" s="237" t="s">
        <v>492</v>
      </c>
      <c r="FG177" s="237" t="s">
        <v>492</v>
      </c>
      <c r="FH177" s="237" t="s">
        <v>492</v>
      </c>
      <c r="FI177" s="237" t="s">
        <v>492</v>
      </c>
      <c r="FJ177" s="237" t="s">
        <v>492</v>
      </c>
      <c r="FK177" s="237" t="s">
        <v>492</v>
      </c>
      <c r="FL177" s="237" t="s">
        <v>492</v>
      </c>
      <c r="FM177" s="237" t="s">
        <v>492</v>
      </c>
      <c r="FN177" s="237" t="s">
        <v>492</v>
      </c>
      <c r="FO177" s="237" t="s">
        <v>493</v>
      </c>
      <c r="FP177" s="237" t="s">
        <v>492</v>
      </c>
      <c r="FQ177" s="237" t="s">
        <v>231</v>
      </c>
      <c r="FR177" s="237" t="s">
        <v>231</v>
      </c>
      <c r="FS177" s="237" t="s">
        <v>231</v>
      </c>
      <c r="FT177" s="237" t="s">
        <v>231</v>
      </c>
      <c r="FU177" s="237" t="s">
        <v>231</v>
      </c>
      <c r="FV177" s="237" t="s">
        <v>231</v>
      </c>
      <c r="FW177" s="237" t="s">
        <v>231</v>
      </c>
      <c r="FX177" s="237" t="s">
        <v>492</v>
      </c>
      <c r="FY177" s="237" t="s">
        <v>231</v>
      </c>
      <c r="FZ177" s="237" t="s">
        <v>231</v>
      </c>
      <c r="GA177" s="237" t="s">
        <v>231</v>
      </c>
      <c r="GB177" s="237" t="s">
        <v>231</v>
      </c>
      <c r="GC177" s="237" t="s">
        <v>231</v>
      </c>
      <c r="GD177" s="237" t="s">
        <v>231</v>
      </c>
      <c r="GE177" s="237" t="s">
        <v>231</v>
      </c>
      <c r="GF177" s="237" t="s">
        <v>231</v>
      </c>
      <c r="GG177" s="237" t="s">
        <v>231</v>
      </c>
      <c r="GH177" s="237" t="s">
        <v>231</v>
      </c>
      <c r="GI177" s="237" t="s">
        <v>231</v>
      </c>
      <c r="GJ177" s="237" t="s">
        <v>231</v>
      </c>
      <c r="GK177" s="237" t="s">
        <v>231</v>
      </c>
      <c r="GL177" s="237" t="s">
        <v>231</v>
      </c>
      <c r="GM177" s="237" t="s">
        <v>231</v>
      </c>
      <c r="GN177" s="237" t="s">
        <v>231</v>
      </c>
      <c r="GO177" s="237" t="s">
        <v>231</v>
      </c>
      <c r="GP177" s="237" t="s">
        <v>492</v>
      </c>
      <c r="GQ177" s="237" t="s">
        <v>231</v>
      </c>
      <c r="GR177" s="237" t="s">
        <v>231</v>
      </c>
      <c r="GS177" s="237" t="s">
        <v>231</v>
      </c>
      <c r="GT177" s="237" t="s">
        <v>231</v>
      </c>
      <c r="GU177" s="237" t="s">
        <v>231</v>
      </c>
      <c r="GV177" s="237" t="s">
        <v>492</v>
      </c>
      <c r="GW177" s="237" t="s">
        <v>231</v>
      </c>
      <c r="GX177" s="237" t="s">
        <v>231</v>
      </c>
      <c r="GY177" s="237" t="s">
        <v>231</v>
      </c>
      <c r="GZ177" s="237" t="s">
        <v>231</v>
      </c>
      <c r="HA177" s="237" t="s">
        <v>492</v>
      </c>
      <c r="HB177" s="237" t="s">
        <v>231</v>
      </c>
      <c r="HC177" s="237" t="s">
        <v>231</v>
      </c>
      <c r="HD177" s="237" t="s">
        <v>231</v>
      </c>
      <c r="HE177" s="237" t="s">
        <v>231</v>
      </c>
      <c r="HF177" s="237" t="s">
        <v>492</v>
      </c>
      <c r="HG177" s="237" t="s">
        <v>231</v>
      </c>
      <c r="HH177" s="237" t="s">
        <v>231</v>
      </c>
      <c r="HI177" s="237" t="s">
        <v>231</v>
      </c>
      <c r="HJ177" s="237" t="s">
        <v>231</v>
      </c>
      <c r="HK177" s="237" t="s">
        <v>231</v>
      </c>
      <c r="HL177" s="237" t="s">
        <v>231</v>
      </c>
      <c r="HM177" s="237" t="s">
        <v>231</v>
      </c>
      <c r="HN177" s="237" t="s">
        <v>231</v>
      </c>
      <c r="HO177" s="237" t="s">
        <v>231</v>
      </c>
      <c r="HP177" s="237" t="s">
        <v>231</v>
      </c>
      <c r="HQ177" s="237" t="s">
        <v>492</v>
      </c>
      <c r="HR177" s="237" t="s">
        <v>492</v>
      </c>
      <c r="HS177" s="237" t="s">
        <v>492</v>
      </c>
      <c r="HT177" s="237" t="s">
        <v>492</v>
      </c>
      <c r="HU177" s="237" t="s">
        <v>231</v>
      </c>
      <c r="HV177" s="237" t="s">
        <v>231</v>
      </c>
      <c r="HW177" s="237" t="s">
        <v>231</v>
      </c>
      <c r="HX177" s="237" t="s">
        <v>231</v>
      </c>
      <c r="HY177" s="237" t="s">
        <v>231</v>
      </c>
      <c r="HZ177" s="237" t="s">
        <v>231</v>
      </c>
      <c r="IA177" s="237" t="s">
        <v>231</v>
      </c>
      <c r="IB177" s="237" t="s">
        <v>231</v>
      </c>
      <c r="IC177" s="237" t="s">
        <v>231</v>
      </c>
      <c r="ID177" s="237" t="s">
        <v>231</v>
      </c>
      <c r="IE177" s="237" t="s">
        <v>231</v>
      </c>
      <c r="IF177" s="237" t="s">
        <v>231</v>
      </c>
      <c r="IG177" s="237" t="s">
        <v>231</v>
      </c>
      <c r="IH177" s="237" t="s">
        <v>231</v>
      </c>
      <c r="II177" s="237" t="s">
        <v>231</v>
      </c>
      <c r="IJ177" s="237" t="s">
        <v>231</v>
      </c>
      <c r="IK177" s="237" t="s">
        <v>231</v>
      </c>
      <c r="IL177" s="237" t="s">
        <v>231</v>
      </c>
      <c r="IM177" s="237" t="s">
        <v>231</v>
      </c>
      <c r="IN177" s="237" t="s">
        <v>231</v>
      </c>
      <c r="IO177" s="237" t="s">
        <v>220</v>
      </c>
      <c r="IP177" s="237" t="s">
        <v>493</v>
      </c>
      <c r="IQ177" s="237" t="s">
        <v>219</v>
      </c>
      <c r="IR177" s="237" t="s">
        <v>490</v>
      </c>
      <c r="IS177" s="237" t="s">
        <v>492</v>
      </c>
      <c r="IT177" s="237" t="s">
        <v>492</v>
      </c>
    </row>
    <row r="178" spans="1:254" ht="15" x14ac:dyDescent="0.25">
      <c r="A178" s="259" t="str">
        <f>HYPERLINK("http://www.ofsted.gov.uk/inspection-reports/find-inspection-report/provider/ELS/134441 ","Ofsted School Webpage")</f>
        <v>Ofsted School Webpage</v>
      </c>
      <c r="B178" s="240">
        <v>134441</v>
      </c>
      <c r="C178" s="240">
        <v>8016023</v>
      </c>
      <c r="D178" s="240" t="s">
        <v>945</v>
      </c>
      <c r="E178" s="240" t="s">
        <v>247</v>
      </c>
      <c r="F178" s="240" t="s">
        <v>482</v>
      </c>
      <c r="G178" s="240" t="s">
        <v>483</v>
      </c>
      <c r="H178" s="240" t="s">
        <v>483</v>
      </c>
      <c r="I178" s="240" t="s">
        <v>564</v>
      </c>
      <c r="J178" s="240" t="s">
        <v>946</v>
      </c>
      <c r="K178" s="240" t="s">
        <v>93</v>
      </c>
      <c r="L178" s="240" t="s">
        <v>93</v>
      </c>
      <c r="M178" s="240" t="s">
        <v>93</v>
      </c>
      <c r="N178" s="240" t="s">
        <v>90</v>
      </c>
      <c r="O178" s="240" t="s">
        <v>486</v>
      </c>
      <c r="P178" s="240" t="s">
        <v>487</v>
      </c>
      <c r="Q178" s="241">
        <v>10056307</v>
      </c>
      <c r="R178" s="242">
        <v>43487</v>
      </c>
      <c r="S178" s="242">
        <v>43489</v>
      </c>
      <c r="T178" s="242">
        <v>43528</v>
      </c>
      <c r="U178" s="240" t="s">
        <v>488</v>
      </c>
      <c r="V178" s="240" t="s">
        <v>489</v>
      </c>
      <c r="W178" s="240">
        <v>4</v>
      </c>
      <c r="X178" s="240">
        <v>4</v>
      </c>
      <c r="Y178" s="240">
        <v>4</v>
      </c>
      <c r="Z178" s="240">
        <v>4</v>
      </c>
      <c r="AA178" s="240">
        <v>4</v>
      </c>
      <c r="AB178" s="240" t="s">
        <v>486</v>
      </c>
      <c r="AC178" s="240" t="s">
        <v>486</v>
      </c>
      <c r="AD178" s="240" t="s">
        <v>220</v>
      </c>
      <c r="AE178" s="240" t="s">
        <v>490</v>
      </c>
      <c r="AF178" s="240" t="s">
        <v>486</v>
      </c>
      <c r="AG178" s="240" t="s">
        <v>486</v>
      </c>
      <c r="AH178" s="240" t="s">
        <v>486</v>
      </c>
      <c r="AI178" s="240" t="s">
        <v>486</v>
      </c>
      <c r="AJ178" s="240" t="s">
        <v>486</v>
      </c>
      <c r="AK178" s="240" t="s">
        <v>486</v>
      </c>
      <c r="AL178" s="240" t="s">
        <v>486</v>
      </c>
      <c r="AM178" s="240" t="s">
        <v>545</v>
      </c>
      <c r="AN178" s="240" t="s">
        <v>546</v>
      </c>
      <c r="AO178" s="240" t="s">
        <v>546</v>
      </c>
      <c r="AP178" s="240" t="s">
        <v>546</v>
      </c>
      <c r="AQ178" s="240" t="s">
        <v>231</v>
      </c>
      <c r="AR178" s="240" t="s">
        <v>231</v>
      </c>
      <c r="AS178" s="240" t="s">
        <v>231</v>
      </c>
      <c r="AT178" s="240" t="s">
        <v>231</v>
      </c>
      <c r="AU178" s="240" t="s">
        <v>546</v>
      </c>
      <c r="AV178" s="240" t="s">
        <v>232</v>
      </c>
      <c r="AW178" s="240" t="s">
        <v>232</v>
      </c>
      <c r="AX178" s="240" t="s">
        <v>232</v>
      </c>
      <c r="AY178" s="240" t="s">
        <v>232</v>
      </c>
      <c r="AZ178" s="240" t="s">
        <v>231</v>
      </c>
      <c r="BA178" s="240" t="s">
        <v>486</v>
      </c>
      <c r="BB178" s="240" t="s">
        <v>232</v>
      </c>
      <c r="BC178" s="240" t="s">
        <v>232</v>
      </c>
      <c r="BD178" s="240" t="s">
        <v>492</v>
      </c>
      <c r="BE178" s="240" t="s">
        <v>231</v>
      </c>
      <c r="BF178" s="240" t="s">
        <v>231</v>
      </c>
      <c r="BG178" s="240" t="s">
        <v>231</v>
      </c>
      <c r="BH178" s="240" t="s">
        <v>231</v>
      </c>
      <c r="BI178" s="240" t="s">
        <v>231</v>
      </c>
      <c r="BJ178" s="240" t="s">
        <v>231</v>
      </c>
      <c r="BK178" s="240" t="s">
        <v>231</v>
      </c>
      <c r="BL178" s="240" t="s">
        <v>492</v>
      </c>
      <c r="BM178" s="240" t="s">
        <v>232</v>
      </c>
      <c r="BN178" s="240" t="s">
        <v>232</v>
      </c>
      <c r="BO178" s="240" t="s">
        <v>232</v>
      </c>
      <c r="BP178" s="240" t="s">
        <v>486</v>
      </c>
      <c r="BQ178" s="240" t="s">
        <v>232</v>
      </c>
      <c r="BR178" s="240" t="s">
        <v>232</v>
      </c>
      <c r="BS178" s="240" t="s">
        <v>232</v>
      </c>
      <c r="BT178" s="240" t="s">
        <v>232</v>
      </c>
      <c r="BU178" s="240" t="s">
        <v>232</v>
      </c>
      <c r="BV178" s="240" t="s">
        <v>232</v>
      </c>
      <c r="BW178" s="240" t="s">
        <v>232</v>
      </c>
      <c r="BX178" s="240" t="s">
        <v>232</v>
      </c>
      <c r="BY178" s="240" t="s">
        <v>231</v>
      </c>
      <c r="BZ178" s="240" t="s">
        <v>231</v>
      </c>
      <c r="CA178" s="240" t="s">
        <v>231</v>
      </c>
      <c r="CB178" s="240" t="s">
        <v>232</v>
      </c>
      <c r="CC178" s="240" t="s">
        <v>231</v>
      </c>
      <c r="CD178" s="240" t="s">
        <v>232</v>
      </c>
      <c r="CE178" s="240" t="s">
        <v>231</v>
      </c>
      <c r="CF178" s="240" t="s">
        <v>231</v>
      </c>
      <c r="CG178" s="240" t="s">
        <v>232</v>
      </c>
      <c r="CH178" s="240" t="s">
        <v>231</v>
      </c>
      <c r="CI178" s="240" t="s">
        <v>231</v>
      </c>
      <c r="CJ178" s="240" t="s">
        <v>231</v>
      </c>
      <c r="CK178" s="240" t="s">
        <v>231</v>
      </c>
      <c r="CL178" s="240" t="s">
        <v>231</v>
      </c>
      <c r="CM178" s="240" t="s">
        <v>231</v>
      </c>
      <c r="CN178" s="240" t="s">
        <v>231</v>
      </c>
      <c r="CO178" s="240" t="s">
        <v>231</v>
      </c>
      <c r="CP178" s="240" t="s">
        <v>231</v>
      </c>
      <c r="CQ178" s="240" t="s">
        <v>232</v>
      </c>
      <c r="CR178" s="240" t="s">
        <v>232</v>
      </c>
      <c r="CS178" s="240" t="s">
        <v>232</v>
      </c>
      <c r="CT178" s="240" t="s">
        <v>492</v>
      </c>
      <c r="CU178" s="240" t="s">
        <v>492</v>
      </c>
      <c r="CV178" s="240" t="s">
        <v>492</v>
      </c>
      <c r="CW178" s="240" t="s">
        <v>232</v>
      </c>
      <c r="CX178" s="240" t="s">
        <v>231</v>
      </c>
      <c r="CY178" s="240" t="s">
        <v>232</v>
      </c>
      <c r="CZ178" s="240" t="s">
        <v>231</v>
      </c>
      <c r="DA178" s="240" t="s">
        <v>231</v>
      </c>
      <c r="DB178" s="240" t="s">
        <v>231</v>
      </c>
      <c r="DC178" s="240" t="s">
        <v>231</v>
      </c>
      <c r="DD178" s="240" t="s">
        <v>231</v>
      </c>
      <c r="DE178" s="240" t="s">
        <v>231</v>
      </c>
      <c r="DF178" s="240" t="s">
        <v>231</v>
      </c>
      <c r="DG178" s="240" t="s">
        <v>232</v>
      </c>
      <c r="DH178" s="240" t="s">
        <v>231</v>
      </c>
      <c r="DI178" s="240" t="s">
        <v>232</v>
      </c>
      <c r="DJ178" s="240" t="s">
        <v>231</v>
      </c>
      <c r="DK178" s="240" t="s">
        <v>231</v>
      </c>
      <c r="DL178" s="240" t="s">
        <v>231</v>
      </c>
      <c r="DM178" s="240" t="s">
        <v>231</v>
      </c>
      <c r="DN178" s="240" t="s">
        <v>231</v>
      </c>
      <c r="DO178" s="240" t="s">
        <v>231</v>
      </c>
      <c r="DP178" s="240" t="s">
        <v>231</v>
      </c>
      <c r="DQ178" s="240" t="s">
        <v>231</v>
      </c>
      <c r="DR178" s="240" t="s">
        <v>231</v>
      </c>
      <c r="DS178" s="240" t="s">
        <v>231</v>
      </c>
      <c r="DT178" s="240" t="s">
        <v>492</v>
      </c>
      <c r="DU178" s="240" t="s">
        <v>231</v>
      </c>
      <c r="DV178" s="240" t="s">
        <v>231</v>
      </c>
      <c r="DW178" s="240" t="s">
        <v>231</v>
      </c>
      <c r="DX178" s="240" t="s">
        <v>231</v>
      </c>
      <c r="DY178" s="240" t="s">
        <v>231</v>
      </c>
      <c r="DZ178" s="240" t="s">
        <v>231</v>
      </c>
      <c r="EA178" s="240" t="s">
        <v>231</v>
      </c>
      <c r="EB178" s="240" t="s">
        <v>231</v>
      </c>
      <c r="EC178" s="240" t="s">
        <v>231</v>
      </c>
      <c r="ED178" s="240" t="s">
        <v>231</v>
      </c>
      <c r="EE178" s="240" t="s">
        <v>231</v>
      </c>
      <c r="EF178" s="240" t="s">
        <v>231</v>
      </c>
      <c r="EG178" s="240" t="s">
        <v>231</v>
      </c>
      <c r="EH178" s="240" t="s">
        <v>492</v>
      </c>
      <c r="EI178" s="240" t="s">
        <v>231</v>
      </c>
      <c r="EJ178" s="240" t="s">
        <v>231</v>
      </c>
      <c r="EK178" s="240" t="s">
        <v>231</v>
      </c>
      <c r="EL178" s="240" t="s">
        <v>231</v>
      </c>
      <c r="EM178" s="240" t="s">
        <v>231</v>
      </c>
      <c r="EN178" s="240" t="s">
        <v>231</v>
      </c>
      <c r="EO178" s="240" t="s">
        <v>231</v>
      </c>
      <c r="EP178" s="240" t="s">
        <v>231</v>
      </c>
      <c r="EQ178" s="240" t="s">
        <v>231</v>
      </c>
      <c r="ER178" s="240" t="s">
        <v>231</v>
      </c>
      <c r="ES178" s="240" t="s">
        <v>231</v>
      </c>
      <c r="ET178" s="240" t="s">
        <v>231</v>
      </c>
      <c r="EU178" s="240" t="s">
        <v>231</v>
      </c>
      <c r="EV178" s="240" t="s">
        <v>231</v>
      </c>
      <c r="EW178" s="240" t="s">
        <v>231</v>
      </c>
      <c r="EX178" s="240" t="s">
        <v>231</v>
      </c>
      <c r="EY178" s="240" t="s">
        <v>231</v>
      </c>
      <c r="EZ178" s="240" t="s">
        <v>231</v>
      </c>
      <c r="FA178" s="240" t="s">
        <v>231</v>
      </c>
      <c r="FB178" s="240" t="s">
        <v>231</v>
      </c>
      <c r="FC178" s="240" t="s">
        <v>231</v>
      </c>
      <c r="FD178" s="240" t="s">
        <v>231</v>
      </c>
      <c r="FE178" s="240" t="s">
        <v>231</v>
      </c>
      <c r="FF178" s="240" t="s">
        <v>231</v>
      </c>
      <c r="FG178" s="240" t="s">
        <v>231</v>
      </c>
      <c r="FH178" s="240" t="s">
        <v>231</v>
      </c>
      <c r="FI178" s="240" t="s">
        <v>231</v>
      </c>
      <c r="FJ178" s="240" t="s">
        <v>231</v>
      </c>
      <c r="FK178" s="240" t="s">
        <v>492</v>
      </c>
      <c r="FL178" s="240" t="s">
        <v>231</v>
      </c>
      <c r="FM178" s="240" t="s">
        <v>231</v>
      </c>
      <c r="FN178" s="240" t="s">
        <v>231</v>
      </c>
      <c r="FO178" s="240" t="s">
        <v>231</v>
      </c>
      <c r="FP178" s="240" t="s">
        <v>231</v>
      </c>
      <c r="FQ178" s="240" t="s">
        <v>231</v>
      </c>
      <c r="FR178" s="240" t="s">
        <v>231</v>
      </c>
      <c r="FS178" s="240" t="s">
        <v>231</v>
      </c>
      <c r="FT178" s="240" t="s">
        <v>231</v>
      </c>
      <c r="FU178" s="240" t="s">
        <v>231</v>
      </c>
      <c r="FV178" s="240" t="s">
        <v>231</v>
      </c>
      <c r="FW178" s="240" t="s">
        <v>231</v>
      </c>
      <c r="FX178" s="240" t="s">
        <v>231</v>
      </c>
      <c r="FY178" s="240" t="s">
        <v>231</v>
      </c>
      <c r="FZ178" s="240" t="s">
        <v>231</v>
      </c>
      <c r="GA178" s="240" t="s">
        <v>231</v>
      </c>
      <c r="GB178" s="240" t="s">
        <v>231</v>
      </c>
      <c r="GC178" s="240" t="s">
        <v>231</v>
      </c>
      <c r="GD178" s="240" t="s">
        <v>231</v>
      </c>
      <c r="GE178" s="240" t="s">
        <v>231</v>
      </c>
      <c r="GF178" s="240" t="s">
        <v>231</v>
      </c>
      <c r="GG178" s="240" t="s">
        <v>231</v>
      </c>
      <c r="GH178" s="240" t="s">
        <v>231</v>
      </c>
      <c r="GI178" s="240" t="s">
        <v>231</v>
      </c>
      <c r="GJ178" s="240" t="s">
        <v>231</v>
      </c>
      <c r="GK178" s="240" t="s">
        <v>231</v>
      </c>
      <c r="GL178" s="240" t="s">
        <v>231</v>
      </c>
      <c r="GM178" s="240" t="s">
        <v>231</v>
      </c>
      <c r="GN178" s="240" t="s">
        <v>231</v>
      </c>
      <c r="GO178" s="240" t="s">
        <v>231</v>
      </c>
      <c r="GP178" s="240" t="s">
        <v>492</v>
      </c>
      <c r="GQ178" s="240" t="s">
        <v>231</v>
      </c>
      <c r="GR178" s="240" t="s">
        <v>231</v>
      </c>
      <c r="GS178" s="240" t="s">
        <v>231</v>
      </c>
      <c r="GT178" s="240" t="s">
        <v>231</v>
      </c>
      <c r="GU178" s="240" t="s">
        <v>231</v>
      </c>
      <c r="GV178" s="240" t="s">
        <v>492</v>
      </c>
      <c r="GW178" s="240" t="s">
        <v>231</v>
      </c>
      <c r="GX178" s="240" t="s">
        <v>231</v>
      </c>
      <c r="GY178" s="240" t="s">
        <v>231</v>
      </c>
      <c r="GZ178" s="240" t="s">
        <v>231</v>
      </c>
      <c r="HA178" s="240" t="s">
        <v>492</v>
      </c>
      <c r="HB178" s="240" t="s">
        <v>231</v>
      </c>
      <c r="HC178" s="240" t="s">
        <v>231</v>
      </c>
      <c r="HD178" s="240" t="s">
        <v>231</v>
      </c>
      <c r="HE178" s="240" t="s">
        <v>231</v>
      </c>
      <c r="HF178" s="240" t="s">
        <v>231</v>
      </c>
      <c r="HG178" s="240" t="s">
        <v>231</v>
      </c>
      <c r="HH178" s="240" t="s">
        <v>231</v>
      </c>
      <c r="HI178" s="240" t="s">
        <v>231</v>
      </c>
      <c r="HJ178" s="240" t="s">
        <v>231</v>
      </c>
      <c r="HK178" s="240" t="s">
        <v>231</v>
      </c>
      <c r="HL178" s="240" t="s">
        <v>231</v>
      </c>
      <c r="HM178" s="240" t="s">
        <v>231</v>
      </c>
      <c r="HN178" s="240" t="s">
        <v>231</v>
      </c>
      <c r="HO178" s="240" t="s">
        <v>231</v>
      </c>
      <c r="HP178" s="240" t="s">
        <v>231</v>
      </c>
      <c r="HQ178" s="240" t="s">
        <v>492</v>
      </c>
      <c r="HR178" s="240" t="s">
        <v>492</v>
      </c>
      <c r="HS178" s="240" t="s">
        <v>492</v>
      </c>
      <c r="HT178" s="240" t="s">
        <v>492</v>
      </c>
      <c r="HU178" s="240" t="s">
        <v>231</v>
      </c>
      <c r="HV178" s="240" t="s">
        <v>231</v>
      </c>
      <c r="HW178" s="240" t="s">
        <v>231</v>
      </c>
      <c r="HX178" s="240" t="s">
        <v>231</v>
      </c>
      <c r="HY178" s="240" t="s">
        <v>231</v>
      </c>
      <c r="HZ178" s="240" t="s">
        <v>231</v>
      </c>
      <c r="IA178" s="240" t="s">
        <v>231</v>
      </c>
      <c r="IB178" s="240" t="s">
        <v>231</v>
      </c>
      <c r="IC178" s="240" t="s">
        <v>231</v>
      </c>
      <c r="ID178" s="240" t="s">
        <v>231</v>
      </c>
      <c r="IE178" s="240" t="s">
        <v>231</v>
      </c>
      <c r="IF178" s="240" t="s">
        <v>231</v>
      </c>
      <c r="IG178" s="240" t="s">
        <v>231</v>
      </c>
      <c r="IH178" s="240" t="s">
        <v>231</v>
      </c>
      <c r="II178" s="240" t="s">
        <v>231</v>
      </c>
      <c r="IJ178" s="240" t="s">
        <v>231</v>
      </c>
      <c r="IK178" s="240" t="s">
        <v>232</v>
      </c>
      <c r="IL178" s="240" t="s">
        <v>232</v>
      </c>
      <c r="IM178" s="240" t="s">
        <v>232</v>
      </c>
      <c r="IN178" s="240" t="s">
        <v>232</v>
      </c>
      <c r="IO178" s="240" t="s">
        <v>220</v>
      </c>
      <c r="IP178" s="240" t="s">
        <v>493</v>
      </c>
      <c r="IQ178" s="240" t="s">
        <v>219</v>
      </c>
      <c r="IR178" s="240" t="s">
        <v>490</v>
      </c>
      <c r="IS178" s="240" t="s">
        <v>492</v>
      </c>
      <c r="IT178" s="240" t="s">
        <v>492</v>
      </c>
    </row>
    <row r="179" spans="1:254" ht="15" x14ac:dyDescent="0.25">
      <c r="A179" s="258" t="str">
        <f>HYPERLINK("http://www.ofsted.gov.uk/inspection-reports/find-inspection-report/provider/ELS/115808 ","Ofsted School Webpage")</f>
        <v>Ofsted School Webpage</v>
      </c>
      <c r="B179" s="237">
        <v>115808</v>
      </c>
      <c r="C179" s="237">
        <v>9166068</v>
      </c>
      <c r="D179" s="237" t="s">
        <v>947</v>
      </c>
      <c r="E179" s="237" t="s">
        <v>247</v>
      </c>
      <c r="F179" s="237" t="s">
        <v>482</v>
      </c>
      <c r="G179" s="237" t="s">
        <v>483</v>
      </c>
      <c r="H179" s="237" t="s">
        <v>483</v>
      </c>
      <c r="I179" s="237" t="s">
        <v>948</v>
      </c>
      <c r="J179" s="237" t="s">
        <v>949</v>
      </c>
      <c r="K179" s="237" t="s">
        <v>93</v>
      </c>
      <c r="L179" s="237" t="s">
        <v>71</v>
      </c>
      <c r="M179" s="237" t="s">
        <v>71</v>
      </c>
      <c r="N179" s="237" t="s">
        <v>71</v>
      </c>
      <c r="O179" s="237" t="s">
        <v>486</v>
      </c>
      <c r="P179" s="237" t="s">
        <v>487</v>
      </c>
      <c r="Q179" s="238">
        <v>10056306</v>
      </c>
      <c r="R179" s="239">
        <v>43487</v>
      </c>
      <c r="S179" s="239">
        <v>43489</v>
      </c>
      <c r="T179" s="239">
        <v>43528</v>
      </c>
      <c r="U179" s="237" t="s">
        <v>488</v>
      </c>
      <c r="V179" s="237" t="s">
        <v>489</v>
      </c>
      <c r="W179" s="237">
        <v>2</v>
      </c>
      <c r="X179" s="237">
        <v>2</v>
      </c>
      <c r="Y179" s="237">
        <v>2</v>
      </c>
      <c r="Z179" s="237">
        <v>2</v>
      </c>
      <c r="AA179" s="237">
        <v>2</v>
      </c>
      <c r="AB179" s="237" t="s">
        <v>486</v>
      </c>
      <c r="AC179" s="237">
        <v>2</v>
      </c>
      <c r="AD179" s="237" t="s">
        <v>219</v>
      </c>
      <c r="AE179" s="237" t="s">
        <v>490</v>
      </c>
      <c r="AF179" s="237" t="s">
        <v>486</v>
      </c>
      <c r="AG179" s="237" t="s">
        <v>486</v>
      </c>
      <c r="AH179" s="237" t="s">
        <v>486</v>
      </c>
      <c r="AI179" s="237" t="s">
        <v>486</v>
      </c>
      <c r="AJ179" s="237" t="s">
        <v>486</v>
      </c>
      <c r="AK179" s="237" t="s">
        <v>486</v>
      </c>
      <c r="AL179" s="237" t="s">
        <v>486</v>
      </c>
      <c r="AM179" s="237" t="s">
        <v>491</v>
      </c>
      <c r="AN179" s="237" t="s">
        <v>231</v>
      </c>
      <c r="AO179" s="237" t="s">
        <v>231</v>
      </c>
      <c r="AP179" s="237" t="s">
        <v>231</v>
      </c>
      <c r="AQ179" s="237" t="s">
        <v>231</v>
      </c>
      <c r="AR179" s="237" t="s">
        <v>231</v>
      </c>
      <c r="AS179" s="237" t="s">
        <v>231</v>
      </c>
      <c r="AT179" s="237" t="s">
        <v>231</v>
      </c>
      <c r="AU179" s="237" t="s">
        <v>231</v>
      </c>
      <c r="AV179" s="237" t="s">
        <v>231</v>
      </c>
      <c r="AW179" s="237" t="s">
        <v>231</v>
      </c>
      <c r="AX179" s="237" t="s">
        <v>231</v>
      </c>
      <c r="AY179" s="237" t="s">
        <v>231</v>
      </c>
      <c r="AZ179" s="237" t="s">
        <v>231</v>
      </c>
      <c r="BA179" s="237" t="s">
        <v>231</v>
      </c>
      <c r="BB179" s="237" t="s">
        <v>231</v>
      </c>
      <c r="BC179" s="237" t="s">
        <v>231</v>
      </c>
      <c r="BD179" s="237" t="s">
        <v>231</v>
      </c>
      <c r="BE179" s="237" t="s">
        <v>231</v>
      </c>
      <c r="BF179" s="237" t="s">
        <v>231</v>
      </c>
      <c r="BG179" s="237" t="s">
        <v>231</v>
      </c>
      <c r="BH179" s="237" t="s">
        <v>231</v>
      </c>
      <c r="BI179" s="237" t="s">
        <v>231</v>
      </c>
      <c r="BJ179" s="237" t="s">
        <v>231</v>
      </c>
      <c r="BK179" s="237" t="s">
        <v>231</v>
      </c>
      <c r="BL179" s="237" t="s">
        <v>231</v>
      </c>
      <c r="BM179" s="237" t="s">
        <v>231</v>
      </c>
      <c r="BN179" s="237" t="s">
        <v>231</v>
      </c>
      <c r="BO179" s="237" t="s">
        <v>231</v>
      </c>
      <c r="BP179" s="237" t="s">
        <v>231</v>
      </c>
      <c r="BQ179" s="237" t="s">
        <v>231</v>
      </c>
      <c r="BR179" s="237" t="s">
        <v>231</v>
      </c>
      <c r="BS179" s="237" t="s">
        <v>231</v>
      </c>
      <c r="BT179" s="237" t="s">
        <v>231</v>
      </c>
      <c r="BU179" s="237" t="s">
        <v>231</v>
      </c>
      <c r="BV179" s="237" t="s">
        <v>231</v>
      </c>
      <c r="BW179" s="237" t="s">
        <v>231</v>
      </c>
      <c r="BX179" s="237" t="s">
        <v>231</v>
      </c>
      <c r="BY179" s="237" t="s">
        <v>231</v>
      </c>
      <c r="BZ179" s="237" t="s">
        <v>231</v>
      </c>
      <c r="CA179" s="237" t="s">
        <v>231</v>
      </c>
      <c r="CB179" s="237" t="s">
        <v>231</v>
      </c>
      <c r="CC179" s="237" t="s">
        <v>231</v>
      </c>
      <c r="CD179" s="237" t="s">
        <v>231</v>
      </c>
      <c r="CE179" s="237" t="s">
        <v>231</v>
      </c>
      <c r="CF179" s="237" t="s">
        <v>231</v>
      </c>
      <c r="CG179" s="237" t="s">
        <v>231</v>
      </c>
      <c r="CH179" s="237" t="s">
        <v>231</v>
      </c>
      <c r="CI179" s="237" t="s">
        <v>231</v>
      </c>
      <c r="CJ179" s="237" t="s">
        <v>231</v>
      </c>
      <c r="CK179" s="237" t="s">
        <v>231</v>
      </c>
      <c r="CL179" s="237" t="s">
        <v>231</v>
      </c>
      <c r="CM179" s="237" t="s">
        <v>231</v>
      </c>
      <c r="CN179" s="237" t="s">
        <v>231</v>
      </c>
      <c r="CO179" s="237" t="s">
        <v>231</v>
      </c>
      <c r="CP179" s="237" t="s">
        <v>231</v>
      </c>
      <c r="CQ179" s="237" t="s">
        <v>231</v>
      </c>
      <c r="CR179" s="237" t="s">
        <v>231</v>
      </c>
      <c r="CS179" s="237" t="s">
        <v>231</v>
      </c>
      <c r="CT179" s="237" t="s">
        <v>492</v>
      </c>
      <c r="CU179" s="237" t="s">
        <v>492</v>
      </c>
      <c r="CV179" s="237" t="s">
        <v>492</v>
      </c>
      <c r="CW179" s="237" t="s">
        <v>231</v>
      </c>
      <c r="CX179" s="237" t="s">
        <v>231</v>
      </c>
      <c r="CY179" s="237" t="s">
        <v>231</v>
      </c>
      <c r="CZ179" s="237" t="s">
        <v>231</v>
      </c>
      <c r="DA179" s="237" t="s">
        <v>231</v>
      </c>
      <c r="DB179" s="237" t="s">
        <v>231</v>
      </c>
      <c r="DC179" s="237" t="s">
        <v>231</v>
      </c>
      <c r="DD179" s="237" t="s">
        <v>231</v>
      </c>
      <c r="DE179" s="237" t="s">
        <v>231</v>
      </c>
      <c r="DF179" s="237" t="s">
        <v>231</v>
      </c>
      <c r="DG179" s="237" t="s">
        <v>231</v>
      </c>
      <c r="DH179" s="237" t="s">
        <v>231</v>
      </c>
      <c r="DI179" s="237" t="s">
        <v>231</v>
      </c>
      <c r="DJ179" s="237" t="s">
        <v>231</v>
      </c>
      <c r="DK179" s="237" t="s">
        <v>231</v>
      </c>
      <c r="DL179" s="237" t="s">
        <v>231</v>
      </c>
      <c r="DM179" s="237" t="s">
        <v>231</v>
      </c>
      <c r="DN179" s="237" t="s">
        <v>231</v>
      </c>
      <c r="DO179" s="237" t="s">
        <v>231</v>
      </c>
      <c r="DP179" s="237" t="s">
        <v>231</v>
      </c>
      <c r="DQ179" s="237" t="s">
        <v>231</v>
      </c>
      <c r="DR179" s="237" t="s">
        <v>231</v>
      </c>
      <c r="DS179" s="237" t="s">
        <v>231</v>
      </c>
      <c r="DT179" s="237" t="s">
        <v>492</v>
      </c>
      <c r="DU179" s="237" t="s">
        <v>231</v>
      </c>
      <c r="DV179" s="237" t="s">
        <v>231</v>
      </c>
      <c r="DW179" s="237" t="s">
        <v>231</v>
      </c>
      <c r="DX179" s="237" t="s">
        <v>231</v>
      </c>
      <c r="DY179" s="237" t="s">
        <v>231</v>
      </c>
      <c r="DZ179" s="237" t="s">
        <v>231</v>
      </c>
      <c r="EA179" s="237" t="s">
        <v>231</v>
      </c>
      <c r="EB179" s="237" t="s">
        <v>231</v>
      </c>
      <c r="EC179" s="237" t="s">
        <v>231</v>
      </c>
      <c r="ED179" s="237" t="s">
        <v>231</v>
      </c>
      <c r="EE179" s="237" t="s">
        <v>231</v>
      </c>
      <c r="EF179" s="237" t="s">
        <v>231</v>
      </c>
      <c r="EG179" s="237" t="s">
        <v>231</v>
      </c>
      <c r="EH179" s="237" t="s">
        <v>492</v>
      </c>
      <c r="EI179" s="237" t="s">
        <v>231</v>
      </c>
      <c r="EJ179" s="237" t="s">
        <v>231</v>
      </c>
      <c r="EK179" s="237" t="s">
        <v>231</v>
      </c>
      <c r="EL179" s="237" t="s">
        <v>231</v>
      </c>
      <c r="EM179" s="237" t="s">
        <v>231</v>
      </c>
      <c r="EN179" s="237" t="s">
        <v>231</v>
      </c>
      <c r="EO179" s="237" t="s">
        <v>231</v>
      </c>
      <c r="EP179" s="237" t="s">
        <v>231</v>
      </c>
      <c r="EQ179" s="237" t="s">
        <v>231</v>
      </c>
      <c r="ER179" s="237" t="s">
        <v>231</v>
      </c>
      <c r="ES179" s="237" t="s">
        <v>231</v>
      </c>
      <c r="ET179" s="237" t="s">
        <v>231</v>
      </c>
      <c r="EU179" s="237" t="s">
        <v>231</v>
      </c>
      <c r="EV179" s="237" t="s">
        <v>231</v>
      </c>
      <c r="EW179" s="237" t="s">
        <v>231</v>
      </c>
      <c r="EX179" s="237" t="s">
        <v>231</v>
      </c>
      <c r="EY179" s="237" t="s">
        <v>231</v>
      </c>
      <c r="EZ179" s="237" t="s">
        <v>231</v>
      </c>
      <c r="FA179" s="237" t="s">
        <v>231</v>
      </c>
      <c r="FB179" s="237" t="s">
        <v>231</v>
      </c>
      <c r="FC179" s="237" t="s">
        <v>231</v>
      </c>
      <c r="FD179" s="237" t="s">
        <v>231</v>
      </c>
      <c r="FE179" s="237" t="s">
        <v>231</v>
      </c>
      <c r="FF179" s="237" t="s">
        <v>231</v>
      </c>
      <c r="FG179" s="237" t="s">
        <v>231</v>
      </c>
      <c r="FH179" s="237" t="s">
        <v>231</v>
      </c>
      <c r="FI179" s="237" t="s">
        <v>231</v>
      </c>
      <c r="FJ179" s="237" t="s">
        <v>231</v>
      </c>
      <c r="FK179" s="237" t="s">
        <v>231</v>
      </c>
      <c r="FL179" s="237" t="s">
        <v>231</v>
      </c>
      <c r="FM179" s="237" t="s">
        <v>231</v>
      </c>
      <c r="FN179" s="237" t="s">
        <v>231</v>
      </c>
      <c r="FO179" s="237" t="s">
        <v>231</v>
      </c>
      <c r="FP179" s="237" t="s">
        <v>231</v>
      </c>
      <c r="FQ179" s="237" t="s">
        <v>231</v>
      </c>
      <c r="FR179" s="237" t="s">
        <v>231</v>
      </c>
      <c r="FS179" s="237" t="s">
        <v>231</v>
      </c>
      <c r="FT179" s="237" t="s">
        <v>231</v>
      </c>
      <c r="FU179" s="237" t="s">
        <v>231</v>
      </c>
      <c r="FV179" s="237" t="s">
        <v>231</v>
      </c>
      <c r="FW179" s="237" t="s">
        <v>231</v>
      </c>
      <c r="FX179" s="237" t="s">
        <v>231</v>
      </c>
      <c r="FY179" s="237" t="s">
        <v>231</v>
      </c>
      <c r="FZ179" s="237" t="s">
        <v>231</v>
      </c>
      <c r="GA179" s="237" t="s">
        <v>231</v>
      </c>
      <c r="GB179" s="237" t="s">
        <v>231</v>
      </c>
      <c r="GC179" s="237" t="s">
        <v>231</v>
      </c>
      <c r="GD179" s="237" t="s">
        <v>231</v>
      </c>
      <c r="GE179" s="237" t="s">
        <v>231</v>
      </c>
      <c r="GF179" s="237" t="s">
        <v>231</v>
      </c>
      <c r="GG179" s="237" t="s">
        <v>231</v>
      </c>
      <c r="GH179" s="237" t="s">
        <v>231</v>
      </c>
      <c r="GI179" s="237" t="s">
        <v>231</v>
      </c>
      <c r="GJ179" s="237" t="s">
        <v>231</v>
      </c>
      <c r="GK179" s="237" t="s">
        <v>231</v>
      </c>
      <c r="GL179" s="237" t="s">
        <v>231</v>
      </c>
      <c r="GM179" s="237" t="s">
        <v>231</v>
      </c>
      <c r="GN179" s="237" t="s">
        <v>231</v>
      </c>
      <c r="GO179" s="237" t="s">
        <v>231</v>
      </c>
      <c r="GP179" s="237" t="s">
        <v>492</v>
      </c>
      <c r="GQ179" s="237" t="s">
        <v>231</v>
      </c>
      <c r="GR179" s="237" t="s">
        <v>231</v>
      </c>
      <c r="GS179" s="237" t="s">
        <v>231</v>
      </c>
      <c r="GT179" s="237" t="s">
        <v>231</v>
      </c>
      <c r="GU179" s="237" t="s">
        <v>231</v>
      </c>
      <c r="GV179" s="237" t="s">
        <v>231</v>
      </c>
      <c r="GW179" s="237" t="s">
        <v>231</v>
      </c>
      <c r="GX179" s="237" t="s">
        <v>231</v>
      </c>
      <c r="GY179" s="237" t="s">
        <v>231</v>
      </c>
      <c r="GZ179" s="237" t="s">
        <v>492</v>
      </c>
      <c r="HA179" s="237" t="s">
        <v>231</v>
      </c>
      <c r="HB179" s="237" t="s">
        <v>231</v>
      </c>
      <c r="HC179" s="237" t="s">
        <v>231</v>
      </c>
      <c r="HD179" s="237" t="s">
        <v>231</v>
      </c>
      <c r="HE179" s="237" t="s">
        <v>492</v>
      </c>
      <c r="HF179" s="237" t="s">
        <v>231</v>
      </c>
      <c r="HG179" s="237" t="s">
        <v>492</v>
      </c>
      <c r="HH179" s="237" t="s">
        <v>231</v>
      </c>
      <c r="HI179" s="237" t="s">
        <v>231</v>
      </c>
      <c r="HJ179" s="237" t="s">
        <v>231</v>
      </c>
      <c r="HK179" s="237" t="s">
        <v>231</v>
      </c>
      <c r="HL179" s="237" t="s">
        <v>231</v>
      </c>
      <c r="HM179" s="237" t="s">
        <v>231</v>
      </c>
      <c r="HN179" s="237" t="s">
        <v>492</v>
      </c>
      <c r="HO179" s="237" t="s">
        <v>231</v>
      </c>
      <c r="HP179" s="237" t="s">
        <v>231</v>
      </c>
      <c r="HQ179" s="237" t="s">
        <v>231</v>
      </c>
      <c r="HR179" s="237" t="s">
        <v>492</v>
      </c>
      <c r="HS179" s="237" t="s">
        <v>492</v>
      </c>
      <c r="HT179" s="237" t="s">
        <v>492</v>
      </c>
      <c r="HU179" s="237" t="s">
        <v>231</v>
      </c>
      <c r="HV179" s="237" t="s">
        <v>231</v>
      </c>
      <c r="HW179" s="237" t="s">
        <v>231</v>
      </c>
      <c r="HX179" s="237" t="s">
        <v>231</v>
      </c>
      <c r="HY179" s="237" t="s">
        <v>231</v>
      </c>
      <c r="HZ179" s="237" t="s">
        <v>231</v>
      </c>
      <c r="IA179" s="237" t="s">
        <v>231</v>
      </c>
      <c r="IB179" s="237" t="s">
        <v>231</v>
      </c>
      <c r="IC179" s="237" t="s">
        <v>231</v>
      </c>
      <c r="ID179" s="237" t="s">
        <v>231</v>
      </c>
      <c r="IE179" s="237" t="s">
        <v>231</v>
      </c>
      <c r="IF179" s="237" t="s">
        <v>231</v>
      </c>
      <c r="IG179" s="237" t="s">
        <v>231</v>
      </c>
      <c r="IH179" s="237" t="s">
        <v>231</v>
      </c>
      <c r="II179" s="237" t="s">
        <v>231</v>
      </c>
      <c r="IJ179" s="237" t="s">
        <v>231</v>
      </c>
      <c r="IK179" s="237" t="s">
        <v>231</v>
      </c>
      <c r="IL179" s="237" t="s">
        <v>231</v>
      </c>
      <c r="IM179" s="237" t="s">
        <v>231</v>
      </c>
      <c r="IN179" s="237" t="s">
        <v>231</v>
      </c>
      <c r="IO179" s="237" t="s">
        <v>220</v>
      </c>
      <c r="IP179" s="237" t="s">
        <v>493</v>
      </c>
      <c r="IQ179" s="237" t="s">
        <v>219</v>
      </c>
      <c r="IR179" s="237" t="s">
        <v>490</v>
      </c>
      <c r="IS179" s="237" t="s">
        <v>492</v>
      </c>
      <c r="IT179" s="237" t="s">
        <v>492</v>
      </c>
    </row>
    <row r="180" spans="1:254" ht="15" x14ac:dyDescent="0.25">
      <c r="A180" s="259" t="str">
        <f>HYPERLINK("http://www.ofsted.gov.uk/inspection-reports/find-inspection-report/provider/ELS/118123 ","Ofsted School Webpage")</f>
        <v>Ofsted School Webpage</v>
      </c>
      <c r="B180" s="240">
        <v>118123</v>
      </c>
      <c r="C180" s="240">
        <v>8106000</v>
      </c>
      <c r="D180" s="240" t="s">
        <v>950</v>
      </c>
      <c r="E180" s="240" t="s">
        <v>247</v>
      </c>
      <c r="F180" s="240" t="s">
        <v>482</v>
      </c>
      <c r="G180" s="240" t="s">
        <v>523</v>
      </c>
      <c r="H180" s="240" t="s">
        <v>524</v>
      </c>
      <c r="I180" s="240" t="s">
        <v>890</v>
      </c>
      <c r="J180" s="240" t="s">
        <v>951</v>
      </c>
      <c r="K180" s="240" t="s">
        <v>93</v>
      </c>
      <c r="L180" s="240" t="s">
        <v>93</v>
      </c>
      <c r="M180" s="240" t="s">
        <v>93</v>
      </c>
      <c r="N180" s="240" t="s">
        <v>90</v>
      </c>
      <c r="O180" s="240" t="s">
        <v>486</v>
      </c>
      <c r="P180" s="240" t="s">
        <v>487</v>
      </c>
      <c r="Q180" s="241">
        <v>10061242</v>
      </c>
      <c r="R180" s="242">
        <v>43487</v>
      </c>
      <c r="S180" s="242">
        <v>43489</v>
      </c>
      <c r="T180" s="242">
        <v>43509</v>
      </c>
      <c r="U180" s="240" t="s">
        <v>488</v>
      </c>
      <c r="V180" s="240" t="s">
        <v>489</v>
      </c>
      <c r="W180" s="240">
        <v>2</v>
      </c>
      <c r="X180" s="240">
        <v>2</v>
      </c>
      <c r="Y180" s="240">
        <v>1</v>
      </c>
      <c r="Z180" s="240">
        <v>2</v>
      </c>
      <c r="AA180" s="240">
        <v>2</v>
      </c>
      <c r="AB180" s="240">
        <v>2</v>
      </c>
      <c r="AC180" s="240" t="s">
        <v>486</v>
      </c>
      <c r="AD180" s="240" t="s">
        <v>219</v>
      </c>
      <c r="AE180" s="240" t="s">
        <v>490</v>
      </c>
      <c r="AF180" s="240" t="s">
        <v>486</v>
      </c>
      <c r="AG180" s="240" t="s">
        <v>486</v>
      </c>
      <c r="AH180" s="240" t="s">
        <v>486</v>
      </c>
      <c r="AI180" s="240" t="s">
        <v>486</v>
      </c>
      <c r="AJ180" s="240" t="s">
        <v>486</v>
      </c>
      <c r="AK180" s="240" t="s">
        <v>486</v>
      </c>
      <c r="AL180" s="240" t="s">
        <v>486</v>
      </c>
      <c r="AM180" s="240" t="s">
        <v>491</v>
      </c>
      <c r="AN180" s="240" t="s">
        <v>231</v>
      </c>
      <c r="AO180" s="240" t="s">
        <v>231</v>
      </c>
      <c r="AP180" s="240" t="s">
        <v>231</v>
      </c>
      <c r="AQ180" s="240" t="s">
        <v>231</v>
      </c>
      <c r="AR180" s="240" t="s">
        <v>231</v>
      </c>
      <c r="AS180" s="240" t="s">
        <v>231</v>
      </c>
      <c r="AT180" s="240" t="s">
        <v>231</v>
      </c>
      <c r="AU180" s="240" t="s">
        <v>231</v>
      </c>
      <c r="AV180" s="240" t="s">
        <v>231</v>
      </c>
      <c r="AW180" s="240" t="s">
        <v>231</v>
      </c>
      <c r="AX180" s="240" t="s">
        <v>231</v>
      </c>
      <c r="AY180" s="240" t="s">
        <v>231</v>
      </c>
      <c r="AZ180" s="240" t="s">
        <v>231</v>
      </c>
      <c r="BA180" s="240" t="s">
        <v>231</v>
      </c>
      <c r="BB180" s="240" t="s">
        <v>231</v>
      </c>
      <c r="BC180" s="240" t="s">
        <v>231</v>
      </c>
      <c r="BD180" s="240" t="s">
        <v>492</v>
      </c>
      <c r="BE180" s="240" t="s">
        <v>231</v>
      </c>
      <c r="BF180" s="240" t="s">
        <v>231</v>
      </c>
      <c r="BG180" s="240" t="s">
        <v>231</v>
      </c>
      <c r="BH180" s="240" t="s">
        <v>492</v>
      </c>
      <c r="BI180" s="240" t="s">
        <v>492</v>
      </c>
      <c r="BJ180" s="240" t="s">
        <v>492</v>
      </c>
      <c r="BK180" s="240" t="s">
        <v>492</v>
      </c>
      <c r="BL180" s="240" t="s">
        <v>231</v>
      </c>
      <c r="BM180" s="240" t="s">
        <v>492</v>
      </c>
      <c r="BN180" s="240" t="s">
        <v>231</v>
      </c>
      <c r="BO180" s="240" t="s">
        <v>231</v>
      </c>
      <c r="BP180" s="240" t="s">
        <v>231</v>
      </c>
      <c r="BQ180" s="240" t="s">
        <v>231</v>
      </c>
      <c r="BR180" s="240" t="s">
        <v>231</v>
      </c>
      <c r="BS180" s="240" t="s">
        <v>231</v>
      </c>
      <c r="BT180" s="240" t="s">
        <v>231</v>
      </c>
      <c r="BU180" s="240" t="s">
        <v>231</v>
      </c>
      <c r="BV180" s="240" t="s">
        <v>231</v>
      </c>
      <c r="BW180" s="240" t="s">
        <v>231</v>
      </c>
      <c r="BX180" s="240" t="s">
        <v>231</v>
      </c>
      <c r="BY180" s="240" t="s">
        <v>231</v>
      </c>
      <c r="BZ180" s="240" t="s">
        <v>231</v>
      </c>
      <c r="CA180" s="240" t="s">
        <v>231</v>
      </c>
      <c r="CB180" s="240" t="s">
        <v>231</v>
      </c>
      <c r="CC180" s="240" t="s">
        <v>231</v>
      </c>
      <c r="CD180" s="240" t="s">
        <v>231</v>
      </c>
      <c r="CE180" s="240" t="s">
        <v>231</v>
      </c>
      <c r="CF180" s="240" t="s">
        <v>231</v>
      </c>
      <c r="CG180" s="240" t="s">
        <v>231</v>
      </c>
      <c r="CH180" s="240" t="s">
        <v>231</v>
      </c>
      <c r="CI180" s="240" t="s">
        <v>231</v>
      </c>
      <c r="CJ180" s="240" t="s">
        <v>231</v>
      </c>
      <c r="CK180" s="240" t="s">
        <v>231</v>
      </c>
      <c r="CL180" s="240" t="s">
        <v>231</v>
      </c>
      <c r="CM180" s="240" t="s">
        <v>231</v>
      </c>
      <c r="CN180" s="240" t="s">
        <v>231</v>
      </c>
      <c r="CO180" s="240" t="s">
        <v>231</v>
      </c>
      <c r="CP180" s="240" t="s">
        <v>231</v>
      </c>
      <c r="CQ180" s="240" t="s">
        <v>231</v>
      </c>
      <c r="CR180" s="240" t="s">
        <v>231</v>
      </c>
      <c r="CS180" s="240" t="s">
        <v>231</v>
      </c>
      <c r="CT180" s="240" t="s">
        <v>492</v>
      </c>
      <c r="CU180" s="240" t="s">
        <v>492</v>
      </c>
      <c r="CV180" s="240" t="s">
        <v>492</v>
      </c>
      <c r="CW180" s="240" t="s">
        <v>231</v>
      </c>
      <c r="CX180" s="240" t="s">
        <v>231</v>
      </c>
      <c r="CY180" s="240" t="s">
        <v>231</v>
      </c>
      <c r="CZ180" s="240" t="s">
        <v>231</v>
      </c>
      <c r="DA180" s="240" t="s">
        <v>231</v>
      </c>
      <c r="DB180" s="240" t="s">
        <v>231</v>
      </c>
      <c r="DC180" s="240" t="s">
        <v>231</v>
      </c>
      <c r="DD180" s="240" t="s">
        <v>231</v>
      </c>
      <c r="DE180" s="240" t="s">
        <v>231</v>
      </c>
      <c r="DF180" s="240" t="s">
        <v>231</v>
      </c>
      <c r="DG180" s="240" t="s">
        <v>231</v>
      </c>
      <c r="DH180" s="240" t="s">
        <v>231</v>
      </c>
      <c r="DI180" s="240" t="s">
        <v>231</v>
      </c>
      <c r="DJ180" s="240" t="s">
        <v>231</v>
      </c>
      <c r="DK180" s="240" t="s">
        <v>231</v>
      </c>
      <c r="DL180" s="240" t="s">
        <v>231</v>
      </c>
      <c r="DM180" s="240" t="s">
        <v>231</v>
      </c>
      <c r="DN180" s="240" t="s">
        <v>231</v>
      </c>
      <c r="DO180" s="240" t="s">
        <v>231</v>
      </c>
      <c r="DP180" s="240" t="s">
        <v>231</v>
      </c>
      <c r="DQ180" s="240" t="s">
        <v>231</v>
      </c>
      <c r="DR180" s="240" t="s">
        <v>231</v>
      </c>
      <c r="DS180" s="240" t="s">
        <v>231</v>
      </c>
      <c r="DT180" s="240" t="s">
        <v>492</v>
      </c>
      <c r="DU180" s="240" t="s">
        <v>231</v>
      </c>
      <c r="DV180" s="240" t="s">
        <v>231</v>
      </c>
      <c r="DW180" s="240" t="s">
        <v>231</v>
      </c>
      <c r="DX180" s="240" t="s">
        <v>231</v>
      </c>
      <c r="DY180" s="240" t="s">
        <v>231</v>
      </c>
      <c r="DZ180" s="240" t="s">
        <v>231</v>
      </c>
      <c r="EA180" s="240" t="s">
        <v>231</v>
      </c>
      <c r="EB180" s="240" t="s">
        <v>231</v>
      </c>
      <c r="EC180" s="240" t="s">
        <v>231</v>
      </c>
      <c r="ED180" s="240" t="s">
        <v>231</v>
      </c>
      <c r="EE180" s="240" t="s">
        <v>231</v>
      </c>
      <c r="EF180" s="240" t="s">
        <v>231</v>
      </c>
      <c r="EG180" s="240" t="s">
        <v>231</v>
      </c>
      <c r="EH180" s="240" t="s">
        <v>492</v>
      </c>
      <c r="EI180" s="240" t="s">
        <v>231</v>
      </c>
      <c r="EJ180" s="240" t="s">
        <v>492</v>
      </c>
      <c r="EK180" s="240" t="s">
        <v>492</v>
      </c>
      <c r="EL180" s="240" t="s">
        <v>492</v>
      </c>
      <c r="EM180" s="240" t="s">
        <v>492</v>
      </c>
      <c r="EN180" s="240" t="s">
        <v>492</v>
      </c>
      <c r="EO180" s="240" t="s">
        <v>492</v>
      </c>
      <c r="EP180" s="240" t="s">
        <v>492</v>
      </c>
      <c r="EQ180" s="240" t="s">
        <v>492</v>
      </c>
      <c r="ER180" s="240" t="s">
        <v>492</v>
      </c>
      <c r="ES180" s="240" t="s">
        <v>231</v>
      </c>
      <c r="ET180" s="240" t="s">
        <v>231</v>
      </c>
      <c r="EU180" s="240" t="s">
        <v>231</v>
      </c>
      <c r="EV180" s="240" t="s">
        <v>231</v>
      </c>
      <c r="EW180" s="240" t="s">
        <v>231</v>
      </c>
      <c r="EX180" s="240" t="s">
        <v>231</v>
      </c>
      <c r="EY180" s="240" t="s">
        <v>231</v>
      </c>
      <c r="EZ180" s="240" t="s">
        <v>231</v>
      </c>
      <c r="FA180" s="240" t="s">
        <v>231</v>
      </c>
      <c r="FB180" s="240" t="s">
        <v>231</v>
      </c>
      <c r="FC180" s="240" t="s">
        <v>231</v>
      </c>
      <c r="FD180" s="240" t="s">
        <v>231</v>
      </c>
      <c r="FE180" s="240" t="s">
        <v>231</v>
      </c>
      <c r="FF180" s="240" t="s">
        <v>231</v>
      </c>
      <c r="FG180" s="240" t="s">
        <v>231</v>
      </c>
      <c r="FH180" s="240" t="s">
        <v>231</v>
      </c>
      <c r="FI180" s="240" t="s">
        <v>231</v>
      </c>
      <c r="FJ180" s="240" t="s">
        <v>231</v>
      </c>
      <c r="FK180" s="240" t="s">
        <v>231</v>
      </c>
      <c r="FL180" s="240" t="s">
        <v>231</v>
      </c>
      <c r="FM180" s="240" t="s">
        <v>231</v>
      </c>
      <c r="FN180" s="240" t="s">
        <v>231</v>
      </c>
      <c r="FO180" s="240" t="s">
        <v>231</v>
      </c>
      <c r="FP180" s="240" t="s">
        <v>231</v>
      </c>
      <c r="FQ180" s="240" t="s">
        <v>231</v>
      </c>
      <c r="FR180" s="240" t="s">
        <v>231</v>
      </c>
      <c r="FS180" s="240" t="s">
        <v>231</v>
      </c>
      <c r="FT180" s="240" t="s">
        <v>231</v>
      </c>
      <c r="FU180" s="240" t="s">
        <v>231</v>
      </c>
      <c r="FV180" s="240" t="s">
        <v>231</v>
      </c>
      <c r="FW180" s="240" t="s">
        <v>231</v>
      </c>
      <c r="FX180" s="240" t="s">
        <v>492</v>
      </c>
      <c r="FY180" s="240" t="s">
        <v>231</v>
      </c>
      <c r="FZ180" s="240" t="s">
        <v>231</v>
      </c>
      <c r="GA180" s="240" t="s">
        <v>231</v>
      </c>
      <c r="GB180" s="240" t="s">
        <v>231</v>
      </c>
      <c r="GC180" s="240" t="s">
        <v>231</v>
      </c>
      <c r="GD180" s="240" t="s">
        <v>231</v>
      </c>
      <c r="GE180" s="240" t="s">
        <v>231</v>
      </c>
      <c r="GF180" s="240" t="s">
        <v>231</v>
      </c>
      <c r="GG180" s="240" t="s">
        <v>231</v>
      </c>
      <c r="GH180" s="240" t="s">
        <v>231</v>
      </c>
      <c r="GI180" s="240" t="s">
        <v>231</v>
      </c>
      <c r="GJ180" s="240" t="s">
        <v>231</v>
      </c>
      <c r="GK180" s="240" t="s">
        <v>231</v>
      </c>
      <c r="GL180" s="240" t="s">
        <v>231</v>
      </c>
      <c r="GM180" s="240" t="s">
        <v>231</v>
      </c>
      <c r="GN180" s="240" t="s">
        <v>231</v>
      </c>
      <c r="GO180" s="240" t="s">
        <v>231</v>
      </c>
      <c r="GP180" s="240" t="s">
        <v>492</v>
      </c>
      <c r="GQ180" s="240" t="s">
        <v>231</v>
      </c>
      <c r="GR180" s="240" t="s">
        <v>231</v>
      </c>
      <c r="GS180" s="240" t="s">
        <v>231</v>
      </c>
      <c r="GT180" s="240" t="s">
        <v>231</v>
      </c>
      <c r="GU180" s="240" t="s">
        <v>231</v>
      </c>
      <c r="GV180" s="240" t="s">
        <v>231</v>
      </c>
      <c r="GW180" s="240" t="s">
        <v>231</v>
      </c>
      <c r="GX180" s="240" t="s">
        <v>231</v>
      </c>
      <c r="GY180" s="240" t="s">
        <v>492</v>
      </c>
      <c r="GZ180" s="240" t="s">
        <v>492</v>
      </c>
      <c r="HA180" s="240" t="s">
        <v>231</v>
      </c>
      <c r="HB180" s="240" t="s">
        <v>231</v>
      </c>
      <c r="HC180" s="240" t="s">
        <v>231</v>
      </c>
      <c r="HD180" s="240" t="s">
        <v>231</v>
      </c>
      <c r="HE180" s="240" t="s">
        <v>231</v>
      </c>
      <c r="HF180" s="240" t="s">
        <v>492</v>
      </c>
      <c r="HG180" s="240" t="s">
        <v>492</v>
      </c>
      <c r="HH180" s="240" t="s">
        <v>231</v>
      </c>
      <c r="HI180" s="240" t="s">
        <v>231</v>
      </c>
      <c r="HJ180" s="240" t="s">
        <v>231</v>
      </c>
      <c r="HK180" s="240" t="s">
        <v>231</v>
      </c>
      <c r="HL180" s="240" t="s">
        <v>231</v>
      </c>
      <c r="HM180" s="240" t="s">
        <v>231</v>
      </c>
      <c r="HN180" s="240" t="s">
        <v>231</v>
      </c>
      <c r="HO180" s="240" t="s">
        <v>231</v>
      </c>
      <c r="HP180" s="240" t="s">
        <v>231</v>
      </c>
      <c r="HQ180" s="240" t="s">
        <v>231</v>
      </c>
      <c r="HR180" s="240" t="s">
        <v>231</v>
      </c>
      <c r="HS180" s="240" t="s">
        <v>231</v>
      </c>
      <c r="HT180" s="240" t="s">
        <v>231</v>
      </c>
      <c r="HU180" s="240" t="s">
        <v>231</v>
      </c>
      <c r="HV180" s="240" t="s">
        <v>231</v>
      </c>
      <c r="HW180" s="240" t="s">
        <v>231</v>
      </c>
      <c r="HX180" s="240" t="s">
        <v>231</v>
      </c>
      <c r="HY180" s="240" t="s">
        <v>231</v>
      </c>
      <c r="HZ180" s="240" t="s">
        <v>231</v>
      </c>
      <c r="IA180" s="240" t="s">
        <v>231</v>
      </c>
      <c r="IB180" s="240" t="s">
        <v>231</v>
      </c>
      <c r="IC180" s="240" t="s">
        <v>231</v>
      </c>
      <c r="ID180" s="240" t="s">
        <v>231</v>
      </c>
      <c r="IE180" s="240" t="s">
        <v>231</v>
      </c>
      <c r="IF180" s="240" t="s">
        <v>231</v>
      </c>
      <c r="IG180" s="240" t="s">
        <v>231</v>
      </c>
      <c r="IH180" s="240" t="s">
        <v>231</v>
      </c>
      <c r="II180" s="240" t="s">
        <v>231</v>
      </c>
      <c r="IJ180" s="240" t="s">
        <v>231</v>
      </c>
      <c r="IK180" s="240" t="s">
        <v>231</v>
      </c>
      <c r="IL180" s="240" t="s">
        <v>231</v>
      </c>
      <c r="IM180" s="240" t="s">
        <v>231</v>
      </c>
      <c r="IN180" s="240" t="s">
        <v>231</v>
      </c>
      <c r="IO180" s="240" t="s">
        <v>220</v>
      </c>
      <c r="IP180" s="240" t="s">
        <v>493</v>
      </c>
      <c r="IQ180" s="240" t="s">
        <v>219</v>
      </c>
      <c r="IR180" s="240" t="s">
        <v>490</v>
      </c>
      <c r="IS180" s="240" t="s">
        <v>231</v>
      </c>
      <c r="IT180" s="240" t="s">
        <v>231</v>
      </c>
    </row>
    <row r="181" spans="1:254" ht="15" x14ac:dyDescent="0.25">
      <c r="A181" s="258" t="str">
        <f>HYPERLINK("http://www.ofsted.gov.uk/inspection-reports/find-inspection-report/provider/ELS/100299 ","Ofsted School Webpage")</f>
        <v>Ofsted School Webpage</v>
      </c>
      <c r="B181" s="237">
        <v>100299</v>
      </c>
      <c r="C181" s="237">
        <v>2046387</v>
      </c>
      <c r="D181" s="237" t="s">
        <v>952</v>
      </c>
      <c r="E181" s="237" t="s">
        <v>247</v>
      </c>
      <c r="F181" s="237" t="s">
        <v>482</v>
      </c>
      <c r="G181" s="237" t="s">
        <v>506</v>
      </c>
      <c r="H181" s="237" t="s">
        <v>506</v>
      </c>
      <c r="I181" s="237" t="s">
        <v>617</v>
      </c>
      <c r="J181" s="237" t="s">
        <v>953</v>
      </c>
      <c r="K181" s="237" t="s">
        <v>93</v>
      </c>
      <c r="L181" s="237" t="s">
        <v>81</v>
      </c>
      <c r="M181" s="237" t="s">
        <v>81</v>
      </c>
      <c r="N181" s="237" t="s">
        <v>81</v>
      </c>
      <c r="O181" s="237" t="s">
        <v>486</v>
      </c>
      <c r="P181" s="237" t="s">
        <v>487</v>
      </c>
      <c r="Q181" s="238">
        <v>10055372</v>
      </c>
      <c r="R181" s="239">
        <v>43487</v>
      </c>
      <c r="S181" s="239">
        <v>43489</v>
      </c>
      <c r="T181" s="239">
        <v>43530</v>
      </c>
      <c r="U181" s="237" t="s">
        <v>488</v>
      </c>
      <c r="V181" s="237" t="s">
        <v>489</v>
      </c>
      <c r="W181" s="237">
        <v>4</v>
      </c>
      <c r="X181" s="237">
        <v>4</v>
      </c>
      <c r="Y181" s="237">
        <v>3</v>
      </c>
      <c r="Z181" s="237">
        <v>4</v>
      </c>
      <c r="AA181" s="237">
        <v>4</v>
      </c>
      <c r="AB181" s="237">
        <v>4</v>
      </c>
      <c r="AC181" s="237" t="s">
        <v>486</v>
      </c>
      <c r="AD181" s="237" t="s">
        <v>219</v>
      </c>
      <c r="AE181" s="237" t="s">
        <v>490</v>
      </c>
      <c r="AF181" s="237" t="s">
        <v>486</v>
      </c>
      <c r="AG181" s="237" t="s">
        <v>486</v>
      </c>
      <c r="AH181" s="237" t="s">
        <v>486</v>
      </c>
      <c r="AI181" s="237" t="s">
        <v>486</v>
      </c>
      <c r="AJ181" s="237" t="s">
        <v>486</v>
      </c>
      <c r="AK181" s="237" t="s">
        <v>486</v>
      </c>
      <c r="AL181" s="237" t="s">
        <v>486</v>
      </c>
      <c r="AM181" s="237" t="s">
        <v>545</v>
      </c>
      <c r="AN181" s="237" t="s">
        <v>546</v>
      </c>
      <c r="AO181" s="237" t="s">
        <v>546</v>
      </c>
      <c r="AP181" s="237" t="s">
        <v>231</v>
      </c>
      <c r="AQ181" s="237" t="s">
        <v>231</v>
      </c>
      <c r="AR181" s="237" t="s">
        <v>231</v>
      </c>
      <c r="AS181" s="237" t="s">
        <v>231</v>
      </c>
      <c r="AT181" s="237" t="s">
        <v>231</v>
      </c>
      <c r="AU181" s="237" t="s">
        <v>546</v>
      </c>
      <c r="AV181" s="237" t="s">
        <v>232</v>
      </c>
      <c r="AW181" s="237" t="s">
        <v>232</v>
      </c>
      <c r="AX181" s="237" t="s">
        <v>232</v>
      </c>
      <c r="AY181" s="237" t="s">
        <v>232</v>
      </c>
      <c r="AZ181" s="237" t="s">
        <v>231</v>
      </c>
      <c r="BA181" s="237" t="s">
        <v>232</v>
      </c>
      <c r="BB181" s="237" t="s">
        <v>232</v>
      </c>
      <c r="BC181" s="237" t="s">
        <v>231</v>
      </c>
      <c r="BD181" s="237" t="s">
        <v>231</v>
      </c>
      <c r="BE181" s="237" t="s">
        <v>232</v>
      </c>
      <c r="BF181" s="237" t="s">
        <v>231</v>
      </c>
      <c r="BG181" s="237" t="s">
        <v>232</v>
      </c>
      <c r="BH181" s="237" t="s">
        <v>232</v>
      </c>
      <c r="BI181" s="237" t="s">
        <v>232</v>
      </c>
      <c r="BJ181" s="237" t="s">
        <v>232</v>
      </c>
      <c r="BK181" s="237" t="s">
        <v>232</v>
      </c>
      <c r="BL181" s="237" t="s">
        <v>232</v>
      </c>
      <c r="BM181" s="237" t="s">
        <v>492</v>
      </c>
      <c r="BN181" s="237" t="s">
        <v>232</v>
      </c>
      <c r="BO181" s="237" t="s">
        <v>231</v>
      </c>
      <c r="BP181" s="237" t="s">
        <v>232</v>
      </c>
      <c r="BQ181" s="237" t="s">
        <v>232</v>
      </c>
      <c r="BR181" s="237" t="s">
        <v>231</v>
      </c>
      <c r="BS181" s="237" t="s">
        <v>232</v>
      </c>
      <c r="BT181" s="237" t="s">
        <v>232</v>
      </c>
      <c r="BU181" s="237" t="s">
        <v>232</v>
      </c>
      <c r="BV181" s="237" t="s">
        <v>232</v>
      </c>
      <c r="BW181" s="237" t="s">
        <v>232</v>
      </c>
      <c r="BX181" s="237" t="s">
        <v>231</v>
      </c>
      <c r="BY181" s="237" t="s">
        <v>231</v>
      </c>
      <c r="BZ181" s="237" t="s">
        <v>231</v>
      </c>
      <c r="CA181" s="237" t="s">
        <v>231</v>
      </c>
      <c r="CB181" s="237" t="s">
        <v>232</v>
      </c>
      <c r="CC181" s="237" t="s">
        <v>231</v>
      </c>
      <c r="CD181" s="237" t="s">
        <v>231</v>
      </c>
      <c r="CE181" s="237" t="s">
        <v>231</v>
      </c>
      <c r="CF181" s="237" t="s">
        <v>231</v>
      </c>
      <c r="CG181" s="237" t="s">
        <v>231</v>
      </c>
      <c r="CH181" s="237" t="s">
        <v>231</v>
      </c>
      <c r="CI181" s="237" t="s">
        <v>231</v>
      </c>
      <c r="CJ181" s="237" t="s">
        <v>232</v>
      </c>
      <c r="CK181" s="237" t="s">
        <v>231</v>
      </c>
      <c r="CL181" s="237" t="s">
        <v>231</v>
      </c>
      <c r="CM181" s="237" t="s">
        <v>231</v>
      </c>
      <c r="CN181" s="237" t="s">
        <v>231</v>
      </c>
      <c r="CO181" s="237" t="s">
        <v>231</v>
      </c>
      <c r="CP181" s="237" t="s">
        <v>231</v>
      </c>
      <c r="CQ181" s="237" t="s">
        <v>231</v>
      </c>
      <c r="CR181" s="237" t="s">
        <v>231</v>
      </c>
      <c r="CS181" s="237" t="s">
        <v>231</v>
      </c>
      <c r="CT181" s="237" t="s">
        <v>492</v>
      </c>
      <c r="CU181" s="237" t="s">
        <v>492</v>
      </c>
      <c r="CV181" s="237" t="s">
        <v>492</v>
      </c>
      <c r="CW181" s="237" t="s">
        <v>231</v>
      </c>
      <c r="CX181" s="237" t="s">
        <v>231</v>
      </c>
      <c r="CY181" s="237" t="s">
        <v>231</v>
      </c>
      <c r="CZ181" s="237" t="s">
        <v>231</v>
      </c>
      <c r="DA181" s="237" t="s">
        <v>231</v>
      </c>
      <c r="DB181" s="237" t="s">
        <v>231</v>
      </c>
      <c r="DC181" s="237" t="s">
        <v>231</v>
      </c>
      <c r="DD181" s="237" t="s">
        <v>231</v>
      </c>
      <c r="DE181" s="237" t="s">
        <v>231</v>
      </c>
      <c r="DF181" s="237" t="s">
        <v>231</v>
      </c>
      <c r="DG181" s="237" t="s">
        <v>231</v>
      </c>
      <c r="DH181" s="237" t="s">
        <v>231</v>
      </c>
      <c r="DI181" s="237" t="s">
        <v>231</v>
      </c>
      <c r="DJ181" s="237" t="s">
        <v>231</v>
      </c>
      <c r="DK181" s="237" t="s">
        <v>231</v>
      </c>
      <c r="DL181" s="237" t="s">
        <v>231</v>
      </c>
      <c r="DM181" s="237" t="s">
        <v>231</v>
      </c>
      <c r="DN181" s="237" t="s">
        <v>231</v>
      </c>
      <c r="DO181" s="237" t="s">
        <v>231</v>
      </c>
      <c r="DP181" s="237" t="s">
        <v>231</v>
      </c>
      <c r="DQ181" s="237" t="s">
        <v>231</v>
      </c>
      <c r="DR181" s="237" t="s">
        <v>231</v>
      </c>
      <c r="DS181" s="237" t="s">
        <v>231</v>
      </c>
      <c r="DT181" s="237" t="s">
        <v>492</v>
      </c>
      <c r="DU181" s="237" t="s">
        <v>231</v>
      </c>
      <c r="DV181" s="237" t="s">
        <v>492</v>
      </c>
      <c r="DW181" s="237" t="s">
        <v>492</v>
      </c>
      <c r="DX181" s="237" t="s">
        <v>492</v>
      </c>
      <c r="DY181" s="237" t="s">
        <v>492</v>
      </c>
      <c r="DZ181" s="237" t="s">
        <v>492</v>
      </c>
      <c r="EA181" s="237" t="s">
        <v>492</v>
      </c>
      <c r="EB181" s="237" t="s">
        <v>492</v>
      </c>
      <c r="EC181" s="237" t="s">
        <v>492</v>
      </c>
      <c r="ED181" s="237" t="s">
        <v>492</v>
      </c>
      <c r="EE181" s="237" t="s">
        <v>492</v>
      </c>
      <c r="EF181" s="237" t="s">
        <v>492</v>
      </c>
      <c r="EG181" s="237" t="s">
        <v>492</v>
      </c>
      <c r="EH181" s="237" t="s">
        <v>492</v>
      </c>
      <c r="EI181" s="237" t="s">
        <v>492</v>
      </c>
      <c r="EJ181" s="237" t="s">
        <v>231</v>
      </c>
      <c r="EK181" s="237" t="s">
        <v>231</v>
      </c>
      <c r="EL181" s="237" t="s">
        <v>231</v>
      </c>
      <c r="EM181" s="237" t="s">
        <v>231</v>
      </c>
      <c r="EN181" s="237" t="s">
        <v>231</v>
      </c>
      <c r="EO181" s="237" t="s">
        <v>231</v>
      </c>
      <c r="EP181" s="237" t="s">
        <v>231</v>
      </c>
      <c r="EQ181" s="237" t="s">
        <v>231</v>
      </c>
      <c r="ER181" s="237" t="s">
        <v>231</v>
      </c>
      <c r="ES181" s="237" t="s">
        <v>231</v>
      </c>
      <c r="ET181" s="237" t="s">
        <v>231</v>
      </c>
      <c r="EU181" s="237" t="s">
        <v>231</v>
      </c>
      <c r="EV181" s="237" t="s">
        <v>231</v>
      </c>
      <c r="EW181" s="237" t="s">
        <v>231</v>
      </c>
      <c r="EX181" s="237" t="s">
        <v>231</v>
      </c>
      <c r="EY181" s="237" t="s">
        <v>231</v>
      </c>
      <c r="EZ181" s="237" t="s">
        <v>231</v>
      </c>
      <c r="FA181" s="237" t="s">
        <v>231</v>
      </c>
      <c r="FB181" s="237" t="s">
        <v>231</v>
      </c>
      <c r="FC181" s="237" t="s">
        <v>231</v>
      </c>
      <c r="FD181" s="237" t="s">
        <v>231</v>
      </c>
      <c r="FE181" s="237" t="s">
        <v>231</v>
      </c>
      <c r="FF181" s="237" t="s">
        <v>231</v>
      </c>
      <c r="FG181" s="237" t="s">
        <v>492</v>
      </c>
      <c r="FH181" s="237" t="s">
        <v>492</v>
      </c>
      <c r="FI181" s="237" t="s">
        <v>492</v>
      </c>
      <c r="FJ181" s="237" t="s">
        <v>492</v>
      </c>
      <c r="FK181" s="237" t="s">
        <v>492</v>
      </c>
      <c r="FL181" s="237" t="s">
        <v>492</v>
      </c>
      <c r="FM181" s="237" t="s">
        <v>492</v>
      </c>
      <c r="FN181" s="237" t="s">
        <v>492</v>
      </c>
      <c r="FO181" s="237" t="s">
        <v>493</v>
      </c>
      <c r="FP181" s="237" t="s">
        <v>492</v>
      </c>
      <c r="FQ181" s="237" t="s">
        <v>231</v>
      </c>
      <c r="FR181" s="237" t="s">
        <v>231</v>
      </c>
      <c r="FS181" s="237" t="s">
        <v>231</v>
      </c>
      <c r="FT181" s="237" t="s">
        <v>231</v>
      </c>
      <c r="FU181" s="237" t="s">
        <v>231</v>
      </c>
      <c r="FV181" s="237" t="s">
        <v>231</v>
      </c>
      <c r="FW181" s="237" t="s">
        <v>231</v>
      </c>
      <c r="FX181" s="237" t="s">
        <v>492</v>
      </c>
      <c r="FY181" s="237" t="s">
        <v>492</v>
      </c>
      <c r="FZ181" s="237" t="s">
        <v>231</v>
      </c>
      <c r="GA181" s="237" t="s">
        <v>231</v>
      </c>
      <c r="GB181" s="237" t="s">
        <v>231</v>
      </c>
      <c r="GC181" s="237" t="s">
        <v>231</v>
      </c>
      <c r="GD181" s="237" t="s">
        <v>231</v>
      </c>
      <c r="GE181" s="237" t="s">
        <v>231</v>
      </c>
      <c r="GF181" s="237" t="s">
        <v>231</v>
      </c>
      <c r="GG181" s="237" t="s">
        <v>231</v>
      </c>
      <c r="GH181" s="237" t="s">
        <v>231</v>
      </c>
      <c r="GI181" s="237" t="s">
        <v>231</v>
      </c>
      <c r="GJ181" s="237" t="s">
        <v>231</v>
      </c>
      <c r="GK181" s="237" t="s">
        <v>231</v>
      </c>
      <c r="GL181" s="237" t="s">
        <v>231</v>
      </c>
      <c r="GM181" s="237" t="s">
        <v>231</v>
      </c>
      <c r="GN181" s="237" t="s">
        <v>231</v>
      </c>
      <c r="GO181" s="237" t="s">
        <v>231</v>
      </c>
      <c r="GP181" s="237" t="s">
        <v>492</v>
      </c>
      <c r="GQ181" s="237" t="s">
        <v>231</v>
      </c>
      <c r="GR181" s="237" t="s">
        <v>231</v>
      </c>
      <c r="GS181" s="237" t="s">
        <v>231</v>
      </c>
      <c r="GT181" s="237" t="s">
        <v>231</v>
      </c>
      <c r="GU181" s="237" t="s">
        <v>231</v>
      </c>
      <c r="GV181" s="237" t="s">
        <v>231</v>
      </c>
      <c r="GW181" s="237" t="s">
        <v>231</v>
      </c>
      <c r="GX181" s="237" t="s">
        <v>231</v>
      </c>
      <c r="GY181" s="237" t="s">
        <v>231</v>
      </c>
      <c r="GZ181" s="237" t="s">
        <v>231</v>
      </c>
      <c r="HA181" s="237" t="s">
        <v>231</v>
      </c>
      <c r="HB181" s="237" t="s">
        <v>231</v>
      </c>
      <c r="HC181" s="237" t="s">
        <v>231</v>
      </c>
      <c r="HD181" s="237" t="s">
        <v>231</v>
      </c>
      <c r="HE181" s="237" t="s">
        <v>231</v>
      </c>
      <c r="HF181" s="237" t="s">
        <v>231</v>
      </c>
      <c r="HG181" s="237" t="s">
        <v>231</v>
      </c>
      <c r="HH181" s="237" t="s">
        <v>231</v>
      </c>
      <c r="HI181" s="237" t="s">
        <v>231</v>
      </c>
      <c r="HJ181" s="237" t="s">
        <v>231</v>
      </c>
      <c r="HK181" s="237" t="s">
        <v>231</v>
      </c>
      <c r="HL181" s="237" t="s">
        <v>231</v>
      </c>
      <c r="HM181" s="237" t="s">
        <v>231</v>
      </c>
      <c r="HN181" s="237" t="s">
        <v>231</v>
      </c>
      <c r="HO181" s="237" t="s">
        <v>231</v>
      </c>
      <c r="HP181" s="237" t="s">
        <v>231</v>
      </c>
      <c r="HQ181" s="237" t="s">
        <v>492</v>
      </c>
      <c r="HR181" s="237" t="s">
        <v>492</v>
      </c>
      <c r="HS181" s="237" t="s">
        <v>492</v>
      </c>
      <c r="HT181" s="237" t="s">
        <v>492</v>
      </c>
      <c r="HU181" s="237" t="s">
        <v>231</v>
      </c>
      <c r="HV181" s="237" t="s">
        <v>231</v>
      </c>
      <c r="HW181" s="237" t="s">
        <v>231</v>
      </c>
      <c r="HX181" s="237" t="s">
        <v>231</v>
      </c>
      <c r="HY181" s="237" t="s">
        <v>231</v>
      </c>
      <c r="HZ181" s="237" t="s">
        <v>231</v>
      </c>
      <c r="IA181" s="237" t="s">
        <v>231</v>
      </c>
      <c r="IB181" s="237" t="s">
        <v>231</v>
      </c>
      <c r="IC181" s="237" t="s">
        <v>231</v>
      </c>
      <c r="ID181" s="237" t="s">
        <v>231</v>
      </c>
      <c r="IE181" s="237" t="s">
        <v>231</v>
      </c>
      <c r="IF181" s="237" t="s">
        <v>231</v>
      </c>
      <c r="IG181" s="237" t="s">
        <v>231</v>
      </c>
      <c r="IH181" s="237" t="s">
        <v>231</v>
      </c>
      <c r="II181" s="237" t="s">
        <v>231</v>
      </c>
      <c r="IJ181" s="237" t="s">
        <v>231</v>
      </c>
      <c r="IK181" s="237" t="s">
        <v>232</v>
      </c>
      <c r="IL181" s="237" t="s">
        <v>232</v>
      </c>
      <c r="IM181" s="237" t="s">
        <v>232</v>
      </c>
      <c r="IN181" s="237" t="s">
        <v>231</v>
      </c>
      <c r="IO181" s="237" t="s">
        <v>220</v>
      </c>
      <c r="IP181" s="237" t="s">
        <v>493</v>
      </c>
      <c r="IQ181" s="237" t="s">
        <v>219</v>
      </c>
      <c r="IR181" s="237" t="s">
        <v>512</v>
      </c>
      <c r="IS181" s="237" t="s">
        <v>231</v>
      </c>
      <c r="IT181" s="237" t="s">
        <v>232</v>
      </c>
    </row>
    <row r="182" spans="1:254" ht="15" x14ac:dyDescent="0.25">
      <c r="A182" s="259" t="str">
        <f>HYPERLINK("http://www.ofsted.gov.uk/inspection-reports/find-inspection-report/provider/ELS/127003 ","Ofsted School Webpage")</f>
        <v>Ofsted School Webpage</v>
      </c>
      <c r="B182" s="240">
        <v>127003</v>
      </c>
      <c r="C182" s="240">
        <v>9356083</v>
      </c>
      <c r="D182" s="240" t="s">
        <v>954</v>
      </c>
      <c r="E182" s="240" t="s">
        <v>248</v>
      </c>
      <c r="F182" s="240" t="s">
        <v>501</v>
      </c>
      <c r="G182" s="240" t="s">
        <v>516</v>
      </c>
      <c r="H182" s="240" t="s">
        <v>516</v>
      </c>
      <c r="I182" s="240" t="s">
        <v>937</v>
      </c>
      <c r="J182" s="240" t="s">
        <v>955</v>
      </c>
      <c r="K182" s="240" t="s">
        <v>93</v>
      </c>
      <c r="L182" s="240" t="s">
        <v>93</v>
      </c>
      <c r="M182" s="240" t="s">
        <v>93</v>
      </c>
      <c r="N182" s="240" t="s">
        <v>90</v>
      </c>
      <c r="O182" s="240" t="s">
        <v>486</v>
      </c>
      <c r="P182" s="240" t="s">
        <v>487</v>
      </c>
      <c r="Q182" s="241">
        <v>10056558</v>
      </c>
      <c r="R182" s="242">
        <v>43487</v>
      </c>
      <c r="S182" s="242">
        <v>43489</v>
      </c>
      <c r="T182" s="242">
        <v>43521</v>
      </c>
      <c r="U182" s="240" t="s">
        <v>488</v>
      </c>
      <c r="V182" s="240" t="s">
        <v>489</v>
      </c>
      <c r="W182" s="240">
        <v>2</v>
      </c>
      <c r="X182" s="240">
        <v>2</v>
      </c>
      <c r="Y182" s="240">
        <v>2</v>
      </c>
      <c r="Z182" s="240">
        <v>2</v>
      </c>
      <c r="AA182" s="240">
        <v>2</v>
      </c>
      <c r="AB182" s="240" t="s">
        <v>486</v>
      </c>
      <c r="AC182" s="240" t="s">
        <v>486</v>
      </c>
      <c r="AD182" s="240" t="s">
        <v>219</v>
      </c>
      <c r="AE182" s="240" t="s">
        <v>490</v>
      </c>
      <c r="AF182" s="240" t="s">
        <v>486</v>
      </c>
      <c r="AG182" s="240" t="s">
        <v>486</v>
      </c>
      <c r="AH182" s="240" t="s">
        <v>486</v>
      </c>
      <c r="AI182" s="240" t="s">
        <v>486</v>
      </c>
      <c r="AJ182" s="240" t="s">
        <v>486</v>
      </c>
      <c r="AK182" s="240" t="s">
        <v>486</v>
      </c>
      <c r="AL182" s="240" t="s">
        <v>486</v>
      </c>
      <c r="AM182" s="240" t="s">
        <v>491</v>
      </c>
      <c r="AN182" s="240" t="s">
        <v>231</v>
      </c>
      <c r="AO182" s="240" t="s">
        <v>231</v>
      </c>
      <c r="AP182" s="240" t="s">
        <v>231</v>
      </c>
      <c r="AQ182" s="240" t="s">
        <v>231</v>
      </c>
      <c r="AR182" s="240" t="s">
        <v>231</v>
      </c>
      <c r="AS182" s="240" t="s">
        <v>231</v>
      </c>
      <c r="AT182" s="240" t="s">
        <v>231</v>
      </c>
      <c r="AU182" s="240" t="s">
        <v>231</v>
      </c>
      <c r="AV182" s="240" t="s">
        <v>231</v>
      </c>
      <c r="AW182" s="240" t="s">
        <v>231</v>
      </c>
      <c r="AX182" s="240" t="s">
        <v>231</v>
      </c>
      <c r="AY182" s="240" t="s">
        <v>231</v>
      </c>
      <c r="AZ182" s="240" t="s">
        <v>231</v>
      </c>
      <c r="BA182" s="240" t="s">
        <v>231</v>
      </c>
      <c r="BB182" s="240" t="s">
        <v>231</v>
      </c>
      <c r="BC182" s="240" t="s">
        <v>231</v>
      </c>
      <c r="BD182" s="240" t="s">
        <v>492</v>
      </c>
      <c r="BE182" s="240" t="s">
        <v>231</v>
      </c>
      <c r="BF182" s="240" t="s">
        <v>231</v>
      </c>
      <c r="BG182" s="240" t="s">
        <v>231</v>
      </c>
      <c r="BH182" s="240" t="s">
        <v>231</v>
      </c>
      <c r="BI182" s="240" t="s">
        <v>231</v>
      </c>
      <c r="BJ182" s="240" t="s">
        <v>231</v>
      </c>
      <c r="BK182" s="240" t="s">
        <v>231</v>
      </c>
      <c r="BL182" s="240" t="s">
        <v>492</v>
      </c>
      <c r="BM182" s="240" t="s">
        <v>492</v>
      </c>
      <c r="BN182" s="240" t="s">
        <v>231</v>
      </c>
      <c r="BO182" s="240" t="s">
        <v>231</v>
      </c>
      <c r="BP182" s="240" t="s">
        <v>231</v>
      </c>
      <c r="BQ182" s="240" t="s">
        <v>231</v>
      </c>
      <c r="BR182" s="240" t="s">
        <v>231</v>
      </c>
      <c r="BS182" s="240" t="s">
        <v>231</v>
      </c>
      <c r="BT182" s="240" t="s">
        <v>231</v>
      </c>
      <c r="BU182" s="240" t="s">
        <v>231</v>
      </c>
      <c r="BV182" s="240" t="s">
        <v>231</v>
      </c>
      <c r="BW182" s="240" t="s">
        <v>231</v>
      </c>
      <c r="BX182" s="240" t="s">
        <v>231</v>
      </c>
      <c r="BY182" s="240" t="s">
        <v>231</v>
      </c>
      <c r="BZ182" s="240" t="s">
        <v>231</v>
      </c>
      <c r="CA182" s="240" t="s">
        <v>231</v>
      </c>
      <c r="CB182" s="240" t="s">
        <v>231</v>
      </c>
      <c r="CC182" s="240" t="s">
        <v>231</v>
      </c>
      <c r="CD182" s="240" t="s">
        <v>231</v>
      </c>
      <c r="CE182" s="240" t="s">
        <v>231</v>
      </c>
      <c r="CF182" s="240" t="s">
        <v>231</v>
      </c>
      <c r="CG182" s="240" t="s">
        <v>231</v>
      </c>
      <c r="CH182" s="240" t="s">
        <v>231</v>
      </c>
      <c r="CI182" s="240" t="s">
        <v>231</v>
      </c>
      <c r="CJ182" s="240" t="s">
        <v>231</v>
      </c>
      <c r="CK182" s="240" t="s">
        <v>231</v>
      </c>
      <c r="CL182" s="240" t="s">
        <v>231</v>
      </c>
      <c r="CM182" s="240" t="s">
        <v>231</v>
      </c>
      <c r="CN182" s="240" t="s">
        <v>231</v>
      </c>
      <c r="CO182" s="240" t="s">
        <v>231</v>
      </c>
      <c r="CP182" s="240" t="s">
        <v>231</v>
      </c>
      <c r="CQ182" s="240" t="s">
        <v>231</v>
      </c>
      <c r="CR182" s="240" t="s">
        <v>231</v>
      </c>
      <c r="CS182" s="240" t="s">
        <v>231</v>
      </c>
      <c r="CT182" s="240" t="s">
        <v>492</v>
      </c>
      <c r="CU182" s="240" t="s">
        <v>492</v>
      </c>
      <c r="CV182" s="240" t="s">
        <v>492</v>
      </c>
      <c r="CW182" s="240" t="s">
        <v>231</v>
      </c>
      <c r="CX182" s="240" t="s">
        <v>231</v>
      </c>
      <c r="CY182" s="240" t="s">
        <v>231</v>
      </c>
      <c r="CZ182" s="240" t="s">
        <v>231</v>
      </c>
      <c r="DA182" s="240" t="s">
        <v>231</v>
      </c>
      <c r="DB182" s="240" t="s">
        <v>231</v>
      </c>
      <c r="DC182" s="240" t="s">
        <v>231</v>
      </c>
      <c r="DD182" s="240" t="s">
        <v>231</v>
      </c>
      <c r="DE182" s="240" t="s">
        <v>231</v>
      </c>
      <c r="DF182" s="240" t="s">
        <v>231</v>
      </c>
      <c r="DG182" s="240" t="s">
        <v>231</v>
      </c>
      <c r="DH182" s="240" t="s">
        <v>231</v>
      </c>
      <c r="DI182" s="240" t="s">
        <v>231</v>
      </c>
      <c r="DJ182" s="240" t="s">
        <v>231</v>
      </c>
      <c r="DK182" s="240" t="s">
        <v>231</v>
      </c>
      <c r="DL182" s="240" t="s">
        <v>231</v>
      </c>
      <c r="DM182" s="240" t="s">
        <v>231</v>
      </c>
      <c r="DN182" s="240" t="s">
        <v>231</v>
      </c>
      <c r="DO182" s="240" t="s">
        <v>231</v>
      </c>
      <c r="DP182" s="240" t="s">
        <v>231</v>
      </c>
      <c r="DQ182" s="240" t="s">
        <v>231</v>
      </c>
      <c r="DR182" s="240" t="s">
        <v>231</v>
      </c>
      <c r="DS182" s="240" t="s">
        <v>231</v>
      </c>
      <c r="DT182" s="240" t="s">
        <v>492</v>
      </c>
      <c r="DU182" s="240" t="s">
        <v>231</v>
      </c>
      <c r="DV182" s="240" t="s">
        <v>492</v>
      </c>
      <c r="DW182" s="240" t="s">
        <v>492</v>
      </c>
      <c r="DX182" s="240" t="s">
        <v>492</v>
      </c>
      <c r="DY182" s="240" t="s">
        <v>492</v>
      </c>
      <c r="DZ182" s="240" t="s">
        <v>492</v>
      </c>
      <c r="EA182" s="240" t="s">
        <v>492</v>
      </c>
      <c r="EB182" s="240" t="s">
        <v>492</v>
      </c>
      <c r="EC182" s="240" t="s">
        <v>492</v>
      </c>
      <c r="ED182" s="240" t="s">
        <v>492</v>
      </c>
      <c r="EE182" s="240" t="s">
        <v>492</v>
      </c>
      <c r="EF182" s="240" t="s">
        <v>492</v>
      </c>
      <c r="EG182" s="240" t="s">
        <v>492</v>
      </c>
      <c r="EH182" s="240" t="s">
        <v>492</v>
      </c>
      <c r="EI182" s="240" t="s">
        <v>492</v>
      </c>
      <c r="EJ182" s="240" t="s">
        <v>231</v>
      </c>
      <c r="EK182" s="240" t="s">
        <v>231</v>
      </c>
      <c r="EL182" s="240" t="s">
        <v>231</v>
      </c>
      <c r="EM182" s="240" t="s">
        <v>231</v>
      </c>
      <c r="EN182" s="240" t="s">
        <v>231</v>
      </c>
      <c r="EO182" s="240" t="s">
        <v>231</v>
      </c>
      <c r="EP182" s="240" t="s">
        <v>231</v>
      </c>
      <c r="EQ182" s="240" t="s">
        <v>231</v>
      </c>
      <c r="ER182" s="240" t="s">
        <v>231</v>
      </c>
      <c r="ES182" s="240" t="s">
        <v>231</v>
      </c>
      <c r="ET182" s="240" t="s">
        <v>231</v>
      </c>
      <c r="EU182" s="240" t="s">
        <v>231</v>
      </c>
      <c r="EV182" s="240" t="s">
        <v>231</v>
      </c>
      <c r="EW182" s="240" t="s">
        <v>231</v>
      </c>
      <c r="EX182" s="240" t="s">
        <v>231</v>
      </c>
      <c r="EY182" s="240" t="s">
        <v>231</v>
      </c>
      <c r="EZ182" s="240" t="s">
        <v>231</v>
      </c>
      <c r="FA182" s="240" t="s">
        <v>231</v>
      </c>
      <c r="FB182" s="240" t="s">
        <v>231</v>
      </c>
      <c r="FC182" s="240" t="s">
        <v>231</v>
      </c>
      <c r="FD182" s="240" t="s">
        <v>231</v>
      </c>
      <c r="FE182" s="240" t="s">
        <v>231</v>
      </c>
      <c r="FF182" s="240" t="s">
        <v>231</v>
      </c>
      <c r="FG182" s="240" t="s">
        <v>492</v>
      </c>
      <c r="FH182" s="240" t="s">
        <v>492</v>
      </c>
      <c r="FI182" s="240" t="s">
        <v>492</v>
      </c>
      <c r="FJ182" s="240" t="s">
        <v>492</v>
      </c>
      <c r="FK182" s="240" t="s">
        <v>492</v>
      </c>
      <c r="FL182" s="240" t="s">
        <v>492</v>
      </c>
      <c r="FM182" s="240" t="s">
        <v>231</v>
      </c>
      <c r="FN182" s="240" t="s">
        <v>231</v>
      </c>
      <c r="FO182" s="240" t="s">
        <v>231</v>
      </c>
      <c r="FP182" s="240" t="s">
        <v>231</v>
      </c>
      <c r="FQ182" s="240" t="s">
        <v>231</v>
      </c>
      <c r="FR182" s="240" t="s">
        <v>231</v>
      </c>
      <c r="FS182" s="240" t="s">
        <v>231</v>
      </c>
      <c r="FT182" s="240" t="s">
        <v>231</v>
      </c>
      <c r="FU182" s="240" t="s">
        <v>231</v>
      </c>
      <c r="FV182" s="240" t="s">
        <v>231</v>
      </c>
      <c r="FW182" s="240" t="s">
        <v>231</v>
      </c>
      <c r="FX182" s="240" t="s">
        <v>492</v>
      </c>
      <c r="FY182" s="240" t="s">
        <v>231</v>
      </c>
      <c r="FZ182" s="240" t="s">
        <v>231</v>
      </c>
      <c r="GA182" s="240" t="s">
        <v>231</v>
      </c>
      <c r="GB182" s="240" t="s">
        <v>231</v>
      </c>
      <c r="GC182" s="240" t="s">
        <v>231</v>
      </c>
      <c r="GD182" s="240" t="s">
        <v>231</v>
      </c>
      <c r="GE182" s="240" t="s">
        <v>231</v>
      </c>
      <c r="GF182" s="240" t="s">
        <v>231</v>
      </c>
      <c r="GG182" s="240" t="s">
        <v>231</v>
      </c>
      <c r="GH182" s="240" t="s">
        <v>231</v>
      </c>
      <c r="GI182" s="240" t="s">
        <v>231</v>
      </c>
      <c r="GJ182" s="240" t="s">
        <v>231</v>
      </c>
      <c r="GK182" s="240" t="s">
        <v>231</v>
      </c>
      <c r="GL182" s="240" t="s">
        <v>231</v>
      </c>
      <c r="GM182" s="240" t="s">
        <v>231</v>
      </c>
      <c r="GN182" s="240" t="s">
        <v>231</v>
      </c>
      <c r="GO182" s="240" t="s">
        <v>231</v>
      </c>
      <c r="GP182" s="240" t="s">
        <v>492</v>
      </c>
      <c r="GQ182" s="240" t="s">
        <v>231</v>
      </c>
      <c r="GR182" s="240" t="s">
        <v>231</v>
      </c>
      <c r="GS182" s="240" t="s">
        <v>231</v>
      </c>
      <c r="GT182" s="240" t="s">
        <v>231</v>
      </c>
      <c r="GU182" s="240" t="s">
        <v>231</v>
      </c>
      <c r="GV182" s="240" t="s">
        <v>492</v>
      </c>
      <c r="GW182" s="240" t="s">
        <v>231</v>
      </c>
      <c r="GX182" s="240" t="s">
        <v>231</v>
      </c>
      <c r="GY182" s="240" t="s">
        <v>231</v>
      </c>
      <c r="GZ182" s="240" t="s">
        <v>231</v>
      </c>
      <c r="HA182" s="240" t="s">
        <v>231</v>
      </c>
      <c r="HB182" s="240" t="s">
        <v>231</v>
      </c>
      <c r="HC182" s="240" t="s">
        <v>231</v>
      </c>
      <c r="HD182" s="240" t="s">
        <v>231</v>
      </c>
      <c r="HE182" s="240" t="s">
        <v>492</v>
      </c>
      <c r="HF182" s="240" t="s">
        <v>231</v>
      </c>
      <c r="HG182" s="240" t="s">
        <v>231</v>
      </c>
      <c r="HH182" s="240" t="s">
        <v>231</v>
      </c>
      <c r="HI182" s="240" t="s">
        <v>231</v>
      </c>
      <c r="HJ182" s="240" t="s">
        <v>231</v>
      </c>
      <c r="HK182" s="240" t="s">
        <v>231</v>
      </c>
      <c r="HL182" s="240" t="s">
        <v>231</v>
      </c>
      <c r="HM182" s="240" t="s">
        <v>231</v>
      </c>
      <c r="HN182" s="240" t="s">
        <v>231</v>
      </c>
      <c r="HO182" s="240" t="s">
        <v>231</v>
      </c>
      <c r="HP182" s="240" t="s">
        <v>231</v>
      </c>
      <c r="HQ182" s="240" t="s">
        <v>492</v>
      </c>
      <c r="HR182" s="240" t="s">
        <v>492</v>
      </c>
      <c r="HS182" s="240" t="s">
        <v>492</v>
      </c>
      <c r="HT182" s="240" t="s">
        <v>492</v>
      </c>
      <c r="HU182" s="240" t="s">
        <v>231</v>
      </c>
      <c r="HV182" s="240" t="s">
        <v>231</v>
      </c>
      <c r="HW182" s="240" t="s">
        <v>231</v>
      </c>
      <c r="HX182" s="240" t="s">
        <v>231</v>
      </c>
      <c r="HY182" s="240" t="s">
        <v>231</v>
      </c>
      <c r="HZ182" s="240" t="s">
        <v>231</v>
      </c>
      <c r="IA182" s="240" t="s">
        <v>231</v>
      </c>
      <c r="IB182" s="240" t="s">
        <v>231</v>
      </c>
      <c r="IC182" s="240" t="s">
        <v>231</v>
      </c>
      <c r="ID182" s="240" t="s">
        <v>231</v>
      </c>
      <c r="IE182" s="240" t="s">
        <v>231</v>
      </c>
      <c r="IF182" s="240" t="s">
        <v>231</v>
      </c>
      <c r="IG182" s="240" t="s">
        <v>231</v>
      </c>
      <c r="IH182" s="240" t="s">
        <v>231</v>
      </c>
      <c r="II182" s="240" t="s">
        <v>231</v>
      </c>
      <c r="IJ182" s="240" t="s">
        <v>231</v>
      </c>
      <c r="IK182" s="240" t="s">
        <v>231</v>
      </c>
      <c r="IL182" s="240" t="s">
        <v>231</v>
      </c>
      <c r="IM182" s="240" t="s">
        <v>231</v>
      </c>
      <c r="IN182" s="240" t="s">
        <v>231</v>
      </c>
      <c r="IO182" s="240" t="s">
        <v>220</v>
      </c>
      <c r="IP182" s="240" t="s">
        <v>493</v>
      </c>
      <c r="IQ182" s="240" t="s">
        <v>219</v>
      </c>
      <c r="IR182" s="240" t="s">
        <v>490</v>
      </c>
      <c r="IS182" s="240" t="s">
        <v>492</v>
      </c>
      <c r="IT182" s="240" t="s">
        <v>492</v>
      </c>
    </row>
    <row r="183" spans="1:254" ht="15" x14ac:dyDescent="0.25">
      <c r="A183" s="258" t="str">
        <f>HYPERLINK("http://www.ofsted.gov.uk/inspection-reports/find-inspection-report/provider/ELS/100289 ","Ofsted School Webpage")</f>
        <v>Ofsted School Webpage</v>
      </c>
      <c r="B183" s="237">
        <v>100289</v>
      </c>
      <c r="C183" s="237">
        <v>2046233</v>
      </c>
      <c r="D183" s="237" t="s">
        <v>956</v>
      </c>
      <c r="E183" s="237" t="s">
        <v>247</v>
      </c>
      <c r="F183" s="237" t="s">
        <v>482</v>
      </c>
      <c r="G183" s="237" t="s">
        <v>506</v>
      </c>
      <c r="H183" s="237" t="s">
        <v>506</v>
      </c>
      <c r="I183" s="237" t="s">
        <v>617</v>
      </c>
      <c r="J183" s="237" t="s">
        <v>957</v>
      </c>
      <c r="K183" s="237" t="s">
        <v>93</v>
      </c>
      <c r="L183" s="237" t="s">
        <v>93</v>
      </c>
      <c r="M183" s="237" t="s">
        <v>93</v>
      </c>
      <c r="N183" s="237" t="s">
        <v>90</v>
      </c>
      <c r="O183" s="237" t="s">
        <v>486</v>
      </c>
      <c r="P183" s="237" t="s">
        <v>487</v>
      </c>
      <c r="Q183" s="238">
        <v>10055369</v>
      </c>
      <c r="R183" s="239">
        <v>43487</v>
      </c>
      <c r="S183" s="239">
        <v>43489</v>
      </c>
      <c r="T183" s="239">
        <v>43513</v>
      </c>
      <c r="U183" s="237" t="s">
        <v>488</v>
      </c>
      <c r="V183" s="237" t="s">
        <v>489</v>
      </c>
      <c r="W183" s="237">
        <v>4</v>
      </c>
      <c r="X183" s="237">
        <v>4</v>
      </c>
      <c r="Y183" s="237">
        <v>4</v>
      </c>
      <c r="Z183" s="237">
        <v>4</v>
      </c>
      <c r="AA183" s="237">
        <v>4</v>
      </c>
      <c r="AB183" s="237">
        <v>4</v>
      </c>
      <c r="AC183" s="237" t="s">
        <v>486</v>
      </c>
      <c r="AD183" s="237" t="s">
        <v>220</v>
      </c>
      <c r="AE183" s="237" t="s">
        <v>512</v>
      </c>
      <c r="AF183" s="237" t="s">
        <v>486</v>
      </c>
      <c r="AG183" s="237" t="s">
        <v>490</v>
      </c>
      <c r="AH183" s="237" t="s">
        <v>490</v>
      </c>
      <c r="AI183" s="237" t="s">
        <v>490</v>
      </c>
      <c r="AJ183" s="237" t="s">
        <v>486</v>
      </c>
      <c r="AK183" s="237" t="s">
        <v>486</v>
      </c>
      <c r="AL183" s="237" t="s">
        <v>486</v>
      </c>
      <c r="AM183" s="237" t="s">
        <v>545</v>
      </c>
      <c r="AN183" s="237" t="s">
        <v>546</v>
      </c>
      <c r="AO183" s="237" t="s">
        <v>546</v>
      </c>
      <c r="AP183" s="237" t="s">
        <v>546</v>
      </c>
      <c r="AQ183" s="237" t="s">
        <v>231</v>
      </c>
      <c r="AR183" s="237" t="s">
        <v>546</v>
      </c>
      <c r="AS183" s="237" t="s">
        <v>231</v>
      </c>
      <c r="AT183" s="237" t="s">
        <v>231</v>
      </c>
      <c r="AU183" s="237" t="s">
        <v>546</v>
      </c>
      <c r="AV183" s="237" t="s">
        <v>232</v>
      </c>
      <c r="AW183" s="237" t="s">
        <v>232</v>
      </c>
      <c r="AX183" s="237" t="s">
        <v>232</v>
      </c>
      <c r="AY183" s="237" t="s">
        <v>232</v>
      </c>
      <c r="AZ183" s="237" t="s">
        <v>231</v>
      </c>
      <c r="BA183" s="237" t="s">
        <v>232</v>
      </c>
      <c r="BB183" s="237" t="s">
        <v>232</v>
      </c>
      <c r="BC183" s="237" t="s">
        <v>232</v>
      </c>
      <c r="BD183" s="237" t="s">
        <v>231</v>
      </c>
      <c r="BE183" s="237" t="s">
        <v>232</v>
      </c>
      <c r="BF183" s="237" t="s">
        <v>231</v>
      </c>
      <c r="BG183" s="237" t="s">
        <v>232</v>
      </c>
      <c r="BH183" s="237" t="s">
        <v>232</v>
      </c>
      <c r="BI183" s="237" t="s">
        <v>232</v>
      </c>
      <c r="BJ183" s="237" t="s">
        <v>232</v>
      </c>
      <c r="BK183" s="237" t="s">
        <v>232</v>
      </c>
      <c r="BL183" s="237" t="s">
        <v>232</v>
      </c>
      <c r="BM183" s="237" t="s">
        <v>492</v>
      </c>
      <c r="BN183" s="237" t="s">
        <v>232</v>
      </c>
      <c r="BO183" s="237" t="s">
        <v>232</v>
      </c>
      <c r="BP183" s="237" t="s">
        <v>232</v>
      </c>
      <c r="BQ183" s="237" t="s">
        <v>232</v>
      </c>
      <c r="BR183" s="237" t="s">
        <v>231</v>
      </c>
      <c r="BS183" s="237" t="s">
        <v>232</v>
      </c>
      <c r="BT183" s="237" t="s">
        <v>232</v>
      </c>
      <c r="BU183" s="237" t="s">
        <v>232</v>
      </c>
      <c r="BV183" s="237" t="s">
        <v>232</v>
      </c>
      <c r="BW183" s="237" t="s">
        <v>232</v>
      </c>
      <c r="BX183" s="237" t="s">
        <v>232</v>
      </c>
      <c r="BY183" s="237" t="s">
        <v>231</v>
      </c>
      <c r="BZ183" s="237" t="s">
        <v>231</v>
      </c>
      <c r="CA183" s="237" t="s">
        <v>231</v>
      </c>
      <c r="CB183" s="237" t="s">
        <v>232</v>
      </c>
      <c r="CC183" s="237" t="s">
        <v>231</v>
      </c>
      <c r="CD183" s="237" t="s">
        <v>232</v>
      </c>
      <c r="CE183" s="237" t="s">
        <v>231</v>
      </c>
      <c r="CF183" s="237" t="s">
        <v>231</v>
      </c>
      <c r="CG183" s="237" t="s">
        <v>232</v>
      </c>
      <c r="CH183" s="237" t="s">
        <v>231</v>
      </c>
      <c r="CI183" s="237" t="s">
        <v>231</v>
      </c>
      <c r="CJ183" s="237" t="s">
        <v>232</v>
      </c>
      <c r="CK183" s="237" t="s">
        <v>231</v>
      </c>
      <c r="CL183" s="237" t="s">
        <v>231</v>
      </c>
      <c r="CM183" s="237" t="s">
        <v>231</v>
      </c>
      <c r="CN183" s="237" t="s">
        <v>231</v>
      </c>
      <c r="CO183" s="237" t="s">
        <v>231</v>
      </c>
      <c r="CP183" s="237" t="s">
        <v>231</v>
      </c>
      <c r="CQ183" s="237" t="s">
        <v>232</v>
      </c>
      <c r="CR183" s="237" t="s">
        <v>232</v>
      </c>
      <c r="CS183" s="237" t="s">
        <v>232</v>
      </c>
      <c r="CT183" s="237" t="s">
        <v>492</v>
      </c>
      <c r="CU183" s="237" t="s">
        <v>492</v>
      </c>
      <c r="CV183" s="237" t="s">
        <v>492</v>
      </c>
      <c r="CW183" s="237" t="s">
        <v>232</v>
      </c>
      <c r="CX183" s="237" t="s">
        <v>231</v>
      </c>
      <c r="CY183" s="237" t="s">
        <v>232</v>
      </c>
      <c r="CZ183" s="237" t="s">
        <v>232</v>
      </c>
      <c r="DA183" s="237" t="s">
        <v>231</v>
      </c>
      <c r="DB183" s="237" t="s">
        <v>232</v>
      </c>
      <c r="DC183" s="237" t="s">
        <v>231</v>
      </c>
      <c r="DD183" s="237" t="s">
        <v>231</v>
      </c>
      <c r="DE183" s="237" t="s">
        <v>232</v>
      </c>
      <c r="DF183" s="237" t="s">
        <v>232</v>
      </c>
      <c r="DG183" s="237" t="s">
        <v>232</v>
      </c>
      <c r="DH183" s="237" t="s">
        <v>232</v>
      </c>
      <c r="DI183" s="237" t="s">
        <v>232</v>
      </c>
      <c r="DJ183" s="237" t="s">
        <v>231</v>
      </c>
      <c r="DK183" s="237" t="s">
        <v>231</v>
      </c>
      <c r="DL183" s="237" t="s">
        <v>231</v>
      </c>
      <c r="DM183" s="237" t="s">
        <v>231</v>
      </c>
      <c r="DN183" s="237" t="s">
        <v>231</v>
      </c>
      <c r="DO183" s="237" t="s">
        <v>231</v>
      </c>
      <c r="DP183" s="237" t="s">
        <v>231</v>
      </c>
      <c r="DQ183" s="237" t="s">
        <v>231</v>
      </c>
      <c r="DR183" s="237" t="s">
        <v>231</v>
      </c>
      <c r="DS183" s="237" t="s">
        <v>231</v>
      </c>
      <c r="DT183" s="237" t="s">
        <v>492</v>
      </c>
      <c r="DU183" s="237" t="s">
        <v>231</v>
      </c>
      <c r="DV183" s="237" t="s">
        <v>492</v>
      </c>
      <c r="DW183" s="237" t="s">
        <v>492</v>
      </c>
      <c r="DX183" s="237" t="s">
        <v>492</v>
      </c>
      <c r="DY183" s="237" t="s">
        <v>492</v>
      </c>
      <c r="DZ183" s="237" t="s">
        <v>492</v>
      </c>
      <c r="EA183" s="237" t="s">
        <v>492</v>
      </c>
      <c r="EB183" s="237" t="s">
        <v>492</v>
      </c>
      <c r="EC183" s="237" t="s">
        <v>492</v>
      </c>
      <c r="ED183" s="237" t="s">
        <v>492</v>
      </c>
      <c r="EE183" s="237" t="s">
        <v>492</v>
      </c>
      <c r="EF183" s="237" t="s">
        <v>492</v>
      </c>
      <c r="EG183" s="237" t="s">
        <v>492</v>
      </c>
      <c r="EH183" s="237" t="s">
        <v>492</v>
      </c>
      <c r="EI183" s="237" t="s">
        <v>492</v>
      </c>
      <c r="EJ183" s="237" t="s">
        <v>231</v>
      </c>
      <c r="EK183" s="237" t="s">
        <v>231</v>
      </c>
      <c r="EL183" s="237" t="s">
        <v>231</v>
      </c>
      <c r="EM183" s="237" t="s">
        <v>231</v>
      </c>
      <c r="EN183" s="237" t="s">
        <v>231</v>
      </c>
      <c r="EO183" s="237" t="s">
        <v>231</v>
      </c>
      <c r="EP183" s="237" t="s">
        <v>231</v>
      </c>
      <c r="EQ183" s="237" t="s">
        <v>231</v>
      </c>
      <c r="ER183" s="237" t="s">
        <v>231</v>
      </c>
      <c r="ES183" s="237" t="s">
        <v>231</v>
      </c>
      <c r="ET183" s="237" t="s">
        <v>231</v>
      </c>
      <c r="EU183" s="237" t="s">
        <v>231</v>
      </c>
      <c r="EV183" s="237" t="s">
        <v>231</v>
      </c>
      <c r="EW183" s="237" t="s">
        <v>231</v>
      </c>
      <c r="EX183" s="237" t="s">
        <v>231</v>
      </c>
      <c r="EY183" s="237" t="s">
        <v>231</v>
      </c>
      <c r="EZ183" s="237" t="s">
        <v>231</v>
      </c>
      <c r="FA183" s="237" t="s">
        <v>231</v>
      </c>
      <c r="FB183" s="237" t="s">
        <v>231</v>
      </c>
      <c r="FC183" s="237" t="s">
        <v>231</v>
      </c>
      <c r="FD183" s="237" t="s">
        <v>231</v>
      </c>
      <c r="FE183" s="237" t="s">
        <v>231</v>
      </c>
      <c r="FF183" s="237" t="s">
        <v>231</v>
      </c>
      <c r="FG183" s="237" t="s">
        <v>492</v>
      </c>
      <c r="FH183" s="237" t="s">
        <v>492</v>
      </c>
      <c r="FI183" s="237" t="s">
        <v>492</v>
      </c>
      <c r="FJ183" s="237" t="s">
        <v>492</v>
      </c>
      <c r="FK183" s="237" t="s">
        <v>492</v>
      </c>
      <c r="FL183" s="237" t="s">
        <v>492</v>
      </c>
      <c r="FM183" s="237" t="s">
        <v>231</v>
      </c>
      <c r="FN183" s="237" t="s">
        <v>231</v>
      </c>
      <c r="FO183" s="237" t="s">
        <v>231</v>
      </c>
      <c r="FP183" s="237" t="s">
        <v>231</v>
      </c>
      <c r="FQ183" s="237" t="s">
        <v>231</v>
      </c>
      <c r="FR183" s="237" t="s">
        <v>231</v>
      </c>
      <c r="FS183" s="237" t="s">
        <v>231</v>
      </c>
      <c r="FT183" s="237" t="s">
        <v>231</v>
      </c>
      <c r="FU183" s="237" t="s">
        <v>231</v>
      </c>
      <c r="FV183" s="237" t="s">
        <v>231</v>
      </c>
      <c r="FW183" s="237" t="s">
        <v>231</v>
      </c>
      <c r="FX183" s="237" t="s">
        <v>492</v>
      </c>
      <c r="FY183" s="237" t="s">
        <v>231</v>
      </c>
      <c r="FZ183" s="237" t="s">
        <v>232</v>
      </c>
      <c r="GA183" s="237" t="s">
        <v>231</v>
      </c>
      <c r="GB183" s="237" t="s">
        <v>231</v>
      </c>
      <c r="GC183" s="237" t="s">
        <v>231</v>
      </c>
      <c r="GD183" s="237" t="s">
        <v>231</v>
      </c>
      <c r="GE183" s="237" t="s">
        <v>231</v>
      </c>
      <c r="GF183" s="237" t="s">
        <v>231</v>
      </c>
      <c r="GG183" s="237" t="s">
        <v>231</v>
      </c>
      <c r="GH183" s="237" t="s">
        <v>231</v>
      </c>
      <c r="GI183" s="237" t="s">
        <v>231</v>
      </c>
      <c r="GJ183" s="237" t="s">
        <v>231</v>
      </c>
      <c r="GK183" s="237" t="s">
        <v>231</v>
      </c>
      <c r="GL183" s="237" t="s">
        <v>231</v>
      </c>
      <c r="GM183" s="237" t="s">
        <v>231</v>
      </c>
      <c r="GN183" s="237" t="s">
        <v>231</v>
      </c>
      <c r="GO183" s="237" t="s">
        <v>231</v>
      </c>
      <c r="GP183" s="237" t="s">
        <v>492</v>
      </c>
      <c r="GQ183" s="237" t="s">
        <v>231</v>
      </c>
      <c r="GR183" s="237" t="s">
        <v>231</v>
      </c>
      <c r="GS183" s="237" t="s">
        <v>231</v>
      </c>
      <c r="GT183" s="237" t="s">
        <v>231</v>
      </c>
      <c r="GU183" s="237" t="s">
        <v>231</v>
      </c>
      <c r="GV183" s="237" t="s">
        <v>492</v>
      </c>
      <c r="GW183" s="237" t="s">
        <v>231</v>
      </c>
      <c r="GX183" s="237" t="s">
        <v>231</v>
      </c>
      <c r="GY183" s="237" t="s">
        <v>231</v>
      </c>
      <c r="GZ183" s="237" t="s">
        <v>231</v>
      </c>
      <c r="HA183" s="237" t="s">
        <v>231</v>
      </c>
      <c r="HB183" s="237" t="s">
        <v>231</v>
      </c>
      <c r="HC183" s="237" t="s">
        <v>231</v>
      </c>
      <c r="HD183" s="237" t="s">
        <v>231</v>
      </c>
      <c r="HE183" s="237" t="s">
        <v>231</v>
      </c>
      <c r="HF183" s="237" t="s">
        <v>231</v>
      </c>
      <c r="HG183" s="237" t="s">
        <v>231</v>
      </c>
      <c r="HH183" s="237" t="s">
        <v>231</v>
      </c>
      <c r="HI183" s="237" t="s">
        <v>231</v>
      </c>
      <c r="HJ183" s="237" t="s">
        <v>231</v>
      </c>
      <c r="HK183" s="237" t="s">
        <v>231</v>
      </c>
      <c r="HL183" s="237" t="s">
        <v>231</v>
      </c>
      <c r="HM183" s="237" t="s">
        <v>231</v>
      </c>
      <c r="HN183" s="237" t="s">
        <v>231</v>
      </c>
      <c r="HO183" s="237" t="s">
        <v>231</v>
      </c>
      <c r="HP183" s="237" t="s">
        <v>231</v>
      </c>
      <c r="HQ183" s="237" t="s">
        <v>492</v>
      </c>
      <c r="HR183" s="237" t="s">
        <v>492</v>
      </c>
      <c r="HS183" s="237" t="s">
        <v>492</v>
      </c>
      <c r="HT183" s="237" t="s">
        <v>492</v>
      </c>
      <c r="HU183" s="237" t="s">
        <v>231</v>
      </c>
      <c r="HV183" s="237" t="s">
        <v>231</v>
      </c>
      <c r="HW183" s="237" t="s">
        <v>231</v>
      </c>
      <c r="HX183" s="237" t="s">
        <v>231</v>
      </c>
      <c r="HY183" s="237" t="s">
        <v>231</v>
      </c>
      <c r="HZ183" s="237" t="s">
        <v>231</v>
      </c>
      <c r="IA183" s="237" t="s">
        <v>231</v>
      </c>
      <c r="IB183" s="237" t="s">
        <v>231</v>
      </c>
      <c r="IC183" s="237" t="s">
        <v>231</v>
      </c>
      <c r="ID183" s="237" t="s">
        <v>231</v>
      </c>
      <c r="IE183" s="237" t="s">
        <v>231</v>
      </c>
      <c r="IF183" s="237" t="s">
        <v>231</v>
      </c>
      <c r="IG183" s="237" t="s">
        <v>231</v>
      </c>
      <c r="IH183" s="237" t="s">
        <v>231</v>
      </c>
      <c r="II183" s="237" t="s">
        <v>231</v>
      </c>
      <c r="IJ183" s="237" t="s">
        <v>231</v>
      </c>
      <c r="IK183" s="237" t="s">
        <v>232</v>
      </c>
      <c r="IL183" s="237" t="s">
        <v>232</v>
      </c>
      <c r="IM183" s="237" t="s">
        <v>232</v>
      </c>
      <c r="IN183" s="237" t="s">
        <v>232</v>
      </c>
      <c r="IO183" s="237" t="s">
        <v>220</v>
      </c>
      <c r="IP183" s="237" t="s">
        <v>493</v>
      </c>
      <c r="IQ183" s="237" t="s">
        <v>219</v>
      </c>
      <c r="IR183" s="237" t="s">
        <v>490</v>
      </c>
      <c r="IS183" s="237" t="s">
        <v>232</v>
      </c>
      <c r="IT183" s="237" t="s">
        <v>232</v>
      </c>
    </row>
    <row r="184" spans="1:254" ht="15" x14ac:dyDescent="0.25">
      <c r="A184" s="259" t="str">
        <f>HYPERLINK("http://www.ofsted.gov.uk/inspection-reports/find-inspection-report/provider/ELS/130286 ","Ofsted School Webpage")</f>
        <v>Ofsted School Webpage</v>
      </c>
      <c r="B184" s="240">
        <v>130286</v>
      </c>
      <c r="C184" s="240">
        <v>3526050</v>
      </c>
      <c r="D184" s="240" t="s">
        <v>958</v>
      </c>
      <c r="E184" s="240" t="s">
        <v>247</v>
      </c>
      <c r="F184" s="240" t="s">
        <v>482</v>
      </c>
      <c r="G184" s="240" t="s">
        <v>495</v>
      </c>
      <c r="H184" s="240" t="s">
        <v>495</v>
      </c>
      <c r="I184" s="240" t="s">
        <v>744</v>
      </c>
      <c r="J184" s="240" t="s">
        <v>959</v>
      </c>
      <c r="K184" s="240" t="s">
        <v>93</v>
      </c>
      <c r="L184" s="240" t="s">
        <v>93</v>
      </c>
      <c r="M184" s="240" t="s">
        <v>93</v>
      </c>
      <c r="N184" s="240" t="s">
        <v>90</v>
      </c>
      <c r="O184" s="240" t="s">
        <v>486</v>
      </c>
      <c r="P184" s="240" t="s">
        <v>487</v>
      </c>
      <c r="Q184" s="241">
        <v>10067885</v>
      </c>
      <c r="R184" s="242">
        <v>43487</v>
      </c>
      <c r="S184" s="242">
        <v>43489</v>
      </c>
      <c r="T184" s="242">
        <v>43550</v>
      </c>
      <c r="U184" s="240" t="s">
        <v>488</v>
      </c>
      <c r="V184" s="240" t="s">
        <v>489</v>
      </c>
      <c r="W184" s="240">
        <v>3</v>
      </c>
      <c r="X184" s="240">
        <v>3</v>
      </c>
      <c r="Y184" s="240">
        <v>3</v>
      </c>
      <c r="Z184" s="240">
        <v>3</v>
      </c>
      <c r="AA184" s="240">
        <v>3</v>
      </c>
      <c r="AB184" s="240">
        <v>3</v>
      </c>
      <c r="AC184" s="240" t="s">
        <v>486</v>
      </c>
      <c r="AD184" s="240" t="s">
        <v>219</v>
      </c>
      <c r="AE184" s="240" t="s">
        <v>512</v>
      </c>
      <c r="AF184" s="240" t="s">
        <v>486</v>
      </c>
      <c r="AG184" s="240" t="s">
        <v>486</v>
      </c>
      <c r="AH184" s="240" t="s">
        <v>486</v>
      </c>
      <c r="AI184" s="240" t="s">
        <v>490</v>
      </c>
      <c r="AJ184" s="240" t="s">
        <v>486</v>
      </c>
      <c r="AK184" s="240" t="s">
        <v>486</v>
      </c>
      <c r="AL184" s="240" t="s">
        <v>486</v>
      </c>
      <c r="AM184" s="240" t="s">
        <v>545</v>
      </c>
      <c r="AN184" s="240" t="s">
        <v>231</v>
      </c>
      <c r="AO184" s="240" t="s">
        <v>546</v>
      </c>
      <c r="AP184" s="240" t="s">
        <v>231</v>
      </c>
      <c r="AQ184" s="240" t="s">
        <v>231</v>
      </c>
      <c r="AR184" s="240" t="s">
        <v>231</v>
      </c>
      <c r="AS184" s="240" t="s">
        <v>231</v>
      </c>
      <c r="AT184" s="240" t="s">
        <v>231</v>
      </c>
      <c r="AU184" s="240" t="s">
        <v>546</v>
      </c>
      <c r="AV184" s="240" t="s">
        <v>231</v>
      </c>
      <c r="AW184" s="240" t="s">
        <v>231</v>
      </c>
      <c r="AX184" s="240" t="s">
        <v>231</v>
      </c>
      <c r="AY184" s="240" t="s">
        <v>231</v>
      </c>
      <c r="AZ184" s="240" t="s">
        <v>231</v>
      </c>
      <c r="BA184" s="240" t="s">
        <v>232</v>
      </c>
      <c r="BB184" s="240" t="s">
        <v>231</v>
      </c>
      <c r="BC184" s="240" t="s">
        <v>231</v>
      </c>
      <c r="BD184" s="240" t="s">
        <v>231</v>
      </c>
      <c r="BE184" s="240" t="s">
        <v>232</v>
      </c>
      <c r="BF184" s="240" t="s">
        <v>231</v>
      </c>
      <c r="BG184" s="240" t="s">
        <v>232</v>
      </c>
      <c r="BH184" s="240" t="s">
        <v>492</v>
      </c>
      <c r="BI184" s="240" t="s">
        <v>492</v>
      </c>
      <c r="BJ184" s="240" t="s">
        <v>492</v>
      </c>
      <c r="BK184" s="240" t="s">
        <v>492</v>
      </c>
      <c r="BL184" s="240" t="s">
        <v>231</v>
      </c>
      <c r="BM184" s="240" t="s">
        <v>492</v>
      </c>
      <c r="BN184" s="240" t="s">
        <v>231</v>
      </c>
      <c r="BO184" s="240" t="s">
        <v>231</v>
      </c>
      <c r="BP184" s="240" t="s">
        <v>231</v>
      </c>
      <c r="BQ184" s="240" t="s">
        <v>231</v>
      </c>
      <c r="BR184" s="240" t="s">
        <v>231</v>
      </c>
      <c r="BS184" s="240" t="s">
        <v>231</v>
      </c>
      <c r="BT184" s="240" t="s">
        <v>231</v>
      </c>
      <c r="BU184" s="240" t="s">
        <v>231</v>
      </c>
      <c r="BV184" s="240" t="s">
        <v>231</v>
      </c>
      <c r="BW184" s="240" t="s">
        <v>231</v>
      </c>
      <c r="BX184" s="240" t="s">
        <v>231</v>
      </c>
      <c r="BY184" s="240" t="s">
        <v>231</v>
      </c>
      <c r="BZ184" s="240" t="s">
        <v>231</v>
      </c>
      <c r="CA184" s="240" t="s">
        <v>231</v>
      </c>
      <c r="CB184" s="240" t="s">
        <v>232</v>
      </c>
      <c r="CC184" s="240" t="s">
        <v>231</v>
      </c>
      <c r="CD184" s="240" t="s">
        <v>231</v>
      </c>
      <c r="CE184" s="240" t="s">
        <v>231</v>
      </c>
      <c r="CF184" s="240" t="s">
        <v>231</v>
      </c>
      <c r="CG184" s="240" t="s">
        <v>231</v>
      </c>
      <c r="CH184" s="240" t="s">
        <v>231</v>
      </c>
      <c r="CI184" s="240" t="s">
        <v>231</v>
      </c>
      <c r="CJ184" s="240" t="s">
        <v>232</v>
      </c>
      <c r="CK184" s="240" t="s">
        <v>231</v>
      </c>
      <c r="CL184" s="240" t="s">
        <v>231</v>
      </c>
      <c r="CM184" s="240" t="s">
        <v>231</v>
      </c>
      <c r="CN184" s="240" t="s">
        <v>231</v>
      </c>
      <c r="CO184" s="240" t="s">
        <v>231</v>
      </c>
      <c r="CP184" s="240" t="s">
        <v>231</v>
      </c>
      <c r="CQ184" s="240" t="s">
        <v>231</v>
      </c>
      <c r="CR184" s="240" t="s">
        <v>231</v>
      </c>
      <c r="CS184" s="240" t="s">
        <v>231</v>
      </c>
      <c r="CT184" s="240" t="s">
        <v>492</v>
      </c>
      <c r="CU184" s="240" t="s">
        <v>492</v>
      </c>
      <c r="CV184" s="240" t="s">
        <v>492</v>
      </c>
      <c r="CW184" s="240" t="s">
        <v>231</v>
      </c>
      <c r="CX184" s="240" t="s">
        <v>231</v>
      </c>
      <c r="CY184" s="240" t="s">
        <v>231</v>
      </c>
      <c r="CZ184" s="240" t="s">
        <v>231</v>
      </c>
      <c r="DA184" s="240" t="s">
        <v>231</v>
      </c>
      <c r="DB184" s="240" t="s">
        <v>231</v>
      </c>
      <c r="DC184" s="240" t="s">
        <v>231</v>
      </c>
      <c r="DD184" s="240" t="s">
        <v>231</v>
      </c>
      <c r="DE184" s="240" t="s">
        <v>231</v>
      </c>
      <c r="DF184" s="240" t="s">
        <v>231</v>
      </c>
      <c r="DG184" s="240" t="s">
        <v>231</v>
      </c>
      <c r="DH184" s="240" t="s">
        <v>231</v>
      </c>
      <c r="DI184" s="240" t="s">
        <v>231</v>
      </c>
      <c r="DJ184" s="240" t="s">
        <v>231</v>
      </c>
      <c r="DK184" s="240" t="s">
        <v>231</v>
      </c>
      <c r="DL184" s="240" t="s">
        <v>231</v>
      </c>
      <c r="DM184" s="240" t="s">
        <v>231</v>
      </c>
      <c r="DN184" s="240" t="s">
        <v>231</v>
      </c>
      <c r="DO184" s="240" t="s">
        <v>231</v>
      </c>
      <c r="DP184" s="240" t="s">
        <v>231</v>
      </c>
      <c r="DQ184" s="240" t="s">
        <v>231</v>
      </c>
      <c r="DR184" s="240" t="s">
        <v>231</v>
      </c>
      <c r="DS184" s="240" t="s">
        <v>231</v>
      </c>
      <c r="DT184" s="240" t="s">
        <v>492</v>
      </c>
      <c r="DU184" s="240" t="s">
        <v>231</v>
      </c>
      <c r="DV184" s="240" t="s">
        <v>231</v>
      </c>
      <c r="DW184" s="240" t="s">
        <v>231</v>
      </c>
      <c r="DX184" s="240" t="s">
        <v>231</v>
      </c>
      <c r="DY184" s="240" t="s">
        <v>231</v>
      </c>
      <c r="DZ184" s="240" t="s">
        <v>231</v>
      </c>
      <c r="EA184" s="240" t="s">
        <v>231</v>
      </c>
      <c r="EB184" s="240" t="s">
        <v>231</v>
      </c>
      <c r="EC184" s="240" t="s">
        <v>231</v>
      </c>
      <c r="ED184" s="240" t="s">
        <v>231</v>
      </c>
      <c r="EE184" s="240" t="s">
        <v>231</v>
      </c>
      <c r="EF184" s="240" t="s">
        <v>231</v>
      </c>
      <c r="EG184" s="240" t="s">
        <v>231</v>
      </c>
      <c r="EH184" s="240" t="s">
        <v>492</v>
      </c>
      <c r="EI184" s="240" t="s">
        <v>231</v>
      </c>
      <c r="EJ184" s="240" t="s">
        <v>231</v>
      </c>
      <c r="EK184" s="240" t="s">
        <v>231</v>
      </c>
      <c r="EL184" s="240" t="s">
        <v>231</v>
      </c>
      <c r="EM184" s="240" t="s">
        <v>231</v>
      </c>
      <c r="EN184" s="240" t="s">
        <v>231</v>
      </c>
      <c r="EO184" s="240" t="s">
        <v>231</v>
      </c>
      <c r="EP184" s="240" t="s">
        <v>231</v>
      </c>
      <c r="EQ184" s="240" t="s">
        <v>231</v>
      </c>
      <c r="ER184" s="240" t="s">
        <v>231</v>
      </c>
      <c r="ES184" s="240" t="s">
        <v>231</v>
      </c>
      <c r="ET184" s="240" t="s">
        <v>231</v>
      </c>
      <c r="EU184" s="240" t="s">
        <v>231</v>
      </c>
      <c r="EV184" s="240" t="s">
        <v>231</v>
      </c>
      <c r="EW184" s="240" t="s">
        <v>231</v>
      </c>
      <c r="EX184" s="240" t="s">
        <v>231</v>
      </c>
      <c r="EY184" s="240" t="s">
        <v>231</v>
      </c>
      <c r="EZ184" s="240" t="s">
        <v>231</v>
      </c>
      <c r="FA184" s="240" t="s">
        <v>231</v>
      </c>
      <c r="FB184" s="240" t="s">
        <v>231</v>
      </c>
      <c r="FC184" s="240" t="s">
        <v>231</v>
      </c>
      <c r="FD184" s="240" t="s">
        <v>231</v>
      </c>
      <c r="FE184" s="240" t="s">
        <v>231</v>
      </c>
      <c r="FF184" s="240" t="s">
        <v>231</v>
      </c>
      <c r="FG184" s="240" t="s">
        <v>231</v>
      </c>
      <c r="FH184" s="240" t="s">
        <v>231</v>
      </c>
      <c r="FI184" s="240" t="s">
        <v>231</v>
      </c>
      <c r="FJ184" s="240" t="s">
        <v>231</v>
      </c>
      <c r="FK184" s="240" t="s">
        <v>231</v>
      </c>
      <c r="FL184" s="240" t="s">
        <v>231</v>
      </c>
      <c r="FM184" s="240" t="s">
        <v>231</v>
      </c>
      <c r="FN184" s="240" t="s">
        <v>231</v>
      </c>
      <c r="FO184" s="240" t="s">
        <v>231</v>
      </c>
      <c r="FP184" s="240" t="s">
        <v>231</v>
      </c>
      <c r="FQ184" s="240" t="s">
        <v>231</v>
      </c>
      <c r="FR184" s="240" t="s">
        <v>231</v>
      </c>
      <c r="FS184" s="240" t="s">
        <v>492</v>
      </c>
      <c r="FT184" s="240" t="s">
        <v>492</v>
      </c>
      <c r="FU184" s="240" t="s">
        <v>231</v>
      </c>
      <c r="FV184" s="240" t="s">
        <v>231</v>
      </c>
      <c r="FW184" s="240" t="s">
        <v>231</v>
      </c>
      <c r="FX184" s="240" t="s">
        <v>492</v>
      </c>
      <c r="FY184" s="240" t="s">
        <v>231</v>
      </c>
      <c r="FZ184" s="240" t="s">
        <v>231</v>
      </c>
      <c r="GA184" s="240" t="s">
        <v>231</v>
      </c>
      <c r="GB184" s="240" t="s">
        <v>231</v>
      </c>
      <c r="GC184" s="240" t="s">
        <v>231</v>
      </c>
      <c r="GD184" s="240" t="s">
        <v>231</v>
      </c>
      <c r="GE184" s="240" t="s">
        <v>231</v>
      </c>
      <c r="GF184" s="240" t="s">
        <v>231</v>
      </c>
      <c r="GG184" s="240" t="s">
        <v>231</v>
      </c>
      <c r="GH184" s="240" t="s">
        <v>231</v>
      </c>
      <c r="GI184" s="240" t="s">
        <v>231</v>
      </c>
      <c r="GJ184" s="240" t="s">
        <v>231</v>
      </c>
      <c r="GK184" s="240" t="s">
        <v>231</v>
      </c>
      <c r="GL184" s="240" t="s">
        <v>231</v>
      </c>
      <c r="GM184" s="240" t="s">
        <v>231</v>
      </c>
      <c r="GN184" s="240" t="s">
        <v>231</v>
      </c>
      <c r="GO184" s="240" t="s">
        <v>231</v>
      </c>
      <c r="GP184" s="240" t="s">
        <v>492</v>
      </c>
      <c r="GQ184" s="240" t="s">
        <v>231</v>
      </c>
      <c r="GR184" s="240" t="s">
        <v>231</v>
      </c>
      <c r="GS184" s="240" t="s">
        <v>231</v>
      </c>
      <c r="GT184" s="240" t="s">
        <v>231</v>
      </c>
      <c r="GU184" s="240" t="s">
        <v>231</v>
      </c>
      <c r="GV184" s="240" t="s">
        <v>492</v>
      </c>
      <c r="GW184" s="240" t="s">
        <v>231</v>
      </c>
      <c r="GX184" s="240" t="s">
        <v>231</v>
      </c>
      <c r="GY184" s="240" t="s">
        <v>492</v>
      </c>
      <c r="GZ184" s="240" t="s">
        <v>492</v>
      </c>
      <c r="HA184" s="240" t="s">
        <v>231</v>
      </c>
      <c r="HB184" s="240" t="s">
        <v>231</v>
      </c>
      <c r="HC184" s="240" t="s">
        <v>231</v>
      </c>
      <c r="HD184" s="240" t="s">
        <v>231</v>
      </c>
      <c r="HE184" s="240" t="s">
        <v>231</v>
      </c>
      <c r="HF184" s="240" t="s">
        <v>492</v>
      </c>
      <c r="HG184" s="240" t="s">
        <v>492</v>
      </c>
      <c r="HH184" s="240" t="s">
        <v>231</v>
      </c>
      <c r="HI184" s="240" t="s">
        <v>231</v>
      </c>
      <c r="HJ184" s="240" t="s">
        <v>231</v>
      </c>
      <c r="HK184" s="240" t="s">
        <v>231</v>
      </c>
      <c r="HL184" s="240" t="s">
        <v>231</v>
      </c>
      <c r="HM184" s="240" t="s">
        <v>231</v>
      </c>
      <c r="HN184" s="240" t="s">
        <v>231</v>
      </c>
      <c r="HO184" s="240" t="s">
        <v>231</v>
      </c>
      <c r="HP184" s="240" t="s">
        <v>231</v>
      </c>
      <c r="HQ184" s="240" t="s">
        <v>231</v>
      </c>
      <c r="HR184" s="240" t="s">
        <v>231</v>
      </c>
      <c r="HS184" s="240" t="s">
        <v>231</v>
      </c>
      <c r="HT184" s="240" t="s">
        <v>231</v>
      </c>
      <c r="HU184" s="240" t="s">
        <v>231</v>
      </c>
      <c r="HV184" s="240" t="s">
        <v>231</v>
      </c>
      <c r="HW184" s="240" t="s">
        <v>231</v>
      </c>
      <c r="HX184" s="240" t="s">
        <v>231</v>
      </c>
      <c r="HY184" s="240" t="s">
        <v>231</v>
      </c>
      <c r="HZ184" s="240" t="s">
        <v>231</v>
      </c>
      <c r="IA184" s="240" t="s">
        <v>231</v>
      </c>
      <c r="IB184" s="240" t="s">
        <v>231</v>
      </c>
      <c r="IC184" s="240" t="s">
        <v>231</v>
      </c>
      <c r="ID184" s="240" t="s">
        <v>231</v>
      </c>
      <c r="IE184" s="240" t="s">
        <v>231</v>
      </c>
      <c r="IF184" s="240" t="s">
        <v>231</v>
      </c>
      <c r="IG184" s="240" t="s">
        <v>231</v>
      </c>
      <c r="IH184" s="240" t="s">
        <v>231</v>
      </c>
      <c r="II184" s="240" t="s">
        <v>231</v>
      </c>
      <c r="IJ184" s="240" t="s">
        <v>231</v>
      </c>
      <c r="IK184" s="240" t="s">
        <v>232</v>
      </c>
      <c r="IL184" s="240" t="s">
        <v>232</v>
      </c>
      <c r="IM184" s="240" t="s">
        <v>232</v>
      </c>
      <c r="IN184" s="240" t="s">
        <v>231</v>
      </c>
      <c r="IO184" s="240" t="s">
        <v>220</v>
      </c>
      <c r="IP184" s="240" t="s">
        <v>493</v>
      </c>
      <c r="IQ184" s="240" t="s">
        <v>219</v>
      </c>
      <c r="IR184" s="240" t="s">
        <v>512</v>
      </c>
      <c r="IS184" s="240" t="s">
        <v>231</v>
      </c>
      <c r="IT184" s="240" t="s">
        <v>231</v>
      </c>
    </row>
    <row r="185" spans="1:254" ht="15" x14ac:dyDescent="0.25">
      <c r="A185" s="258" t="str">
        <f>HYPERLINK("http://www.ofsted.gov.uk/inspection-reports/find-inspection-report/provider/ELS/118127 ","Ofsted School Webpage")</f>
        <v>Ofsted School Webpage</v>
      </c>
      <c r="B185" s="237">
        <v>118127</v>
      </c>
      <c r="C185" s="237">
        <v>8116001</v>
      </c>
      <c r="D185" s="237" t="s">
        <v>960</v>
      </c>
      <c r="E185" s="237" t="s">
        <v>247</v>
      </c>
      <c r="F185" s="237" t="s">
        <v>482</v>
      </c>
      <c r="G185" s="237" t="s">
        <v>523</v>
      </c>
      <c r="H185" s="237" t="s">
        <v>524</v>
      </c>
      <c r="I185" s="237" t="s">
        <v>961</v>
      </c>
      <c r="J185" s="237" t="s">
        <v>962</v>
      </c>
      <c r="K185" s="237" t="s">
        <v>93</v>
      </c>
      <c r="L185" s="237" t="s">
        <v>93</v>
      </c>
      <c r="M185" s="237" t="s">
        <v>93</v>
      </c>
      <c r="N185" s="237" t="s">
        <v>90</v>
      </c>
      <c r="O185" s="237" t="s">
        <v>486</v>
      </c>
      <c r="P185" s="237" t="s">
        <v>487</v>
      </c>
      <c r="Q185" s="238">
        <v>10061243</v>
      </c>
      <c r="R185" s="239">
        <v>43487</v>
      </c>
      <c r="S185" s="239">
        <v>43489</v>
      </c>
      <c r="T185" s="239">
        <v>43541</v>
      </c>
      <c r="U185" s="237" t="s">
        <v>488</v>
      </c>
      <c r="V185" s="237" t="s">
        <v>489</v>
      </c>
      <c r="W185" s="237">
        <v>4</v>
      </c>
      <c r="X185" s="237">
        <v>4</v>
      </c>
      <c r="Y185" s="237">
        <v>3</v>
      </c>
      <c r="Z185" s="237">
        <v>2</v>
      </c>
      <c r="AA185" s="237">
        <v>2</v>
      </c>
      <c r="AB185" s="237">
        <v>4</v>
      </c>
      <c r="AC185" s="237" t="s">
        <v>486</v>
      </c>
      <c r="AD185" s="237" t="s">
        <v>220</v>
      </c>
      <c r="AE185" s="237" t="s">
        <v>490</v>
      </c>
      <c r="AF185" s="237" t="s">
        <v>486</v>
      </c>
      <c r="AG185" s="237" t="s">
        <v>486</v>
      </c>
      <c r="AH185" s="237" t="s">
        <v>486</v>
      </c>
      <c r="AI185" s="237" t="s">
        <v>486</v>
      </c>
      <c r="AJ185" s="237" t="s">
        <v>486</v>
      </c>
      <c r="AK185" s="237" t="s">
        <v>486</v>
      </c>
      <c r="AL185" s="237" t="s">
        <v>486</v>
      </c>
      <c r="AM185" s="237" t="s">
        <v>545</v>
      </c>
      <c r="AN185" s="237" t="s">
        <v>231</v>
      </c>
      <c r="AO185" s="237" t="s">
        <v>231</v>
      </c>
      <c r="AP185" s="237" t="s">
        <v>546</v>
      </c>
      <c r="AQ185" s="237" t="s">
        <v>546</v>
      </c>
      <c r="AR185" s="237" t="s">
        <v>546</v>
      </c>
      <c r="AS185" s="237" t="s">
        <v>231</v>
      </c>
      <c r="AT185" s="237" t="s">
        <v>231</v>
      </c>
      <c r="AU185" s="237" t="s">
        <v>546</v>
      </c>
      <c r="AV185" s="237" t="s">
        <v>231</v>
      </c>
      <c r="AW185" s="237" t="s">
        <v>231</v>
      </c>
      <c r="AX185" s="237" t="s">
        <v>231</v>
      </c>
      <c r="AY185" s="237" t="s">
        <v>231</v>
      </c>
      <c r="AZ185" s="237" t="s">
        <v>231</v>
      </c>
      <c r="BA185" s="237" t="s">
        <v>231</v>
      </c>
      <c r="BB185" s="237" t="s">
        <v>231</v>
      </c>
      <c r="BC185" s="237" t="s">
        <v>231</v>
      </c>
      <c r="BD185" s="237" t="s">
        <v>492</v>
      </c>
      <c r="BE185" s="237" t="s">
        <v>231</v>
      </c>
      <c r="BF185" s="237" t="s">
        <v>231</v>
      </c>
      <c r="BG185" s="237" t="s">
        <v>231</v>
      </c>
      <c r="BH185" s="237" t="s">
        <v>492</v>
      </c>
      <c r="BI185" s="237" t="s">
        <v>492</v>
      </c>
      <c r="BJ185" s="237" t="s">
        <v>492</v>
      </c>
      <c r="BK185" s="237" t="s">
        <v>492</v>
      </c>
      <c r="BL185" s="237" t="s">
        <v>231</v>
      </c>
      <c r="BM185" s="237" t="s">
        <v>492</v>
      </c>
      <c r="BN185" s="237" t="s">
        <v>231</v>
      </c>
      <c r="BO185" s="237" t="s">
        <v>231</v>
      </c>
      <c r="BP185" s="237" t="s">
        <v>231</v>
      </c>
      <c r="BQ185" s="237" t="s">
        <v>231</v>
      </c>
      <c r="BR185" s="237" t="s">
        <v>231</v>
      </c>
      <c r="BS185" s="237" t="s">
        <v>231</v>
      </c>
      <c r="BT185" s="237" t="s">
        <v>231</v>
      </c>
      <c r="BU185" s="237" t="s">
        <v>231</v>
      </c>
      <c r="BV185" s="237" t="s">
        <v>231</v>
      </c>
      <c r="BW185" s="237" t="s">
        <v>231</v>
      </c>
      <c r="BX185" s="237" t="s">
        <v>231</v>
      </c>
      <c r="BY185" s="237" t="s">
        <v>231</v>
      </c>
      <c r="BZ185" s="237" t="s">
        <v>231</v>
      </c>
      <c r="CA185" s="237" t="s">
        <v>231</v>
      </c>
      <c r="CB185" s="237" t="s">
        <v>231</v>
      </c>
      <c r="CC185" s="237" t="s">
        <v>231</v>
      </c>
      <c r="CD185" s="237" t="s">
        <v>231</v>
      </c>
      <c r="CE185" s="237" t="s">
        <v>231</v>
      </c>
      <c r="CF185" s="237" t="s">
        <v>231</v>
      </c>
      <c r="CG185" s="237" t="s">
        <v>231</v>
      </c>
      <c r="CH185" s="237" t="s">
        <v>231</v>
      </c>
      <c r="CI185" s="237" t="s">
        <v>231</v>
      </c>
      <c r="CJ185" s="237" t="s">
        <v>231</v>
      </c>
      <c r="CK185" s="237" t="s">
        <v>231</v>
      </c>
      <c r="CL185" s="237" t="s">
        <v>231</v>
      </c>
      <c r="CM185" s="237" t="s">
        <v>231</v>
      </c>
      <c r="CN185" s="237" t="s">
        <v>231</v>
      </c>
      <c r="CO185" s="237" t="s">
        <v>231</v>
      </c>
      <c r="CP185" s="237" t="s">
        <v>231</v>
      </c>
      <c r="CQ185" s="237" t="s">
        <v>232</v>
      </c>
      <c r="CR185" s="237" t="s">
        <v>232</v>
      </c>
      <c r="CS185" s="237" t="s">
        <v>232</v>
      </c>
      <c r="CT185" s="237" t="s">
        <v>492</v>
      </c>
      <c r="CU185" s="237" t="s">
        <v>492</v>
      </c>
      <c r="CV185" s="237" t="s">
        <v>492</v>
      </c>
      <c r="CW185" s="237" t="s">
        <v>231</v>
      </c>
      <c r="CX185" s="237" t="s">
        <v>231</v>
      </c>
      <c r="CY185" s="237" t="s">
        <v>231</v>
      </c>
      <c r="CZ185" s="237" t="s">
        <v>231</v>
      </c>
      <c r="DA185" s="237" t="s">
        <v>231</v>
      </c>
      <c r="DB185" s="237" t="s">
        <v>231</v>
      </c>
      <c r="DC185" s="237" t="s">
        <v>231</v>
      </c>
      <c r="DD185" s="237" t="s">
        <v>231</v>
      </c>
      <c r="DE185" s="237" t="s">
        <v>231</v>
      </c>
      <c r="DF185" s="237" t="s">
        <v>232</v>
      </c>
      <c r="DG185" s="237" t="s">
        <v>232</v>
      </c>
      <c r="DH185" s="237" t="s">
        <v>231</v>
      </c>
      <c r="DI185" s="237" t="s">
        <v>232</v>
      </c>
      <c r="DJ185" s="237" t="s">
        <v>232</v>
      </c>
      <c r="DK185" s="237" t="s">
        <v>231</v>
      </c>
      <c r="DL185" s="237" t="s">
        <v>231</v>
      </c>
      <c r="DM185" s="237" t="s">
        <v>232</v>
      </c>
      <c r="DN185" s="237" t="s">
        <v>231</v>
      </c>
      <c r="DO185" s="237" t="s">
        <v>232</v>
      </c>
      <c r="DP185" s="237" t="s">
        <v>231</v>
      </c>
      <c r="DQ185" s="237" t="s">
        <v>231</v>
      </c>
      <c r="DR185" s="237" t="s">
        <v>231</v>
      </c>
      <c r="DS185" s="237" t="s">
        <v>231</v>
      </c>
      <c r="DT185" s="237" t="s">
        <v>492</v>
      </c>
      <c r="DU185" s="237" t="s">
        <v>232</v>
      </c>
      <c r="DV185" s="237" t="s">
        <v>492</v>
      </c>
      <c r="DW185" s="237" t="s">
        <v>492</v>
      </c>
      <c r="DX185" s="237" t="s">
        <v>492</v>
      </c>
      <c r="DY185" s="237" t="s">
        <v>492</v>
      </c>
      <c r="DZ185" s="237" t="s">
        <v>492</v>
      </c>
      <c r="EA185" s="237" t="s">
        <v>492</v>
      </c>
      <c r="EB185" s="237" t="s">
        <v>492</v>
      </c>
      <c r="EC185" s="237" t="s">
        <v>492</v>
      </c>
      <c r="ED185" s="237" t="s">
        <v>492</v>
      </c>
      <c r="EE185" s="237" t="s">
        <v>492</v>
      </c>
      <c r="EF185" s="237" t="s">
        <v>492</v>
      </c>
      <c r="EG185" s="237" t="s">
        <v>492</v>
      </c>
      <c r="EH185" s="237" t="s">
        <v>492</v>
      </c>
      <c r="EI185" s="237" t="s">
        <v>231</v>
      </c>
      <c r="EJ185" s="237" t="s">
        <v>231</v>
      </c>
      <c r="EK185" s="237" t="s">
        <v>231</v>
      </c>
      <c r="EL185" s="237" t="s">
        <v>231</v>
      </c>
      <c r="EM185" s="237" t="s">
        <v>231</v>
      </c>
      <c r="EN185" s="237" t="s">
        <v>231</v>
      </c>
      <c r="EO185" s="237" t="s">
        <v>231</v>
      </c>
      <c r="EP185" s="237" t="s">
        <v>231</v>
      </c>
      <c r="EQ185" s="237" t="s">
        <v>492</v>
      </c>
      <c r="ER185" s="237" t="s">
        <v>231</v>
      </c>
      <c r="ES185" s="237" t="s">
        <v>232</v>
      </c>
      <c r="ET185" s="237" t="s">
        <v>231</v>
      </c>
      <c r="EU185" s="237" t="s">
        <v>232</v>
      </c>
      <c r="EV185" s="237" t="s">
        <v>232</v>
      </c>
      <c r="EW185" s="237" t="s">
        <v>231</v>
      </c>
      <c r="EX185" s="237" t="s">
        <v>231</v>
      </c>
      <c r="EY185" s="237" t="s">
        <v>231</v>
      </c>
      <c r="EZ185" s="237" t="s">
        <v>232</v>
      </c>
      <c r="FA185" s="237" t="s">
        <v>231</v>
      </c>
      <c r="FB185" s="237" t="s">
        <v>231</v>
      </c>
      <c r="FC185" s="237" t="s">
        <v>231</v>
      </c>
      <c r="FD185" s="237" t="s">
        <v>492</v>
      </c>
      <c r="FE185" s="237" t="s">
        <v>231</v>
      </c>
      <c r="FF185" s="237" t="s">
        <v>232</v>
      </c>
      <c r="FG185" s="237" t="s">
        <v>492</v>
      </c>
      <c r="FH185" s="237" t="s">
        <v>492</v>
      </c>
      <c r="FI185" s="237" t="s">
        <v>492</v>
      </c>
      <c r="FJ185" s="237" t="s">
        <v>492</v>
      </c>
      <c r="FK185" s="237" t="s">
        <v>492</v>
      </c>
      <c r="FL185" s="237" t="s">
        <v>492</v>
      </c>
      <c r="FM185" s="237" t="s">
        <v>231</v>
      </c>
      <c r="FN185" s="237" t="s">
        <v>231</v>
      </c>
      <c r="FO185" s="237" t="s">
        <v>231</v>
      </c>
      <c r="FP185" s="237" t="s">
        <v>231</v>
      </c>
      <c r="FQ185" s="237" t="s">
        <v>231</v>
      </c>
      <c r="FR185" s="237" t="s">
        <v>231</v>
      </c>
      <c r="FS185" s="237" t="s">
        <v>231</v>
      </c>
      <c r="FT185" s="237" t="s">
        <v>492</v>
      </c>
      <c r="FU185" s="237" t="s">
        <v>231</v>
      </c>
      <c r="FV185" s="237" t="s">
        <v>231</v>
      </c>
      <c r="FW185" s="237" t="s">
        <v>231</v>
      </c>
      <c r="FX185" s="237" t="s">
        <v>231</v>
      </c>
      <c r="FY185" s="237" t="s">
        <v>231</v>
      </c>
      <c r="FZ185" s="237" t="s">
        <v>232</v>
      </c>
      <c r="GA185" s="237" t="s">
        <v>231</v>
      </c>
      <c r="GB185" s="237" t="s">
        <v>231</v>
      </c>
      <c r="GC185" s="237" t="s">
        <v>231</v>
      </c>
      <c r="GD185" s="237" t="s">
        <v>231</v>
      </c>
      <c r="GE185" s="237" t="s">
        <v>231</v>
      </c>
      <c r="GF185" s="237" t="s">
        <v>231</v>
      </c>
      <c r="GG185" s="237" t="s">
        <v>231</v>
      </c>
      <c r="GH185" s="237" t="s">
        <v>231</v>
      </c>
      <c r="GI185" s="237" t="s">
        <v>231</v>
      </c>
      <c r="GJ185" s="237" t="s">
        <v>231</v>
      </c>
      <c r="GK185" s="237" t="s">
        <v>231</v>
      </c>
      <c r="GL185" s="237" t="s">
        <v>231</v>
      </c>
      <c r="GM185" s="237" t="s">
        <v>231</v>
      </c>
      <c r="GN185" s="237" t="s">
        <v>231</v>
      </c>
      <c r="GO185" s="237" t="s">
        <v>231</v>
      </c>
      <c r="GP185" s="237" t="s">
        <v>492</v>
      </c>
      <c r="GQ185" s="237" t="s">
        <v>231</v>
      </c>
      <c r="GR185" s="237" t="s">
        <v>231</v>
      </c>
      <c r="GS185" s="237" t="s">
        <v>231</v>
      </c>
      <c r="GT185" s="237" t="s">
        <v>231</v>
      </c>
      <c r="GU185" s="237" t="s">
        <v>231</v>
      </c>
      <c r="GV185" s="237" t="s">
        <v>231</v>
      </c>
      <c r="GW185" s="237" t="s">
        <v>231</v>
      </c>
      <c r="GX185" s="237" t="s">
        <v>231</v>
      </c>
      <c r="GY185" s="237" t="s">
        <v>231</v>
      </c>
      <c r="GZ185" s="237" t="s">
        <v>231</v>
      </c>
      <c r="HA185" s="237" t="s">
        <v>231</v>
      </c>
      <c r="HB185" s="237" t="s">
        <v>231</v>
      </c>
      <c r="HC185" s="237" t="s">
        <v>231</v>
      </c>
      <c r="HD185" s="237" t="s">
        <v>231</v>
      </c>
      <c r="HE185" s="237" t="s">
        <v>231</v>
      </c>
      <c r="HF185" s="237" t="s">
        <v>492</v>
      </c>
      <c r="HG185" s="237" t="s">
        <v>492</v>
      </c>
      <c r="HH185" s="237" t="s">
        <v>231</v>
      </c>
      <c r="HI185" s="237" t="s">
        <v>231</v>
      </c>
      <c r="HJ185" s="237" t="s">
        <v>231</v>
      </c>
      <c r="HK185" s="237" t="s">
        <v>231</v>
      </c>
      <c r="HL185" s="237" t="s">
        <v>231</v>
      </c>
      <c r="HM185" s="237" t="s">
        <v>231</v>
      </c>
      <c r="HN185" s="237" t="s">
        <v>231</v>
      </c>
      <c r="HO185" s="237" t="s">
        <v>231</v>
      </c>
      <c r="HP185" s="237" t="s">
        <v>231</v>
      </c>
      <c r="HQ185" s="237" t="s">
        <v>492</v>
      </c>
      <c r="HR185" s="237" t="s">
        <v>492</v>
      </c>
      <c r="HS185" s="237" t="s">
        <v>492</v>
      </c>
      <c r="HT185" s="237" t="s">
        <v>492</v>
      </c>
      <c r="HU185" s="237" t="s">
        <v>231</v>
      </c>
      <c r="HV185" s="237" t="s">
        <v>231</v>
      </c>
      <c r="HW185" s="237" t="s">
        <v>231</v>
      </c>
      <c r="HX185" s="237" t="s">
        <v>231</v>
      </c>
      <c r="HY185" s="237" t="s">
        <v>231</v>
      </c>
      <c r="HZ185" s="237" t="s">
        <v>231</v>
      </c>
      <c r="IA185" s="237" t="s">
        <v>231</v>
      </c>
      <c r="IB185" s="237" t="s">
        <v>231</v>
      </c>
      <c r="IC185" s="237" t="s">
        <v>231</v>
      </c>
      <c r="ID185" s="237" t="s">
        <v>231</v>
      </c>
      <c r="IE185" s="237" t="s">
        <v>231</v>
      </c>
      <c r="IF185" s="237" t="s">
        <v>231</v>
      </c>
      <c r="IG185" s="237" t="s">
        <v>231</v>
      </c>
      <c r="IH185" s="237" t="s">
        <v>231</v>
      </c>
      <c r="II185" s="237" t="s">
        <v>231</v>
      </c>
      <c r="IJ185" s="237" t="s">
        <v>231</v>
      </c>
      <c r="IK185" s="237" t="s">
        <v>232</v>
      </c>
      <c r="IL185" s="237" t="s">
        <v>232</v>
      </c>
      <c r="IM185" s="237" t="s">
        <v>232</v>
      </c>
      <c r="IN185" s="237" t="s">
        <v>232</v>
      </c>
      <c r="IO185" s="237" t="s">
        <v>220</v>
      </c>
      <c r="IP185" s="237" t="s">
        <v>493</v>
      </c>
      <c r="IQ185" s="237" t="s">
        <v>219</v>
      </c>
      <c r="IR185" s="237" t="s">
        <v>490</v>
      </c>
      <c r="IS185" s="237" t="s">
        <v>232</v>
      </c>
      <c r="IT185" s="237" t="s">
        <v>231</v>
      </c>
    </row>
    <row r="186" spans="1:254" ht="15" x14ac:dyDescent="0.25">
      <c r="A186" s="259" t="str">
        <f>HYPERLINK("http://www.ofsted.gov.uk/inspection-reports/find-inspection-report/provider/ELS/137821 ","Ofsted School Webpage")</f>
        <v>Ofsted School Webpage</v>
      </c>
      <c r="B186" s="240">
        <v>137821</v>
      </c>
      <c r="C186" s="240">
        <v>3596000</v>
      </c>
      <c r="D186" s="240" t="s">
        <v>963</v>
      </c>
      <c r="E186" s="240" t="s">
        <v>248</v>
      </c>
      <c r="F186" s="240" t="s">
        <v>501</v>
      </c>
      <c r="G186" s="240" t="s">
        <v>495</v>
      </c>
      <c r="H186" s="240" t="s">
        <v>495</v>
      </c>
      <c r="I186" s="240" t="s">
        <v>496</v>
      </c>
      <c r="J186" s="240" t="s">
        <v>964</v>
      </c>
      <c r="K186" s="240" t="s">
        <v>93</v>
      </c>
      <c r="L186" s="240" t="s">
        <v>93</v>
      </c>
      <c r="M186" s="240" t="s">
        <v>93</v>
      </c>
      <c r="N186" s="240" t="s">
        <v>90</v>
      </c>
      <c r="O186" s="240" t="s">
        <v>486</v>
      </c>
      <c r="P186" s="240" t="s">
        <v>487</v>
      </c>
      <c r="Q186" s="241">
        <v>10067911</v>
      </c>
      <c r="R186" s="242">
        <v>43487</v>
      </c>
      <c r="S186" s="242">
        <v>43489</v>
      </c>
      <c r="T186" s="242">
        <v>43513</v>
      </c>
      <c r="U186" s="240" t="s">
        <v>488</v>
      </c>
      <c r="V186" s="240" t="s">
        <v>489</v>
      </c>
      <c r="W186" s="240">
        <v>2</v>
      </c>
      <c r="X186" s="240">
        <v>2</v>
      </c>
      <c r="Y186" s="240">
        <v>2</v>
      </c>
      <c r="Z186" s="240">
        <v>2</v>
      </c>
      <c r="AA186" s="240">
        <v>2</v>
      </c>
      <c r="AB186" s="240" t="s">
        <v>486</v>
      </c>
      <c r="AC186" s="240" t="s">
        <v>486</v>
      </c>
      <c r="AD186" s="240" t="s">
        <v>219</v>
      </c>
      <c r="AE186" s="240" t="s">
        <v>490</v>
      </c>
      <c r="AF186" s="240" t="s">
        <v>486</v>
      </c>
      <c r="AG186" s="240" t="s">
        <v>486</v>
      </c>
      <c r="AH186" s="240" t="s">
        <v>486</v>
      </c>
      <c r="AI186" s="240" t="s">
        <v>486</v>
      </c>
      <c r="AJ186" s="240" t="s">
        <v>486</v>
      </c>
      <c r="AK186" s="240" t="s">
        <v>486</v>
      </c>
      <c r="AL186" s="240" t="s">
        <v>486</v>
      </c>
      <c r="AM186" s="240" t="s">
        <v>491</v>
      </c>
      <c r="AN186" s="240" t="s">
        <v>231</v>
      </c>
      <c r="AO186" s="240" t="s">
        <v>231</v>
      </c>
      <c r="AP186" s="240" t="s">
        <v>231</v>
      </c>
      <c r="AQ186" s="240" t="s">
        <v>231</v>
      </c>
      <c r="AR186" s="240" t="s">
        <v>231</v>
      </c>
      <c r="AS186" s="240" t="s">
        <v>231</v>
      </c>
      <c r="AT186" s="240" t="s">
        <v>231</v>
      </c>
      <c r="AU186" s="240" t="s">
        <v>231</v>
      </c>
      <c r="AV186" s="240" t="s">
        <v>231</v>
      </c>
      <c r="AW186" s="240" t="s">
        <v>231</v>
      </c>
      <c r="AX186" s="240" t="s">
        <v>231</v>
      </c>
      <c r="AY186" s="240" t="s">
        <v>231</v>
      </c>
      <c r="AZ186" s="240" t="s">
        <v>231</v>
      </c>
      <c r="BA186" s="240" t="s">
        <v>231</v>
      </c>
      <c r="BB186" s="240" t="s">
        <v>231</v>
      </c>
      <c r="BC186" s="240" t="s">
        <v>231</v>
      </c>
      <c r="BD186" s="240" t="s">
        <v>231</v>
      </c>
      <c r="BE186" s="240" t="s">
        <v>231</v>
      </c>
      <c r="BF186" s="240" t="s">
        <v>231</v>
      </c>
      <c r="BG186" s="240" t="s">
        <v>231</v>
      </c>
      <c r="BH186" s="240" t="s">
        <v>231</v>
      </c>
      <c r="BI186" s="240" t="s">
        <v>231</v>
      </c>
      <c r="BJ186" s="240" t="s">
        <v>231</v>
      </c>
      <c r="BK186" s="240" t="s">
        <v>231</v>
      </c>
      <c r="BL186" s="240" t="s">
        <v>232</v>
      </c>
      <c r="BM186" s="240" t="s">
        <v>492</v>
      </c>
      <c r="BN186" s="240" t="s">
        <v>231</v>
      </c>
      <c r="BO186" s="240" t="s">
        <v>231</v>
      </c>
      <c r="BP186" s="240" t="s">
        <v>231</v>
      </c>
      <c r="BQ186" s="240" t="s">
        <v>231</v>
      </c>
      <c r="BR186" s="240" t="s">
        <v>231</v>
      </c>
      <c r="BS186" s="240" t="s">
        <v>231</v>
      </c>
      <c r="BT186" s="240" t="s">
        <v>231</v>
      </c>
      <c r="BU186" s="240" t="s">
        <v>231</v>
      </c>
      <c r="BV186" s="240" t="s">
        <v>231</v>
      </c>
      <c r="BW186" s="240" t="s">
        <v>231</v>
      </c>
      <c r="BX186" s="240" t="s">
        <v>231</v>
      </c>
      <c r="BY186" s="240" t="s">
        <v>231</v>
      </c>
      <c r="BZ186" s="240" t="s">
        <v>231</v>
      </c>
      <c r="CA186" s="240" t="s">
        <v>231</v>
      </c>
      <c r="CB186" s="240" t="s">
        <v>231</v>
      </c>
      <c r="CC186" s="240" t="s">
        <v>231</v>
      </c>
      <c r="CD186" s="240" t="s">
        <v>231</v>
      </c>
      <c r="CE186" s="240" t="s">
        <v>231</v>
      </c>
      <c r="CF186" s="240" t="s">
        <v>231</v>
      </c>
      <c r="CG186" s="240" t="s">
        <v>231</v>
      </c>
      <c r="CH186" s="240" t="s">
        <v>231</v>
      </c>
      <c r="CI186" s="240" t="s">
        <v>231</v>
      </c>
      <c r="CJ186" s="240" t="s">
        <v>231</v>
      </c>
      <c r="CK186" s="240" t="s">
        <v>231</v>
      </c>
      <c r="CL186" s="240" t="s">
        <v>231</v>
      </c>
      <c r="CM186" s="240" t="s">
        <v>231</v>
      </c>
      <c r="CN186" s="240" t="s">
        <v>231</v>
      </c>
      <c r="CO186" s="240" t="s">
        <v>231</v>
      </c>
      <c r="CP186" s="240" t="s">
        <v>231</v>
      </c>
      <c r="CQ186" s="240" t="s">
        <v>231</v>
      </c>
      <c r="CR186" s="240" t="s">
        <v>231</v>
      </c>
      <c r="CS186" s="240" t="s">
        <v>231</v>
      </c>
      <c r="CT186" s="240" t="s">
        <v>231</v>
      </c>
      <c r="CU186" s="240" t="s">
        <v>492</v>
      </c>
      <c r="CV186" s="240" t="s">
        <v>492</v>
      </c>
      <c r="CW186" s="240" t="s">
        <v>231</v>
      </c>
      <c r="CX186" s="240" t="s">
        <v>231</v>
      </c>
      <c r="CY186" s="240" t="s">
        <v>231</v>
      </c>
      <c r="CZ186" s="240" t="s">
        <v>231</v>
      </c>
      <c r="DA186" s="240" t="s">
        <v>231</v>
      </c>
      <c r="DB186" s="240" t="s">
        <v>231</v>
      </c>
      <c r="DC186" s="240" t="s">
        <v>231</v>
      </c>
      <c r="DD186" s="240" t="s">
        <v>231</v>
      </c>
      <c r="DE186" s="240" t="s">
        <v>231</v>
      </c>
      <c r="DF186" s="240" t="s">
        <v>231</v>
      </c>
      <c r="DG186" s="240" t="s">
        <v>231</v>
      </c>
      <c r="DH186" s="240" t="s">
        <v>231</v>
      </c>
      <c r="DI186" s="240" t="s">
        <v>231</v>
      </c>
      <c r="DJ186" s="240" t="s">
        <v>231</v>
      </c>
      <c r="DK186" s="240" t="s">
        <v>231</v>
      </c>
      <c r="DL186" s="240" t="s">
        <v>231</v>
      </c>
      <c r="DM186" s="240" t="s">
        <v>231</v>
      </c>
      <c r="DN186" s="240" t="s">
        <v>231</v>
      </c>
      <c r="DO186" s="240" t="s">
        <v>231</v>
      </c>
      <c r="DP186" s="240" t="s">
        <v>231</v>
      </c>
      <c r="DQ186" s="240" t="s">
        <v>231</v>
      </c>
      <c r="DR186" s="240" t="s">
        <v>231</v>
      </c>
      <c r="DS186" s="240" t="s">
        <v>231</v>
      </c>
      <c r="DT186" s="240" t="s">
        <v>231</v>
      </c>
      <c r="DU186" s="240" t="s">
        <v>231</v>
      </c>
      <c r="DV186" s="240" t="s">
        <v>231</v>
      </c>
      <c r="DW186" s="240" t="s">
        <v>231</v>
      </c>
      <c r="DX186" s="240" t="s">
        <v>231</v>
      </c>
      <c r="DY186" s="240" t="s">
        <v>231</v>
      </c>
      <c r="DZ186" s="240" t="s">
        <v>231</v>
      </c>
      <c r="EA186" s="240" t="s">
        <v>231</v>
      </c>
      <c r="EB186" s="240" t="s">
        <v>231</v>
      </c>
      <c r="EC186" s="240" t="s">
        <v>231</v>
      </c>
      <c r="ED186" s="240" t="s">
        <v>231</v>
      </c>
      <c r="EE186" s="240" t="s">
        <v>231</v>
      </c>
      <c r="EF186" s="240" t="s">
        <v>231</v>
      </c>
      <c r="EG186" s="240" t="s">
        <v>231</v>
      </c>
      <c r="EH186" s="240" t="s">
        <v>231</v>
      </c>
      <c r="EI186" s="240" t="s">
        <v>231</v>
      </c>
      <c r="EJ186" s="240" t="s">
        <v>231</v>
      </c>
      <c r="EK186" s="240" t="s">
        <v>231</v>
      </c>
      <c r="EL186" s="240" t="s">
        <v>231</v>
      </c>
      <c r="EM186" s="240" t="s">
        <v>231</v>
      </c>
      <c r="EN186" s="240" t="s">
        <v>231</v>
      </c>
      <c r="EO186" s="240" t="s">
        <v>231</v>
      </c>
      <c r="EP186" s="240" t="s">
        <v>231</v>
      </c>
      <c r="EQ186" s="240" t="s">
        <v>231</v>
      </c>
      <c r="ER186" s="240" t="s">
        <v>231</v>
      </c>
      <c r="ES186" s="240" t="s">
        <v>231</v>
      </c>
      <c r="ET186" s="240" t="s">
        <v>231</v>
      </c>
      <c r="EU186" s="240" t="s">
        <v>231</v>
      </c>
      <c r="EV186" s="240" t="s">
        <v>231</v>
      </c>
      <c r="EW186" s="240" t="s">
        <v>231</v>
      </c>
      <c r="EX186" s="240" t="s">
        <v>231</v>
      </c>
      <c r="EY186" s="240" t="s">
        <v>231</v>
      </c>
      <c r="EZ186" s="240" t="s">
        <v>231</v>
      </c>
      <c r="FA186" s="240" t="s">
        <v>231</v>
      </c>
      <c r="FB186" s="240" t="s">
        <v>231</v>
      </c>
      <c r="FC186" s="240" t="s">
        <v>231</v>
      </c>
      <c r="FD186" s="240" t="s">
        <v>231</v>
      </c>
      <c r="FE186" s="240" t="s">
        <v>231</v>
      </c>
      <c r="FF186" s="240" t="s">
        <v>231</v>
      </c>
      <c r="FG186" s="240" t="s">
        <v>231</v>
      </c>
      <c r="FH186" s="240" t="s">
        <v>231</v>
      </c>
      <c r="FI186" s="240" t="s">
        <v>231</v>
      </c>
      <c r="FJ186" s="240" t="s">
        <v>231</v>
      </c>
      <c r="FK186" s="240" t="s">
        <v>231</v>
      </c>
      <c r="FL186" s="240" t="s">
        <v>231</v>
      </c>
      <c r="FM186" s="240" t="s">
        <v>231</v>
      </c>
      <c r="FN186" s="240" t="s">
        <v>231</v>
      </c>
      <c r="FO186" s="240" t="s">
        <v>231</v>
      </c>
      <c r="FP186" s="240" t="s">
        <v>231</v>
      </c>
      <c r="FQ186" s="240" t="s">
        <v>231</v>
      </c>
      <c r="FR186" s="240" t="s">
        <v>231</v>
      </c>
      <c r="FS186" s="240" t="s">
        <v>231</v>
      </c>
      <c r="FT186" s="240" t="s">
        <v>231</v>
      </c>
      <c r="FU186" s="240" t="s">
        <v>231</v>
      </c>
      <c r="FV186" s="240" t="s">
        <v>231</v>
      </c>
      <c r="FW186" s="240" t="s">
        <v>231</v>
      </c>
      <c r="FX186" s="240" t="s">
        <v>231</v>
      </c>
      <c r="FY186" s="240" t="s">
        <v>231</v>
      </c>
      <c r="FZ186" s="240" t="s">
        <v>231</v>
      </c>
      <c r="GA186" s="240" t="s">
        <v>231</v>
      </c>
      <c r="GB186" s="240" t="s">
        <v>231</v>
      </c>
      <c r="GC186" s="240" t="s">
        <v>231</v>
      </c>
      <c r="GD186" s="240" t="s">
        <v>231</v>
      </c>
      <c r="GE186" s="240" t="s">
        <v>231</v>
      </c>
      <c r="GF186" s="240" t="s">
        <v>231</v>
      </c>
      <c r="GG186" s="240" t="s">
        <v>231</v>
      </c>
      <c r="GH186" s="240" t="s">
        <v>231</v>
      </c>
      <c r="GI186" s="240" t="s">
        <v>231</v>
      </c>
      <c r="GJ186" s="240" t="s">
        <v>231</v>
      </c>
      <c r="GK186" s="240" t="s">
        <v>231</v>
      </c>
      <c r="GL186" s="240" t="s">
        <v>231</v>
      </c>
      <c r="GM186" s="240" t="s">
        <v>231</v>
      </c>
      <c r="GN186" s="240" t="s">
        <v>231</v>
      </c>
      <c r="GO186" s="240" t="s">
        <v>231</v>
      </c>
      <c r="GP186" s="240" t="s">
        <v>492</v>
      </c>
      <c r="GQ186" s="240" t="s">
        <v>231</v>
      </c>
      <c r="GR186" s="240" t="s">
        <v>231</v>
      </c>
      <c r="GS186" s="240" t="s">
        <v>231</v>
      </c>
      <c r="GT186" s="240" t="s">
        <v>231</v>
      </c>
      <c r="GU186" s="240" t="s">
        <v>492</v>
      </c>
      <c r="GV186" s="240" t="s">
        <v>492</v>
      </c>
      <c r="GW186" s="240" t="s">
        <v>231</v>
      </c>
      <c r="GX186" s="240" t="s">
        <v>231</v>
      </c>
      <c r="GY186" s="240" t="s">
        <v>231</v>
      </c>
      <c r="GZ186" s="240" t="s">
        <v>231</v>
      </c>
      <c r="HA186" s="240" t="s">
        <v>231</v>
      </c>
      <c r="HB186" s="240" t="s">
        <v>231</v>
      </c>
      <c r="HC186" s="240" t="s">
        <v>231</v>
      </c>
      <c r="HD186" s="240" t="s">
        <v>231</v>
      </c>
      <c r="HE186" s="240" t="s">
        <v>231</v>
      </c>
      <c r="HF186" s="240" t="s">
        <v>492</v>
      </c>
      <c r="HG186" s="240" t="s">
        <v>492</v>
      </c>
      <c r="HH186" s="240" t="s">
        <v>231</v>
      </c>
      <c r="HI186" s="240" t="s">
        <v>231</v>
      </c>
      <c r="HJ186" s="240" t="s">
        <v>231</v>
      </c>
      <c r="HK186" s="240" t="s">
        <v>231</v>
      </c>
      <c r="HL186" s="240" t="s">
        <v>231</v>
      </c>
      <c r="HM186" s="240" t="s">
        <v>231</v>
      </c>
      <c r="HN186" s="240" t="s">
        <v>231</v>
      </c>
      <c r="HO186" s="240" t="s">
        <v>231</v>
      </c>
      <c r="HP186" s="240" t="s">
        <v>231</v>
      </c>
      <c r="HQ186" s="240" t="s">
        <v>231</v>
      </c>
      <c r="HR186" s="240" t="s">
        <v>231</v>
      </c>
      <c r="HS186" s="240" t="s">
        <v>231</v>
      </c>
      <c r="HT186" s="240" t="s">
        <v>231</v>
      </c>
      <c r="HU186" s="240" t="s">
        <v>231</v>
      </c>
      <c r="HV186" s="240" t="s">
        <v>231</v>
      </c>
      <c r="HW186" s="240" t="s">
        <v>231</v>
      </c>
      <c r="HX186" s="240" t="s">
        <v>231</v>
      </c>
      <c r="HY186" s="240" t="s">
        <v>231</v>
      </c>
      <c r="HZ186" s="240" t="s">
        <v>231</v>
      </c>
      <c r="IA186" s="240" t="s">
        <v>231</v>
      </c>
      <c r="IB186" s="240" t="s">
        <v>231</v>
      </c>
      <c r="IC186" s="240" t="s">
        <v>231</v>
      </c>
      <c r="ID186" s="240" t="s">
        <v>231</v>
      </c>
      <c r="IE186" s="240" t="s">
        <v>231</v>
      </c>
      <c r="IF186" s="240" t="s">
        <v>231</v>
      </c>
      <c r="IG186" s="240" t="s">
        <v>231</v>
      </c>
      <c r="IH186" s="240" t="s">
        <v>231</v>
      </c>
      <c r="II186" s="240" t="s">
        <v>231</v>
      </c>
      <c r="IJ186" s="240" t="s">
        <v>231</v>
      </c>
      <c r="IK186" s="240" t="s">
        <v>231</v>
      </c>
      <c r="IL186" s="240" t="s">
        <v>231</v>
      </c>
      <c r="IM186" s="240" t="s">
        <v>231</v>
      </c>
      <c r="IN186" s="240" t="s">
        <v>231</v>
      </c>
      <c r="IO186" s="240" t="s">
        <v>220</v>
      </c>
      <c r="IP186" s="240" t="s">
        <v>493</v>
      </c>
      <c r="IQ186" s="240" t="s">
        <v>219</v>
      </c>
      <c r="IR186" s="240" t="s">
        <v>490</v>
      </c>
      <c r="IS186" s="240" t="s">
        <v>492</v>
      </c>
      <c r="IT186" s="240" t="s">
        <v>492</v>
      </c>
    </row>
    <row r="187" spans="1:254" ht="15" x14ac:dyDescent="0.25">
      <c r="A187" s="258" t="str">
        <f>HYPERLINK("http://www.ofsted.gov.uk/inspection-reports/find-inspection-report/provider/ELS/128078 ","Ofsted School Webpage")</f>
        <v>Ofsted School Webpage</v>
      </c>
      <c r="B187" s="237">
        <v>128078</v>
      </c>
      <c r="C187" s="237">
        <v>8556021</v>
      </c>
      <c r="D187" s="237" t="s">
        <v>965</v>
      </c>
      <c r="E187" s="237" t="s">
        <v>248</v>
      </c>
      <c r="F187" s="237" t="s">
        <v>501</v>
      </c>
      <c r="G187" s="237" t="s">
        <v>572</v>
      </c>
      <c r="H187" s="237" t="s">
        <v>572</v>
      </c>
      <c r="I187" s="237" t="s">
        <v>966</v>
      </c>
      <c r="J187" s="237" t="s">
        <v>967</v>
      </c>
      <c r="K187" s="237" t="s">
        <v>93</v>
      </c>
      <c r="L187" s="237" t="s">
        <v>93</v>
      </c>
      <c r="M187" s="237" t="s">
        <v>93</v>
      </c>
      <c r="N187" s="237" t="s">
        <v>90</v>
      </c>
      <c r="O187" s="237" t="s">
        <v>486</v>
      </c>
      <c r="P187" s="237" t="s">
        <v>487</v>
      </c>
      <c r="Q187" s="238">
        <v>10078675</v>
      </c>
      <c r="R187" s="239">
        <v>43487</v>
      </c>
      <c r="S187" s="239">
        <v>43489</v>
      </c>
      <c r="T187" s="239">
        <v>43538</v>
      </c>
      <c r="U187" s="237" t="s">
        <v>488</v>
      </c>
      <c r="V187" s="237" t="s">
        <v>489</v>
      </c>
      <c r="W187" s="237">
        <v>4</v>
      </c>
      <c r="X187" s="237">
        <v>4</v>
      </c>
      <c r="Y187" s="237">
        <v>4</v>
      </c>
      <c r="Z187" s="237">
        <v>2</v>
      </c>
      <c r="AA187" s="237">
        <v>2</v>
      </c>
      <c r="AB187" s="237" t="s">
        <v>486</v>
      </c>
      <c r="AC187" s="237" t="s">
        <v>486</v>
      </c>
      <c r="AD187" s="237" t="s">
        <v>220</v>
      </c>
      <c r="AE187" s="237" t="s">
        <v>512</v>
      </c>
      <c r="AF187" s="237" t="s">
        <v>486</v>
      </c>
      <c r="AG187" s="237" t="s">
        <v>490</v>
      </c>
      <c r="AH187" s="237" t="s">
        <v>486</v>
      </c>
      <c r="AI187" s="237" t="s">
        <v>486</v>
      </c>
      <c r="AJ187" s="237" t="s">
        <v>486</v>
      </c>
      <c r="AK187" s="237" t="s">
        <v>486</v>
      </c>
      <c r="AL187" s="237" t="s">
        <v>486</v>
      </c>
      <c r="AM187" s="237" t="s">
        <v>545</v>
      </c>
      <c r="AN187" s="237" t="s">
        <v>231</v>
      </c>
      <c r="AO187" s="237" t="s">
        <v>231</v>
      </c>
      <c r="AP187" s="237" t="s">
        <v>546</v>
      </c>
      <c r="AQ187" s="237" t="s">
        <v>231</v>
      </c>
      <c r="AR187" s="237" t="s">
        <v>546</v>
      </c>
      <c r="AS187" s="237" t="s">
        <v>546</v>
      </c>
      <c r="AT187" s="237" t="s">
        <v>231</v>
      </c>
      <c r="AU187" s="237" t="s">
        <v>546</v>
      </c>
      <c r="AV187" s="237" t="s">
        <v>231</v>
      </c>
      <c r="AW187" s="237" t="s">
        <v>231</v>
      </c>
      <c r="AX187" s="237" t="s">
        <v>231</v>
      </c>
      <c r="AY187" s="237" t="s">
        <v>231</v>
      </c>
      <c r="AZ187" s="237" t="s">
        <v>231</v>
      </c>
      <c r="BA187" s="237" t="s">
        <v>231</v>
      </c>
      <c r="BB187" s="237" t="s">
        <v>231</v>
      </c>
      <c r="BC187" s="237" t="s">
        <v>231</v>
      </c>
      <c r="BD187" s="237" t="s">
        <v>492</v>
      </c>
      <c r="BE187" s="237" t="s">
        <v>231</v>
      </c>
      <c r="BF187" s="237" t="s">
        <v>231</v>
      </c>
      <c r="BG187" s="237" t="s">
        <v>231</v>
      </c>
      <c r="BH187" s="237" t="s">
        <v>231</v>
      </c>
      <c r="BI187" s="237" t="s">
        <v>231</v>
      </c>
      <c r="BJ187" s="237" t="s">
        <v>231</v>
      </c>
      <c r="BK187" s="237" t="s">
        <v>231</v>
      </c>
      <c r="BL187" s="237" t="s">
        <v>492</v>
      </c>
      <c r="BM187" s="237" t="s">
        <v>492</v>
      </c>
      <c r="BN187" s="237" t="s">
        <v>231</v>
      </c>
      <c r="BO187" s="237" t="s">
        <v>231</v>
      </c>
      <c r="BP187" s="237" t="s">
        <v>231</v>
      </c>
      <c r="BQ187" s="237" t="s">
        <v>231</v>
      </c>
      <c r="BR187" s="237" t="s">
        <v>231</v>
      </c>
      <c r="BS187" s="237" t="s">
        <v>231</v>
      </c>
      <c r="BT187" s="237" t="s">
        <v>231</v>
      </c>
      <c r="BU187" s="237" t="s">
        <v>231</v>
      </c>
      <c r="BV187" s="237" t="s">
        <v>231</v>
      </c>
      <c r="BW187" s="237" t="s">
        <v>231</v>
      </c>
      <c r="BX187" s="237" t="s">
        <v>231</v>
      </c>
      <c r="BY187" s="237" t="s">
        <v>231</v>
      </c>
      <c r="BZ187" s="237" t="s">
        <v>231</v>
      </c>
      <c r="CA187" s="237" t="s">
        <v>231</v>
      </c>
      <c r="CB187" s="237" t="s">
        <v>231</v>
      </c>
      <c r="CC187" s="237" t="s">
        <v>231</v>
      </c>
      <c r="CD187" s="237" t="s">
        <v>231</v>
      </c>
      <c r="CE187" s="237" t="s">
        <v>231</v>
      </c>
      <c r="CF187" s="237" t="s">
        <v>231</v>
      </c>
      <c r="CG187" s="237" t="s">
        <v>231</v>
      </c>
      <c r="CH187" s="237" t="s">
        <v>231</v>
      </c>
      <c r="CI187" s="237" t="s">
        <v>231</v>
      </c>
      <c r="CJ187" s="237" t="s">
        <v>231</v>
      </c>
      <c r="CK187" s="237" t="s">
        <v>231</v>
      </c>
      <c r="CL187" s="237" t="s">
        <v>231</v>
      </c>
      <c r="CM187" s="237" t="s">
        <v>231</v>
      </c>
      <c r="CN187" s="237" t="s">
        <v>231</v>
      </c>
      <c r="CO187" s="237" t="s">
        <v>231</v>
      </c>
      <c r="CP187" s="237" t="s">
        <v>231</v>
      </c>
      <c r="CQ187" s="237" t="s">
        <v>232</v>
      </c>
      <c r="CR187" s="237" t="s">
        <v>232</v>
      </c>
      <c r="CS187" s="237" t="s">
        <v>232</v>
      </c>
      <c r="CT187" s="237" t="s">
        <v>492</v>
      </c>
      <c r="CU187" s="237" t="s">
        <v>492</v>
      </c>
      <c r="CV187" s="237" t="s">
        <v>492</v>
      </c>
      <c r="CW187" s="237" t="s">
        <v>231</v>
      </c>
      <c r="CX187" s="237" t="s">
        <v>231</v>
      </c>
      <c r="CY187" s="237" t="s">
        <v>231</v>
      </c>
      <c r="CZ187" s="237" t="s">
        <v>231</v>
      </c>
      <c r="DA187" s="237" t="s">
        <v>231</v>
      </c>
      <c r="DB187" s="237" t="s">
        <v>231</v>
      </c>
      <c r="DC187" s="237" t="s">
        <v>231</v>
      </c>
      <c r="DD187" s="237" t="s">
        <v>231</v>
      </c>
      <c r="DE187" s="237" t="s">
        <v>231</v>
      </c>
      <c r="DF187" s="237" t="s">
        <v>231</v>
      </c>
      <c r="DG187" s="237" t="s">
        <v>232</v>
      </c>
      <c r="DH187" s="237" t="s">
        <v>232</v>
      </c>
      <c r="DI187" s="237" t="s">
        <v>232</v>
      </c>
      <c r="DJ187" s="237" t="s">
        <v>231</v>
      </c>
      <c r="DK187" s="237" t="s">
        <v>231</v>
      </c>
      <c r="DL187" s="237" t="s">
        <v>231</v>
      </c>
      <c r="DM187" s="237" t="s">
        <v>231</v>
      </c>
      <c r="DN187" s="237" t="s">
        <v>231</v>
      </c>
      <c r="DO187" s="237" t="s">
        <v>231</v>
      </c>
      <c r="DP187" s="237" t="s">
        <v>231</v>
      </c>
      <c r="DQ187" s="237" t="s">
        <v>231</v>
      </c>
      <c r="DR187" s="237" t="s">
        <v>231</v>
      </c>
      <c r="DS187" s="237" t="s">
        <v>231</v>
      </c>
      <c r="DT187" s="237" t="s">
        <v>492</v>
      </c>
      <c r="DU187" s="237" t="s">
        <v>231</v>
      </c>
      <c r="DV187" s="237" t="s">
        <v>231</v>
      </c>
      <c r="DW187" s="237" t="s">
        <v>231</v>
      </c>
      <c r="DX187" s="237" t="s">
        <v>231</v>
      </c>
      <c r="DY187" s="237" t="s">
        <v>231</v>
      </c>
      <c r="DZ187" s="237" t="s">
        <v>231</v>
      </c>
      <c r="EA187" s="237" t="s">
        <v>231</v>
      </c>
      <c r="EB187" s="237" t="s">
        <v>231</v>
      </c>
      <c r="EC187" s="237" t="s">
        <v>231</v>
      </c>
      <c r="ED187" s="237" t="s">
        <v>231</v>
      </c>
      <c r="EE187" s="237" t="s">
        <v>231</v>
      </c>
      <c r="EF187" s="237" t="s">
        <v>231</v>
      </c>
      <c r="EG187" s="237" t="s">
        <v>231</v>
      </c>
      <c r="EH187" s="237" t="s">
        <v>492</v>
      </c>
      <c r="EI187" s="237" t="s">
        <v>231</v>
      </c>
      <c r="EJ187" s="237" t="s">
        <v>492</v>
      </c>
      <c r="EK187" s="237" t="s">
        <v>492</v>
      </c>
      <c r="EL187" s="237" t="s">
        <v>492</v>
      </c>
      <c r="EM187" s="237" t="s">
        <v>492</v>
      </c>
      <c r="EN187" s="237" t="s">
        <v>492</v>
      </c>
      <c r="EO187" s="237" t="s">
        <v>492</v>
      </c>
      <c r="EP187" s="237" t="s">
        <v>492</v>
      </c>
      <c r="EQ187" s="237" t="s">
        <v>492</v>
      </c>
      <c r="ER187" s="237" t="s">
        <v>492</v>
      </c>
      <c r="ES187" s="237" t="s">
        <v>231</v>
      </c>
      <c r="ET187" s="237" t="s">
        <v>231</v>
      </c>
      <c r="EU187" s="237" t="s">
        <v>231</v>
      </c>
      <c r="EV187" s="237" t="s">
        <v>231</v>
      </c>
      <c r="EW187" s="237" t="s">
        <v>231</v>
      </c>
      <c r="EX187" s="237" t="s">
        <v>231</v>
      </c>
      <c r="EY187" s="237" t="s">
        <v>231</v>
      </c>
      <c r="EZ187" s="237" t="s">
        <v>231</v>
      </c>
      <c r="FA187" s="237" t="s">
        <v>231</v>
      </c>
      <c r="FB187" s="237" t="s">
        <v>231</v>
      </c>
      <c r="FC187" s="237" t="s">
        <v>231</v>
      </c>
      <c r="FD187" s="237" t="s">
        <v>231</v>
      </c>
      <c r="FE187" s="237" t="s">
        <v>231</v>
      </c>
      <c r="FF187" s="237" t="s">
        <v>231</v>
      </c>
      <c r="FG187" s="237" t="s">
        <v>231</v>
      </c>
      <c r="FH187" s="237" t="s">
        <v>231</v>
      </c>
      <c r="FI187" s="237" t="s">
        <v>231</v>
      </c>
      <c r="FJ187" s="237" t="s">
        <v>231</v>
      </c>
      <c r="FK187" s="237" t="s">
        <v>492</v>
      </c>
      <c r="FL187" s="237" t="s">
        <v>231</v>
      </c>
      <c r="FM187" s="237" t="s">
        <v>492</v>
      </c>
      <c r="FN187" s="237" t="s">
        <v>492</v>
      </c>
      <c r="FO187" s="237" t="s">
        <v>493</v>
      </c>
      <c r="FP187" s="237" t="s">
        <v>492</v>
      </c>
      <c r="FQ187" s="237" t="s">
        <v>232</v>
      </c>
      <c r="FR187" s="237" t="s">
        <v>231</v>
      </c>
      <c r="FS187" s="237" t="s">
        <v>231</v>
      </c>
      <c r="FT187" s="237" t="s">
        <v>232</v>
      </c>
      <c r="FU187" s="237" t="s">
        <v>232</v>
      </c>
      <c r="FV187" s="237" t="s">
        <v>232</v>
      </c>
      <c r="FW187" s="237" t="s">
        <v>232</v>
      </c>
      <c r="FX187" s="237" t="s">
        <v>492</v>
      </c>
      <c r="FY187" s="237" t="s">
        <v>232</v>
      </c>
      <c r="FZ187" s="237" t="s">
        <v>231</v>
      </c>
      <c r="GA187" s="237" t="s">
        <v>231</v>
      </c>
      <c r="GB187" s="237" t="s">
        <v>231</v>
      </c>
      <c r="GC187" s="237" t="s">
        <v>231</v>
      </c>
      <c r="GD187" s="237" t="s">
        <v>231</v>
      </c>
      <c r="GE187" s="237" t="s">
        <v>231</v>
      </c>
      <c r="GF187" s="237" t="s">
        <v>231</v>
      </c>
      <c r="GG187" s="237" t="s">
        <v>231</v>
      </c>
      <c r="GH187" s="237" t="s">
        <v>231</v>
      </c>
      <c r="GI187" s="237" t="s">
        <v>231</v>
      </c>
      <c r="GJ187" s="237" t="s">
        <v>231</v>
      </c>
      <c r="GK187" s="237" t="s">
        <v>231</v>
      </c>
      <c r="GL187" s="237" t="s">
        <v>231</v>
      </c>
      <c r="GM187" s="237" t="s">
        <v>231</v>
      </c>
      <c r="GN187" s="237" t="s">
        <v>231</v>
      </c>
      <c r="GO187" s="237" t="s">
        <v>231</v>
      </c>
      <c r="GP187" s="237" t="s">
        <v>492</v>
      </c>
      <c r="GQ187" s="237" t="s">
        <v>232</v>
      </c>
      <c r="GR187" s="237" t="s">
        <v>231</v>
      </c>
      <c r="GS187" s="237" t="s">
        <v>231</v>
      </c>
      <c r="GT187" s="237" t="s">
        <v>231</v>
      </c>
      <c r="GU187" s="237" t="s">
        <v>231</v>
      </c>
      <c r="GV187" s="237" t="s">
        <v>492</v>
      </c>
      <c r="GW187" s="237" t="s">
        <v>231</v>
      </c>
      <c r="GX187" s="237" t="s">
        <v>231</v>
      </c>
      <c r="GY187" s="237" t="s">
        <v>232</v>
      </c>
      <c r="GZ187" s="237" t="s">
        <v>231</v>
      </c>
      <c r="HA187" s="237" t="s">
        <v>492</v>
      </c>
      <c r="HB187" s="237" t="s">
        <v>231</v>
      </c>
      <c r="HC187" s="237" t="s">
        <v>231</v>
      </c>
      <c r="HD187" s="237" t="s">
        <v>231</v>
      </c>
      <c r="HE187" s="237" t="s">
        <v>231</v>
      </c>
      <c r="HF187" s="237" t="s">
        <v>492</v>
      </c>
      <c r="HG187" s="237" t="s">
        <v>231</v>
      </c>
      <c r="HH187" s="237" t="s">
        <v>231</v>
      </c>
      <c r="HI187" s="237" t="s">
        <v>231</v>
      </c>
      <c r="HJ187" s="237" t="s">
        <v>231</v>
      </c>
      <c r="HK187" s="237" t="s">
        <v>231</v>
      </c>
      <c r="HL187" s="237" t="s">
        <v>231</v>
      </c>
      <c r="HM187" s="237" t="s">
        <v>231</v>
      </c>
      <c r="HN187" s="237" t="s">
        <v>231</v>
      </c>
      <c r="HO187" s="237" t="s">
        <v>231</v>
      </c>
      <c r="HP187" s="237" t="s">
        <v>231</v>
      </c>
      <c r="HQ187" s="237" t="s">
        <v>492</v>
      </c>
      <c r="HR187" s="237" t="s">
        <v>492</v>
      </c>
      <c r="HS187" s="237" t="s">
        <v>492</v>
      </c>
      <c r="HT187" s="237" t="s">
        <v>492</v>
      </c>
      <c r="HU187" s="237" t="s">
        <v>231</v>
      </c>
      <c r="HV187" s="237" t="s">
        <v>231</v>
      </c>
      <c r="HW187" s="237" t="s">
        <v>231</v>
      </c>
      <c r="HX187" s="237" t="s">
        <v>231</v>
      </c>
      <c r="HY187" s="237" t="s">
        <v>231</v>
      </c>
      <c r="HZ187" s="237" t="s">
        <v>231</v>
      </c>
      <c r="IA187" s="237" t="s">
        <v>231</v>
      </c>
      <c r="IB187" s="237" t="s">
        <v>231</v>
      </c>
      <c r="IC187" s="237" t="s">
        <v>231</v>
      </c>
      <c r="ID187" s="237" t="s">
        <v>231</v>
      </c>
      <c r="IE187" s="237" t="s">
        <v>231</v>
      </c>
      <c r="IF187" s="237" t="s">
        <v>231</v>
      </c>
      <c r="IG187" s="237" t="s">
        <v>231</v>
      </c>
      <c r="IH187" s="237" t="s">
        <v>231</v>
      </c>
      <c r="II187" s="237" t="s">
        <v>231</v>
      </c>
      <c r="IJ187" s="237" t="s">
        <v>231</v>
      </c>
      <c r="IK187" s="237" t="s">
        <v>232</v>
      </c>
      <c r="IL187" s="237" t="s">
        <v>232</v>
      </c>
      <c r="IM187" s="237" t="s">
        <v>232</v>
      </c>
      <c r="IN187" s="237" t="s">
        <v>232</v>
      </c>
      <c r="IO187" s="237" t="s">
        <v>220</v>
      </c>
      <c r="IP187" s="237" t="s">
        <v>493</v>
      </c>
      <c r="IQ187" s="237" t="s">
        <v>219</v>
      </c>
      <c r="IR187" s="237" t="s">
        <v>490</v>
      </c>
      <c r="IS187" s="237" t="s">
        <v>492</v>
      </c>
      <c r="IT187" s="237" t="s">
        <v>492</v>
      </c>
    </row>
    <row r="188" spans="1:254" ht="15" x14ac:dyDescent="0.25">
      <c r="A188" s="259" t="str">
        <f>HYPERLINK("http://www.ofsted.gov.uk/inspection-reports/find-inspection-report/provider/ELS/145289 ","Ofsted School Webpage")</f>
        <v>Ofsted School Webpage</v>
      </c>
      <c r="B188" s="240">
        <v>145289</v>
      </c>
      <c r="C188" s="240">
        <v>3596003</v>
      </c>
      <c r="D188" s="240" t="s">
        <v>968</v>
      </c>
      <c r="E188" s="240" t="s">
        <v>248</v>
      </c>
      <c r="F188" s="240" t="s">
        <v>501</v>
      </c>
      <c r="G188" s="240" t="s">
        <v>495</v>
      </c>
      <c r="H188" s="240" t="s">
        <v>495</v>
      </c>
      <c r="I188" s="240" t="s">
        <v>496</v>
      </c>
      <c r="J188" s="240" t="s">
        <v>969</v>
      </c>
      <c r="K188" s="240" t="s">
        <v>93</v>
      </c>
      <c r="L188" s="240" t="s">
        <v>93</v>
      </c>
      <c r="M188" s="240" t="s">
        <v>93</v>
      </c>
      <c r="N188" s="240" t="s">
        <v>90</v>
      </c>
      <c r="O188" s="240" t="s">
        <v>486</v>
      </c>
      <c r="P188" s="240" t="s">
        <v>487</v>
      </c>
      <c r="Q188" s="241">
        <v>10081231</v>
      </c>
      <c r="R188" s="242">
        <v>43487</v>
      </c>
      <c r="S188" s="242">
        <v>43489</v>
      </c>
      <c r="T188" s="242">
        <v>43513</v>
      </c>
      <c r="U188" s="240" t="s">
        <v>499</v>
      </c>
      <c r="V188" s="240" t="s">
        <v>489</v>
      </c>
      <c r="W188" s="240">
        <v>3</v>
      </c>
      <c r="X188" s="240">
        <v>3</v>
      </c>
      <c r="Y188" s="240">
        <v>2</v>
      </c>
      <c r="Z188" s="240">
        <v>3</v>
      </c>
      <c r="AA188" s="240">
        <v>3</v>
      </c>
      <c r="AB188" s="240" t="s">
        <v>486</v>
      </c>
      <c r="AC188" s="240" t="s">
        <v>486</v>
      </c>
      <c r="AD188" s="240" t="s">
        <v>219</v>
      </c>
      <c r="AE188" s="240" t="s">
        <v>490</v>
      </c>
      <c r="AF188" s="240" t="s">
        <v>486</v>
      </c>
      <c r="AG188" s="240" t="s">
        <v>486</v>
      </c>
      <c r="AH188" s="240" t="s">
        <v>486</v>
      </c>
      <c r="AI188" s="240" t="s">
        <v>486</v>
      </c>
      <c r="AJ188" s="240" t="s">
        <v>486</v>
      </c>
      <c r="AK188" s="240" t="s">
        <v>486</v>
      </c>
      <c r="AL188" s="240" t="s">
        <v>486</v>
      </c>
      <c r="AM188" s="240" t="s">
        <v>491</v>
      </c>
      <c r="AN188" s="240" t="s">
        <v>231</v>
      </c>
      <c r="AO188" s="240" t="s">
        <v>231</v>
      </c>
      <c r="AP188" s="240" t="s">
        <v>231</v>
      </c>
      <c r="AQ188" s="240" t="s">
        <v>231</v>
      </c>
      <c r="AR188" s="240" t="s">
        <v>231</v>
      </c>
      <c r="AS188" s="240" t="s">
        <v>231</v>
      </c>
      <c r="AT188" s="240" t="s">
        <v>231</v>
      </c>
      <c r="AU188" s="240" t="s">
        <v>231</v>
      </c>
      <c r="AV188" s="240" t="s">
        <v>231</v>
      </c>
      <c r="AW188" s="240" t="s">
        <v>231</v>
      </c>
      <c r="AX188" s="240" t="s">
        <v>231</v>
      </c>
      <c r="AY188" s="240" t="s">
        <v>231</v>
      </c>
      <c r="AZ188" s="240" t="s">
        <v>231</v>
      </c>
      <c r="BA188" s="240" t="s">
        <v>231</v>
      </c>
      <c r="BB188" s="240" t="s">
        <v>231</v>
      </c>
      <c r="BC188" s="240" t="s">
        <v>231</v>
      </c>
      <c r="BD188" s="240" t="s">
        <v>492</v>
      </c>
      <c r="BE188" s="240" t="s">
        <v>231</v>
      </c>
      <c r="BF188" s="240" t="s">
        <v>231</v>
      </c>
      <c r="BG188" s="240" t="s">
        <v>231</v>
      </c>
      <c r="BH188" s="240" t="s">
        <v>231</v>
      </c>
      <c r="BI188" s="240" t="s">
        <v>231</v>
      </c>
      <c r="BJ188" s="240" t="s">
        <v>231</v>
      </c>
      <c r="BK188" s="240" t="s">
        <v>231</v>
      </c>
      <c r="BL188" s="240" t="s">
        <v>492</v>
      </c>
      <c r="BM188" s="240" t="s">
        <v>492</v>
      </c>
      <c r="BN188" s="240" t="s">
        <v>231</v>
      </c>
      <c r="BO188" s="240" t="s">
        <v>231</v>
      </c>
      <c r="BP188" s="240" t="s">
        <v>231</v>
      </c>
      <c r="BQ188" s="240" t="s">
        <v>231</v>
      </c>
      <c r="BR188" s="240" t="s">
        <v>231</v>
      </c>
      <c r="BS188" s="240" t="s">
        <v>231</v>
      </c>
      <c r="BT188" s="240" t="s">
        <v>231</v>
      </c>
      <c r="BU188" s="240" t="s">
        <v>231</v>
      </c>
      <c r="BV188" s="240" t="s">
        <v>231</v>
      </c>
      <c r="BW188" s="240" t="s">
        <v>231</v>
      </c>
      <c r="BX188" s="240" t="s">
        <v>231</v>
      </c>
      <c r="BY188" s="240" t="s">
        <v>231</v>
      </c>
      <c r="BZ188" s="240" t="s">
        <v>231</v>
      </c>
      <c r="CA188" s="240" t="s">
        <v>231</v>
      </c>
      <c r="CB188" s="240" t="s">
        <v>231</v>
      </c>
      <c r="CC188" s="240" t="s">
        <v>231</v>
      </c>
      <c r="CD188" s="240" t="s">
        <v>231</v>
      </c>
      <c r="CE188" s="240" t="s">
        <v>231</v>
      </c>
      <c r="CF188" s="240" t="s">
        <v>231</v>
      </c>
      <c r="CG188" s="240" t="s">
        <v>231</v>
      </c>
      <c r="CH188" s="240" t="s">
        <v>231</v>
      </c>
      <c r="CI188" s="240" t="s">
        <v>231</v>
      </c>
      <c r="CJ188" s="240" t="s">
        <v>231</v>
      </c>
      <c r="CK188" s="240" t="s">
        <v>231</v>
      </c>
      <c r="CL188" s="240" t="s">
        <v>231</v>
      </c>
      <c r="CM188" s="240" t="s">
        <v>231</v>
      </c>
      <c r="CN188" s="240" t="s">
        <v>231</v>
      </c>
      <c r="CO188" s="240" t="s">
        <v>231</v>
      </c>
      <c r="CP188" s="240" t="s">
        <v>231</v>
      </c>
      <c r="CQ188" s="240" t="s">
        <v>231</v>
      </c>
      <c r="CR188" s="240" t="s">
        <v>231</v>
      </c>
      <c r="CS188" s="240" t="s">
        <v>231</v>
      </c>
      <c r="CT188" s="240" t="s">
        <v>492</v>
      </c>
      <c r="CU188" s="240" t="s">
        <v>492</v>
      </c>
      <c r="CV188" s="240" t="s">
        <v>492</v>
      </c>
      <c r="CW188" s="240" t="s">
        <v>231</v>
      </c>
      <c r="CX188" s="240" t="s">
        <v>231</v>
      </c>
      <c r="CY188" s="240" t="s">
        <v>231</v>
      </c>
      <c r="CZ188" s="240" t="s">
        <v>231</v>
      </c>
      <c r="DA188" s="240" t="s">
        <v>231</v>
      </c>
      <c r="DB188" s="240" t="s">
        <v>231</v>
      </c>
      <c r="DC188" s="240" t="s">
        <v>231</v>
      </c>
      <c r="DD188" s="240" t="s">
        <v>231</v>
      </c>
      <c r="DE188" s="240" t="s">
        <v>231</v>
      </c>
      <c r="DF188" s="240" t="s">
        <v>231</v>
      </c>
      <c r="DG188" s="240" t="s">
        <v>231</v>
      </c>
      <c r="DH188" s="240" t="s">
        <v>231</v>
      </c>
      <c r="DI188" s="240" t="s">
        <v>231</v>
      </c>
      <c r="DJ188" s="240" t="s">
        <v>231</v>
      </c>
      <c r="DK188" s="240" t="s">
        <v>231</v>
      </c>
      <c r="DL188" s="240" t="s">
        <v>231</v>
      </c>
      <c r="DM188" s="240" t="s">
        <v>231</v>
      </c>
      <c r="DN188" s="240" t="s">
        <v>231</v>
      </c>
      <c r="DO188" s="240" t="s">
        <v>231</v>
      </c>
      <c r="DP188" s="240" t="s">
        <v>231</v>
      </c>
      <c r="DQ188" s="240" t="s">
        <v>231</v>
      </c>
      <c r="DR188" s="240" t="s">
        <v>231</v>
      </c>
      <c r="DS188" s="240" t="s">
        <v>492</v>
      </c>
      <c r="DT188" s="240" t="s">
        <v>492</v>
      </c>
      <c r="DU188" s="240" t="s">
        <v>231</v>
      </c>
      <c r="DV188" s="240" t="s">
        <v>231</v>
      </c>
      <c r="DW188" s="240" t="s">
        <v>231</v>
      </c>
      <c r="DX188" s="240" t="s">
        <v>231</v>
      </c>
      <c r="DY188" s="240" t="s">
        <v>231</v>
      </c>
      <c r="DZ188" s="240" t="s">
        <v>231</v>
      </c>
      <c r="EA188" s="240" t="s">
        <v>231</v>
      </c>
      <c r="EB188" s="240" t="s">
        <v>231</v>
      </c>
      <c r="EC188" s="240" t="s">
        <v>231</v>
      </c>
      <c r="ED188" s="240" t="s">
        <v>231</v>
      </c>
      <c r="EE188" s="240" t="s">
        <v>231</v>
      </c>
      <c r="EF188" s="240" t="s">
        <v>231</v>
      </c>
      <c r="EG188" s="240" t="s">
        <v>231</v>
      </c>
      <c r="EH188" s="240" t="s">
        <v>492</v>
      </c>
      <c r="EI188" s="240" t="s">
        <v>231</v>
      </c>
      <c r="EJ188" s="240" t="s">
        <v>231</v>
      </c>
      <c r="EK188" s="240" t="s">
        <v>231</v>
      </c>
      <c r="EL188" s="240" t="s">
        <v>231</v>
      </c>
      <c r="EM188" s="240" t="s">
        <v>231</v>
      </c>
      <c r="EN188" s="240" t="s">
        <v>231</v>
      </c>
      <c r="EO188" s="240" t="s">
        <v>231</v>
      </c>
      <c r="EP188" s="240" t="s">
        <v>231</v>
      </c>
      <c r="EQ188" s="240" t="s">
        <v>492</v>
      </c>
      <c r="ER188" s="240" t="s">
        <v>231</v>
      </c>
      <c r="ES188" s="240" t="s">
        <v>231</v>
      </c>
      <c r="ET188" s="240" t="s">
        <v>231</v>
      </c>
      <c r="EU188" s="240" t="s">
        <v>231</v>
      </c>
      <c r="EV188" s="240" t="s">
        <v>231</v>
      </c>
      <c r="EW188" s="240" t="s">
        <v>231</v>
      </c>
      <c r="EX188" s="240" t="s">
        <v>231</v>
      </c>
      <c r="EY188" s="240" t="s">
        <v>231</v>
      </c>
      <c r="EZ188" s="240" t="s">
        <v>231</v>
      </c>
      <c r="FA188" s="240" t="s">
        <v>231</v>
      </c>
      <c r="FB188" s="240" t="s">
        <v>231</v>
      </c>
      <c r="FC188" s="240" t="s">
        <v>231</v>
      </c>
      <c r="FD188" s="240" t="s">
        <v>492</v>
      </c>
      <c r="FE188" s="240" t="s">
        <v>231</v>
      </c>
      <c r="FF188" s="240" t="s">
        <v>231</v>
      </c>
      <c r="FG188" s="240" t="s">
        <v>231</v>
      </c>
      <c r="FH188" s="240" t="s">
        <v>231</v>
      </c>
      <c r="FI188" s="240" t="s">
        <v>231</v>
      </c>
      <c r="FJ188" s="240" t="s">
        <v>231</v>
      </c>
      <c r="FK188" s="240" t="s">
        <v>231</v>
      </c>
      <c r="FL188" s="240" t="s">
        <v>231</v>
      </c>
      <c r="FM188" s="240" t="s">
        <v>492</v>
      </c>
      <c r="FN188" s="240" t="s">
        <v>492</v>
      </c>
      <c r="FO188" s="240" t="s">
        <v>493</v>
      </c>
      <c r="FP188" s="240" t="s">
        <v>492</v>
      </c>
      <c r="FQ188" s="240" t="s">
        <v>231</v>
      </c>
      <c r="FR188" s="240" t="s">
        <v>231</v>
      </c>
      <c r="FS188" s="240" t="s">
        <v>231</v>
      </c>
      <c r="FT188" s="240" t="s">
        <v>231</v>
      </c>
      <c r="FU188" s="240" t="s">
        <v>231</v>
      </c>
      <c r="FV188" s="240" t="s">
        <v>231</v>
      </c>
      <c r="FW188" s="240" t="s">
        <v>231</v>
      </c>
      <c r="FX188" s="240" t="s">
        <v>492</v>
      </c>
      <c r="FY188" s="240" t="s">
        <v>231</v>
      </c>
      <c r="FZ188" s="240" t="s">
        <v>231</v>
      </c>
      <c r="GA188" s="240" t="s">
        <v>231</v>
      </c>
      <c r="GB188" s="240" t="s">
        <v>231</v>
      </c>
      <c r="GC188" s="240" t="s">
        <v>231</v>
      </c>
      <c r="GD188" s="240" t="s">
        <v>231</v>
      </c>
      <c r="GE188" s="240" t="s">
        <v>231</v>
      </c>
      <c r="GF188" s="240" t="s">
        <v>231</v>
      </c>
      <c r="GG188" s="240" t="s">
        <v>231</v>
      </c>
      <c r="GH188" s="240" t="s">
        <v>231</v>
      </c>
      <c r="GI188" s="240" t="s">
        <v>231</v>
      </c>
      <c r="GJ188" s="240" t="s">
        <v>231</v>
      </c>
      <c r="GK188" s="240" t="s">
        <v>231</v>
      </c>
      <c r="GL188" s="240" t="s">
        <v>231</v>
      </c>
      <c r="GM188" s="240" t="s">
        <v>231</v>
      </c>
      <c r="GN188" s="240" t="s">
        <v>231</v>
      </c>
      <c r="GO188" s="240" t="s">
        <v>231</v>
      </c>
      <c r="GP188" s="240" t="s">
        <v>492</v>
      </c>
      <c r="GQ188" s="240" t="s">
        <v>231</v>
      </c>
      <c r="GR188" s="240" t="s">
        <v>231</v>
      </c>
      <c r="GS188" s="240" t="s">
        <v>231</v>
      </c>
      <c r="GT188" s="240" t="s">
        <v>231</v>
      </c>
      <c r="GU188" s="240" t="s">
        <v>492</v>
      </c>
      <c r="GV188" s="240" t="s">
        <v>492</v>
      </c>
      <c r="GW188" s="240" t="s">
        <v>231</v>
      </c>
      <c r="GX188" s="240" t="s">
        <v>231</v>
      </c>
      <c r="GY188" s="240" t="s">
        <v>231</v>
      </c>
      <c r="GZ188" s="240" t="s">
        <v>231</v>
      </c>
      <c r="HA188" s="240" t="s">
        <v>492</v>
      </c>
      <c r="HB188" s="240" t="s">
        <v>231</v>
      </c>
      <c r="HC188" s="240" t="s">
        <v>231</v>
      </c>
      <c r="HD188" s="240" t="s">
        <v>231</v>
      </c>
      <c r="HE188" s="240" t="s">
        <v>231</v>
      </c>
      <c r="HF188" s="240" t="s">
        <v>492</v>
      </c>
      <c r="HG188" s="240" t="s">
        <v>231</v>
      </c>
      <c r="HH188" s="240" t="s">
        <v>231</v>
      </c>
      <c r="HI188" s="240" t="s">
        <v>231</v>
      </c>
      <c r="HJ188" s="240" t="s">
        <v>231</v>
      </c>
      <c r="HK188" s="240" t="s">
        <v>231</v>
      </c>
      <c r="HL188" s="240" t="s">
        <v>231</v>
      </c>
      <c r="HM188" s="240" t="s">
        <v>231</v>
      </c>
      <c r="HN188" s="240" t="s">
        <v>492</v>
      </c>
      <c r="HO188" s="240" t="s">
        <v>231</v>
      </c>
      <c r="HP188" s="240" t="s">
        <v>492</v>
      </c>
      <c r="HQ188" s="240" t="s">
        <v>492</v>
      </c>
      <c r="HR188" s="240" t="s">
        <v>492</v>
      </c>
      <c r="HS188" s="240" t="s">
        <v>492</v>
      </c>
      <c r="HT188" s="240" t="s">
        <v>492</v>
      </c>
      <c r="HU188" s="240" t="s">
        <v>231</v>
      </c>
      <c r="HV188" s="240" t="s">
        <v>231</v>
      </c>
      <c r="HW188" s="240" t="s">
        <v>231</v>
      </c>
      <c r="HX188" s="240" t="s">
        <v>231</v>
      </c>
      <c r="HY188" s="240" t="s">
        <v>231</v>
      </c>
      <c r="HZ188" s="240" t="s">
        <v>231</v>
      </c>
      <c r="IA188" s="240" t="s">
        <v>231</v>
      </c>
      <c r="IB188" s="240" t="s">
        <v>231</v>
      </c>
      <c r="IC188" s="240" t="s">
        <v>231</v>
      </c>
      <c r="ID188" s="240" t="s">
        <v>231</v>
      </c>
      <c r="IE188" s="240" t="s">
        <v>231</v>
      </c>
      <c r="IF188" s="240" t="s">
        <v>231</v>
      </c>
      <c r="IG188" s="240" t="s">
        <v>231</v>
      </c>
      <c r="IH188" s="240" t="s">
        <v>231</v>
      </c>
      <c r="II188" s="240" t="s">
        <v>231</v>
      </c>
      <c r="IJ188" s="240" t="s">
        <v>231</v>
      </c>
      <c r="IK188" s="240" t="s">
        <v>231</v>
      </c>
      <c r="IL188" s="240" t="s">
        <v>231</v>
      </c>
      <c r="IM188" s="240" t="s">
        <v>231</v>
      </c>
      <c r="IN188" s="240" t="s">
        <v>231</v>
      </c>
      <c r="IO188" s="240" t="s">
        <v>220</v>
      </c>
      <c r="IP188" s="240" t="s">
        <v>493</v>
      </c>
      <c r="IQ188" s="240" t="s">
        <v>219</v>
      </c>
      <c r="IR188" s="240" t="s">
        <v>490</v>
      </c>
      <c r="IS188" s="240" t="s">
        <v>492</v>
      </c>
      <c r="IT188" s="240" t="s">
        <v>492</v>
      </c>
    </row>
    <row r="189" spans="1:254" ht="15" x14ac:dyDescent="0.25">
      <c r="A189" s="258" t="str">
        <f>HYPERLINK("http://www.ofsted.gov.uk/inspection-reports/find-inspection-report/provider/ELS/106002 ","Ofsted School Webpage")</f>
        <v>Ofsted School Webpage</v>
      </c>
      <c r="B189" s="237">
        <v>106002</v>
      </c>
      <c r="C189" s="237">
        <v>3556024</v>
      </c>
      <c r="D189" s="237" t="s">
        <v>970</v>
      </c>
      <c r="E189" s="237" t="s">
        <v>247</v>
      </c>
      <c r="F189" s="237" t="s">
        <v>482</v>
      </c>
      <c r="G189" s="237" t="s">
        <v>495</v>
      </c>
      <c r="H189" s="237" t="s">
        <v>495</v>
      </c>
      <c r="I189" s="237" t="s">
        <v>601</v>
      </c>
      <c r="J189" s="237" t="s">
        <v>971</v>
      </c>
      <c r="K189" s="237" t="s">
        <v>82</v>
      </c>
      <c r="L189" s="237" t="s">
        <v>82</v>
      </c>
      <c r="M189" s="237" t="s">
        <v>82</v>
      </c>
      <c r="N189" s="237" t="s">
        <v>81</v>
      </c>
      <c r="O189" s="237" t="s">
        <v>486</v>
      </c>
      <c r="P189" s="237" t="s">
        <v>487</v>
      </c>
      <c r="Q189" s="238">
        <v>10067881</v>
      </c>
      <c r="R189" s="239">
        <v>43487</v>
      </c>
      <c r="S189" s="239">
        <v>43489</v>
      </c>
      <c r="T189" s="239">
        <v>43523</v>
      </c>
      <c r="U189" s="237" t="s">
        <v>488</v>
      </c>
      <c r="V189" s="237" t="s">
        <v>489</v>
      </c>
      <c r="W189" s="237">
        <v>3</v>
      </c>
      <c r="X189" s="237">
        <v>3</v>
      </c>
      <c r="Y189" s="237">
        <v>2</v>
      </c>
      <c r="Z189" s="237">
        <v>3</v>
      </c>
      <c r="AA189" s="237">
        <v>3</v>
      </c>
      <c r="AB189" s="237">
        <v>3</v>
      </c>
      <c r="AC189" s="237" t="s">
        <v>486</v>
      </c>
      <c r="AD189" s="237" t="s">
        <v>219</v>
      </c>
      <c r="AE189" s="237" t="s">
        <v>512</v>
      </c>
      <c r="AF189" s="237" t="s">
        <v>486</v>
      </c>
      <c r="AG189" s="237" t="s">
        <v>486</v>
      </c>
      <c r="AH189" s="237" t="s">
        <v>486</v>
      </c>
      <c r="AI189" s="237" t="s">
        <v>490</v>
      </c>
      <c r="AJ189" s="237" t="s">
        <v>486</v>
      </c>
      <c r="AK189" s="237" t="s">
        <v>486</v>
      </c>
      <c r="AL189" s="237" t="s">
        <v>486</v>
      </c>
      <c r="AM189" s="237" t="s">
        <v>545</v>
      </c>
      <c r="AN189" s="237" t="s">
        <v>546</v>
      </c>
      <c r="AO189" s="237" t="s">
        <v>546</v>
      </c>
      <c r="AP189" s="237" t="s">
        <v>231</v>
      </c>
      <c r="AQ189" s="237" t="s">
        <v>231</v>
      </c>
      <c r="AR189" s="237" t="s">
        <v>231</v>
      </c>
      <c r="AS189" s="237" t="s">
        <v>231</v>
      </c>
      <c r="AT189" s="237" t="s">
        <v>231</v>
      </c>
      <c r="AU189" s="237" t="s">
        <v>546</v>
      </c>
      <c r="AV189" s="237" t="s">
        <v>232</v>
      </c>
      <c r="AW189" s="237" t="s">
        <v>232</v>
      </c>
      <c r="AX189" s="237" t="s">
        <v>231</v>
      </c>
      <c r="AY189" s="237" t="s">
        <v>231</v>
      </c>
      <c r="AZ189" s="237" t="s">
        <v>231</v>
      </c>
      <c r="BA189" s="237" t="s">
        <v>232</v>
      </c>
      <c r="BB189" s="237" t="s">
        <v>231</v>
      </c>
      <c r="BC189" s="237" t="s">
        <v>231</v>
      </c>
      <c r="BD189" s="237" t="s">
        <v>492</v>
      </c>
      <c r="BE189" s="237" t="s">
        <v>232</v>
      </c>
      <c r="BF189" s="237" t="s">
        <v>231</v>
      </c>
      <c r="BG189" s="237" t="s">
        <v>232</v>
      </c>
      <c r="BH189" s="237" t="s">
        <v>492</v>
      </c>
      <c r="BI189" s="237" t="s">
        <v>492</v>
      </c>
      <c r="BJ189" s="237" t="s">
        <v>486</v>
      </c>
      <c r="BK189" s="237" t="s">
        <v>492</v>
      </c>
      <c r="BL189" s="237" t="s">
        <v>231</v>
      </c>
      <c r="BM189" s="237" t="s">
        <v>492</v>
      </c>
      <c r="BN189" s="237" t="s">
        <v>231</v>
      </c>
      <c r="BO189" s="237" t="s">
        <v>231</v>
      </c>
      <c r="BP189" s="237" t="s">
        <v>231</v>
      </c>
      <c r="BQ189" s="237" t="s">
        <v>231</v>
      </c>
      <c r="BR189" s="237" t="s">
        <v>231</v>
      </c>
      <c r="BS189" s="237" t="s">
        <v>231</v>
      </c>
      <c r="BT189" s="237" t="s">
        <v>231</v>
      </c>
      <c r="BU189" s="237" t="s">
        <v>231</v>
      </c>
      <c r="BV189" s="237" t="s">
        <v>231</v>
      </c>
      <c r="BW189" s="237" t="s">
        <v>231</v>
      </c>
      <c r="BX189" s="237" t="s">
        <v>231</v>
      </c>
      <c r="BY189" s="237" t="s">
        <v>231</v>
      </c>
      <c r="BZ189" s="237" t="s">
        <v>231</v>
      </c>
      <c r="CA189" s="237" t="s">
        <v>231</v>
      </c>
      <c r="CB189" s="237" t="s">
        <v>232</v>
      </c>
      <c r="CC189" s="237" t="s">
        <v>231</v>
      </c>
      <c r="CD189" s="237" t="s">
        <v>232</v>
      </c>
      <c r="CE189" s="237" t="s">
        <v>231</v>
      </c>
      <c r="CF189" s="237" t="s">
        <v>231</v>
      </c>
      <c r="CG189" s="237" t="s">
        <v>231</v>
      </c>
      <c r="CH189" s="237" t="s">
        <v>231</v>
      </c>
      <c r="CI189" s="237" t="s">
        <v>231</v>
      </c>
      <c r="CJ189" s="237" t="s">
        <v>232</v>
      </c>
      <c r="CK189" s="237" t="s">
        <v>231</v>
      </c>
      <c r="CL189" s="237" t="s">
        <v>231</v>
      </c>
      <c r="CM189" s="237" t="s">
        <v>231</v>
      </c>
      <c r="CN189" s="237" t="s">
        <v>231</v>
      </c>
      <c r="CO189" s="237" t="s">
        <v>231</v>
      </c>
      <c r="CP189" s="237" t="s">
        <v>231</v>
      </c>
      <c r="CQ189" s="237" t="s">
        <v>231</v>
      </c>
      <c r="CR189" s="237" t="s">
        <v>231</v>
      </c>
      <c r="CS189" s="237" t="s">
        <v>231</v>
      </c>
      <c r="CT189" s="237" t="s">
        <v>492</v>
      </c>
      <c r="CU189" s="237" t="s">
        <v>492</v>
      </c>
      <c r="CV189" s="237" t="s">
        <v>492</v>
      </c>
      <c r="CW189" s="237" t="s">
        <v>231</v>
      </c>
      <c r="CX189" s="237" t="s">
        <v>231</v>
      </c>
      <c r="CY189" s="237" t="s">
        <v>231</v>
      </c>
      <c r="CZ189" s="237" t="s">
        <v>231</v>
      </c>
      <c r="DA189" s="237" t="s">
        <v>231</v>
      </c>
      <c r="DB189" s="237" t="s">
        <v>231</v>
      </c>
      <c r="DC189" s="237" t="s">
        <v>231</v>
      </c>
      <c r="DD189" s="237" t="s">
        <v>231</v>
      </c>
      <c r="DE189" s="237" t="s">
        <v>231</v>
      </c>
      <c r="DF189" s="237" t="s">
        <v>231</v>
      </c>
      <c r="DG189" s="237" t="s">
        <v>231</v>
      </c>
      <c r="DH189" s="237" t="s">
        <v>231</v>
      </c>
      <c r="DI189" s="237" t="s">
        <v>231</v>
      </c>
      <c r="DJ189" s="237" t="s">
        <v>231</v>
      </c>
      <c r="DK189" s="237" t="s">
        <v>231</v>
      </c>
      <c r="DL189" s="237" t="s">
        <v>231</v>
      </c>
      <c r="DM189" s="237" t="s">
        <v>231</v>
      </c>
      <c r="DN189" s="237" t="s">
        <v>231</v>
      </c>
      <c r="DO189" s="237" t="s">
        <v>231</v>
      </c>
      <c r="DP189" s="237" t="s">
        <v>231</v>
      </c>
      <c r="DQ189" s="237" t="s">
        <v>231</v>
      </c>
      <c r="DR189" s="237" t="s">
        <v>231</v>
      </c>
      <c r="DS189" s="237" t="s">
        <v>231</v>
      </c>
      <c r="DT189" s="237" t="s">
        <v>492</v>
      </c>
      <c r="DU189" s="237" t="s">
        <v>231</v>
      </c>
      <c r="DV189" s="237" t="s">
        <v>492</v>
      </c>
      <c r="DW189" s="237" t="s">
        <v>492</v>
      </c>
      <c r="DX189" s="237" t="s">
        <v>492</v>
      </c>
      <c r="DY189" s="237" t="s">
        <v>492</v>
      </c>
      <c r="DZ189" s="237" t="s">
        <v>492</v>
      </c>
      <c r="EA189" s="237" t="s">
        <v>492</v>
      </c>
      <c r="EB189" s="237" t="s">
        <v>492</v>
      </c>
      <c r="EC189" s="237" t="s">
        <v>492</v>
      </c>
      <c r="ED189" s="237" t="s">
        <v>492</v>
      </c>
      <c r="EE189" s="237" t="s">
        <v>492</v>
      </c>
      <c r="EF189" s="237" t="s">
        <v>492</v>
      </c>
      <c r="EG189" s="237" t="s">
        <v>492</v>
      </c>
      <c r="EH189" s="237" t="s">
        <v>492</v>
      </c>
      <c r="EI189" s="237" t="s">
        <v>492</v>
      </c>
      <c r="EJ189" s="237" t="s">
        <v>492</v>
      </c>
      <c r="EK189" s="237" t="s">
        <v>492</v>
      </c>
      <c r="EL189" s="237" t="s">
        <v>492</v>
      </c>
      <c r="EM189" s="237" t="s">
        <v>492</v>
      </c>
      <c r="EN189" s="237" t="s">
        <v>492</v>
      </c>
      <c r="EO189" s="237" t="s">
        <v>492</v>
      </c>
      <c r="EP189" s="237" t="s">
        <v>492</v>
      </c>
      <c r="EQ189" s="237" t="s">
        <v>492</v>
      </c>
      <c r="ER189" s="237" t="s">
        <v>492</v>
      </c>
      <c r="ES189" s="237" t="s">
        <v>231</v>
      </c>
      <c r="ET189" s="237" t="s">
        <v>231</v>
      </c>
      <c r="EU189" s="237" t="s">
        <v>231</v>
      </c>
      <c r="EV189" s="237" t="s">
        <v>231</v>
      </c>
      <c r="EW189" s="237" t="s">
        <v>231</v>
      </c>
      <c r="EX189" s="237" t="s">
        <v>231</v>
      </c>
      <c r="EY189" s="237" t="s">
        <v>231</v>
      </c>
      <c r="EZ189" s="237" t="s">
        <v>231</v>
      </c>
      <c r="FA189" s="237" t="s">
        <v>231</v>
      </c>
      <c r="FB189" s="237" t="s">
        <v>231</v>
      </c>
      <c r="FC189" s="237" t="s">
        <v>231</v>
      </c>
      <c r="FD189" s="237" t="s">
        <v>231</v>
      </c>
      <c r="FE189" s="237" t="s">
        <v>231</v>
      </c>
      <c r="FF189" s="237" t="s">
        <v>231</v>
      </c>
      <c r="FG189" s="237" t="s">
        <v>492</v>
      </c>
      <c r="FH189" s="237" t="s">
        <v>492</v>
      </c>
      <c r="FI189" s="237" t="s">
        <v>492</v>
      </c>
      <c r="FJ189" s="237" t="s">
        <v>492</v>
      </c>
      <c r="FK189" s="237" t="s">
        <v>492</v>
      </c>
      <c r="FL189" s="237" t="s">
        <v>492</v>
      </c>
      <c r="FM189" s="237" t="s">
        <v>492</v>
      </c>
      <c r="FN189" s="237" t="s">
        <v>492</v>
      </c>
      <c r="FO189" s="237" t="s">
        <v>493</v>
      </c>
      <c r="FP189" s="237" t="s">
        <v>492</v>
      </c>
      <c r="FQ189" s="237" t="s">
        <v>231</v>
      </c>
      <c r="FR189" s="237" t="s">
        <v>231</v>
      </c>
      <c r="FS189" s="237" t="s">
        <v>492</v>
      </c>
      <c r="FT189" s="237" t="s">
        <v>492</v>
      </c>
      <c r="FU189" s="237" t="s">
        <v>231</v>
      </c>
      <c r="FV189" s="237" t="s">
        <v>231</v>
      </c>
      <c r="FW189" s="237" t="s">
        <v>231</v>
      </c>
      <c r="FX189" s="237" t="s">
        <v>492</v>
      </c>
      <c r="FY189" s="237" t="s">
        <v>231</v>
      </c>
      <c r="FZ189" s="237" t="s">
        <v>231</v>
      </c>
      <c r="GA189" s="237" t="s">
        <v>231</v>
      </c>
      <c r="GB189" s="237" t="s">
        <v>231</v>
      </c>
      <c r="GC189" s="237" t="s">
        <v>231</v>
      </c>
      <c r="GD189" s="237" t="s">
        <v>231</v>
      </c>
      <c r="GE189" s="237" t="s">
        <v>231</v>
      </c>
      <c r="GF189" s="237" t="s">
        <v>231</v>
      </c>
      <c r="GG189" s="237" t="s">
        <v>231</v>
      </c>
      <c r="GH189" s="237" t="s">
        <v>231</v>
      </c>
      <c r="GI189" s="237" t="s">
        <v>231</v>
      </c>
      <c r="GJ189" s="237" t="s">
        <v>231</v>
      </c>
      <c r="GK189" s="237" t="s">
        <v>231</v>
      </c>
      <c r="GL189" s="237" t="s">
        <v>231</v>
      </c>
      <c r="GM189" s="237" t="s">
        <v>231</v>
      </c>
      <c r="GN189" s="237" t="s">
        <v>231</v>
      </c>
      <c r="GO189" s="237" t="s">
        <v>231</v>
      </c>
      <c r="GP189" s="237" t="s">
        <v>492</v>
      </c>
      <c r="GQ189" s="237" t="s">
        <v>231</v>
      </c>
      <c r="GR189" s="237" t="s">
        <v>231</v>
      </c>
      <c r="GS189" s="237" t="s">
        <v>231</v>
      </c>
      <c r="GT189" s="237" t="s">
        <v>231</v>
      </c>
      <c r="GU189" s="237" t="s">
        <v>231</v>
      </c>
      <c r="GV189" s="237" t="s">
        <v>492</v>
      </c>
      <c r="GW189" s="237" t="s">
        <v>231</v>
      </c>
      <c r="GX189" s="237" t="s">
        <v>231</v>
      </c>
      <c r="GY189" s="237" t="s">
        <v>492</v>
      </c>
      <c r="GZ189" s="237" t="s">
        <v>231</v>
      </c>
      <c r="HA189" s="237" t="s">
        <v>492</v>
      </c>
      <c r="HB189" s="237" t="s">
        <v>231</v>
      </c>
      <c r="HC189" s="237" t="s">
        <v>231</v>
      </c>
      <c r="HD189" s="237" t="s">
        <v>231</v>
      </c>
      <c r="HE189" s="237" t="s">
        <v>231</v>
      </c>
      <c r="HF189" s="237" t="s">
        <v>492</v>
      </c>
      <c r="HG189" s="237" t="s">
        <v>492</v>
      </c>
      <c r="HH189" s="237" t="s">
        <v>231</v>
      </c>
      <c r="HI189" s="237" t="s">
        <v>231</v>
      </c>
      <c r="HJ189" s="237" t="s">
        <v>231</v>
      </c>
      <c r="HK189" s="237" t="s">
        <v>231</v>
      </c>
      <c r="HL189" s="237" t="s">
        <v>231</v>
      </c>
      <c r="HM189" s="237" t="s">
        <v>231</v>
      </c>
      <c r="HN189" s="237" t="s">
        <v>231</v>
      </c>
      <c r="HO189" s="237" t="s">
        <v>231</v>
      </c>
      <c r="HP189" s="237" t="s">
        <v>231</v>
      </c>
      <c r="HQ189" s="237" t="s">
        <v>492</v>
      </c>
      <c r="HR189" s="237" t="s">
        <v>492</v>
      </c>
      <c r="HS189" s="237" t="s">
        <v>492</v>
      </c>
      <c r="HT189" s="237" t="s">
        <v>492</v>
      </c>
      <c r="HU189" s="237" t="s">
        <v>231</v>
      </c>
      <c r="HV189" s="237" t="s">
        <v>231</v>
      </c>
      <c r="HW189" s="237" t="s">
        <v>231</v>
      </c>
      <c r="HX189" s="237" t="s">
        <v>231</v>
      </c>
      <c r="HY189" s="237" t="s">
        <v>231</v>
      </c>
      <c r="HZ189" s="237" t="s">
        <v>231</v>
      </c>
      <c r="IA189" s="237" t="s">
        <v>231</v>
      </c>
      <c r="IB189" s="237" t="s">
        <v>231</v>
      </c>
      <c r="IC189" s="237" t="s">
        <v>231</v>
      </c>
      <c r="ID189" s="237" t="s">
        <v>231</v>
      </c>
      <c r="IE189" s="237" t="s">
        <v>231</v>
      </c>
      <c r="IF189" s="237" t="s">
        <v>231</v>
      </c>
      <c r="IG189" s="237" t="s">
        <v>231</v>
      </c>
      <c r="IH189" s="237" t="s">
        <v>231</v>
      </c>
      <c r="II189" s="237" t="s">
        <v>231</v>
      </c>
      <c r="IJ189" s="237" t="s">
        <v>231</v>
      </c>
      <c r="IK189" s="237" t="s">
        <v>232</v>
      </c>
      <c r="IL189" s="237" t="s">
        <v>232</v>
      </c>
      <c r="IM189" s="237" t="s">
        <v>232</v>
      </c>
      <c r="IN189" s="237" t="s">
        <v>231</v>
      </c>
      <c r="IO189" s="237" t="s">
        <v>220</v>
      </c>
      <c r="IP189" s="237" t="s">
        <v>493</v>
      </c>
      <c r="IQ189" s="237" t="s">
        <v>219</v>
      </c>
      <c r="IR189" s="237" t="s">
        <v>490</v>
      </c>
      <c r="IS189" s="237" t="s">
        <v>231</v>
      </c>
      <c r="IT189" s="237" t="s">
        <v>231</v>
      </c>
    </row>
    <row r="190" spans="1:254" ht="15" x14ac:dyDescent="0.25">
      <c r="A190" s="259" t="str">
        <f>HYPERLINK("http://www.ofsted.gov.uk/inspection-reports/find-inspection-report/provider/ELS/134585 ","Ofsted School Webpage")</f>
        <v>Ofsted School Webpage</v>
      </c>
      <c r="B190" s="240">
        <v>134585</v>
      </c>
      <c r="C190" s="240">
        <v>3066096</v>
      </c>
      <c r="D190" s="240" t="s">
        <v>972</v>
      </c>
      <c r="E190" s="240" t="s">
        <v>247</v>
      </c>
      <c r="F190" s="240" t="s">
        <v>482</v>
      </c>
      <c r="G190" s="240" t="s">
        <v>506</v>
      </c>
      <c r="H190" s="240" t="s">
        <v>506</v>
      </c>
      <c r="I190" s="240" t="s">
        <v>826</v>
      </c>
      <c r="J190" s="240" t="s">
        <v>973</v>
      </c>
      <c r="K190" s="240" t="s">
        <v>93</v>
      </c>
      <c r="L190" s="240" t="s">
        <v>84</v>
      </c>
      <c r="M190" s="240" t="s">
        <v>84</v>
      </c>
      <c r="N190" s="240" t="s">
        <v>84</v>
      </c>
      <c r="O190" s="240" t="s">
        <v>486</v>
      </c>
      <c r="P190" s="240" t="s">
        <v>487</v>
      </c>
      <c r="Q190" s="241">
        <v>10054292</v>
      </c>
      <c r="R190" s="242">
        <v>43494</v>
      </c>
      <c r="S190" s="242">
        <v>43496</v>
      </c>
      <c r="T190" s="242">
        <v>43541</v>
      </c>
      <c r="U190" s="240" t="s">
        <v>488</v>
      </c>
      <c r="V190" s="240" t="s">
        <v>489</v>
      </c>
      <c r="W190" s="240">
        <v>4</v>
      </c>
      <c r="X190" s="240">
        <v>4</v>
      </c>
      <c r="Y190" s="240">
        <v>3</v>
      </c>
      <c r="Z190" s="240">
        <v>2</v>
      </c>
      <c r="AA190" s="240">
        <v>2</v>
      </c>
      <c r="AB190" s="240">
        <v>4</v>
      </c>
      <c r="AC190" s="240" t="s">
        <v>486</v>
      </c>
      <c r="AD190" s="240" t="s">
        <v>220</v>
      </c>
      <c r="AE190" s="240" t="s">
        <v>490</v>
      </c>
      <c r="AF190" s="240" t="s">
        <v>486</v>
      </c>
      <c r="AG190" s="240" t="s">
        <v>486</v>
      </c>
      <c r="AH190" s="240" t="s">
        <v>486</v>
      </c>
      <c r="AI190" s="240" t="s">
        <v>486</v>
      </c>
      <c r="AJ190" s="240" t="s">
        <v>486</v>
      </c>
      <c r="AK190" s="240" t="s">
        <v>486</v>
      </c>
      <c r="AL190" s="240" t="s">
        <v>486</v>
      </c>
      <c r="AM190" s="240" t="s">
        <v>545</v>
      </c>
      <c r="AN190" s="240" t="s">
        <v>546</v>
      </c>
      <c r="AO190" s="240" t="s">
        <v>231</v>
      </c>
      <c r="AP190" s="240" t="s">
        <v>546</v>
      </c>
      <c r="AQ190" s="240" t="s">
        <v>546</v>
      </c>
      <c r="AR190" s="240" t="s">
        <v>231</v>
      </c>
      <c r="AS190" s="240" t="s">
        <v>231</v>
      </c>
      <c r="AT190" s="240" t="s">
        <v>231</v>
      </c>
      <c r="AU190" s="240" t="s">
        <v>546</v>
      </c>
      <c r="AV190" s="240" t="s">
        <v>231</v>
      </c>
      <c r="AW190" s="240" t="s">
        <v>231</v>
      </c>
      <c r="AX190" s="240" t="s">
        <v>231</v>
      </c>
      <c r="AY190" s="240" t="s">
        <v>231</v>
      </c>
      <c r="AZ190" s="240" t="s">
        <v>231</v>
      </c>
      <c r="BA190" s="240" t="s">
        <v>231</v>
      </c>
      <c r="BB190" s="240" t="s">
        <v>231</v>
      </c>
      <c r="BC190" s="240" t="s">
        <v>231</v>
      </c>
      <c r="BD190" s="240" t="s">
        <v>492</v>
      </c>
      <c r="BE190" s="240" t="s">
        <v>231</v>
      </c>
      <c r="BF190" s="240" t="s">
        <v>231</v>
      </c>
      <c r="BG190" s="240" t="s">
        <v>231</v>
      </c>
      <c r="BH190" s="240" t="s">
        <v>231</v>
      </c>
      <c r="BI190" s="240" t="s">
        <v>231</v>
      </c>
      <c r="BJ190" s="240" t="s">
        <v>231</v>
      </c>
      <c r="BK190" s="240" t="s">
        <v>231</v>
      </c>
      <c r="BL190" s="240" t="s">
        <v>231</v>
      </c>
      <c r="BM190" s="240" t="s">
        <v>492</v>
      </c>
      <c r="BN190" s="240" t="s">
        <v>231</v>
      </c>
      <c r="BO190" s="240" t="s">
        <v>231</v>
      </c>
      <c r="BP190" s="240" t="s">
        <v>232</v>
      </c>
      <c r="BQ190" s="240" t="s">
        <v>231</v>
      </c>
      <c r="BR190" s="240" t="s">
        <v>231</v>
      </c>
      <c r="BS190" s="240" t="s">
        <v>231</v>
      </c>
      <c r="BT190" s="240" t="s">
        <v>231</v>
      </c>
      <c r="BU190" s="240" t="s">
        <v>231</v>
      </c>
      <c r="BV190" s="240" t="s">
        <v>231</v>
      </c>
      <c r="BW190" s="240" t="s">
        <v>231</v>
      </c>
      <c r="BX190" s="240" t="s">
        <v>231</v>
      </c>
      <c r="BY190" s="240" t="s">
        <v>231</v>
      </c>
      <c r="BZ190" s="240" t="s">
        <v>232</v>
      </c>
      <c r="CA190" s="240" t="s">
        <v>231</v>
      </c>
      <c r="CB190" s="240" t="s">
        <v>231</v>
      </c>
      <c r="CC190" s="240" t="s">
        <v>231</v>
      </c>
      <c r="CD190" s="240" t="s">
        <v>231</v>
      </c>
      <c r="CE190" s="240" t="s">
        <v>231</v>
      </c>
      <c r="CF190" s="240" t="s">
        <v>231</v>
      </c>
      <c r="CG190" s="240" t="s">
        <v>231</v>
      </c>
      <c r="CH190" s="240" t="s">
        <v>231</v>
      </c>
      <c r="CI190" s="240" t="s">
        <v>231</v>
      </c>
      <c r="CJ190" s="240" t="s">
        <v>231</v>
      </c>
      <c r="CK190" s="240" t="s">
        <v>231</v>
      </c>
      <c r="CL190" s="240" t="s">
        <v>231</v>
      </c>
      <c r="CM190" s="240" t="s">
        <v>231</v>
      </c>
      <c r="CN190" s="240" t="s">
        <v>231</v>
      </c>
      <c r="CO190" s="240" t="s">
        <v>231</v>
      </c>
      <c r="CP190" s="240" t="s">
        <v>231</v>
      </c>
      <c r="CQ190" s="240" t="s">
        <v>232</v>
      </c>
      <c r="CR190" s="240" t="s">
        <v>232</v>
      </c>
      <c r="CS190" s="240" t="s">
        <v>232</v>
      </c>
      <c r="CT190" s="240" t="s">
        <v>492</v>
      </c>
      <c r="CU190" s="240" t="s">
        <v>492</v>
      </c>
      <c r="CV190" s="240" t="s">
        <v>492</v>
      </c>
      <c r="CW190" s="240" t="s">
        <v>231</v>
      </c>
      <c r="CX190" s="240" t="s">
        <v>231</v>
      </c>
      <c r="CY190" s="240" t="s">
        <v>231</v>
      </c>
      <c r="CZ190" s="240" t="s">
        <v>231</v>
      </c>
      <c r="DA190" s="240" t="s">
        <v>231</v>
      </c>
      <c r="DB190" s="240" t="s">
        <v>231</v>
      </c>
      <c r="DC190" s="240" t="s">
        <v>231</v>
      </c>
      <c r="DD190" s="240" t="s">
        <v>231</v>
      </c>
      <c r="DE190" s="240" t="s">
        <v>231</v>
      </c>
      <c r="DF190" s="240" t="s">
        <v>231</v>
      </c>
      <c r="DG190" s="240" t="s">
        <v>231</v>
      </c>
      <c r="DH190" s="240" t="s">
        <v>231</v>
      </c>
      <c r="DI190" s="240" t="s">
        <v>231</v>
      </c>
      <c r="DJ190" s="240" t="s">
        <v>231</v>
      </c>
      <c r="DK190" s="240" t="s">
        <v>231</v>
      </c>
      <c r="DL190" s="240" t="s">
        <v>231</v>
      </c>
      <c r="DM190" s="240" t="s">
        <v>231</v>
      </c>
      <c r="DN190" s="240" t="s">
        <v>231</v>
      </c>
      <c r="DO190" s="240" t="s">
        <v>231</v>
      </c>
      <c r="DP190" s="240" t="s">
        <v>231</v>
      </c>
      <c r="DQ190" s="240" t="s">
        <v>231</v>
      </c>
      <c r="DR190" s="240" t="s">
        <v>231</v>
      </c>
      <c r="DS190" s="240" t="s">
        <v>231</v>
      </c>
      <c r="DT190" s="240" t="s">
        <v>492</v>
      </c>
      <c r="DU190" s="240" t="s">
        <v>231</v>
      </c>
      <c r="DV190" s="240" t="s">
        <v>232</v>
      </c>
      <c r="DW190" s="240" t="s">
        <v>231</v>
      </c>
      <c r="DX190" s="240" t="s">
        <v>231</v>
      </c>
      <c r="DY190" s="240" t="s">
        <v>231</v>
      </c>
      <c r="DZ190" s="240" t="s">
        <v>231</v>
      </c>
      <c r="EA190" s="240" t="s">
        <v>232</v>
      </c>
      <c r="EB190" s="240" t="s">
        <v>231</v>
      </c>
      <c r="EC190" s="240" t="s">
        <v>231</v>
      </c>
      <c r="ED190" s="240" t="s">
        <v>232</v>
      </c>
      <c r="EE190" s="240" t="s">
        <v>231</v>
      </c>
      <c r="EF190" s="240" t="s">
        <v>231</v>
      </c>
      <c r="EG190" s="240" t="s">
        <v>231</v>
      </c>
      <c r="EH190" s="240" t="s">
        <v>492</v>
      </c>
      <c r="EI190" s="240" t="s">
        <v>231</v>
      </c>
      <c r="EJ190" s="240" t="s">
        <v>231</v>
      </c>
      <c r="EK190" s="240" t="s">
        <v>231</v>
      </c>
      <c r="EL190" s="240" t="s">
        <v>231</v>
      </c>
      <c r="EM190" s="240" t="s">
        <v>231</v>
      </c>
      <c r="EN190" s="240" t="s">
        <v>231</v>
      </c>
      <c r="EO190" s="240" t="s">
        <v>231</v>
      </c>
      <c r="EP190" s="240" t="s">
        <v>231</v>
      </c>
      <c r="EQ190" s="240" t="s">
        <v>231</v>
      </c>
      <c r="ER190" s="240" t="s">
        <v>231</v>
      </c>
      <c r="ES190" s="240" t="s">
        <v>231</v>
      </c>
      <c r="ET190" s="240" t="s">
        <v>231</v>
      </c>
      <c r="EU190" s="240" t="s">
        <v>231</v>
      </c>
      <c r="EV190" s="240" t="s">
        <v>231</v>
      </c>
      <c r="EW190" s="240" t="s">
        <v>231</v>
      </c>
      <c r="EX190" s="240" t="s">
        <v>231</v>
      </c>
      <c r="EY190" s="240" t="s">
        <v>231</v>
      </c>
      <c r="EZ190" s="240" t="s">
        <v>231</v>
      </c>
      <c r="FA190" s="240" t="s">
        <v>231</v>
      </c>
      <c r="FB190" s="240" t="s">
        <v>231</v>
      </c>
      <c r="FC190" s="240" t="s">
        <v>231</v>
      </c>
      <c r="FD190" s="240" t="s">
        <v>231</v>
      </c>
      <c r="FE190" s="240" t="s">
        <v>231</v>
      </c>
      <c r="FF190" s="240" t="s">
        <v>231</v>
      </c>
      <c r="FG190" s="240" t="s">
        <v>232</v>
      </c>
      <c r="FH190" s="240" t="s">
        <v>231</v>
      </c>
      <c r="FI190" s="240" t="s">
        <v>232</v>
      </c>
      <c r="FJ190" s="240" t="s">
        <v>231</v>
      </c>
      <c r="FK190" s="240" t="s">
        <v>492</v>
      </c>
      <c r="FL190" s="240" t="s">
        <v>231</v>
      </c>
      <c r="FM190" s="240" t="s">
        <v>231</v>
      </c>
      <c r="FN190" s="240" t="s">
        <v>231</v>
      </c>
      <c r="FO190" s="240" t="s">
        <v>231</v>
      </c>
      <c r="FP190" s="240" t="s">
        <v>231</v>
      </c>
      <c r="FQ190" s="240" t="s">
        <v>231</v>
      </c>
      <c r="FR190" s="240" t="s">
        <v>231</v>
      </c>
      <c r="FS190" s="240" t="s">
        <v>231</v>
      </c>
      <c r="FT190" s="240" t="s">
        <v>231</v>
      </c>
      <c r="FU190" s="240" t="s">
        <v>231</v>
      </c>
      <c r="FV190" s="240" t="s">
        <v>231</v>
      </c>
      <c r="FW190" s="240" t="s">
        <v>231</v>
      </c>
      <c r="FX190" s="240" t="s">
        <v>492</v>
      </c>
      <c r="FY190" s="240" t="s">
        <v>231</v>
      </c>
      <c r="FZ190" s="240" t="s">
        <v>231</v>
      </c>
      <c r="GA190" s="240" t="s">
        <v>231</v>
      </c>
      <c r="GB190" s="240" t="s">
        <v>231</v>
      </c>
      <c r="GC190" s="240" t="s">
        <v>231</v>
      </c>
      <c r="GD190" s="240" t="s">
        <v>231</v>
      </c>
      <c r="GE190" s="240" t="s">
        <v>231</v>
      </c>
      <c r="GF190" s="240" t="s">
        <v>231</v>
      </c>
      <c r="GG190" s="240" t="s">
        <v>231</v>
      </c>
      <c r="GH190" s="240" t="s">
        <v>231</v>
      </c>
      <c r="GI190" s="240" t="s">
        <v>231</v>
      </c>
      <c r="GJ190" s="240" t="s">
        <v>231</v>
      </c>
      <c r="GK190" s="240" t="s">
        <v>231</v>
      </c>
      <c r="GL190" s="240" t="s">
        <v>231</v>
      </c>
      <c r="GM190" s="240" t="s">
        <v>231</v>
      </c>
      <c r="GN190" s="240" t="s">
        <v>231</v>
      </c>
      <c r="GO190" s="240" t="s">
        <v>231</v>
      </c>
      <c r="GP190" s="240" t="s">
        <v>492</v>
      </c>
      <c r="GQ190" s="240" t="s">
        <v>231</v>
      </c>
      <c r="GR190" s="240" t="s">
        <v>231</v>
      </c>
      <c r="GS190" s="240" t="s">
        <v>231</v>
      </c>
      <c r="GT190" s="240" t="s">
        <v>231</v>
      </c>
      <c r="GU190" s="240" t="s">
        <v>231</v>
      </c>
      <c r="GV190" s="240" t="s">
        <v>231</v>
      </c>
      <c r="GW190" s="240" t="s">
        <v>231</v>
      </c>
      <c r="GX190" s="240" t="s">
        <v>231</v>
      </c>
      <c r="GY190" s="240" t="s">
        <v>231</v>
      </c>
      <c r="GZ190" s="240" t="s">
        <v>231</v>
      </c>
      <c r="HA190" s="240" t="s">
        <v>231</v>
      </c>
      <c r="HB190" s="240" t="s">
        <v>231</v>
      </c>
      <c r="HC190" s="240" t="s">
        <v>231</v>
      </c>
      <c r="HD190" s="240" t="s">
        <v>231</v>
      </c>
      <c r="HE190" s="240" t="s">
        <v>231</v>
      </c>
      <c r="HF190" s="240" t="s">
        <v>492</v>
      </c>
      <c r="HG190" s="240" t="s">
        <v>492</v>
      </c>
      <c r="HH190" s="240" t="s">
        <v>231</v>
      </c>
      <c r="HI190" s="240" t="s">
        <v>231</v>
      </c>
      <c r="HJ190" s="240" t="s">
        <v>231</v>
      </c>
      <c r="HK190" s="240" t="s">
        <v>231</v>
      </c>
      <c r="HL190" s="240" t="s">
        <v>231</v>
      </c>
      <c r="HM190" s="240" t="s">
        <v>231</v>
      </c>
      <c r="HN190" s="240" t="s">
        <v>231</v>
      </c>
      <c r="HO190" s="240" t="s">
        <v>231</v>
      </c>
      <c r="HP190" s="240" t="s">
        <v>231</v>
      </c>
      <c r="HQ190" s="240" t="s">
        <v>231</v>
      </c>
      <c r="HR190" s="240" t="s">
        <v>231</v>
      </c>
      <c r="HS190" s="240" t="s">
        <v>231</v>
      </c>
      <c r="HT190" s="240" t="s">
        <v>231</v>
      </c>
      <c r="HU190" s="240" t="s">
        <v>231</v>
      </c>
      <c r="HV190" s="240" t="s">
        <v>231</v>
      </c>
      <c r="HW190" s="240" t="s">
        <v>231</v>
      </c>
      <c r="HX190" s="240" t="s">
        <v>231</v>
      </c>
      <c r="HY190" s="240" t="s">
        <v>231</v>
      </c>
      <c r="HZ190" s="240" t="s">
        <v>231</v>
      </c>
      <c r="IA190" s="240" t="s">
        <v>231</v>
      </c>
      <c r="IB190" s="240" t="s">
        <v>231</v>
      </c>
      <c r="IC190" s="240" t="s">
        <v>231</v>
      </c>
      <c r="ID190" s="240" t="s">
        <v>231</v>
      </c>
      <c r="IE190" s="240" t="s">
        <v>231</v>
      </c>
      <c r="IF190" s="240" t="s">
        <v>231</v>
      </c>
      <c r="IG190" s="240" t="s">
        <v>231</v>
      </c>
      <c r="IH190" s="240" t="s">
        <v>231</v>
      </c>
      <c r="II190" s="240" t="s">
        <v>231</v>
      </c>
      <c r="IJ190" s="240" t="s">
        <v>231</v>
      </c>
      <c r="IK190" s="240" t="s">
        <v>232</v>
      </c>
      <c r="IL190" s="240" t="s">
        <v>232</v>
      </c>
      <c r="IM190" s="240" t="s">
        <v>232</v>
      </c>
      <c r="IN190" s="240" t="s">
        <v>232</v>
      </c>
      <c r="IO190" s="240" t="s">
        <v>220</v>
      </c>
      <c r="IP190" s="240" t="s">
        <v>493</v>
      </c>
      <c r="IQ190" s="240" t="s">
        <v>219</v>
      </c>
      <c r="IR190" s="240" t="s">
        <v>490</v>
      </c>
      <c r="IS190" s="240" t="s">
        <v>232</v>
      </c>
      <c r="IT190" s="240" t="s">
        <v>231</v>
      </c>
    </row>
    <row r="191" spans="1:254" ht="15" x14ac:dyDescent="0.25">
      <c r="A191" s="258" t="str">
        <f>HYPERLINK("http://www.ofsted.gov.uk/inspection-reports/find-inspection-report/provider/ELS/121246 ","Ofsted School Webpage")</f>
        <v>Ofsted School Webpage</v>
      </c>
      <c r="B191" s="237">
        <v>121246</v>
      </c>
      <c r="C191" s="237">
        <v>9266133</v>
      </c>
      <c r="D191" s="237" t="s">
        <v>974</v>
      </c>
      <c r="E191" s="237" t="s">
        <v>248</v>
      </c>
      <c r="F191" s="237" t="s">
        <v>501</v>
      </c>
      <c r="G191" s="237" t="s">
        <v>516</v>
      </c>
      <c r="H191" s="237" t="s">
        <v>516</v>
      </c>
      <c r="I191" s="237" t="s">
        <v>528</v>
      </c>
      <c r="J191" s="237" t="s">
        <v>975</v>
      </c>
      <c r="K191" s="237" t="s">
        <v>93</v>
      </c>
      <c r="L191" s="237" t="s">
        <v>93</v>
      </c>
      <c r="M191" s="237" t="s">
        <v>93</v>
      </c>
      <c r="N191" s="237" t="s">
        <v>90</v>
      </c>
      <c r="O191" s="237" t="s">
        <v>486</v>
      </c>
      <c r="P191" s="237" t="s">
        <v>487</v>
      </c>
      <c r="Q191" s="238">
        <v>10056557</v>
      </c>
      <c r="R191" s="239">
        <v>43494</v>
      </c>
      <c r="S191" s="239">
        <v>43496</v>
      </c>
      <c r="T191" s="239">
        <v>43523</v>
      </c>
      <c r="U191" s="237" t="s">
        <v>488</v>
      </c>
      <c r="V191" s="237" t="s">
        <v>489</v>
      </c>
      <c r="W191" s="237">
        <v>2</v>
      </c>
      <c r="X191" s="237">
        <v>2</v>
      </c>
      <c r="Y191" s="237">
        <v>2</v>
      </c>
      <c r="Z191" s="237">
        <v>2</v>
      </c>
      <c r="AA191" s="237">
        <v>2</v>
      </c>
      <c r="AB191" s="237" t="s">
        <v>486</v>
      </c>
      <c r="AC191" s="237" t="s">
        <v>486</v>
      </c>
      <c r="AD191" s="237" t="s">
        <v>219</v>
      </c>
      <c r="AE191" s="237" t="s">
        <v>490</v>
      </c>
      <c r="AF191" s="237" t="s">
        <v>486</v>
      </c>
      <c r="AG191" s="237" t="s">
        <v>486</v>
      </c>
      <c r="AH191" s="237" t="s">
        <v>486</v>
      </c>
      <c r="AI191" s="237" t="s">
        <v>486</v>
      </c>
      <c r="AJ191" s="237" t="s">
        <v>486</v>
      </c>
      <c r="AK191" s="237" t="s">
        <v>486</v>
      </c>
      <c r="AL191" s="237" t="s">
        <v>486</v>
      </c>
      <c r="AM191" s="237" t="s">
        <v>491</v>
      </c>
      <c r="AN191" s="237" t="s">
        <v>231</v>
      </c>
      <c r="AO191" s="237" t="s">
        <v>231</v>
      </c>
      <c r="AP191" s="237" t="s">
        <v>231</v>
      </c>
      <c r="AQ191" s="237" t="s">
        <v>231</v>
      </c>
      <c r="AR191" s="237" t="s">
        <v>231</v>
      </c>
      <c r="AS191" s="237" t="s">
        <v>231</v>
      </c>
      <c r="AT191" s="237" t="s">
        <v>231</v>
      </c>
      <c r="AU191" s="237" t="s">
        <v>231</v>
      </c>
      <c r="AV191" s="237" t="s">
        <v>231</v>
      </c>
      <c r="AW191" s="237" t="s">
        <v>231</v>
      </c>
      <c r="AX191" s="237" t="s">
        <v>231</v>
      </c>
      <c r="AY191" s="237" t="s">
        <v>231</v>
      </c>
      <c r="AZ191" s="237" t="s">
        <v>231</v>
      </c>
      <c r="BA191" s="237" t="s">
        <v>231</v>
      </c>
      <c r="BB191" s="237" t="s">
        <v>231</v>
      </c>
      <c r="BC191" s="237" t="s">
        <v>231</v>
      </c>
      <c r="BD191" s="237" t="s">
        <v>492</v>
      </c>
      <c r="BE191" s="237" t="s">
        <v>231</v>
      </c>
      <c r="BF191" s="237" t="s">
        <v>231</v>
      </c>
      <c r="BG191" s="237" t="s">
        <v>231</v>
      </c>
      <c r="BH191" s="237" t="s">
        <v>231</v>
      </c>
      <c r="BI191" s="237" t="s">
        <v>231</v>
      </c>
      <c r="BJ191" s="237" t="s">
        <v>231</v>
      </c>
      <c r="BK191" s="237" t="s">
        <v>231</v>
      </c>
      <c r="BL191" s="237" t="s">
        <v>492</v>
      </c>
      <c r="BM191" s="237" t="s">
        <v>492</v>
      </c>
      <c r="BN191" s="237" t="s">
        <v>231</v>
      </c>
      <c r="BO191" s="237" t="s">
        <v>231</v>
      </c>
      <c r="BP191" s="237" t="s">
        <v>231</v>
      </c>
      <c r="BQ191" s="237" t="s">
        <v>231</v>
      </c>
      <c r="BR191" s="237" t="s">
        <v>231</v>
      </c>
      <c r="BS191" s="237" t="s">
        <v>231</v>
      </c>
      <c r="BT191" s="237" t="s">
        <v>231</v>
      </c>
      <c r="BU191" s="237" t="s">
        <v>231</v>
      </c>
      <c r="BV191" s="237" t="s">
        <v>231</v>
      </c>
      <c r="BW191" s="237" t="s">
        <v>231</v>
      </c>
      <c r="BX191" s="237" t="s">
        <v>231</v>
      </c>
      <c r="BY191" s="237" t="s">
        <v>231</v>
      </c>
      <c r="BZ191" s="237" t="s">
        <v>231</v>
      </c>
      <c r="CA191" s="237" t="s">
        <v>231</v>
      </c>
      <c r="CB191" s="237" t="s">
        <v>231</v>
      </c>
      <c r="CC191" s="237" t="s">
        <v>231</v>
      </c>
      <c r="CD191" s="237" t="s">
        <v>231</v>
      </c>
      <c r="CE191" s="237" t="s">
        <v>231</v>
      </c>
      <c r="CF191" s="237" t="s">
        <v>231</v>
      </c>
      <c r="CG191" s="237" t="s">
        <v>231</v>
      </c>
      <c r="CH191" s="237" t="s">
        <v>231</v>
      </c>
      <c r="CI191" s="237" t="s">
        <v>231</v>
      </c>
      <c r="CJ191" s="237" t="s">
        <v>231</v>
      </c>
      <c r="CK191" s="237" t="s">
        <v>231</v>
      </c>
      <c r="CL191" s="237" t="s">
        <v>231</v>
      </c>
      <c r="CM191" s="237" t="s">
        <v>231</v>
      </c>
      <c r="CN191" s="237" t="s">
        <v>231</v>
      </c>
      <c r="CO191" s="237" t="s">
        <v>231</v>
      </c>
      <c r="CP191" s="237" t="s">
        <v>231</v>
      </c>
      <c r="CQ191" s="237" t="s">
        <v>231</v>
      </c>
      <c r="CR191" s="237" t="s">
        <v>231</v>
      </c>
      <c r="CS191" s="237" t="s">
        <v>231</v>
      </c>
      <c r="CT191" s="237" t="s">
        <v>492</v>
      </c>
      <c r="CU191" s="237" t="s">
        <v>492</v>
      </c>
      <c r="CV191" s="237" t="s">
        <v>492</v>
      </c>
      <c r="CW191" s="237" t="s">
        <v>231</v>
      </c>
      <c r="CX191" s="237" t="s">
        <v>231</v>
      </c>
      <c r="CY191" s="237" t="s">
        <v>231</v>
      </c>
      <c r="CZ191" s="237" t="s">
        <v>231</v>
      </c>
      <c r="DA191" s="237" t="s">
        <v>231</v>
      </c>
      <c r="DB191" s="237" t="s">
        <v>231</v>
      </c>
      <c r="DC191" s="237" t="s">
        <v>231</v>
      </c>
      <c r="DD191" s="237" t="s">
        <v>231</v>
      </c>
      <c r="DE191" s="237" t="s">
        <v>231</v>
      </c>
      <c r="DF191" s="237" t="s">
        <v>231</v>
      </c>
      <c r="DG191" s="237" t="s">
        <v>231</v>
      </c>
      <c r="DH191" s="237" t="s">
        <v>231</v>
      </c>
      <c r="DI191" s="237" t="s">
        <v>231</v>
      </c>
      <c r="DJ191" s="237" t="s">
        <v>231</v>
      </c>
      <c r="DK191" s="237" t="s">
        <v>231</v>
      </c>
      <c r="DL191" s="237" t="s">
        <v>231</v>
      </c>
      <c r="DM191" s="237" t="s">
        <v>231</v>
      </c>
      <c r="DN191" s="237" t="s">
        <v>231</v>
      </c>
      <c r="DO191" s="237" t="s">
        <v>231</v>
      </c>
      <c r="DP191" s="237" t="s">
        <v>231</v>
      </c>
      <c r="DQ191" s="237" t="s">
        <v>231</v>
      </c>
      <c r="DR191" s="237" t="s">
        <v>231</v>
      </c>
      <c r="DS191" s="237" t="s">
        <v>231</v>
      </c>
      <c r="DT191" s="237" t="s">
        <v>492</v>
      </c>
      <c r="DU191" s="237" t="s">
        <v>231</v>
      </c>
      <c r="DV191" s="237" t="s">
        <v>231</v>
      </c>
      <c r="DW191" s="237" t="s">
        <v>231</v>
      </c>
      <c r="DX191" s="237" t="s">
        <v>231</v>
      </c>
      <c r="DY191" s="237" t="s">
        <v>231</v>
      </c>
      <c r="DZ191" s="237" t="s">
        <v>231</v>
      </c>
      <c r="EA191" s="237" t="s">
        <v>231</v>
      </c>
      <c r="EB191" s="237" t="s">
        <v>231</v>
      </c>
      <c r="EC191" s="237" t="s">
        <v>231</v>
      </c>
      <c r="ED191" s="237" t="s">
        <v>231</v>
      </c>
      <c r="EE191" s="237" t="s">
        <v>231</v>
      </c>
      <c r="EF191" s="237" t="s">
        <v>231</v>
      </c>
      <c r="EG191" s="237" t="s">
        <v>231</v>
      </c>
      <c r="EH191" s="237" t="s">
        <v>492</v>
      </c>
      <c r="EI191" s="237" t="s">
        <v>231</v>
      </c>
      <c r="EJ191" s="237" t="s">
        <v>231</v>
      </c>
      <c r="EK191" s="237" t="s">
        <v>231</v>
      </c>
      <c r="EL191" s="237" t="s">
        <v>231</v>
      </c>
      <c r="EM191" s="237" t="s">
        <v>231</v>
      </c>
      <c r="EN191" s="237" t="s">
        <v>231</v>
      </c>
      <c r="EO191" s="237" t="s">
        <v>231</v>
      </c>
      <c r="EP191" s="237" t="s">
        <v>231</v>
      </c>
      <c r="EQ191" s="237" t="s">
        <v>231</v>
      </c>
      <c r="ER191" s="237" t="s">
        <v>231</v>
      </c>
      <c r="ES191" s="237" t="s">
        <v>231</v>
      </c>
      <c r="ET191" s="237" t="s">
        <v>231</v>
      </c>
      <c r="EU191" s="237" t="s">
        <v>231</v>
      </c>
      <c r="EV191" s="237" t="s">
        <v>231</v>
      </c>
      <c r="EW191" s="237" t="s">
        <v>231</v>
      </c>
      <c r="EX191" s="237" t="s">
        <v>231</v>
      </c>
      <c r="EY191" s="237" t="s">
        <v>231</v>
      </c>
      <c r="EZ191" s="237" t="s">
        <v>231</v>
      </c>
      <c r="FA191" s="237" t="s">
        <v>231</v>
      </c>
      <c r="FB191" s="237" t="s">
        <v>231</v>
      </c>
      <c r="FC191" s="237" t="s">
        <v>231</v>
      </c>
      <c r="FD191" s="237" t="s">
        <v>231</v>
      </c>
      <c r="FE191" s="237" t="s">
        <v>231</v>
      </c>
      <c r="FF191" s="237" t="s">
        <v>231</v>
      </c>
      <c r="FG191" s="237" t="s">
        <v>231</v>
      </c>
      <c r="FH191" s="237" t="s">
        <v>231</v>
      </c>
      <c r="FI191" s="237" t="s">
        <v>231</v>
      </c>
      <c r="FJ191" s="237" t="s">
        <v>231</v>
      </c>
      <c r="FK191" s="237" t="s">
        <v>231</v>
      </c>
      <c r="FL191" s="237" t="s">
        <v>231</v>
      </c>
      <c r="FM191" s="237" t="s">
        <v>231</v>
      </c>
      <c r="FN191" s="237" t="s">
        <v>231</v>
      </c>
      <c r="FO191" s="237" t="s">
        <v>231</v>
      </c>
      <c r="FP191" s="237" t="s">
        <v>231</v>
      </c>
      <c r="FQ191" s="237" t="s">
        <v>231</v>
      </c>
      <c r="FR191" s="237" t="s">
        <v>231</v>
      </c>
      <c r="FS191" s="237" t="s">
        <v>231</v>
      </c>
      <c r="FT191" s="237" t="s">
        <v>231</v>
      </c>
      <c r="FU191" s="237" t="s">
        <v>231</v>
      </c>
      <c r="FV191" s="237" t="s">
        <v>231</v>
      </c>
      <c r="FW191" s="237" t="s">
        <v>231</v>
      </c>
      <c r="FX191" s="237" t="s">
        <v>492</v>
      </c>
      <c r="FY191" s="237" t="s">
        <v>231</v>
      </c>
      <c r="FZ191" s="237" t="s">
        <v>231</v>
      </c>
      <c r="GA191" s="237" t="s">
        <v>231</v>
      </c>
      <c r="GB191" s="237" t="s">
        <v>231</v>
      </c>
      <c r="GC191" s="237" t="s">
        <v>231</v>
      </c>
      <c r="GD191" s="237" t="s">
        <v>231</v>
      </c>
      <c r="GE191" s="237" t="s">
        <v>231</v>
      </c>
      <c r="GF191" s="237" t="s">
        <v>231</v>
      </c>
      <c r="GG191" s="237" t="s">
        <v>231</v>
      </c>
      <c r="GH191" s="237" t="s">
        <v>231</v>
      </c>
      <c r="GI191" s="237" t="s">
        <v>231</v>
      </c>
      <c r="GJ191" s="237" t="s">
        <v>231</v>
      </c>
      <c r="GK191" s="237" t="s">
        <v>231</v>
      </c>
      <c r="GL191" s="237" t="s">
        <v>231</v>
      </c>
      <c r="GM191" s="237" t="s">
        <v>231</v>
      </c>
      <c r="GN191" s="237" t="s">
        <v>231</v>
      </c>
      <c r="GO191" s="237" t="s">
        <v>231</v>
      </c>
      <c r="GP191" s="237" t="s">
        <v>492</v>
      </c>
      <c r="GQ191" s="237" t="s">
        <v>231</v>
      </c>
      <c r="GR191" s="237" t="s">
        <v>231</v>
      </c>
      <c r="GS191" s="237" t="s">
        <v>231</v>
      </c>
      <c r="GT191" s="237" t="s">
        <v>231</v>
      </c>
      <c r="GU191" s="237" t="s">
        <v>231</v>
      </c>
      <c r="GV191" s="237" t="s">
        <v>492</v>
      </c>
      <c r="GW191" s="237" t="s">
        <v>231</v>
      </c>
      <c r="GX191" s="237" t="s">
        <v>231</v>
      </c>
      <c r="GY191" s="237" t="s">
        <v>231</v>
      </c>
      <c r="GZ191" s="237" t="s">
        <v>231</v>
      </c>
      <c r="HA191" s="237" t="s">
        <v>231</v>
      </c>
      <c r="HB191" s="237" t="s">
        <v>231</v>
      </c>
      <c r="HC191" s="237" t="s">
        <v>231</v>
      </c>
      <c r="HD191" s="237" t="s">
        <v>231</v>
      </c>
      <c r="HE191" s="237" t="s">
        <v>231</v>
      </c>
      <c r="HF191" s="237" t="s">
        <v>231</v>
      </c>
      <c r="HG191" s="237" t="s">
        <v>231</v>
      </c>
      <c r="HH191" s="237" t="s">
        <v>231</v>
      </c>
      <c r="HI191" s="237" t="s">
        <v>231</v>
      </c>
      <c r="HJ191" s="237" t="s">
        <v>231</v>
      </c>
      <c r="HK191" s="237" t="s">
        <v>231</v>
      </c>
      <c r="HL191" s="237" t="s">
        <v>231</v>
      </c>
      <c r="HM191" s="237" t="s">
        <v>231</v>
      </c>
      <c r="HN191" s="237" t="s">
        <v>231</v>
      </c>
      <c r="HO191" s="237" t="s">
        <v>231</v>
      </c>
      <c r="HP191" s="237" t="s">
        <v>231</v>
      </c>
      <c r="HQ191" s="237" t="s">
        <v>492</v>
      </c>
      <c r="HR191" s="237" t="s">
        <v>492</v>
      </c>
      <c r="HS191" s="237" t="s">
        <v>492</v>
      </c>
      <c r="HT191" s="237" t="s">
        <v>492</v>
      </c>
      <c r="HU191" s="237" t="s">
        <v>231</v>
      </c>
      <c r="HV191" s="237" t="s">
        <v>231</v>
      </c>
      <c r="HW191" s="237" t="s">
        <v>231</v>
      </c>
      <c r="HX191" s="237" t="s">
        <v>231</v>
      </c>
      <c r="HY191" s="237" t="s">
        <v>231</v>
      </c>
      <c r="HZ191" s="237" t="s">
        <v>231</v>
      </c>
      <c r="IA191" s="237" t="s">
        <v>231</v>
      </c>
      <c r="IB191" s="237" t="s">
        <v>231</v>
      </c>
      <c r="IC191" s="237" t="s">
        <v>231</v>
      </c>
      <c r="ID191" s="237" t="s">
        <v>231</v>
      </c>
      <c r="IE191" s="237" t="s">
        <v>231</v>
      </c>
      <c r="IF191" s="237" t="s">
        <v>231</v>
      </c>
      <c r="IG191" s="237" t="s">
        <v>231</v>
      </c>
      <c r="IH191" s="237" t="s">
        <v>231</v>
      </c>
      <c r="II191" s="237" t="s">
        <v>231</v>
      </c>
      <c r="IJ191" s="237" t="s">
        <v>231</v>
      </c>
      <c r="IK191" s="237" t="s">
        <v>231</v>
      </c>
      <c r="IL191" s="237" t="s">
        <v>231</v>
      </c>
      <c r="IM191" s="237" t="s">
        <v>231</v>
      </c>
      <c r="IN191" s="237" t="s">
        <v>231</v>
      </c>
      <c r="IO191" s="237" t="s">
        <v>220</v>
      </c>
      <c r="IP191" s="237" t="s">
        <v>493</v>
      </c>
      <c r="IQ191" s="237" t="s">
        <v>219</v>
      </c>
      <c r="IR191" s="237" t="s">
        <v>490</v>
      </c>
      <c r="IS191" s="237" t="s">
        <v>492</v>
      </c>
      <c r="IT191" s="237" t="s">
        <v>492</v>
      </c>
    </row>
    <row r="192" spans="1:254" ht="15" x14ac:dyDescent="0.25">
      <c r="A192" s="259" t="str">
        <f>HYPERLINK("http://www.ofsted.gov.uk/inspection-reports/find-inspection-report/provider/ELS/105596 ","Ofsted School Webpage")</f>
        <v>Ofsted School Webpage</v>
      </c>
      <c r="B192" s="240">
        <v>105596</v>
      </c>
      <c r="C192" s="240">
        <v>3526037</v>
      </c>
      <c r="D192" s="240" t="s">
        <v>976</v>
      </c>
      <c r="E192" s="240" t="s">
        <v>247</v>
      </c>
      <c r="F192" s="240" t="s">
        <v>482</v>
      </c>
      <c r="G192" s="240" t="s">
        <v>495</v>
      </c>
      <c r="H192" s="240" t="s">
        <v>495</v>
      </c>
      <c r="I192" s="240" t="s">
        <v>744</v>
      </c>
      <c r="J192" s="240" t="s">
        <v>977</v>
      </c>
      <c r="K192" s="240" t="s">
        <v>93</v>
      </c>
      <c r="L192" s="240" t="s">
        <v>71</v>
      </c>
      <c r="M192" s="240" t="s">
        <v>71</v>
      </c>
      <c r="N192" s="240" t="s">
        <v>71</v>
      </c>
      <c r="O192" s="240" t="s">
        <v>486</v>
      </c>
      <c r="P192" s="240" t="s">
        <v>487</v>
      </c>
      <c r="Q192" s="241">
        <v>10086143</v>
      </c>
      <c r="R192" s="242">
        <v>43494</v>
      </c>
      <c r="S192" s="242">
        <v>43496</v>
      </c>
      <c r="T192" s="242">
        <v>43529</v>
      </c>
      <c r="U192" s="240" t="s">
        <v>488</v>
      </c>
      <c r="V192" s="240" t="s">
        <v>489</v>
      </c>
      <c r="W192" s="240">
        <v>2</v>
      </c>
      <c r="X192" s="240">
        <v>2</v>
      </c>
      <c r="Y192" s="240">
        <v>2</v>
      </c>
      <c r="Z192" s="240">
        <v>2</v>
      </c>
      <c r="AA192" s="240">
        <v>2</v>
      </c>
      <c r="AB192" s="240" t="s">
        <v>486</v>
      </c>
      <c r="AC192" s="240" t="s">
        <v>486</v>
      </c>
      <c r="AD192" s="240" t="s">
        <v>219</v>
      </c>
      <c r="AE192" s="240" t="s">
        <v>490</v>
      </c>
      <c r="AF192" s="240" t="s">
        <v>486</v>
      </c>
      <c r="AG192" s="240" t="s">
        <v>486</v>
      </c>
      <c r="AH192" s="240" t="s">
        <v>486</v>
      </c>
      <c r="AI192" s="240" t="s">
        <v>486</v>
      </c>
      <c r="AJ192" s="240" t="s">
        <v>486</v>
      </c>
      <c r="AK192" s="240" t="s">
        <v>486</v>
      </c>
      <c r="AL192" s="240" t="s">
        <v>486</v>
      </c>
      <c r="AM192" s="240" t="s">
        <v>491</v>
      </c>
      <c r="AN192" s="240" t="s">
        <v>231</v>
      </c>
      <c r="AO192" s="240" t="s">
        <v>231</v>
      </c>
      <c r="AP192" s="240" t="s">
        <v>231</v>
      </c>
      <c r="AQ192" s="240" t="s">
        <v>231</v>
      </c>
      <c r="AR192" s="240" t="s">
        <v>231</v>
      </c>
      <c r="AS192" s="240" t="s">
        <v>231</v>
      </c>
      <c r="AT192" s="240" t="s">
        <v>231</v>
      </c>
      <c r="AU192" s="240" t="s">
        <v>231</v>
      </c>
      <c r="AV192" s="240" t="s">
        <v>231</v>
      </c>
      <c r="AW192" s="240" t="s">
        <v>231</v>
      </c>
      <c r="AX192" s="240" t="s">
        <v>231</v>
      </c>
      <c r="AY192" s="240" t="s">
        <v>231</v>
      </c>
      <c r="AZ192" s="240" t="s">
        <v>231</v>
      </c>
      <c r="BA192" s="240" t="s">
        <v>231</v>
      </c>
      <c r="BB192" s="240" t="s">
        <v>231</v>
      </c>
      <c r="BC192" s="240" t="s">
        <v>231</v>
      </c>
      <c r="BD192" s="240" t="s">
        <v>231</v>
      </c>
      <c r="BE192" s="240" t="s">
        <v>231</v>
      </c>
      <c r="BF192" s="240" t="s">
        <v>231</v>
      </c>
      <c r="BG192" s="240" t="s">
        <v>231</v>
      </c>
      <c r="BH192" s="240" t="s">
        <v>231</v>
      </c>
      <c r="BI192" s="240" t="s">
        <v>231</v>
      </c>
      <c r="BJ192" s="240" t="s">
        <v>231</v>
      </c>
      <c r="BK192" s="240" t="s">
        <v>231</v>
      </c>
      <c r="BL192" s="240" t="s">
        <v>492</v>
      </c>
      <c r="BM192" s="240" t="s">
        <v>231</v>
      </c>
      <c r="BN192" s="240" t="s">
        <v>231</v>
      </c>
      <c r="BO192" s="240" t="s">
        <v>231</v>
      </c>
      <c r="BP192" s="240" t="s">
        <v>231</v>
      </c>
      <c r="BQ192" s="240" t="s">
        <v>231</v>
      </c>
      <c r="BR192" s="240" t="s">
        <v>231</v>
      </c>
      <c r="BS192" s="240" t="s">
        <v>231</v>
      </c>
      <c r="BT192" s="240" t="s">
        <v>231</v>
      </c>
      <c r="BU192" s="240" t="s">
        <v>231</v>
      </c>
      <c r="BV192" s="240" t="s">
        <v>231</v>
      </c>
      <c r="BW192" s="240" t="s">
        <v>231</v>
      </c>
      <c r="BX192" s="240" t="s">
        <v>231</v>
      </c>
      <c r="BY192" s="240" t="s">
        <v>231</v>
      </c>
      <c r="BZ192" s="240" t="s">
        <v>231</v>
      </c>
      <c r="CA192" s="240" t="s">
        <v>231</v>
      </c>
      <c r="CB192" s="240" t="s">
        <v>231</v>
      </c>
      <c r="CC192" s="240" t="s">
        <v>231</v>
      </c>
      <c r="CD192" s="240" t="s">
        <v>231</v>
      </c>
      <c r="CE192" s="240" t="s">
        <v>231</v>
      </c>
      <c r="CF192" s="240" t="s">
        <v>231</v>
      </c>
      <c r="CG192" s="240" t="s">
        <v>231</v>
      </c>
      <c r="CH192" s="240" t="s">
        <v>231</v>
      </c>
      <c r="CI192" s="240" t="s">
        <v>231</v>
      </c>
      <c r="CJ192" s="240" t="s">
        <v>231</v>
      </c>
      <c r="CK192" s="240" t="s">
        <v>231</v>
      </c>
      <c r="CL192" s="240" t="s">
        <v>231</v>
      </c>
      <c r="CM192" s="240" t="s">
        <v>231</v>
      </c>
      <c r="CN192" s="240" t="s">
        <v>231</v>
      </c>
      <c r="CO192" s="240" t="s">
        <v>231</v>
      </c>
      <c r="CP192" s="240" t="s">
        <v>231</v>
      </c>
      <c r="CQ192" s="240" t="s">
        <v>231</v>
      </c>
      <c r="CR192" s="240" t="s">
        <v>231</v>
      </c>
      <c r="CS192" s="240" t="s">
        <v>231</v>
      </c>
      <c r="CT192" s="240" t="s">
        <v>231</v>
      </c>
      <c r="CU192" s="240" t="s">
        <v>492</v>
      </c>
      <c r="CV192" s="240" t="s">
        <v>492</v>
      </c>
      <c r="CW192" s="240" t="s">
        <v>231</v>
      </c>
      <c r="CX192" s="240" t="s">
        <v>231</v>
      </c>
      <c r="CY192" s="240" t="s">
        <v>231</v>
      </c>
      <c r="CZ192" s="240" t="s">
        <v>231</v>
      </c>
      <c r="DA192" s="240" t="s">
        <v>231</v>
      </c>
      <c r="DB192" s="240" t="s">
        <v>231</v>
      </c>
      <c r="DC192" s="240" t="s">
        <v>231</v>
      </c>
      <c r="DD192" s="240" t="s">
        <v>231</v>
      </c>
      <c r="DE192" s="240" t="s">
        <v>231</v>
      </c>
      <c r="DF192" s="240" t="s">
        <v>231</v>
      </c>
      <c r="DG192" s="240" t="s">
        <v>231</v>
      </c>
      <c r="DH192" s="240" t="s">
        <v>231</v>
      </c>
      <c r="DI192" s="240" t="s">
        <v>231</v>
      </c>
      <c r="DJ192" s="240" t="s">
        <v>231</v>
      </c>
      <c r="DK192" s="240" t="s">
        <v>231</v>
      </c>
      <c r="DL192" s="240" t="s">
        <v>231</v>
      </c>
      <c r="DM192" s="240" t="s">
        <v>231</v>
      </c>
      <c r="DN192" s="240" t="s">
        <v>231</v>
      </c>
      <c r="DO192" s="240" t="s">
        <v>231</v>
      </c>
      <c r="DP192" s="240" t="s">
        <v>231</v>
      </c>
      <c r="DQ192" s="240" t="s">
        <v>231</v>
      </c>
      <c r="DR192" s="240" t="s">
        <v>231</v>
      </c>
      <c r="DS192" s="240" t="s">
        <v>231</v>
      </c>
      <c r="DT192" s="240" t="s">
        <v>492</v>
      </c>
      <c r="DU192" s="240" t="s">
        <v>492</v>
      </c>
      <c r="DV192" s="240" t="s">
        <v>492</v>
      </c>
      <c r="DW192" s="240" t="s">
        <v>492</v>
      </c>
      <c r="DX192" s="240" t="s">
        <v>492</v>
      </c>
      <c r="DY192" s="240" t="s">
        <v>492</v>
      </c>
      <c r="DZ192" s="240" t="s">
        <v>492</v>
      </c>
      <c r="EA192" s="240" t="s">
        <v>492</v>
      </c>
      <c r="EB192" s="240" t="s">
        <v>492</v>
      </c>
      <c r="EC192" s="240" t="s">
        <v>492</v>
      </c>
      <c r="ED192" s="240" t="s">
        <v>492</v>
      </c>
      <c r="EE192" s="240" t="s">
        <v>492</v>
      </c>
      <c r="EF192" s="240" t="s">
        <v>492</v>
      </c>
      <c r="EG192" s="240" t="s">
        <v>492</v>
      </c>
      <c r="EH192" s="240" t="s">
        <v>492</v>
      </c>
      <c r="EI192" s="240" t="s">
        <v>492</v>
      </c>
      <c r="EJ192" s="240" t="s">
        <v>231</v>
      </c>
      <c r="EK192" s="240" t="s">
        <v>231</v>
      </c>
      <c r="EL192" s="240" t="s">
        <v>231</v>
      </c>
      <c r="EM192" s="240" t="s">
        <v>231</v>
      </c>
      <c r="EN192" s="240" t="s">
        <v>231</v>
      </c>
      <c r="EO192" s="240" t="s">
        <v>231</v>
      </c>
      <c r="EP192" s="240" t="s">
        <v>231</v>
      </c>
      <c r="EQ192" s="240" t="s">
        <v>231</v>
      </c>
      <c r="ER192" s="240" t="s">
        <v>231</v>
      </c>
      <c r="ES192" s="240" t="s">
        <v>231</v>
      </c>
      <c r="ET192" s="240" t="s">
        <v>231</v>
      </c>
      <c r="EU192" s="240" t="s">
        <v>231</v>
      </c>
      <c r="EV192" s="240" t="s">
        <v>231</v>
      </c>
      <c r="EW192" s="240" t="s">
        <v>231</v>
      </c>
      <c r="EX192" s="240" t="s">
        <v>231</v>
      </c>
      <c r="EY192" s="240" t="s">
        <v>231</v>
      </c>
      <c r="EZ192" s="240" t="s">
        <v>231</v>
      </c>
      <c r="FA192" s="240" t="s">
        <v>231</v>
      </c>
      <c r="FB192" s="240" t="s">
        <v>231</v>
      </c>
      <c r="FC192" s="240" t="s">
        <v>231</v>
      </c>
      <c r="FD192" s="240" t="s">
        <v>231</v>
      </c>
      <c r="FE192" s="240" t="s">
        <v>231</v>
      </c>
      <c r="FF192" s="240" t="s">
        <v>231</v>
      </c>
      <c r="FG192" s="240" t="s">
        <v>492</v>
      </c>
      <c r="FH192" s="240" t="s">
        <v>492</v>
      </c>
      <c r="FI192" s="240" t="s">
        <v>492</v>
      </c>
      <c r="FJ192" s="240" t="s">
        <v>492</v>
      </c>
      <c r="FK192" s="240" t="s">
        <v>492</v>
      </c>
      <c r="FL192" s="240" t="s">
        <v>492</v>
      </c>
      <c r="FM192" s="240" t="s">
        <v>231</v>
      </c>
      <c r="FN192" s="240" t="s">
        <v>231</v>
      </c>
      <c r="FO192" s="240" t="s">
        <v>231</v>
      </c>
      <c r="FP192" s="240" t="s">
        <v>231</v>
      </c>
      <c r="FQ192" s="240" t="s">
        <v>231</v>
      </c>
      <c r="FR192" s="240" t="s">
        <v>231</v>
      </c>
      <c r="FS192" s="240" t="s">
        <v>231</v>
      </c>
      <c r="FT192" s="240" t="s">
        <v>231</v>
      </c>
      <c r="FU192" s="240" t="s">
        <v>231</v>
      </c>
      <c r="FV192" s="240" t="s">
        <v>231</v>
      </c>
      <c r="FW192" s="240" t="s">
        <v>231</v>
      </c>
      <c r="FX192" s="240" t="s">
        <v>492</v>
      </c>
      <c r="FY192" s="240" t="s">
        <v>231</v>
      </c>
      <c r="FZ192" s="240" t="s">
        <v>231</v>
      </c>
      <c r="GA192" s="240" t="s">
        <v>231</v>
      </c>
      <c r="GB192" s="240" t="s">
        <v>231</v>
      </c>
      <c r="GC192" s="240" t="s">
        <v>231</v>
      </c>
      <c r="GD192" s="240" t="s">
        <v>231</v>
      </c>
      <c r="GE192" s="240" t="s">
        <v>231</v>
      </c>
      <c r="GF192" s="240" t="s">
        <v>231</v>
      </c>
      <c r="GG192" s="240" t="s">
        <v>231</v>
      </c>
      <c r="GH192" s="240" t="s">
        <v>231</v>
      </c>
      <c r="GI192" s="240" t="s">
        <v>231</v>
      </c>
      <c r="GJ192" s="240" t="s">
        <v>231</v>
      </c>
      <c r="GK192" s="240" t="s">
        <v>231</v>
      </c>
      <c r="GL192" s="240" t="s">
        <v>231</v>
      </c>
      <c r="GM192" s="240" t="s">
        <v>231</v>
      </c>
      <c r="GN192" s="240" t="s">
        <v>231</v>
      </c>
      <c r="GO192" s="240" t="s">
        <v>231</v>
      </c>
      <c r="GP192" s="240" t="s">
        <v>492</v>
      </c>
      <c r="GQ192" s="240" t="s">
        <v>231</v>
      </c>
      <c r="GR192" s="240" t="s">
        <v>231</v>
      </c>
      <c r="GS192" s="240" t="s">
        <v>231</v>
      </c>
      <c r="GT192" s="240" t="s">
        <v>231</v>
      </c>
      <c r="GU192" s="240" t="s">
        <v>231</v>
      </c>
      <c r="GV192" s="240" t="s">
        <v>231</v>
      </c>
      <c r="GW192" s="240" t="s">
        <v>231</v>
      </c>
      <c r="GX192" s="240" t="s">
        <v>231</v>
      </c>
      <c r="GY192" s="240" t="s">
        <v>492</v>
      </c>
      <c r="GZ192" s="240" t="s">
        <v>492</v>
      </c>
      <c r="HA192" s="240" t="s">
        <v>231</v>
      </c>
      <c r="HB192" s="240" t="s">
        <v>231</v>
      </c>
      <c r="HC192" s="240" t="s">
        <v>231</v>
      </c>
      <c r="HD192" s="240" t="s">
        <v>231</v>
      </c>
      <c r="HE192" s="240" t="s">
        <v>231</v>
      </c>
      <c r="HF192" s="240" t="s">
        <v>231</v>
      </c>
      <c r="HG192" s="240" t="s">
        <v>231</v>
      </c>
      <c r="HH192" s="240" t="s">
        <v>231</v>
      </c>
      <c r="HI192" s="240" t="s">
        <v>231</v>
      </c>
      <c r="HJ192" s="240" t="s">
        <v>231</v>
      </c>
      <c r="HK192" s="240" t="s">
        <v>231</v>
      </c>
      <c r="HL192" s="240" t="s">
        <v>231</v>
      </c>
      <c r="HM192" s="240" t="s">
        <v>231</v>
      </c>
      <c r="HN192" s="240" t="s">
        <v>492</v>
      </c>
      <c r="HO192" s="240" t="s">
        <v>231</v>
      </c>
      <c r="HP192" s="240" t="s">
        <v>231</v>
      </c>
      <c r="HQ192" s="240" t="s">
        <v>492</v>
      </c>
      <c r="HR192" s="240" t="s">
        <v>492</v>
      </c>
      <c r="HS192" s="240" t="s">
        <v>492</v>
      </c>
      <c r="HT192" s="240" t="s">
        <v>492</v>
      </c>
      <c r="HU192" s="240" t="s">
        <v>231</v>
      </c>
      <c r="HV192" s="240" t="s">
        <v>231</v>
      </c>
      <c r="HW192" s="240" t="s">
        <v>231</v>
      </c>
      <c r="HX192" s="240" t="s">
        <v>231</v>
      </c>
      <c r="HY192" s="240" t="s">
        <v>231</v>
      </c>
      <c r="HZ192" s="240" t="s">
        <v>231</v>
      </c>
      <c r="IA192" s="240" t="s">
        <v>231</v>
      </c>
      <c r="IB192" s="240" t="s">
        <v>231</v>
      </c>
      <c r="IC192" s="240" t="s">
        <v>231</v>
      </c>
      <c r="ID192" s="240" t="s">
        <v>231</v>
      </c>
      <c r="IE192" s="240" t="s">
        <v>231</v>
      </c>
      <c r="IF192" s="240" t="s">
        <v>231</v>
      </c>
      <c r="IG192" s="240" t="s">
        <v>231</v>
      </c>
      <c r="IH192" s="240" t="s">
        <v>231</v>
      </c>
      <c r="II192" s="240" t="s">
        <v>231</v>
      </c>
      <c r="IJ192" s="240" t="s">
        <v>231</v>
      </c>
      <c r="IK192" s="240" t="s">
        <v>231</v>
      </c>
      <c r="IL192" s="240" t="s">
        <v>231</v>
      </c>
      <c r="IM192" s="240" t="s">
        <v>231</v>
      </c>
      <c r="IN192" s="240" t="s">
        <v>231</v>
      </c>
      <c r="IO192" s="240" t="s">
        <v>220</v>
      </c>
      <c r="IP192" s="240" t="s">
        <v>493</v>
      </c>
      <c r="IQ192" s="240" t="s">
        <v>219</v>
      </c>
      <c r="IR192" s="240" t="s">
        <v>490</v>
      </c>
      <c r="IS192" s="240" t="s">
        <v>492</v>
      </c>
      <c r="IT192" s="240" t="s">
        <v>492</v>
      </c>
    </row>
    <row r="193" spans="1:254" ht="15" x14ac:dyDescent="0.25">
      <c r="A193" s="258" t="str">
        <f>HYPERLINK("http://www.ofsted.gov.uk/inspection-reports/find-inspection-report/provider/ELS/134179 ","Ofsted School Webpage")</f>
        <v>Ofsted School Webpage</v>
      </c>
      <c r="B193" s="237">
        <v>134179</v>
      </c>
      <c r="C193" s="237">
        <v>8736033</v>
      </c>
      <c r="D193" s="237" t="s">
        <v>978</v>
      </c>
      <c r="E193" s="237" t="s">
        <v>248</v>
      </c>
      <c r="F193" s="237" t="s">
        <v>501</v>
      </c>
      <c r="G193" s="237" t="s">
        <v>516</v>
      </c>
      <c r="H193" s="237" t="s">
        <v>516</v>
      </c>
      <c r="I193" s="237" t="s">
        <v>867</v>
      </c>
      <c r="J193" s="237" t="s">
        <v>979</v>
      </c>
      <c r="K193" s="237" t="s">
        <v>93</v>
      </c>
      <c r="L193" s="237" t="s">
        <v>93</v>
      </c>
      <c r="M193" s="237" t="s">
        <v>93</v>
      </c>
      <c r="N193" s="237" t="s">
        <v>90</v>
      </c>
      <c r="O193" s="237" t="s">
        <v>486</v>
      </c>
      <c r="P193" s="237" t="s">
        <v>487</v>
      </c>
      <c r="Q193" s="238">
        <v>10056564</v>
      </c>
      <c r="R193" s="239">
        <v>43494</v>
      </c>
      <c r="S193" s="239">
        <v>43496</v>
      </c>
      <c r="T193" s="239">
        <v>43527</v>
      </c>
      <c r="U193" s="237" t="s">
        <v>488</v>
      </c>
      <c r="V193" s="237" t="s">
        <v>489</v>
      </c>
      <c r="W193" s="237">
        <v>2</v>
      </c>
      <c r="X193" s="237">
        <v>2</v>
      </c>
      <c r="Y193" s="237">
        <v>2</v>
      </c>
      <c r="Z193" s="237">
        <v>2</v>
      </c>
      <c r="AA193" s="237">
        <v>2</v>
      </c>
      <c r="AB193" s="237" t="s">
        <v>486</v>
      </c>
      <c r="AC193" s="237" t="s">
        <v>486</v>
      </c>
      <c r="AD193" s="237" t="s">
        <v>219</v>
      </c>
      <c r="AE193" s="237" t="s">
        <v>490</v>
      </c>
      <c r="AF193" s="237" t="s">
        <v>486</v>
      </c>
      <c r="AG193" s="237" t="s">
        <v>486</v>
      </c>
      <c r="AH193" s="237" t="s">
        <v>486</v>
      </c>
      <c r="AI193" s="237" t="s">
        <v>486</v>
      </c>
      <c r="AJ193" s="237" t="s">
        <v>486</v>
      </c>
      <c r="AK193" s="237" t="s">
        <v>486</v>
      </c>
      <c r="AL193" s="237" t="s">
        <v>486</v>
      </c>
      <c r="AM193" s="237" t="s">
        <v>491</v>
      </c>
      <c r="AN193" s="237" t="s">
        <v>231</v>
      </c>
      <c r="AO193" s="237" t="s">
        <v>231</v>
      </c>
      <c r="AP193" s="237" t="s">
        <v>231</v>
      </c>
      <c r="AQ193" s="237" t="s">
        <v>231</v>
      </c>
      <c r="AR193" s="237" t="s">
        <v>231</v>
      </c>
      <c r="AS193" s="237" t="s">
        <v>231</v>
      </c>
      <c r="AT193" s="237" t="s">
        <v>231</v>
      </c>
      <c r="AU193" s="237" t="s">
        <v>231</v>
      </c>
      <c r="AV193" s="237" t="s">
        <v>231</v>
      </c>
      <c r="AW193" s="237" t="s">
        <v>231</v>
      </c>
      <c r="AX193" s="237" t="s">
        <v>231</v>
      </c>
      <c r="AY193" s="237" t="s">
        <v>231</v>
      </c>
      <c r="AZ193" s="237" t="s">
        <v>231</v>
      </c>
      <c r="BA193" s="237" t="s">
        <v>231</v>
      </c>
      <c r="BB193" s="237" t="s">
        <v>231</v>
      </c>
      <c r="BC193" s="237" t="s">
        <v>231</v>
      </c>
      <c r="BD193" s="237" t="s">
        <v>492</v>
      </c>
      <c r="BE193" s="237" t="s">
        <v>231</v>
      </c>
      <c r="BF193" s="237" t="s">
        <v>231</v>
      </c>
      <c r="BG193" s="237" t="s">
        <v>231</v>
      </c>
      <c r="BH193" s="237" t="s">
        <v>231</v>
      </c>
      <c r="BI193" s="237" t="s">
        <v>231</v>
      </c>
      <c r="BJ193" s="237" t="s">
        <v>231</v>
      </c>
      <c r="BK193" s="237" t="s">
        <v>231</v>
      </c>
      <c r="BL193" s="237" t="s">
        <v>492</v>
      </c>
      <c r="BM193" s="237" t="s">
        <v>492</v>
      </c>
      <c r="BN193" s="237" t="s">
        <v>231</v>
      </c>
      <c r="BO193" s="237" t="s">
        <v>231</v>
      </c>
      <c r="BP193" s="237" t="s">
        <v>231</v>
      </c>
      <c r="BQ193" s="237" t="s">
        <v>231</v>
      </c>
      <c r="BR193" s="237" t="s">
        <v>231</v>
      </c>
      <c r="BS193" s="237" t="s">
        <v>231</v>
      </c>
      <c r="BT193" s="237" t="s">
        <v>231</v>
      </c>
      <c r="BU193" s="237" t="s">
        <v>231</v>
      </c>
      <c r="BV193" s="237" t="s">
        <v>231</v>
      </c>
      <c r="BW193" s="237" t="s">
        <v>231</v>
      </c>
      <c r="BX193" s="237" t="s">
        <v>231</v>
      </c>
      <c r="BY193" s="237" t="s">
        <v>231</v>
      </c>
      <c r="BZ193" s="237" t="s">
        <v>231</v>
      </c>
      <c r="CA193" s="237" t="s">
        <v>231</v>
      </c>
      <c r="CB193" s="237" t="s">
        <v>231</v>
      </c>
      <c r="CC193" s="237" t="s">
        <v>231</v>
      </c>
      <c r="CD193" s="237" t="s">
        <v>231</v>
      </c>
      <c r="CE193" s="237" t="s">
        <v>231</v>
      </c>
      <c r="CF193" s="237" t="s">
        <v>231</v>
      </c>
      <c r="CG193" s="237" t="s">
        <v>231</v>
      </c>
      <c r="CH193" s="237" t="s">
        <v>231</v>
      </c>
      <c r="CI193" s="237" t="s">
        <v>231</v>
      </c>
      <c r="CJ193" s="237" t="s">
        <v>231</v>
      </c>
      <c r="CK193" s="237" t="s">
        <v>231</v>
      </c>
      <c r="CL193" s="237" t="s">
        <v>231</v>
      </c>
      <c r="CM193" s="237" t="s">
        <v>231</v>
      </c>
      <c r="CN193" s="237" t="s">
        <v>231</v>
      </c>
      <c r="CO193" s="237" t="s">
        <v>231</v>
      </c>
      <c r="CP193" s="237" t="s">
        <v>231</v>
      </c>
      <c r="CQ193" s="237" t="s">
        <v>231</v>
      </c>
      <c r="CR193" s="237" t="s">
        <v>231</v>
      </c>
      <c r="CS193" s="237" t="s">
        <v>231</v>
      </c>
      <c r="CT193" s="237" t="s">
        <v>492</v>
      </c>
      <c r="CU193" s="237" t="s">
        <v>492</v>
      </c>
      <c r="CV193" s="237" t="s">
        <v>492</v>
      </c>
      <c r="CW193" s="237" t="s">
        <v>231</v>
      </c>
      <c r="CX193" s="237" t="s">
        <v>231</v>
      </c>
      <c r="CY193" s="237" t="s">
        <v>231</v>
      </c>
      <c r="CZ193" s="237" t="s">
        <v>231</v>
      </c>
      <c r="DA193" s="237" t="s">
        <v>231</v>
      </c>
      <c r="DB193" s="237" t="s">
        <v>231</v>
      </c>
      <c r="DC193" s="237" t="s">
        <v>231</v>
      </c>
      <c r="DD193" s="237" t="s">
        <v>231</v>
      </c>
      <c r="DE193" s="237" t="s">
        <v>231</v>
      </c>
      <c r="DF193" s="237" t="s">
        <v>231</v>
      </c>
      <c r="DG193" s="237" t="s">
        <v>231</v>
      </c>
      <c r="DH193" s="237" t="s">
        <v>231</v>
      </c>
      <c r="DI193" s="237" t="s">
        <v>231</v>
      </c>
      <c r="DJ193" s="237" t="s">
        <v>231</v>
      </c>
      <c r="DK193" s="237" t="s">
        <v>231</v>
      </c>
      <c r="DL193" s="237" t="s">
        <v>231</v>
      </c>
      <c r="DM193" s="237" t="s">
        <v>231</v>
      </c>
      <c r="DN193" s="237" t="s">
        <v>231</v>
      </c>
      <c r="DO193" s="237" t="s">
        <v>231</v>
      </c>
      <c r="DP193" s="237" t="s">
        <v>231</v>
      </c>
      <c r="DQ193" s="237" t="s">
        <v>231</v>
      </c>
      <c r="DR193" s="237" t="s">
        <v>231</v>
      </c>
      <c r="DS193" s="237" t="s">
        <v>231</v>
      </c>
      <c r="DT193" s="237" t="s">
        <v>492</v>
      </c>
      <c r="DU193" s="237" t="s">
        <v>231</v>
      </c>
      <c r="DV193" s="237" t="s">
        <v>231</v>
      </c>
      <c r="DW193" s="237" t="s">
        <v>231</v>
      </c>
      <c r="DX193" s="237" t="s">
        <v>231</v>
      </c>
      <c r="DY193" s="237" t="s">
        <v>231</v>
      </c>
      <c r="DZ193" s="237" t="s">
        <v>231</v>
      </c>
      <c r="EA193" s="237" t="s">
        <v>231</v>
      </c>
      <c r="EB193" s="237" t="s">
        <v>231</v>
      </c>
      <c r="EC193" s="237" t="s">
        <v>231</v>
      </c>
      <c r="ED193" s="237" t="s">
        <v>231</v>
      </c>
      <c r="EE193" s="237" t="s">
        <v>231</v>
      </c>
      <c r="EF193" s="237" t="s">
        <v>231</v>
      </c>
      <c r="EG193" s="237" t="s">
        <v>231</v>
      </c>
      <c r="EH193" s="237" t="s">
        <v>492</v>
      </c>
      <c r="EI193" s="237" t="s">
        <v>231</v>
      </c>
      <c r="EJ193" s="237" t="s">
        <v>231</v>
      </c>
      <c r="EK193" s="237" t="s">
        <v>231</v>
      </c>
      <c r="EL193" s="237" t="s">
        <v>231</v>
      </c>
      <c r="EM193" s="237" t="s">
        <v>231</v>
      </c>
      <c r="EN193" s="237" t="s">
        <v>231</v>
      </c>
      <c r="EO193" s="237" t="s">
        <v>231</v>
      </c>
      <c r="EP193" s="237" t="s">
        <v>231</v>
      </c>
      <c r="EQ193" s="237" t="s">
        <v>231</v>
      </c>
      <c r="ER193" s="237" t="s">
        <v>231</v>
      </c>
      <c r="ES193" s="237" t="s">
        <v>231</v>
      </c>
      <c r="ET193" s="237" t="s">
        <v>231</v>
      </c>
      <c r="EU193" s="237" t="s">
        <v>231</v>
      </c>
      <c r="EV193" s="237" t="s">
        <v>231</v>
      </c>
      <c r="EW193" s="237" t="s">
        <v>231</v>
      </c>
      <c r="EX193" s="237" t="s">
        <v>231</v>
      </c>
      <c r="EY193" s="237" t="s">
        <v>231</v>
      </c>
      <c r="EZ193" s="237" t="s">
        <v>231</v>
      </c>
      <c r="FA193" s="237" t="s">
        <v>231</v>
      </c>
      <c r="FB193" s="237" t="s">
        <v>231</v>
      </c>
      <c r="FC193" s="237" t="s">
        <v>231</v>
      </c>
      <c r="FD193" s="237" t="s">
        <v>231</v>
      </c>
      <c r="FE193" s="237" t="s">
        <v>231</v>
      </c>
      <c r="FF193" s="237" t="s">
        <v>231</v>
      </c>
      <c r="FG193" s="237" t="s">
        <v>231</v>
      </c>
      <c r="FH193" s="237" t="s">
        <v>231</v>
      </c>
      <c r="FI193" s="237" t="s">
        <v>231</v>
      </c>
      <c r="FJ193" s="237" t="s">
        <v>231</v>
      </c>
      <c r="FK193" s="237" t="s">
        <v>231</v>
      </c>
      <c r="FL193" s="237" t="s">
        <v>231</v>
      </c>
      <c r="FM193" s="237" t="s">
        <v>231</v>
      </c>
      <c r="FN193" s="237" t="s">
        <v>231</v>
      </c>
      <c r="FO193" s="237" t="s">
        <v>231</v>
      </c>
      <c r="FP193" s="237" t="s">
        <v>231</v>
      </c>
      <c r="FQ193" s="237" t="s">
        <v>231</v>
      </c>
      <c r="FR193" s="237" t="s">
        <v>231</v>
      </c>
      <c r="FS193" s="237" t="s">
        <v>231</v>
      </c>
      <c r="FT193" s="237" t="s">
        <v>492</v>
      </c>
      <c r="FU193" s="237" t="s">
        <v>231</v>
      </c>
      <c r="FV193" s="237" t="s">
        <v>231</v>
      </c>
      <c r="FW193" s="237" t="s">
        <v>231</v>
      </c>
      <c r="FX193" s="237" t="s">
        <v>492</v>
      </c>
      <c r="FY193" s="237" t="s">
        <v>492</v>
      </c>
      <c r="FZ193" s="237" t="s">
        <v>231</v>
      </c>
      <c r="GA193" s="237" t="s">
        <v>231</v>
      </c>
      <c r="GB193" s="237" t="s">
        <v>231</v>
      </c>
      <c r="GC193" s="237" t="s">
        <v>231</v>
      </c>
      <c r="GD193" s="237" t="s">
        <v>231</v>
      </c>
      <c r="GE193" s="237" t="s">
        <v>231</v>
      </c>
      <c r="GF193" s="237" t="s">
        <v>231</v>
      </c>
      <c r="GG193" s="237" t="s">
        <v>231</v>
      </c>
      <c r="GH193" s="237" t="s">
        <v>231</v>
      </c>
      <c r="GI193" s="237" t="s">
        <v>231</v>
      </c>
      <c r="GJ193" s="237" t="s">
        <v>231</v>
      </c>
      <c r="GK193" s="237" t="s">
        <v>231</v>
      </c>
      <c r="GL193" s="237" t="s">
        <v>231</v>
      </c>
      <c r="GM193" s="237" t="s">
        <v>231</v>
      </c>
      <c r="GN193" s="237" t="s">
        <v>231</v>
      </c>
      <c r="GO193" s="237" t="s">
        <v>231</v>
      </c>
      <c r="GP193" s="237" t="s">
        <v>492</v>
      </c>
      <c r="GQ193" s="237" t="s">
        <v>231</v>
      </c>
      <c r="GR193" s="237" t="s">
        <v>231</v>
      </c>
      <c r="GS193" s="237" t="s">
        <v>231</v>
      </c>
      <c r="GT193" s="237" t="s">
        <v>231</v>
      </c>
      <c r="GU193" s="237" t="s">
        <v>231</v>
      </c>
      <c r="GV193" s="237" t="s">
        <v>492</v>
      </c>
      <c r="GW193" s="237" t="s">
        <v>231</v>
      </c>
      <c r="GX193" s="237" t="s">
        <v>231</v>
      </c>
      <c r="GY193" s="237" t="s">
        <v>231</v>
      </c>
      <c r="GZ193" s="237" t="s">
        <v>231</v>
      </c>
      <c r="HA193" s="237" t="s">
        <v>231</v>
      </c>
      <c r="HB193" s="237" t="s">
        <v>231</v>
      </c>
      <c r="HC193" s="237" t="s">
        <v>231</v>
      </c>
      <c r="HD193" s="237" t="s">
        <v>231</v>
      </c>
      <c r="HE193" s="237" t="s">
        <v>492</v>
      </c>
      <c r="HF193" s="237" t="s">
        <v>231</v>
      </c>
      <c r="HG193" s="237" t="s">
        <v>492</v>
      </c>
      <c r="HH193" s="237" t="s">
        <v>231</v>
      </c>
      <c r="HI193" s="237" t="s">
        <v>231</v>
      </c>
      <c r="HJ193" s="237" t="s">
        <v>231</v>
      </c>
      <c r="HK193" s="237" t="s">
        <v>231</v>
      </c>
      <c r="HL193" s="237" t="s">
        <v>231</v>
      </c>
      <c r="HM193" s="237" t="s">
        <v>231</v>
      </c>
      <c r="HN193" s="237" t="s">
        <v>231</v>
      </c>
      <c r="HO193" s="237" t="s">
        <v>231</v>
      </c>
      <c r="HP193" s="237" t="s">
        <v>231</v>
      </c>
      <c r="HQ193" s="237" t="s">
        <v>231</v>
      </c>
      <c r="HR193" s="237" t="s">
        <v>492</v>
      </c>
      <c r="HS193" s="237" t="s">
        <v>492</v>
      </c>
      <c r="HT193" s="237" t="s">
        <v>492</v>
      </c>
      <c r="HU193" s="237" t="s">
        <v>231</v>
      </c>
      <c r="HV193" s="237" t="s">
        <v>231</v>
      </c>
      <c r="HW193" s="237" t="s">
        <v>231</v>
      </c>
      <c r="HX193" s="237" t="s">
        <v>231</v>
      </c>
      <c r="HY193" s="237" t="s">
        <v>231</v>
      </c>
      <c r="HZ193" s="237" t="s">
        <v>231</v>
      </c>
      <c r="IA193" s="237" t="s">
        <v>231</v>
      </c>
      <c r="IB193" s="237" t="s">
        <v>231</v>
      </c>
      <c r="IC193" s="237" t="s">
        <v>231</v>
      </c>
      <c r="ID193" s="237" t="s">
        <v>231</v>
      </c>
      <c r="IE193" s="237" t="s">
        <v>231</v>
      </c>
      <c r="IF193" s="237" t="s">
        <v>231</v>
      </c>
      <c r="IG193" s="237" t="s">
        <v>231</v>
      </c>
      <c r="IH193" s="237" t="s">
        <v>231</v>
      </c>
      <c r="II193" s="237" t="s">
        <v>231</v>
      </c>
      <c r="IJ193" s="237" t="s">
        <v>231</v>
      </c>
      <c r="IK193" s="237" t="s">
        <v>231</v>
      </c>
      <c r="IL193" s="237" t="s">
        <v>231</v>
      </c>
      <c r="IM193" s="237" t="s">
        <v>231</v>
      </c>
      <c r="IN193" s="237" t="s">
        <v>231</v>
      </c>
      <c r="IO193" s="237" t="s">
        <v>220</v>
      </c>
      <c r="IP193" s="237" t="s">
        <v>220</v>
      </c>
      <c r="IQ193" s="237" t="s">
        <v>219</v>
      </c>
      <c r="IR193" s="237" t="s">
        <v>490</v>
      </c>
      <c r="IS193" s="237" t="s">
        <v>492</v>
      </c>
      <c r="IT193" s="237" t="s">
        <v>492</v>
      </c>
    </row>
    <row r="194" spans="1:254" ht="15" x14ac:dyDescent="0.25">
      <c r="A194" s="259" t="str">
        <f>HYPERLINK("http://www.ofsted.gov.uk/inspection-reports/find-inspection-report/provider/ELS/134427 ","Ofsted School Webpage")</f>
        <v>Ofsted School Webpage</v>
      </c>
      <c r="B194" s="240">
        <v>134427</v>
      </c>
      <c r="C194" s="240">
        <v>3806118</v>
      </c>
      <c r="D194" s="240" t="s">
        <v>980</v>
      </c>
      <c r="E194" s="240" t="s">
        <v>247</v>
      </c>
      <c r="F194" s="240" t="s">
        <v>482</v>
      </c>
      <c r="G194" s="240" t="s">
        <v>523</v>
      </c>
      <c r="H194" s="240" t="s">
        <v>524</v>
      </c>
      <c r="I194" s="240" t="s">
        <v>674</v>
      </c>
      <c r="J194" s="240" t="s">
        <v>981</v>
      </c>
      <c r="K194" s="240" t="s">
        <v>93</v>
      </c>
      <c r="L194" s="240" t="s">
        <v>71</v>
      </c>
      <c r="M194" s="240" t="s">
        <v>71</v>
      </c>
      <c r="N194" s="240" t="s">
        <v>71</v>
      </c>
      <c r="O194" s="240" t="s">
        <v>486</v>
      </c>
      <c r="P194" s="240" t="s">
        <v>487</v>
      </c>
      <c r="Q194" s="241">
        <v>10061263</v>
      </c>
      <c r="R194" s="242">
        <v>43494</v>
      </c>
      <c r="S194" s="242">
        <v>43496</v>
      </c>
      <c r="T194" s="242">
        <v>43528</v>
      </c>
      <c r="U194" s="240" t="s">
        <v>488</v>
      </c>
      <c r="V194" s="240" t="s">
        <v>489</v>
      </c>
      <c r="W194" s="240">
        <v>2</v>
      </c>
      <c r="X194" s="240">
        <v>2</v>
      </c>
      <c r="Y194" s="240">
        <v>2</v>
      </c>
      <c r="Z194" s="240">
        <v>2</v>
      </c>
      <c r="AA194" s="240">
        <v>2</v>
      </c>
      <c r="AB194" s="240" t="s">
        <v>486</v>
      </c>
      <c r="AC194" s="240" t="s">
        <v>486</v>
      </c>
      <c r="AD194" s="240" t="s">
        <v>219</v>
      </c>
      <c r="AE194" s="240" t="s">
        <v>490</v>
      </c>
      <c r="AF194" s="240" t="s">
        <v>486</v>
      </c>
      <c r="AG194" s="240" t="s">
        <v>486</v>
      </c>
      <c r="AH194" s="240" t="s">
        <v>486</v>
      </c>
      <c r="AI194" s="240" t="s">
        <v>486</v>
      </c>
      <c r="AJ194" s="240" t="s">
        <v>486</v>
      </c>
      <c r="AK194" s="240" t="s">
        <v>486</v>
      </c>
      <c r="AL194" s="240" t="s">
        <v>486</v>
      </c>
      <c r="AM194" s="240" t="s">
        <v>491</v>
      </c>
      <c r="AN194" s="240" t="s">
        <v>231</v>
      </c>
      <c r="AO194" s="240" t="s">
        <v>231</v>
      </c>
      <c r="AP194" s="240" t="s">
        <v>231</v>
      </c>
      <c r="AQ194" s="240" t="s">
        <v>231</v>
      </c>
      <c r="AR194" s="240" t="s">
        <v>231</v>
      </c>
      <c r="AS194" s="240" t="s">
        <v>231</v>
      </c>
      <c r="AT194" s="240" t="s">
        <v>231</v>
      </c>
      <c r="AU194" s="240" t="s">
        <v>231</v>
      </c>
      <c r="AV194" s="240" t="s">
        <v>231</v>
      </c>
      <c r="AW194" s="240" t="s">
        <v>231</v>
      </c>
      <c r="AX194" s="240" t="s">
        <v>231</v>
      </c>
      <c r="AY194" s="240" t="s">
        <v>231</v>
      </c>
      <c r="AZ194" s="240" t="s">
        <v>231</v>
      </c>
      <c r="BA194" s="240" t="s">
        <v>231</v>
      </c>
      <c r="BB194" s="240" t="s">
        <v>231</v>
      </c>
      <c r="BC194" s="240" t="s">
        <v>231</v>
      </c>
      <c r="BD194" s="240" t="s">
        <v>492</v>
      </c>
      <c r="BE194" s="240" t="s">
        <v>231</v>
      </c>
      <c r="BF194" s="240" t="s">
        <v>231</v>
      </c>
      <c r="BG194" s="240" t="s">
        <v>231</v>
      </c>
      <c r="BH194" s="240" t="s">
        <v>231</v>
      </c>
      <c r="BI194" s="240" t="s">
        <v>231</v>
      </c>
      <c r="BJ194" s="240" t="s">
        <v>231</v>
      </c>
      <c r="BK194" s="240" t="s">
        <v>231</v>
      </c>
      <c r="BL194" s="240" t="s">
        <v>231</v>
      </c>
      <c r="BM194" s="240" t="s">
        <v>492</v>
      </c>
      <c r="BN194" s="240" t="s">
        <v>231</v>
      </c>
      <c r="BO194" s="240" t="s">
        <v>231</v>
      </c>
      <c r="BP194" s="240" t="s">
        <v>231</v>
      </c>
      <c r="BQ194" s="240" t="s">
        <v>231</v>
      </c>
      <c r="BR194" s="240" t="s">
        <v>231</v>
      </c>
      <c r="BS194" s="240" t="s">
        <v>231</v>
      </c>
      <c r="BT194" s="240" t="s">
        <v>231</v>
      </c>
      <c r="BU194" s="240" t="s">
        <v>231</v>
      </c>
      <c r="BV194" s="240" t="s">
        <v>231</v>
      </c>
      <c r="BW194" s="240" t="s">
        <v>231</v>
      </c>
      <c r="BX194" s="240" t="s">
        <v>231</v>
      </c>
      <c r="BY194" s="240" t="s">
        <v>231</v>
      </c>
      <c r="BZ194" s="240" t="s">
        <v>231</v>
      </c>
      <c r="CA194" s="240" t="s">
        <v>231</v>
      </c>
      <c r="CB194" s="240" t="s">
        <v>231</v>
      </c>
      <c r="CC194" s="240" t="s">
        <v>231</v>
      </c>
      <c r="CD194" s="240" t="s">
        <v>231</v>
      </c>
      <c r="CE194" s="240" t="s">
        <v>231</v>
      </c>
      <c r="CF194" s="240" t="s">
        <v>231</v>
      </c>
      <c r="CG194" s="240" t="s">
        <v>231</v>
      </c>
      <c r="CH194" s="240" t="s">
        <v>231</v>
      </c>
      <c r="CI194" s="240" t="s">
        <v>231</v>
      </c>
      <c r="CJ194" s="240" t="s">
        <v>231</v>
      </c>
      <c r="CK194" s="240" t="s">
        <v>231</v>
      </c>
      <c r="CL194" s="240" t="s">
        <v>231</v>
      </c>
      <c r="CM194" s="240" t="s">
        <v>231</v>
      </c>
      <c r="CN194" s="240" t="s">
        <v>231</v>
      </c>
      <c r="CO194" s="240" t="s">
        <v>231</v>
      </c>
      <c r="CP194" s="240" t="s">
        <v>231</v>
      </c>
      <c r="CQ194" s="240" t="s">
        <v>231</v>
      </c>
      <c r="CR194" s="240" t="s">
        <v>231</v>
      </c>
      <c r="CS194" s="240" t="s">
        <v>231</v>
      </c>
      <c r="CT194" s="240" t="s">
        <v>492</v>
      </c>
      <c r="CU194" s="240" t="s">
        <v>492</v>
      </c>
      <c r="CV194" s="240" t="s">
        <v>492</v>
      </c>
      <c r="CW194" s="240" t="s">
        <v>231</v>
      </c>
      <c r="CX194" s="240" t="s">
        <v>231</v>
      </c>
      <c r="CY194" s="240" t="s">
        <v>231</v>
      </c>
      <c r="CZ194" s="240" t="s">
        <v>231</v>
      </c>
      <c r="DA194" s="240" t="s">
        <v>231</v>
      </c>
      <c r="DB194" s="240" t="s">
        <v>231</v>
      </c>
      <c r="DC194" s="240" t="s">
        <v>231</v>
      </c>
      <c r="DD194" s="240" t="s">
        <v>231</v>
      </c>
      <c r="DE194" s="240" t="s">
        <v>231</v>
      </c>
      <c r="DF194" s="240" t="s">
        <v>231</v>
      </c>
      <c r="DG194" s="240" t="s">
        <v>231</v>
      </c>
      <c r="DH194" s="240" t="s">
        <v>231</v>
      </c>
      <c r="DI194" s="240" t="s">
        <v>231</v>
      </c>
      <c r="DJ194" s="240" t="s">
        <v>231</v>
      </c>
      <c r="DK194" s="240" t="s">
        <v>231</v>
      </c>
      <c r="DL194" s="240" t="s">
        <v>231</v>
      </c>
      <c r="DM194" s="240" t="s">
        <v>231</v>
      </c>
      <c r="DN194" s="240" t="s">
        <v>231</v>
      </c>
      <c r="DO194" s="240" t="s">
        <v>231</v>
      </c>
      <c r="DP194" s="240" t="s">
        <v>231</v>
      </c>
      <c r="DQ194" s="240" t="s">
        <v>231</v>
      </c>
      <c r="DR194" s="240" t="s">
        <v>231</v>
      </c>
      <c r="DS194" s="240" t="s">
        <v>231</v>
      </c>
      <c r="DT194" s="240" t="s">
        <v>492</v>
      </c>
      <c r="DU194" s="240" t="s">
        <v>231</v>
      </c>
      <c r="DV194" s="240" t="s">
        <v>492</v>
      </c>
      <c r="DW194" s="240" t="s">
        <v>492</v>
      </c>
      <c r="DX194" s="240" t="s">
        <v>492</v>
      </c>
      <c r="DY194" s="240" t="s">
        <v>492</v>
      </c>
      <c r="DZ194" s="240" t="s">
        <v>492</v>
      </c>
      <c r="EA194" s="240" t="s">
        <v>492</v>
      </c>
      <c r="EB194" s="240" t="s">
        <v>492</v>
      </c>
      <c r="EC194" s="240" t="s">
        <v>492</v>
      </c>
      <c r="ED194" s="240" t="s">
        <v>492</v>
      </c>
      <c r="EE194" s="240" t="s">
        <v>492</v>
      </c>
      <c r="EF194" s="240" t="s">
        <v>492</v>
      </c>
      <c r="EG194" s="240" t="s">
        <v>492</v>
      </c>
      <c r="EH194" s="240" t="s">
        <v>492</v>
      </c>
      <c r="EI194" s="240" t="s">
        <v>492</v>
      </c>
      <c r="EJ194" s="240" t="s">
        <v>231</v>
      </c>
      <c r="EK194" s="240" t="s">
        <v>231</v>
      </c>
      <c r="EL194" s="240" t="s">
        <v>231</v>
      </c>
      <c r="EM194" s="240" t="s">
        <v>231</v>
      </c>
      <c r="EN194" s="240" t="s">
        <v>231</v>
      </c>
      <c r="EO194" s="240" t="s">
        <v>231</v>
      </c>
      <c r="EP194" s="240" t="s">
        <v>231</v>
      </c>
      <c r="EQ194" s="240" t="s">
        <v>231</v>
      </c>
      <c r="ER194" s="240" t="s">
        <v>231</v>
      </c>
      <c r="ES194" s="240" t="s">
        <v>231</v>
      </c>
      <c r="ET194" s="240" t="s">
        <v>231</v>
      </c>
      <c r="EU194" s="240" t="s">
        <v>231</v>
      </c>
      <c r="EV194" s="240" t="s">
        <v>231</v>
      </c>
      <c r="EW194" s="240" t="s">
        <v>231</v>
      </c>
      <c r="EX194" s="240" t="s">
        <v>231</v>
      </c>
      <c r="EY194" s="240" t="s">
        <v>231</v>
      </c>
      <c r="EZ194" s="240" t="s">
        <v>231</v>
      </c>
      <c r="FA194" s="240" t="s">
        <v>231</v>
      </c>
      <c r="FB194" s="240" t="s">
        <v>231</v>
      </c>
      <c r="FC194" s="240" t="s">
        <v>231</v>
      </c>
      <c r="FD194" s="240" t="s">
        <v>231</v>
      </c>
      <c r="FE194" s="240" t="s">
        <v>231</v>
      </c>
      <c r="FF194" s="240" t="s">
        <v>492</v>
      </c>
      <c r="FG194" s="240" t="s">
        <v>492</v>
      </c>
      <c r="FH194" s="240" t="s">
        <v>492</v>
      </c>
      <c r="FI194" s="240" t="s">
        <v>492</v>
      </c>
      <c r="FJ194" s="240" t="s">
        <v>492</v>
      </c>
      <c r="FK194" s="240" t="s">
        <v>492</v>
      </c>
      <c r="FL194" s="240" t="s">
        <v>492</v>
      </c>
      <c r="FM194" s="240" t="s">
        <v>231</v>
      </c>
      <c r="FN194" s="240" t="s">
        <v>492</v>
      </c>
      <c r="FO194" s="240" t="s">
        <v>493</v>
      </c>
      <c r="FP194" s="240" t="s">
        <v>492</v>
      </c>
      <c r="FQ194" s="240" t="s">
        <v>231</v>
      </c>
      <c r="FR194" s="240" t="s">
        <v>231</v>
      </c>
      <c r="FS194" s="240" t="s">
        <v>231</v>
      </c>
      <c r="FT194" s="240" t="s">
        <v>231</v>
      </c>
      <c r="FU194" s="240" t="s">
        <v>231</v>
      </c>
      <c r="FV194" s="240" t="s">
        <v>231</v>
      </c>
      <c r="FW194" s="240" t="s">
        <v>231</v>
      </c>
      <c r="FX194" s="240" t="s">
        <v>492</v>
      </c>
      <c r="FY194" s="240" t="s">
        <v>231</v>
      </c>
      <c r="FZ194" s="240" t="s">
        <v>231</v>
      </c>
      <c r="GA194" s="240" t="s">
        <v>231</v>
      </c>
      <c r="GB194" s="240" t="s">
        <v>231</v>
      </c>
      <c r="GC194" s="240" t="s">
        <v>231</v>
      </c>
      <c r="GD194" s="240" t="s">
        <v>231</v>
      </c>
      <c r="GE194" s="240" t="s">
        <v>231</v>
      </c>
      <c r="GF194" s="240" t="s">
        <v>231</v>
      </c>
      <c r="GG194" s="240" t="s">
        <v>231</v>
      </c>
      <c r="GH194" s="240" t="s">
        <v>231</v>
      </c>
      <c r="GI194" s="240" t="s">
        <v>231</v>
      </c>
      <c r="GJ194" s="240" t="s">
        <v>231</v>
      </c>
      <c r="GK194" s="240" t="s">
        <v>231</v>
      </c>
      <c r="GL194" s="240" t="s">
        <v>231</v>
      </c>
      <c r="GM194" s="240" t="s">
        <v>231</v>
      </c>
      <c r="GN194" s="240" t="s">
        <v>231</v>
      </c>
      <c r="GO194" s="240" t="s">
        <v>231</v>
      </c>
      <c r="GP194" s="240" t="s">
        <v>492</v>
      </c>
      <c r="GQ194" s="240" t="s">
        <v>231</v>
      </c>
      <c r="GR194" s="240" t="s">
        <v>231</v>
      </c>
      <c r="GS194" s="240" t="s">
        <v>231</v>
      </c>
      <c r="GT194" s="240" t="s">
        <v>231</v>
      </c>
      <c r="GU194" s="240" t="s">
        <v>231</v>
      </c>
      <c r="GV194" s="240" t="s">
        <v>492</v>
      </c>
      <c r="GW194" s="240" t="s">
        <v>231</v>
      </c>
      <c r="GX194" s="240" t="s">
        <v>231</v>
      </c>
      <c r="GY194" s="240" t="s">
        <v>231</v>
      </c>
      <c r="GZ194" s="240" t="s">
        <v>231</v>
      </c>
      <c r="HA194" s="240" t="s">
        <v>492</v>
      </c>
      <c r="HB194" s="240" t="s">
        <v>231</v>
      </c>
      <c r="HC194" s="240" t="s">
        <v>231</v>
      </c>
      <c r="HD194" s="240" t="s">
        <v>231</v>
      </c>
      <c r="HE194" s="240" t="s">
        <v>231</v>
      </c>
      <c r="HF194" s="240" t="s">
        <v>231</v>
      </c>
      <c r="HG194" s="240" t="s">
        <v>231</v>
      </c>
      <c r="HH194" s="240" t="s">
        <v>231</v>
      </c>
      <c r="HI194" s="240" t="s">
        <v>231</v>
      </c>
      <c r="HJ194" s="240" t="s">
        <v>231</v>
      </c>
      <c r="HK194" s="240" t="s">
        <v>231</v>
      </c>
      <c r="HL194" s="240" t="s">
        <v>231</v>
      </c>
      <c r="HM194" s="240" t="s">
        <v>231</v>
      </c>
      <c r="HN194" s="240" t="s">
        <v>231</v>
      </c>
      <c r="HO194" s="240" t="s">
        <v>231</v>
      </c>
      <c r="HP194" s="240" t="s">
        <v>231</v>
      </c>
      <c r="HQ194" s="240" t="s">
        <v>231</v>
      </c>
      <c r="HR194" s="240" t="s">
        <v>492</v>
      </c>
      <c r="HS194" s="240" t="s">
        <v>492</v>
      </c>
      <c r="HT194" s="240" t="s">
        <v>492</v>
      </c>
      <c r="HU194" s="240" t="s">
        <v>231</v>
      </c>
      <c r="HV194" s="240" t="s">
        <v>231</v>
      </c>
      <c r="HW194" s="240" t="s">
        <v>231</v>
      </c>
      <c r="HX194" s="240" t="s">
        <v>231</v>
      </c>
      <c r="HY194" s="240" t="s">
        <v>231</v>
      </c>
      <c r="HZ194" s="240" t="s">
        <v>231</v>
      </c>
      <c r="IA194" s="240" t="s">
        <v>231</v>
      </c>
      <c r="IB194" s="240" t="s">
        <v>231</v>
      </c>
      <c r="IC194" s="240" t="s">
        <v>231</v>
      </c>
      <c r="ID194" s="240" t="s">
        <v>231</v>
      </c>
      <c r="IE194" s="240" t="s">
        <v>231</v>
      </c>
      <c r="IF194" s="240" t="s">
        <v>231</v>
      </c>
      <c r="IG194" s="240" t="s">
        <v>231</v>
      </c>
      <c r="IH194" s="240" t="s">
        <v>231</v>
      </c>
      <c r="II194" s="240" t="s">
        <v>231</v>
      </c>
      <c r="IJ194" s="240" t="s">
        <v>231</v>
      </c>
      <c r="IK194" s="240" t="s">
        <v>231</v>
      </c>
      <c r="IL194" s="240" t="s">
        <v>231</v>
      </c>
      <c r="IM194" s="240" t="s">
        <v>231</v>
      </c>
      <c r="IN194" s="240" t="s">
        <v>231</v>
      </c>
      <c r="IO194" s="240" t="s">
        <v>220</v>
      </c>
      <c r="IP194" s="240" t="s">
        <v>493</v>
      </c>
      <c r="IQ194" s="240" t="s">
        <v>219</v>
      </c>
      <c r="IR194" s="240" t="s">
        <v>490</v>
      </c>
      <c r="IS194" s="240" t="s">
        <v>492</v>
      </c>
      <c r="IT194" s="240" t="s">
        <v>492</v>
      </c>
    </row>
    <row r="195" spans="1:254" ht="15" x14ac:dyDescent="0.25">
      <c r="A195" s="258" t="str">
        <f>HYPERLINK("http://www.ofsted.gov.uk/inspection-reports/find-inspection-report/provider/ELS/131122 ","Ofsted School Webpage")</f>
        <v>Ofsted School Webpage</v>
      </c>
      <c r="B195" s="237">
        <v>131122</v>
      </c>
      <c r="C195" s="237">
        <v>3736028</v>
      </c>
      <c r="D195" s="237" t="s">
        <v>982</v>
      </c>
      <c r="E195" s="237" t="s">
        <v>247</v>
      </c>
      <c r="F195" s="237" t="s">
        <v>482</v>
      </c>
      <c r="G195" s="237" t="s">
        <v>523</v>
      </c>
      <c r="H195" s="237" t="s">
        <v>524</v>
      </c>
      <c r="I195" s="237" t="s">
        <v>553</v>
      </c>
      <c r="J195" s="237" t="s">
        <v>983</v>
      </c>
      <c r="K195" s="237" t="s">
        <v>84</v>
      </c>
      <c r="L195" s="237" t="s">
        <v>83</v>
      </c>
      <c r="M195" s="237" t="s">
        <v>84</v>
      </c>
      <c r="N195" s="237" t="s">
        <v>84</v>
      </c>
      <c r="O195" s="237" t="s">
        <v>486</v>
      </c>
      <c r="P195" s="237" t="s">
        <v>487</v>
      </c>
      <c r="Q195" s="238">
        <v>10061252</v>
      </c>
      <c r="R195" s="239">
        <v>43494</v>
      </c>
      <c r="S195" s="239">
        <v>43496</v>
      </c>
      <c r="T195" s="239">
        <v>43544</v>
      </c>
      <c r="U195" s="237" t="s">
        <v>488</v>
      </c>
      <c r="V195" s="237" t="s">
        <v>489</v>
      </c>
      <c r="W195" s="237">
        <v>4</v>
      </c>
      <c r="X195" s="237">
        <v>4</v>
      </c>
      <c r="Y195" s="237">
        <v>4</v>
      </c>
      <c r="Z195" s="237">
        <v>3</v>
      </c>
      <c r="AA195" s="237">
        <v>3</v>
      </c>
      <c r="AB195" s="237" t="s">
        <v>486</v>
      </c>
      <c r="AC195" s="237" t="s">
        <v>486</v>
      </c>
      <c r="AD195" s="237" t="s">
        <v>220</v>
      </c>
      <c r="AE195" s="237" t="s">
        <v>490</v>
      </c>
      <c r="AF195" s="237" t="s">
        <v>486</v>
      </c>
      <c r="AG195" s="237" t="s">
        <v>486</v>
      </c>
      <c r="AH195" s="237" t="s">
        <v>486</v>
      </c>
      <c r="AI195" s="237" t="s">
        <v>486</v>
      </c>
      <c r="AJ195" s="237" t="s">
        <v>486</v>
      </c>
      <c r="AK195" s="237" t="s">
        <v>486</v>
      </c>
      <c r="AL195" s="237" t="s">
        <v>486</v>
      </c>
      <c r="AM195" s="237" t="s">
        <v>545</v>
      </c>
      <c r="AN195" s="237" t="s">
        <v>231</v>
      </c>
      <c r="AO195" s="237" t="s">
        <v>231</v>
      </c>
      <c r="AP195" s="237" t="s">
        <v>546</v>
      </c>
      <c r="AQ195" s="237" t="s">
        <v>546</v>
      </c>
      <c r="AR195" s="237" t="s">
        <v>231</v>
      </c>
      <c r="AS195" s="237" t="s">
        <v>231</v>
      </c>
      <c r="AT195" s="237" t="s">
        <v>231</v>
      </c>
      <c r="AU195" s="237" t="s">
        <v>546</v>
      </c>
      <c r="AV195" s="237" t="s">
        <v>231</v>
      </c>
      <c r="AW195" s="237" t="s">
        <v>231</v>
      </c>
      <c r="AX195" s="237" t="s">
        <v>231</v>
      </c>
      <c r="AY195" s="237" t="s">
        <v>231</v>
      </c>
      <c r="AZ195" s="237" t="s">
        <v>231</v>
      </c>
      <c r="BA195" s="237" t="s">
        <v>231</v>
      </c>
      <c r="BB195" s="237" t="s">
        <v>231</v>
      </c>
      <c r="BC195" s="237" t="s">
        <v>231</v>
      </c>
      <c r="BD195" s="237" t="s">
        <v>492</v>
      </c>
      <c r="BE195" s="237" t="s">
        <v>231</v>
      </c>
      <c r="BF195" s="237" t="s">
        <v>231</v>
      </c>
      <c r="BG195" s="237" t="s">
        <v>231</v>
      </c>
      <c r="BH195" s="237" t="s">
        <v>231</v>
      </c>
      <c r="BI195" s="237" t="s">
        <v>231</v>
      </c>
      <c r="BJ195" s="237" t="s">
        <v>231</v>
      </c>
      <c r="BK195" s="237" t="s">
        <v>231</v>
      </c>
      <c r="BL195" s="237" t="s">
        <v>492</v>
      </c>
      <c r="BM195" s="237" t="s">
        <v>492</v>
      </c>
      <c r="BN195" s="237" t="s">
        <v>231</v>
      </c>
      <c r="BO195" s="237" t="s">
        <v>231</v>
      </c>
      <c r="BP195" s="237" t="s">
        <v>231</v>
      </c>
      <c r="BQ195" s="237" t="s">
        <v>231</v>
      </c>
      <c r="BR195" s="237" t="s">
        <v>231</v>
      </c>
      <c r="BS195" s="237" t="s">
        <v>231</v>
      </c>
      <c r="BT195" s="237" t="s">
        <v>231</v>
      </c>
      <c r="BU195" s="237" t="s">
        <v>231</v>
      </c>
      <c r="BV195" s="237" t="s">
        <v>231</v>
      </c>
      <c r="BW195" s="237" t="s">
        <v>231</v>
      </c>
      <c r="BX195" s="237" t="s">
        <v>231</v>
      </c>
      <c r="BY195" s="237" t="s">
        <v>231</v>
      </c>
      <c r="BZ195" s="237" t="s">
        <v>231</v>
      </c>
      <c r="CA195" s="237" t="s">
        <v>231</v>
      </c>
      <c r="CB195" s="237" t="s">
        <v>231</v>
      </c>
      <c r="CC195" s="237" t="s">
        <v>231</v>
      </c>
      <c r="CD195" s="237" t="s">
        <v>231</v>
      </c>
      <c r="CE195" s="237" t="s">
        <v>231</v>
      </c>
      <c r="CF195" s="237" t="s">
        <v>231</v>
      </c>
      <c r="CG195" s="237" t="s">
        <v>231</v>
      </c>
      <c r="CH195" s="237" t="s">
        <v>231</v>
      </c>
      <c r="CI195" s="237" t="s">
        <v>231</v>
      </c>
      <c r="CJ195" s="237" t="s">
        <v>231</v>
      </c>
      <c r="CK195" s="237" t="s">
        <v>231</v>
      </c>
      <c r="CL195" s="237" t="s">
        <v>231</v>
      </c>
      <c r="CM195" s="237" t="s">
        <v>231</v>
      </c>
      <c r="CN195" s="237" t="s">
        <v>231</v>
      </c>
      <c r="CO195" s="237" t="s">
        <v>231</v>
      </c>
      <c r="CP195" s="237" t="s">
        <v>231</v>
      </c>
      <c r="CQ195" s="237" t="s">
        <v>232</v>
      </c>
      <c r="CR195" s="237" t="s">
        <v>232</v>
      </c>
      <c r="CS195" s="237" t="s">
        <v>232</v>
      </c>
      <c r="CT195" s="237" t="s">
        <v>492</v>
      </c>
      <c r="CU195" s="237" t="s">
        <v>492</v>
      </c>
      <c r="CV195" s="237" t="s">
        <v>492</v>
      </c>
      <c r="CW195" s="237" t="s">
        <v>231</v>
      </c>
      <c r="CX195" s="237" t="s">
        <v>231</v>
      </c>
      <c r="CY195" s="237" t="s">
        <v>231</v>
      </c>
      <c r="CZ195" s="237" t="s">
        <v>231</v>
      </c>
      <c r="DA195" s="237" t="s">
        <v>231</v>
      </c>
      <c r="DB195" s="237" t="s">
        <v>231</v>
      </c>
      <c r="DC195" s="237" t="s">
        <v>231</v>
      </c>
      <c r="DD195" s="237" t="s">
        <v>231</v>
      </c>
      <c r="DE195" s="237" t="s">
        <v>231</v>
      </c>
      <c r="DF195" s="237" t="s">
        <v>232</v>
      </c>
      <c r="DG195" s="237" t="s">
        <v>232</v>
      </c>
      <c r="DH195" s="237" t="s">
        <v>232</v>
      </c>
      <c r="DI195" s="237" t="s">
        <v>231</v>
      </c>
      <c r="DJ195" s="237" t="s">
        <v>232</v>
      </c>
      <c r="DK195" s="237" t="s">
        <v>231</v>
      </c>
      <c r="DL195" s="237" t="s">
        <v>231</v>
      </c>
      <c r="DM195" s="237" t="s">
        <v>232</v>
      </c>
      <c r="DN195" s="237" t="s">
        <v>231</v>
      </c>
      <c r="DO195" s="237" t="s">
        <v>232</v>
      </c>
      <c r="DP195" s="237" t="s">
        <v>231</v>
      </c>
      <c r="DQ195" s="237" t="s">
        <v>232</v>
      </c>
      <c r="DR195" s="237" t="s">
        <v>231</v>
      </c>
      <c r="DS195" s="237" t="s">
        <v>232</v>
      </c>
      <c r="DT195" s="237" t="s">
        <v>492</v>
      </c>
      <c r="DU195" s="237" t="s">
        <v>232</v>
      </c>
      <c r="DV195" s="237" t="s">
        <v>492</v>
      </c>
      <c r="DW195" s="237" t="s">
        <v>492</v>
      </c>
      <c r="DX195" s="237" t="s">
        <v>492</v>
      </c>
      <c r="DY195" s="237" t="s">
        <v>492</v>
      </c>
      <c r="DZ195" s="237" t="s">
        <v>492</v>
      </c>
      <c r="EA195" s="237" t="s">
        <v>492</v>
      </c>
      <c r="EB195" s="237" t="s">
        <v>492</v>
      </c>
      <c r="EC195" s="237" t="s">
        <v>492</v>
      </c>
      <c r="ED195" s="237" t="s">
        <v>492</v>
      </c>
      <c r="EE195" s="237" t="s">
        <v>492</v>
      </c>
      <c r="EF195" s="237" t="s">
        <v>492</v>
      </c>
      <c r="EG195" s="237" t="s">
        <v>492</v>
      </c>
      <c r="EH195" s="237" t="s">
        <v>492</v>
      </c>
      <c r="EI195" s="237" t="s">
        <v>492</v>
      </c>
      <c r="EJ195" s="237" t="s">
        <v>231</v>
      </c>
      <c r="EK195" s="237" t="s">
        <v>231</v>
      </c>
      <c r="EL195" s="237" t="s">
        <v>231</v>
      </c>
      <c r="EM195" s="237" t="s">
        <v>231</v>
      </c>
      <c r="EN195" s="237" t="s">
        <v>231</v>
      </c>
      <c r="EO195" s="237" t="s">
        <v>231</v>
      </c>
      <c r="EP195" s="237" t="s">
        <v>231</v>
      </c>
      <c r="EQ195" s="237" t="s">
        <v>492</v>
      </c>
      <c r="ER195" s="237" t="s">
        <v>492</v>
      </c>
      <c r="ES195" s="237" t="s">
        <v>231</v>
      </c>
      <c r="ET195" s="237" t="s">
        <v>231</v>
      </c>
      <c r="EU195" s="237" t="s">
        <v>232</v>
      </c>
      <c r="EV195" s="237" t="s">
        <v>232</v>
      </c>
      <c r="EW195" s="237" t="s">
        <v>231</v>
      </c>
      <c r="EX195" s="237" t="s">
        <v>231</v>
      </c>
      <c r="EY195" s="237" t="s">
        <v>231</v>
      </c>
      <c r="EZ195" s="237" t="s">
        <v>232</v>
      </c>
      <c r="FA195" s="237" t="s">
        <v>231</v>
      </c>
      <c r="FB195" s="237" t="s">
        <v>231</v>
      </c>
      <c r="FC195" s="237" t="s">
        <v>231</v>
      </c>
      <c r="FD195" s="237" t="s">
        <v>232</v>
      </c>
      <c r="FE195" s="237" t="s">
        <v>231</v>
      </c>
      <c r="FF195" s="237" t="s">
        <v>231</v>
      </c>
      <c r="FG195" s="237" t="s">
        <v>492</v>
      </c>
      <c r="FH195" s="237" t="s">
        <v>492</v>
      </c>
      <c r="FI195" s="237" t="s">
        <v>492</v>
      </c>
      <c r="FJ195" s="237" t="s">
        <v>492</v>
      </c>
      <c r="FK195" s="237" t="s">
        <v>492</v>
      </c>
      <c r="FL195" s="237" t="s">
        <v>492</v>
      </c>
      <c r="FM195" s="237" t="s">
        <v>231</v>
      </c>
      <c r="FN195" s="237" t="s">
        <v>231</v>
      </c>
      <c r="FO195" s="237" t="s">
        <v>231</v>
      </c>
      <c r="FP195" s="237" t="s">
        <v>231</v>
      </c>
      <c r="FQ195" s="237" t="s">
        <v>231</v>
      </c>
      <c r="FR195" s="237" t="s">
        <v>231</v>
      </c>
      <c r="FS195" s="237" t="s">
        <v>231</v>
      </c>
      <c r="FT195" s="237" t="s">
        <v>231</v>
      </c>
      <c r="FU195" s="237" t="s">
        <v>231</v>
      </c>
      <c r="FV195" s="237" t="s">
        <v>231</v>
      </c>
      <c r="FW195" s="237" t="s">
        <v>231</v>
      </c>
      <c r="FX195" s="237" t="s">
        <v>492</v>
      </c>
      <c r="FY195" s="237" t="s">
        <v>231</v>
      </c>
      <c r="FZ195" s="237" t="s">
        <v>231</v>
      </c>
      <c r="GA195" s="237" t="s">
        <v>231</v>
      </c>
      <c r="GB195" s="237" t="s">
        <v>231</v>
      </c>
      <c r="GC195" s="237" t="s">
        <v>231</v>
      </c>
      <c r="GD195" s="237" t="s">
        <v>231</v>
      </c>
      <c r="GE195" s="237" t="s">
        <v>231</v>
      </c>
      <c r="GF195" s="237" t="s">
        <v>231</v>
      </c>
      <c r="GG195" s="237" t="s">
        <v>231</v>
      </c>
      <c r="GH195" s="237" t="s">
        <v>231</v>
      </c>
      <c r="GI195" s="237" t="s">
        <v>231</v>
      </c>
      <c r="GJ195" s="237" t="s">
        <v>231</v>
      </c>
      <c r="GK195" s="237" t="s">
        <v>231</v>
      </c>
      <c r="GL195" s="237" t="s">
        <v>231</v>
      </c>
      <c r="GM195" s="237" t="s">
        <v>231</v>
      </c>
      <c r="GN195" s="237" t="s">
        <v>231</v>
      </c>
      <c r="GO195" s="237" t="s">
        <v>231</v>
      </c>
      <c r="GP195" s="237" t="s">
        <v>492</v>
      </c>
      <c r="GQ195" s="237" t="s">
        <v>231</v>
      </c>
      <c r="GR195" s="237" t="s">
        <v>231</v>
      </c>
      <c r="GS195" s="237" t="s">
        <v>231</v>
      </c>
      <c r="GT195" s="237" t="s">
        <v>231</v>
      </c>
      <c r="GU195" s="237" t="s">
        <v>231</v>
      </c>
      <c r="GV195" s="237" t="s">
        <v>231</v>
      </c>
      <c r="GW195" s="237" t="s">
        <v>231</v>
      </c>
      <c r="GX195" s="237" t="s">
        <v>231</v>
      </c>
      <c r="GY195" s="237" t="s">
        <v>492</v>
      </c>
      <c r="GZ195" s="237" t="s">
        <v>492</v>
      </c>
      <c r="HA195" s="237" t="s">
        <v>231</v>
      </c>
      <c r="HB195" s="237" t="s">
        <v>231</v>
      </c>
      <c r="HC195" s="237" t="s">
        <v>231</v>
      </c>
      <c r="HD195" s="237" t="s">
        <v>231</v>
      </c>
      <c r="HE195" s="237" t="s">
        <v>231</v>
      </c>
      <c r="HF195" s="237" t="s">
        <v>492</v>
      </c>
      <c r="HG195" s="237" t="s">
        <v>231</v>
      </c>
      <c r="HH195" s="237" t="s">
        <v>231</v>
      </c>
      <c r="HI195" s="237" t="s">
        <v>231</v>
      </c>
      <c r="HJ195" s="237" t="s">
        <v>231</v>
      </c>
      <c r="HK195" s="237" t="s">
        <v>231</v>
      </c>
      <c r="HL195" s="237" t="s">
        <v>231</v>
      </c>
      <c r="HM195" s="237" t="s">
        <v>231</v>
      </c>
      <c r="HN195" s="237" t="s">
        <v>231</v>
      </c>
      <c r="HO195" s="237" t="s">
        <v>231</v>
      </c>
      <c r="HP195" s="237" t="s">
        <v>231</v>
      </c>
      <c r="HQ195" s="237" t="s">
        <v>231</v>
      </c>
      <c r="HR195" s="237" t="s">
        <v>492</v>
      </c>
      <c r="HS195" s="237" t="s">
        <v>492</v>
      </c>
      <c r="HT195" s="237" t="s">
        <v>492</v>
      </c>
      <c r="HU195" s="237" t="s">
        <v>231</v>
      </c>
      <c r="HV195" s="237" t="s">
        <v>231</v>
      </c>
      <c r="HW195" s="237" t="s">
        <v>231</v>
      </c>
      <c r="HX195" s="237" t="s">
        <v>231</v>
      </c>
      <c r="HY195" s="237" t="s">
        <v>231</v>
      </c>
      <c r="HZ195" s="237" t="s">
        <v>231</v>
      </c>
      <c r="IA195" s="237" t="s">
        <v>231</v>
      </c>
      <c r="IB195" s="237" t="s">
        <v>231</v>
      </c>
      <c r="IC195" s="237" t="s">
        <v>231</v>
      </c>
      <c r="ID195" s="237" t="s">
        <v>231</v>
      </c>
      <c r="IE195" s="237" t="s">
        <v>231</v>
      </c>
      <c r="IF195" s="237" t="s">
        <v>231</v>
      </c>
      <c r="IG195" s="237" t="s">
        <v>231</v>
      </c>
      <c r="IH195" s="237" t="s">
        <v>231</v>
      </c>
      <c r="II195" s="237" t="s">
        <v>231</v>
      </c>
      <c r="IJ195" s="237" t="s">
        <v>231</v>
      </c>
      <c r="IK195" s="237" t="s">
        <v>232</v>
      </c>
      <c r="IL195" s="237" t="s">
        <v>232</v>
      </c>
      <c r="IM195" s="237" t="s">
        <v>232</v>
      </c>
      <c r="IN195" s="237" t="s">
        <v>232</v>
      </c>
      <c r="IO195" s="237" t="s">
        <v>220</v>
      </c>
      <c r="IP195" s="237" t="s">
        <v>493</v>
      </c>
      <c r="IQ195" s="237" t="s">
        <v>219</v>
      </c>
      <c r="IR195" s="237" t="s">
        <v>490</v>
      </c>
      <c r="IS195" s="237" t="s">
        <v>492</v>
      </c>
      <c r="IT195" s="237" t="s">
        <v>492</v>
      </c>
    </row>
    <row r="196" spans="1:254" ht="15" x14ac:dyDescent="0.25">
      <c r="A196" s="259" t="str">
        <f>HYPERLINK("http://www.ofsted.gov.uk/inspection-reports/find-inspection-report/provider/ELS/141502 ","Ofsted School Webpage")</f>
        <v>Ofsted School Webpage</v>
      </c>
      <c r="B196" s="240">
        <v>141502</v>
      </c>
      <c r="C196" s="240">
        <v>8956001</v>
      </c>
      <c r="D196" s="240" t="s">
        <v>984</v>
      </c>
      <c r="E196" s="240" t="s">
        <v>248</v>
      </c>
      <c r="F196" s="240" t="s">
        <v>501</v>
      </c>
      <c r="G196" s="240" t="s">
        <v>495</v>
      </c>
      <c r="H196" s="240" t="s">
        <v>495</v>
      </c>
      <c r="I196" s="240" t="s">
        <v>985</v>
      </c>
      <c r="J196" s="240" t="s">
        <v>986</v>
      </c>
      <c r="K196" s="240" t="s">
        <v>93</v>
      </c>
      <c r="L196" s="240" t="s">
        <v>93</v>
      </c>
      <c r="M196" s="240" t="s">
        <v>93</v>
      </c>
      <c r="N196" s="240" t="s">
        <v>90</v>
      </c>
      <c r="O196" s="240" t="s">
        <v>486</v>
      </c>
      <c r="P196" s="240" t="s">
        <v>487</v>
      </c>
      <c r="Q196" s="241">
        <v>10067920</v>
      </c>
      <c r="R196" s="242">
        <v>43494</v>
      </c>
      <c r="S196" s="242">
        <v>43496</v>
      </c>
      <c r="T196" s="242">
        <v>43529</v>
      </c>
      <c r="U196" s="240" t="s">
        <v>488</v>
      </c>
      <c r="V196" s="240" t="s">
        <v>489</v>
      </c>
      <c r="W196" s="240">
        <v>2</v>
      </c>
      <c r="X196" s="240">
        <v>2</v>
      </c>
      <c r="Y196" s="240">
        <v>2</v>
      </c>
      <c r="Z196" s="240">
        <v>2</v>
      </c>
      <c r="AA196" s="240">
        <v>2</v>
      </c>
      <c r="AB196" s="240" t="s">
        <v>486</v>
      </c>
      <c r="AC196" s="240" t="s">
        <v>486</v>
      </c>
      <c r="AD196" s="240" t="s">
        <v>219</v>
      </c>
      <c r="AE196" s="240" t="s">
        <v>490</v>
      </c>
      <c r="AF196" s="240" t="s">
        <v>486</v>
      </c>
      <c r="AG196" s="240" t="s">
        <v>486</v>
      </c>
      <c r="AH196" s="240" t="s">
        <v>486</v>
      </c>
      <c r="AI196" s="240" t="s">
        <v>486</v>
      </c>
      <c r="AJ196" s="240" t="s">
        <v>486</v>
      </c>
      <c r="AK196" s="240" t="s">
        <v>486</v>
      </c>
      <c r="AL196" s="240" t="s">
        <v>486</v>
      </c>
      <c r="AM196" s="240" t="s">
        <v>491</v>
      </c>
      <c r="AN196" s="240" t="s">
        <v>231</v>
      </c>
      <c r="AO196" s="240" t="s">
        <v>231</v>
      </c>
      <c r="AP196" s="240" t="s">
        <v>231</v>
      </c>
      <c r="AQ196" s="240" t="s">
        <v>231</v>
      </c>
      <c r="AR196" s="240" t="s">
        <v>231</v>
      </c>
      <c r="AS196" s="240" t="s">
        <v>231</v>
      </c>
      <c r="AT196" s="240" t="s">
        <v>231</v>
      </c>
      <c r="AU196" s="240" t="s">
        <v>231</v>
      </c>
      <c r="AV196" s="240" t="s">
        <v>231</v>
      </c>
      <c r="AW196" s="240" t="s">
        <v>231</v>
      </c>
      <c r="AX196" s="240" t="s">
        <v>231</v>
      </c>
      <c r="AY196" s="240" t="s">
        <v>231</v>
      </c>
      <c r="AZ196" s="240" t="s">
        <v>231</v>
      </c>
      <c r="BA196" s="240" t="s">
        <v>231</v>
      </c>
      <c r="BB196" s="240" t="s">
        <v>231</v>
      </c>
      <c r="BC196" s="240" t="s">
        <v>231</v>
      </c>
      <c r="BD196" s="240" t="s">
        <v>492</v>
      </c>
      <c r="BE196" s="240" t="s">
        <v>231</v>
      </c>
      <c r="BF196" s="240" t="s">
        <v>231</v>
      </c>
      <c r="BG196" s="240" t="s">
        <v>231</v>
      </c>
      <c r="BH196" s="240" t="s">
        <v>231</v>
      </c>
      <c r="BI196" s="240" t="s">
        <v>231</v>
      </c>
      <c r="BJ196" s="240" t="s">
        <v>231</v>
      </c>
      <c r="BK196" s="240" t="s">
        <v>231</v>
      </c>
      <c r="BL196" s="240" t="s">
        <v>492</v>
      </c>
      <c r="BM196" s="240" t="s">
        <v>231</v>
      </c>
      <c r="BN196" s="240" t="s">
        <v>231</v>
      </c>
      <c r="BO196" s="240" t="s">
        <v>231</v>
      </c>
      <c r="BP196" s="240" t="s">
        <v>231</v>
      </c>
      <c r="BQ196" s="240" t="s">
        <v>231</v>
      </c>
      <c r="BR196" s="240" t="s">
        <v>231</v>
      </c>
      <c r="BS196" s="240" t="s">
        <v>231</v>
      </c>
      <c r="BT196" s="240" t="s">
        <v>231</v>
      </c>
      <c r="BU196" s="240" t="s">
        <v>231</v>
      </c>
      <c r="BV196" s="240" t="s">
        <v>231</v>
      </c>
      <c r="BW196" s="240" t="s">
        <v>231</v>
      </c>
      <c r="BX196" s="240" t="s">
        <v>231</v>
      </c>
      <c r="BY196" s="240" t="s">
        <v>231</v>
      </c>
      <c r="BZ196" s="240" t="s">
        <v>231</v>
      </c>
      <c r="CA196" s="240" t="s">
        <v>231</v>
      </c>
      <c r="CB196" s="240" t="s">
        <v>231</v>
      </c>
      <c r="CC196" s="240" t="s">
        <v>231</v>
      </c>
      <c r="CD196" s="240" t="s">
        <v>231</v>
      </c>
      <c r="CE196" s="240" t="s">
        <v>231</v>
      </c>
      <c r="CF196" s="240" t="s">
        <v>231</v>
      </c>
      <c r="CG196" s="240" t="s">
        <v>231</v>
      </c>
      <c r="CH196" s="240" t="s">
        <v>231</v>
      </c>
      <c r="CI196" s="240" t="s">
        <v>231</v>
      </c>
      <c r="CJ196" s="240" t="s">
        <v>231</v>
      </c>
      <c r="CK196" s="240" t="s">
        <v>231</v>
      </c>
      <c r="CL196" s="240" t="s">
        <v>231</v>
      </c>
      <c r="CM196" s="240" t="s">
        <v>231</v>
      </c>
      <c r="CN196" s="240" t="s">
        <v>231</v>
      </c>
      <c r="CO196" s="240" t="s">
        <v>231</v>
      </c>
      <c r="CP196" s="240" t="s">
        <v>231</v>
      </c>
      <c r="CQ196" s="240" t="s">
        <v>231</v>
      </c>
      <c r="CR196" s="240" t="s">
        <v>231</v>
      </c>
      <c r="CS196" s="240" t="s">
        <v>231</v>
      </c>
      <c r="CT196" s="240" t="s">
        <v>231</v>
      </c>
      <c r="CU196" s="240" t="s">
        <v>492</v>
      </c>
      <c r="CV196" s="240" t="s">
        <v>492</v>
      </c>
      <c r="CW196" s="240" t="s">
        <v>231</v>
      </c>
      <c r="CX196" s="240" t="s">
        <v>231</v>
      </c>
      <c r="CY196" s="240" t="s">
        <v>231</v>
      </c>
      <c r="CZ196" s="240" t="s">
        <v>231</v>
      </c>
      <c r="DA196" s="240" t="s">
        <v>231</v>
      </c>
      <c r="DB196" s="240" t="s">
        <v>231</v>
      </c>
      <c r="DC196" s="240" t="s">
        <v>231</v>
      </c>
      <c r="DD196" s="240" t="s">
        <v>231</v>
      </c>
      <c r="DE196" s="240" t="s">
        <v>231</v>
      </c>
      <c r="DF196" s="240" t="s">
        <v>231</v>
      </c>
      <c r="DG196" s="240" t="s">
        <v>231</v>
      </c>
      <c r="DH196" s="240" t="s">
        <v>231</v>
      </c>
      <c r="DI196" s="240" t="s">
        <v>231</v>
      </c>
      <c r="DJ196" s="240" t="s">
        <v>231</v>
      </c>
      <c r="DK196" s="240" t="s">
        <v>231</v>
      </c>
      <c r="DL196" s="240" t="s">
        <v>231</v>
      </c>
      <c r="DM196" s="240" t="s">
        <v>231</v>
      </c>
      <c r="DN196" s="240" t="s">
        <v>231</v>
      </c>
      <c r="DO196" s="240" t="s">
        <v>231</v>
      </c>
      <c r="DP196" s="240" t="s">
        <v>231</v>
      </c>
      <c r="DQ196" s="240" t="s">
        <v>231</v>
      </c>
      <c r="DR196" s="240" t="s">
        <v>231</v>
      </c>
      <c r="DS196" s="240" t="s">
        <v>231</v>
      </c>
      <c r="DT196" s="240" t="s">
        <v>231</v>
      </c>
      <c r="DU196" s="240" t="s">
        <v>231</v>
      </c>
      <c r="DV196" s="240" t="s">
        <v>231</v>
      </c>
      <c r="DW196" s="240" t="s">
        <v>231</v>
      </c>
      <c r="DX196" s="240" t="s">
        <v>231</v>
      </c>
      <c r="DY196" s="240" t="s">
        <v>231</v>
      </c>
      <c r="DZ196" s="240" t="s">
        <v>231</v>
      </c>
      <c r="EA196" s="240" t="s">
        <v>231</v>
      </c>
      <c r="EB196" s="240" t="s">
        <v>231</v>
      </c>
      <c r="EC196" s="240" t="s">
        <v>231</v>
      </c>
      <c r="ED196" s="240" t="s">
        <v>231</v>
      </c>
      <c r="EE196" s="240" t="s">
        <v>231</v>
      </c>
      <c r="EF196" s="240" t="s">
        <v>231</v>
      </c>
      <c r="EG196" s="240" t="s">
        <v>231</v>
      </c>
      <c r="EH196" s="240" t="s">
        <v>231</v>
      </c>
      <c r="EI196" s="240" t="s">
        <v>231</v>
      </c>
      <c r="EJ196" s="240" t="s">
        <v>231</v>
      </c>
      <c r="EK196" s="240" t="s">
        <v>231</v>
      </c>
      <c r="EL196" s="240" t="s">
        <v>231</v>
      </c>
      <c r="EM196" s="240" t="s">
        <v>231</v>
      </c>
      <c r="EN196" s="240" t="s">
        <v>231</v>
      </c>
      <c r="EO196" s="240" t="s">
        <v>231</v>
      </c>
      <c r="EP196" s="240" t="s">
        <v>231</v>
      </c>
      <c r="EQ196" s="240" t="s">
        <v>231</v>
      </c>
      <c r="ER196" s="240" t="s">
        <v>231</v>
      </c>
      <c r="ES196" s="240" t="s">
        <v>231</v>
      </c>
      <c r="ET196" s="240" t="s">
        <v>231</v>
      </c>
      <c r="EU196" s="240" t="s">
        <v>231</v>
      </c>
      <c r="EV196" s="240" t="s">
        <v>231</v>
      </c>
      <c r="EW196" s="240" t="s">
        <v>231</v>
      </c>
      <c r="EX196" s="240" t="s">
        <v>231</v>
      </c>
      <c r="EY196" s="240" t="s">
        <v>231</v>
      </c>
      <c r="EZ196" s="240" t="s">
        <v>231</v>
      </c>
      <c r="FA196" s="240" t="s">
        <v>231</v>
      </c>
      <c r="FB196" s="240" t="s">
        <v>231</v>
      </c>
      <c r="FC196" s="240" t="s">
        <v>231</v>
      </c>
      <c r="FD196" s="240" t="s">
        <v>231</v>
      </c>
      <c r="FE196" s="240" t="s">
        <v>231</v>
      </c>
      <c r="FF196" s="240" t="s">
        <v>231</v>
      </c>
      <c r="FG196" s="240" t="s">
        <v>231</v>
      </c>
      <c r="FH196" s="240" t="s">
        <v>231</v>
      </c>
      <c r="FI196" s="240" t="s">
        <v>231</v>
      </c>
      <c r="FJ196" s="240" t="s">
        <v>231</v>
      </c>
      <c r="FK196" s="240" t="s">
        <v>231</v>
      </c>
      <c r="FL196" s="240" t="s">
        <v>231</v>
      </c>
      <c r="FM196" s="240" t="s">
        <v>231</v>
      </c>
      <c r="FN196" s="240" t="s">
        <v>231</v>
      </c>
      <c r="FO196" s="240" t="s">
        <v>231</v>
      </c>
      <c r="FP196" s="240" t="s">
        <v>231</v>
      </c>
      <c r="FQ196" s="240" t="s">
        <v>231</v>
      </c>
      <c r="FR196" s="240" t="s">
        <v>231</v>
      </c>
      <c r="FS196" s="240" t="s">
        <v>231</v>
      </c>
      <c r="FT196" s="240" t="s">
        <v>231</v>
      </c>
      <c r="FU196" s="240" t="s">
        <v>231</v>
      </c>
      <c r="FV196" s="240" t="s">
        <v>231</v>
      </c>
      <c r="FW196" s="240" t="s">
        <v>231</v>
      </c>
      <c r="FX196" s="240" t="s">
        <v>492</v>
      </c>
      <c r="FY196" s="240" t="s">
        <v>231</v>
      </c>
      <c r="FZ196" s="240" t="s">
        <v>231</v>
      </c>
      <c r="GA196" s="240" t="s">
        <v>231</v>
      </c>
      <c r="GB196" s="240" t="s">
        <v>231</v>
      </c>
      <c r="GC196" s="240" t="s">
        <v>231</v>
      </c>
      <c r="GD196" s="240" t="s">
        <v>231</v>
      </c>
      <c r="GE196" s="240" t="s">
        <v>231</v>
      </c>
      <c r="GF196" s="240" t="s">
        <v>231</v>
      </c>
      <c r="GG196" s="240" t="s">
        <v>231</v>
      </c>
      <c r="GH196" s="240" t="s">
        <v>231</v>
      </c>
      <c r="GI196" s="240" t="s">
        <v>231</v>
      </c>
      <c r="GJ196" s="240" t="s">
        <v>231</v>
      </c>
      <c r="GK196" s="240" t="s">
        <v>231</v>
      </c>
      <c r="GL196" s="240" t="s">
        <v>231</v>
      </c>
      <c r="GM196" s="240" t="s">
        <v>231</v>
      </c>
      <c r="GN196" s="240" t="s">
        <v>231</v>
      </c>
      <c r="GO196" s="240" t="s">
        <v>231</v>
      </c>
      <c r="GP196" s="240" t="s">
        <v>492</v>
      </c>
      <c r="GQ196" s="240" t="s">
        <v>231</v>
      </c>
      <c r="GR196" s="240" t="s">
        <v>231</v>
      </c>
      <c r="GS196" s="240" t="s">
        <v>231</v>
      </c>
      <c r="GT196" s="240" t="s">
        <v>231</v>
      </c>
      <c r="GU196" s="240" t="s">
        <v>231</v>
      </c>
      <c r="GV196" s="240" t="s">
        <v>231</v>
      </c>
      <c r="GW196" s="240" t="s">
        <v>231</v>
      </c>
      <c r="GX196" s="240" t="s">
        <v>231</v>
      </c>
      <c r="GY196" s="240" t="s">
        <v>231</v>
      </c>
      <c r="GZ196" s="240" t="s">
        <v>231</v>
      </c>
      <c r="HA196" s="240" t="s">
        <v>231</v>
      </c>
      <c r="HB196" s="240" t="s">
        <v>231</v>
      </c>
      <c r="HC196" s="240" t="s">
        <v>231</v>
      </c>
      <c r="HD196" s="240" t="s">
        <v>231</v>
      </c>
      <c r="HE196" s="240" t="s">
        <v>231</v>
      </c>
      <c r="HF196" s="240" t="s">
        <v>231</v>
      </c>
      <c r="HG196" s="240" t="s">
        <v>231</v>
      </c>
      <c r="HH196" s="240" t="s">
        <v>231</v>
      </c>
      <c r="HI196" s="240" t="s">
        <v>231</v>
      </c>
      <c r="HJ196" s="240" t="s">
        <v>231</v>
      </c>
      <c r="HK196" s="240" t="s">
        <v>231</v>
      </c>
      <c r="HL196" s="240" t="s">
        <v>231</v>
      </c>
      <c r="HM196" s="240" t="s">
        <v>231</v>
      </c>
      <c r="HN196" s="240" t="s">
        <v>231</v>
      </c>
      <c r="HO196" s="240" t="s">
        <v>231</v>
      </c>
      <c r="HP196" s="240" t="s">
        <v>231</v>
      </c>
      <c r="HQ196" s="240" t="s">
        <v>231</v>
      </c>
      <c r="HR196" s="240" t="s">
        <v>231</v>
      </c>
      <c r="HS196" s="240" t="s">
        <v>231</v>
      </c>
      <c r="HT196" s="240" t="s">
        <v>231</v>
      </c>
      <c r="HU196" s="240" t="s">
        <v>231</v>
      </c>
      <c r="HV196" s="240" t="s">
        <v>231</v>
      </c>
      <c r="HW196" s="240" t="s">
        <v>231</v>
      </c>
      <c r="HX196" s="240" t="s">
        <v>231</v>
      </c>
      <c r="HY196" s="240" t="s">
        <v>231</v>
      </c>
      <c r="HZ196" s="240" t="s">
        <v>231</v>
      </c>
      <c r="IA196" s="240" t="s">
        <v>231</v>
      </c>
      <c r="IB196" s="240" t="s">
        <v>231</v>
      </c>
      <c r="IC196" s="240" t="s">
        <v>231</v>
      </c>
      <c r="ID196" s="240" t="s">
        <v>231</v>
      </c>
      <c r="IE196" s="240" t="s">
        <v>231</v>
      </c>
      <c r="IF196" s="240" t="s">
        <v>231</v>
      </c>
      <c r="IG196" s="240" t="s">
        <v>231</v>
      </c>
      <c r="IH196" s="240" t="s">
        <v>231</v>
      </c>
      <c r="II196" s="240" t="s">
        <v>231</v>
      </c>
      <c r="IJ196" s="240" t="s">
        <v>231</v>
      </c>
      <c r="IK196" s="240" t="s">
        <v>231</v>
      </c>
      <c r="IL196" s="240" t="s">
        <v>231</v>
      </c>
      <c r="IM196" s="240" t="s">
        <v>231</v>
      </c>
      <c r="IN196" s="240" t="s">
        <v>231</v>
      </c>
      <c r="IO196" s="240" t="s">
        <v>219</v>
      </c>
      <c r="IP196" s="240" t="s">
        <v>219</v>
      </c>
      <c r="IQ196" s="240" t="s">
        <v>219</v>
      </c>
      <c r="IR196" s="240" t="s">
        <v>490</v>
      </c>
      <c r="IS196" s="240" t="s">
        <v>231</v>
      </c>
      <c r="IT196" s="240" t="s">
        <v>231</v>
      </c>
    </row>
    <row r="197" spans="1:254" ht="15" x14ac:dyDescent="0.25">
      <c r="A197" s="258" t="str">
        <f>HYPERLINK("http://www.ofsted.gov.uk/inspection-reports/find-inspection-report/provider/ELS/100300 ","Ofsted School Webpage")</f>
        <v>Ofsted School Webpage</v>
      </c>
      <c r="B197" s="237">
        <v>100300</v>
      </c>
      <c r="C197" s="237">
        <v>2046388</v>
      </c>
      <c r="D197" s="237" t="s">
        <v>987</v>
      </c>
      <c r="E197" s="237" t="s">
        <v>247</v>
      </c>
      <c r="F197" s="237" t="s">
        <v>482</v>
      </c>
      <c r="G197" s="237" t="s">
        <v>506</v>
      </c>
      <c r="H197" s="237" t="s">
        <v>506</v>
      </c>
      <c r="I197" s="237" t="s">
        <v>617</v>
      </c>
      <c r="J197" s="237" t="s">
        <v>988</v>
      </c>
      <c r="K197" s="237" t="s">
        <v>93</v>
      </c>
      <c r="L197" s="237" t="s">
        <v>84</v>
      </c>
      <c r="M197" s="237" t="s">
        <v>84</v>
      </c>
      <c r="N197" s="237" t="s">
        <v>84</v>
      </c>
      <c r="O197" s="237" t="s">
        <v>486</v>
      </c>
      <c r="P197" s="237" t="s">
        <v>487</v>
      </c>
      <c r="Q197" s="238">
        <v>10054282</v>
      </c>
      <c r="R197" s="239">
        <v>43494</v>
      </c>
      <c r="S197" s="239">
        <v>43496</v>
      </c>
      <c r="T197" s="239">
        <v>43531</v>
      </c>
      <c r="U197" s="237" t="s">
        <v>488</v>
      </c>
      <c r="V197" s="237" t="s">
        <v>489</v>
      </c>
      <c r="W197" s="237">
        <v>4</v>
      </c>
      <c r="X197" s="237">
        <v>4</v>
      </c>
      <c r="Y197" s="237">
        <v>3</v>
      </c>
      <c r="Z197" s="237">
        <v>2</v>
      </c>
      <c r="AA197" s="237">
        <v>2</v>
      </c>
      <c r="AB197" s="237" t="s">
        <v>486</v>
      </c>
      <c r="AC197" s="237" t="s">
        <v>486</v>
      </c>
      <c r="AD197" s="237" t="s">
        <v>219</v>
      </c>
      <c r="AE197" s="237" t="s">
        <v>490</v>
      </c>
      <c r="AF197" s="237" t="s">
        <v>486</v>
      </c>
      <c r="AG197" s="237" t="s">
        <v>486</v>
      </c>
      <c r="AH197" s="237" t="s">
        <v>486</v>
      </c>
      <c r="AI197" s="237" t="s">
        <v>486</v>
      </c>
      <c r="AJ197" s="237" t="s">
        <v>486</v>
      </c>
      <c r="AK197" s="237" t="s">
        <v>486</v>
      </c>
      <c r="AL197" s="237" t="s">
        <v>486</v>
      </c>
      <c r="AM197" s="237" t="s">
        <v>545</v>
      </c>
      <c r="AN197" s="237" t="s">
        <v>231</v>
      </c>
      <c r="AO197" s="237" t="s">
        <v>231</v>
      </c>
      <c r="AP197" s="237" t="s">
        <v>231</v>
      </c>
      <c r="AQ197" s="237" t="s">
        <v>231</v>
      </c>
      <c r="AR197" s="237" t="s">
        <v>231</v>
      </c>
      <c r="AS197" s="237" t="s">
        <v>231</v>
      </c>
      <c r="AT197" s="237" t="s">
        <v>231</v>
      </c>
      <c r="AU197" s="237" t="s">
        <v>546</v>
      </c>
      <c r="AV197" s="237" t="s">
        <v>231</v>
      </c>
      <c r="AW197" s="237" t="s">
        <v>231</v>
      </c>
      <c r="AX197" s="237" t="s">
        <v>231</v>
      </c>
      <c r="AY197" s="237" t="s">
        <v>231</v>
      </c>
      <c r="AZ197" s="237" t="s">
        <v>231</v>
      </c>
      <c r="BA197" s="237" t="s">
        <v>231</v>
      </c>
      <c r="BB197" s="237" t="s">
        <v>231</v>
      </c>
      <c r="BC197" s="237" t="s">
        <v>231</v>
      </c>
      <c r="BD197" s="237" t="s">
        <v>492</v>
      </c>
      <c r="BE197" s="237" t="s">
        <v>231</v>
      </c>
      <c r="BF197" s="237" t="s">
        <v>231</v>
      </c>
      <c r="BG197" s="237" t="s">
        <v>231</v>
      </c>
      <c r="BH197" s="237" t="s">
        <v>231</v>
      </c>
      <c r="BI197" s="237" t="s">
        <v>231</v>
      </c>
      <c r="BJ197" s="237" t="s">
        <v>231</v>
      </c>
      <c r="BK197" s="237" t="s">
        <v>231</v>
      </c>
      <c r="BL197" s="237" t="s">
        <v>492</v>
      </c>
      <c r="BM197" s="237" t="s">
        <v>492</v>
      </c>
      <c r="BN197" s="237" t="s">
        <v>231</v>
      </c>
      <c r="BO197" s="237" t="s">
        <v>231</v>
      </c>
      <c r="BP197" s="237" t="s">
        <v>231</v>
      </c>
      <c r="BQ197" s="237" t="s">
        <v>231</v>
      </c>
      <c r="BR197" s="237" t="s">
        <v>231</v>
      </c>
      <c r="BS197" s="237" t="s">
        <v>231</v>
      </c>
      <c r="BT197" s="237" t="s">
        <v>231</v>
      </c>
      <c r="BU197" s="237" t="s">
        <v>231</v>
      </c>
      <c r="BV197" s="237" t="s">
        <v>231</v>
      </c>
      <c r="BW197" s="237" t="s">
        <v>231</v>
      </c>
      <c r="BX197" s="237" t="s">
        <v>231</v>
      </c>
      <c r="BY197" s="237" t="s">
        <v>231</v>
      </c>
      <c r="BZ197" s="237" t="s">
        <v>231</v>
      </c>
      <c r="CA197" s="237" t="s">
        <v>231</v>
      </c>
      <c r="CB197" s="237" t="s">
        <v>231</v>
      </c>
      <c r="CC197" s="237" t="s">
        <v>231</v>
      </c>
      <c r="CD197" s="237" t="s">
        <v>231</v>
      </c>
      <c r="CE197" s="237" t="s">
        <v>231</v>
      </c>
      <c r="CF197" s="237" t="s">
        <v>231</v>
      </c>
      <c r="CG197" s="237" t="s">
        <v>231</v>
      </c>
      <c r="CH197" s="237" t="s">
        <v>231</v>
      </c>
      <c r="CI197" s="237" t="s">
        <v>231</v>
      </c>
      <c r="CJ197" s="237" t="s">
        <v>231</v>
      </c>
      <c r="CK197" s="237" t="s">
        <v>231</v>
      </c>
      <c r="CL197" s="237" t="s">
        <v>231</v>
      </c>
      <c r="CM197" s="237" t="s">
        <v>231</v>
      </c>
      <c r="CN197" s="237" t="s">
        <v>231</v>
      </c>
      <c r="CO197" s="237" t="s">
        <v>231</v>
      </c>
      <c r="CP197" s="237" t="s">
        <v>231</v>
      </c>
      <c r="CQ197" s="237" t="s">
        <v>231</v>
      </c>
      <c r="CR197" s="237" t="s">
        <v>231</v>
      </c>
      <c r="CS197" s="237" t="s">
        <v>231</v>
      </c>
      <c r="CT197" s="237" t="s">
        <v>492</v>
      </c>
      <c r="CU197" s="237" t="s">
        <v>492</v>
      </c>
      <c r="CV197" s="237" t="s">
        <v>492</v>
      </c>
      <c r="CW197" s="237" t="s">
        <v>231</v>
      </c>
      <c r="CX197" s="237" t="s">
        <v>231</v>
      </c>
      <c r="CY197" s="237" t="s">
        <v>231</v>
      </c>
      <c r="CZ197" s="237" t="s">
        <v>231</v>
      </c>
      <c r="DA197" s="237" t="s">
        <v>231</v>
      </c>
      <c r="DB197" s="237" t="s">
        <v>231</v>
      </c>
      <c r="DC197" s="237" t="s">
        <v>231</v>
      </c>
      <c r="DD197" s="237" t="s">
        <v>231</v>
      </c>
      <c r="DE197" s="237" t="s">
        <v>231</v>
      </c>
      <c r="DF197" s="237" t="s">
        <v>231</v>
      </c>
      <c r="DG197" s="237" t="s">
        <v>231</v>
      </c>
      <c r="DH197" s="237" t="s">
        <v>231</v>
      </c>
      <c r="DI197" s="237" t="s">
        <v>231</v>
      </c>
      <c r="DJ197" s="237" t="s">
        <v>231</v>
      </c>
      <c r="DK197" s="237" t="s">
        <v>231</v>
      </c>
      <c r="DL197" s="237" t="s">
        <v>231</v>
      </c>
      <c r="DM197" s="237" t="s">
        <v>231</v>
      </c>
      <c r="DN197" s="237" t="s">
        <v>231</v>
      </c>
      <c r="DO197" s="237" t="s">
        <v>231</v>
      </c>
      <c r="DP197" s="237" t="s">
        <v>231</v>
      </c>
      <c r="DQ197" s="237" t="s">
        <v>231</v>
      </c>
      <c r="DR197" s="237" t="s">
        <v>231</v>
      </c>
      <c r="DS197" s="237" t="s">
        <v>231</v>
      </c>
      <c r="DT197" s="237" t="s">
        <v>492</v>
      </c>
      <c r="DU197" s="237" t="s">
        <v>231</v>
      </c>
      <c r="DV197" s="237" t="s">
        <v>492</v>
      </c>
      <c r="DW197" s="237" t="s">
        <v>492</v>
      </c>
      <c r="DX197" s="237" t="s">
        <v>492</v>
      </c>
      <c r="DY197" s="237" t="s">
        <v>492</v>
      </c>
      <c r="DZ197" s="237" t="s">
        <v>492</v>
      </c>
      <c r="EA197" s="237" t="s">
        <v>492</v>
      </c>
      <c r="EB197" s="237" t="s">
        <v>492</v>
      </c>
      <c r="EC197" s="237" t="s">
        <v>492</v>
      </c>
      <c r="ED197" s="237" t="s">
        <v>492</v>
      </c>
      <c r="EE197" s="237" t="s">
        <v>492</v>
      </c>
      <c r="EF197" s="237" t="s">
        <v>492</v>
      </c>
      <c r="EG197" s="237" t="s">
        <v>492</v>
      </c>
      <c r="EH197" s="237" t="s">
        <v>492</v>
      </c>
      <c r="EI197" s="237" t="s">
        <v>492</v>
      </c>
      <c r="EJ197" s="237" t="s">
        <v>231</v>
      </c>
      <c r="EK197" s="237" t="s">
        <v>231</v>
      </c>
      <c r="EL197" s="237" t="s">
        <v>231</v>
      </c>
      <c r="EM197" s="237" t="s">
        <v>231</v>
      </c>
      <c r="EN197" s="237" t="s">
        <v>231</v>
      </c>
      <c r="EO197" s="237" t="s">
        <v>231</v>
      </c>
      <c r="EP197" s="237" t="s">
        <v>231</v>
      </c>
      <c r="EQ197" s="237" t="s">
        <v>231</v>
      </c>
      <c r="ER197" s="237" t="s">
        <v>231</v>
      </c>
      <c r="ES197" s="237" t="s">
        <v>231</v>
      </c>
      <c r="ET197" s="237" t="s">
        <v>231</v>
      </c>
      <c r="EU197" s="237" t="s">
        <v>231</v>
      </c>
      <c r="EV197" s="237" t="s">
        <v>231</v>
      </c>
      <c r="EW197" s="237" t="s">
        <v>231</v>
      </c>
      <c r="EX197" s="237" t="s">
        <v>231</v>
      </c>
      <c r="EY197" s="237" t="s">
        <v>231</v>
      </c>
      <c r="EZ197" s="237" t="s">
        <v>231</v>
      </c>
      <c r="FA197" s="237" t="s">
        <v>231</v>
      </c>
      <c r="FB197" s="237" t="s">
        <v>231</v>
      </c>
      <c r="FC197" s="237" t="s">
        <v>231</v>
      </c>
      <c r="FD197" s="237" t="s">
        <v>231</v>
      </c>
      <c r="FE197" s="237" t="s">
        <v>231</v>
      </c>
      <c r="FF197" s="237" t="s">
        <v>231</v>
      </c>
      <c r="FG197" s="237" t="s">
        <v>492</v>
      </c>
      <c r="FH197" s="237" t="s">
        <v>492</v>
      </c>
      <c r="FI197" s="237" t="s">
        <v>492</v>
      </c>
      <c r="FJ197" s="237" t="s">
        <v>492</v>
      </c>
      <c r="FK197" s="237" t="s">
        <v>492</v>
      </c>
      <c r="FL197" s="237" t="s">
        <v>492</v>
      </c>
      <c r="FM197" s="237" t="s">
        <v>231</v>
      </c>
      <c r="FN197" s="237" t="s">
        <v>231</v>
      </c>
      <c r="FO197" s="237" t="s">
        <v>231</v>
      </c>
      <c r="FP197" s="237" t="s">
        <v>231</v>
      </c>
      <c r="FQ197" s="237" t="s">
        <v>231</v>
      </c>
      <c r="FR197" s="237" t="s">
        <v>231</v>
      </c>
      <c r="FS197" s="237" t="s">
        <v>492</v>
      </c>
      <c r="FT197" s="237" t="s">
        <v>231</v>
      </c>
      <c r="FU197" s="237" t="s">
        <v>231</v>
      </c>
      <c r="FV197" s="237" t="s">
        <v>231</v>
      </c>
      <c r="FW197" s="237" t="s">
        <v>231</v>
      </c>
      <c r="FX197" s="237" t="s">
        <v>492</v>
      </c>
      <c r="FY197" s="237" t="s">
        <v>231</v>
      </c>
      <c r="FZ197" s="237" t="s">
        <v>231</v>
      </c>
      <c r="GA197" s="237" t="s">
        <v>231</v>
      </c>
      <c r="GB197" s="237" t="s">
        <v>231</v>
      </c>
      <c r="GC197" s="237" t="s">
        <v>231</v>
      </c>
      <c r="GD197" s="237" t="s">
        <v>231</v>
      </c>
      <c r="GE197" s="237" t="s">
        <v>231</v>
      </c>
      <c r="GF197" s="237" t="s">
        <v>231</v>
      </c>
      <c r="GG197" s="237" t="s">
        <v>231</v>
      </c>
      <c r="GH197" s="237" t="s">
        <v>231</v>
      </c>
      <c r="GI197" s="237" t="s">
        <v>231</v>
      </c>
      <c r="GJ197" s="237" t="s">
        <v>231</v>
      </c>
      <c r="GK197" s="237" t="s">
        <v>231</v>
      </c>
      <c r="GL197" s="237" t="s">
        <v>231</v>
      </c>
      <c r="GM197" s="237" t="s">
        <v>231</v>
      </c>
      <c r="GN197" s="237" t="s">
        <v>231</v>
      </c>
      <c r="GO197" s="237" t="s">
        <v>231</v>
      </c>
      <c r="GP197" s="237" t="s">
        <v>492</v>
      </c>
      <c r="GQ197" s="237" t="s">
        <v>231</v>
      </c>
      <c r="GR197" s="237" t="s">
        <v>231</v>
      </c>
      <c r="GS197" s="237" t="s">
        <v>231</v>
      </c>
      <c r="GT197" s="237" t="s">
        <v>231</v>
      </c>
      <c r="GU197" s="237" t="s">
        <v>231</v>
      </c>
      <c r="GV197" s="237" t="s">
        <v>492</v>
      </c>
      <c r="GW197" s="237" t="s">
        <v>231</v>
      </c>
      <c r="GX197" s="237" t="s">
        <v>231</v>
      </c>
      <c r="GY197" s="237" t="s">
        <v>492</v>
      </c>
      <c r="GZ197" s="237" t="s">
        <v>492</v>
      </c>
      <c r="HA197" s="237" t="s">
        <v>231</v>
      </c>
      <c r="HB197" s="237" t="s">
        <v>231</v>
      </c>
      <c r="HC197" s="237" t="s">
        <v>231</v>
      </c>
      <c r="HD197" s="237" t="s">
        <v>231</v>
      </c>
      <c r="HE197" s="237" t="s">
        <v>492</v>
      </c>
      <c r="HF197" s="237" t="s">
        <v>231</v>
      </c>
      <c r="HG197" s="237" t="s">
        <v>231</v>
      </c>
      <c r="HH197" s="237" t="s">
        <v>231</v>
      </c>
      <c r="HI197" s="237" t="s">
        <v>231</v>
      </c>
      <c r="HJ197" s="237" t="s">
        <v>231</v>
      </c>
      <c r="HK197" s="237" t="s">
        <v>231</v>
      </c>
      <c r="HL197" s="237" t="s">
        <v>231</v>
      </c>
      <c r="HM197" s="237" t="s">
        <v>231</v>
      </c>
      <c r="HN197" s="237" t="s">
        <v>231</v>
      </c>
      <c r="HO197" s="237" t="s">
        <v>231</v>
      </c>
      <c r="HP197" s="237" t="s">
        <v>231</v>
      </c>
      <c r="HQ197" s="237" t="s">
        <v>492</v>
      </c>
      <c r="HR197" s="237" t="s">
        <v>492</v>
      </c>
      <c r="HS197" s="237" t="s">
        <v>492</v>
      </c>
      <c r="HT197" s="237" t="s">
        <v>492</v>
      </c>
      <c r="HU197" s="237" t="s">
        <v>231</v>
      </c>
      <c r="HV197" s="237" t="s">
        <v>231</v>
      </c>
      <c r="HW197" s="237" t="s">
        <v>231</v>
      </c>
      <c r="HX197" s="237" t="s">
        <v>231</v>
      </c>
      <c r="HY197" s="237" t="s">
        <v>231</v>
      </c>
      <c r="HZ197" s="237" t="s">
        <v>231</v>
      </c>
      <c r="IA197" s="237" t="s">
        <v>231</v>
      </c>
      <c r="IB197" s="237" t="s">
        <v>231</v>
      </c>
      <c r="IC197" s="237" t="s">
        <v>231</v>
      </c>
      <c r="ID197" s="237" t="s">
        <v>231</v>
      </c>
      <c r="IE197" s="237" t="s">
        <v>231</v>
      </c>
      <c r="IF197" s="237" t="s">
        <v>231</v>
      </c>
      <c r="IG197" s="237" t="s">
        <v>231</v>
      </c>
      <c r="IH197" s="237" t="s">
        <v>231</v>
      </c>
      <c r="II197" s="237" t="s">
        <v>231</v>
      </c>
      <c r="IJ197" s="237" t="s">
        <v>231</v>
      </c>
      <c r="IK197" s="237" t="s">
        <v>232</v>
      </c>
      <c r="IL197" s="237" t="s">
        <v>232</v>
      </c>
      <c r="IM197" s="237" t="s">
        <v>232</v>
      </c>
      <c r="IN197" s="237" t="s">
        <v>232</v>
      </c>
      <c r="IO197" s="237" t="s">
        <v>220</v>
      </c>
      <c r="IP197" s="237" t="s">
        <v>493</v>
      </c>
      <c r="IQ197" s="237" t="s">
        <v>219</v>
      </c>
      <c r="IR197" s="237" t="s">
        <v>490</v>
      </c>
      <c r="IS197" s="237" t="s">
        <v>486</v>
      </c>
      <c r="IT197" s="237" t="s">
        <v>486</v>
      </c>
    </row>
    <row r="198" spans="1:254" ht="15" x14ac:dyDescent="0.25">
      <c r="A198" s="259" t="str">
        <f>HYPERLINK("http://www.ofsted.gov.uk/inspection-reports/find-inspection-report/provider/ELS/137562 ","Ofsted School Webpage")</f>
        <v>Ofsted School Webpage</v>
      </c>
      <c r="B198" s="240">
        <v>137562</v>
      </c>
      <c r="C198" s="240">
        <v>8826010</v>
      </c>
      <c r="D198" s="240" t="s">
        <v>989</v>
      </c>
      <c r="E198" s="240" t="s">
        <v>248</v>
      </c>
      <c r="F198" s="240" t="s">
        <v>501</v>
      </c>
      <c r="G198" s="240" t="s">
        <v>516</v>
      </c>
      <c r="H198" s="240" t="s">
        <v>516</v>
      </c>
      <c r="I198" s="240" t="s">
        <v>990</v>
      </c>
      <c r="J198" s="240" t="s">
        <v>991</v>
      </c>
      <c r="K198" s="240" t="s">
        <v>93</v>
      </c>
      <c r="L198" s="240" t="s">
        <v>93</v>
      </c>
      <c r="M198" s="240" t="s">
        <v>93</v>
      </c>
      <c r="N198" s="240" t="s">
        <v>90</v>
      </c>
      <c r="O198" s="240" t="s">
        <v>486</v>
      </c>
      <c r="P198" s="240" t="s">
        <v>487</v>
      </c>
      <c r="Q198" s="241">
        <v>10090995</v>
      </c>
      <c r="R198" s="242">
        <v>43494</v>
      </c>
      <c r="S198" s="242">
        <v>43496</v>
      </c>
      <c r="T198" s="242">
        <v>43530</v>
      </c>
      <c r="U198" s="240" t="s">
        <v>488</v>
      </c>
      <c r="V198" s="240" t="s">
        <v>489</v>
      </c>
      <c r="W198" s="240">
        <v>3</v>
      </c>
      <c r="X198" s="240">
        <v>3</v>
      </c>
      <c r="Y198" s="240">
        <v>2</v>
      </c>
      <c r="Z198" s="240">
        <v>3</v>
      </c>
      <c r="AA198" s="240">
        <v>3</v>
      </c>
      <c r="AB198" s="240" t="s">
        <v>486</v>
      </c>
      <c r="AC198" s="240" t="s">
        <v>486</v>
      </c>
      <c r="AD198" s="240" t="s">
        <v>219</v>
      </c>
      <c r="AE198" s="240" t="s">
        <v>490</v>
      </c>
      <c r="AF198" s="240" t="s">
        <v>486</v>
      </c>
      <c r="AG198" s="240" t="s">
        <v>486</v>
      </c>
      <c r="AH198" s="240" t="s">
        <v>486</v>
      </c>
      <c r="AI198" s="240" t="s">
        <v>486</v>
      </c>
      <c r="AJ198" s="240" t="s">
        <v>486</v>
      </c>
      <c r="AK198" s="240" t="s">
        <v>486</v>
      </c>
      <c r="AL198" s="240" t="s">
        <v>486</v>
      </c>
      <c r="AM198" s="240" t="s">
        <v>545</v>
      </c>
      <c r="AN198" s="240" t="s">
        <v>546</v>
      </c>
      <c r="AO198" s="240" t="s">
        <v>231</v>
      </c>
      <c r="AP198" s="240" t="s">
        <v>231</v>
      </c>
      <c r="AQ198" s="240" t="s">
        <v>231</v>
      </c>
      <c r="AR198" s="240" t="s">
        <v>231</v>
      </c>
      <c r="AS198" s="240" t="s">
        <v>231</v>
      </c>
      <c r="AT198" s="240" t="s">
        <v>231</v>
      </c>
      <c r="AU198" s="240" t="s">
        <v>546</v>
      </c>
      <c r="AV198" s="240" t="s">
        <v>231</v>
      </c>
      <c r="AW198" s="240" t="s">
        <v>231</v>
      </c>
      <c r="AX198" s="240" t="s">
        <v>231</v>
      </c>
      <c r="AY198" s="240" t="s">
        <v>231</v>
      </c>
      <c r="AZ198" s="240" t="s">
        <v>231</v>
      </c>
      <c r="BA198" s="240" t="s">
        <v>231</v>
      </c>
      <c r="BB198" s="240" t="s">
        <v>231</v>
      </c>
      <c r="BC198" s="240" t="s">
        <v>231</v>
      </c>
      <c r="BD198" s="240" t="s">
        <v>492</v>
      </c>
      <c r="BE198" s="240" t="s">
        <v>231</v>
      </c>
      <c r="BF198" s="240" t="s">
        <v>231</v>
      </c>
      <c r="BG198" s="240" t="s">
        <v>231</v>
      </c>
      <c r="BH198" s="240" t="s">
        <v>231</v>
      </c>
      <c r="BI198" s="240" t="s">
        <v>231</v>
      </c>
      <c r="BJ198" s="240" t="s">
        <v>231</v>
      </c>
      <c r="BK198" s="240" t="s">
        <v>231</v>
      </c>
      <c r="BL198" s="240" t="s">
        <v>492</v>
      </c>
      <c r="BM198" s="240" t="s">
        <v>492</v>
      </c>
      <c r="BN198" s="240" t="s">
        <v>231</v>
      </c>
      <c r="BO198" s="240" t="s">
        <v>231</v>
      </c>
      <c r="BP198" s="240" t="s">
        <v>232</v>
      </c>
      <c r="BQ198" s="240" t="s">
        <v>232</v>
      </c>
      <c r="BR198" s="240" t="s">
        <v>232</v>
      </c>
      <c r="BS198" s="240" t="s">
        <v>232</v>
      </c>
      <c r="BT198" s="240" t="s">
        <v>232</v>
      </c>
      <c r="BU198" s="240" t="s">
        <v>231</v>
      </c>
      <c r="BV198" s="240" t="s">
        <v>231</v>
      </c>
      <c r="BW198" s="240" t="s">
        <v>232</v>
      </c>
      <c r="BX198" s="240" t="s">
        <v>231</v>
      </c>
      <c r="BY198" s="240" t="s">
        <v>231</v>
      </c>
      <c r="BZ198" s="240" t="s">
        <v>231</v>
      </c>
      <c r="CA198" s="240" t="s">
        <v>231</v>
      </c>
      <c r="CB198" s="240" t="s">
        <v>231</v>
      </c>
      <c r="CC198" s="240" t="s">
        <v>231</v>
      </c>
      <c r="CD198" s="240" t="s">
        <v>231</v>
      </c>
      <c r="CE198" s="240" t="s">
        <v>231</v>
      </c>
      <c r="CF198" s="240" t="s">
        <v>231</v>
      </c>
      <c r="CG198" s="240" t="s">
        <v>231</v>
      </c>
      <c r="CH198" s="240" t="s">
        <v>231</v>
      </c>
      <c r="CI198" s="240" t="s">
        <v>231</v>
      </c>
      <c r="CJ198" s="240" t="s">
        <v>231</v>
      </c>
      <c r="CK198" s="240" t="s">
        <v>231</v>
      </c>
      <c r="CL198" s="240" t="s">
        <v>231</v>
      </c>
      <c r="CM198" s="240" t="s">
        <v>231</v>
      </c>
      <c r="CN198" s="240" t="s">
        <v>231</v>
      </c>
      <c r="CO198" s="240" t="s">
        <v>231</v>
      </c>
      <c r="CP198" s="240" t="s">
        <v>231</v>
      </c>
      <c r="CQ198" s="240" t="s">
        <v>231</v>
      </c>
      <c r="CR198" s="240" t="s">
        <v>231</v>
      </c>
      <c r="CS198" s="240" t="s">
        <v>231</v>
      </c>
      <c r="CT198" s="240" t="s">
        <v>492</v>
      </c>
      <c r="CU198" s="240" t="s">
        <v>492</v>
      </c>
      <c r="CV198" s="240" t="s">
        <v>492</v>
      </c>
      <c r="CW198" s="240" t="s">
        <v>231</v>
      </c>
      <c r="CX198" s="240" t="s">
        <v>231</v>
      </c>
      <c r="CY198" s="240" t="s">
        <v>231</v>
      </c>
      <c r="CZ198" s="240" t="s">
        <v>231</v>
      </c>
      <c r="DA198" s="240" t="s">
        <v>231</v>
      </c>
      <c r="DB198" s="240" t="s">
        <v>231</v>
      </c>
      <c r="DC198" s="240" t="s">
        <v>231</v>
      </c>
      <c r="DD198" s="240" t="s">
        <v>231</v>
      </c>
      <c r="DE198" s="240" t="s">
        <v>231</v>
      </c>
      <c r="DF198" s="240" t="s">
        <v>231</v>
      </c>
      <c r="DG198" s="240" t="s">
        <v>231</v>
      </c>
      <c r="DH198" s="240" t="s">
        <v>231</v>
      </c>
      <c r="DI198" s="240" t="s">
        <v>231</v>
      </c>
      <c r="DJ198" s="240" t="s">
        <v>231</v>
      </c>
      <c r="DK198" s="240" t="s">
        <v>231</v>
      </c>
      <c r="DL198" s="240" t="s">
        <v>231</v>
      </c>
      <c r="DM198" s="240" t="s">
        <v>231</v>
      </c>
      <c r="DN198" s="240" t="s">
        <v>231</v>
      </c>
      <c r="DO198" s="240" t="s">
        <v>231</v>
      </c>
      <c r="DP198" s="240" t="s">
        <v>231</v>
      </c>
      <c r="DQ198" s="240" t="s">
        <v>231</v>
      </c>
      <c r="DR198" s="240" t="s">
        <v>231</v>
      </c>
      <c r="DS198" s="240" t="s">
        <v>231</v>
      </c>
      <c r="DT198" s="240" t="s">
        <v>492</v>
      </c>
      <c r="DU198" s="240" t="s">
        <v>231</v>
      </c>
      <c r="DV198" s="240" t="s">
        <v>492</v>
      </c>
      <c r="DW198" s="240" t="s">
        <v>492</v>
      </c>
      <c r="DX198" s="240" t="s">
        <v>492</v>
      </c>
      <c r="DY198" s="240" t="s">
        <v>492</v>
      </c>
      <c r="DZ198" s="240" t="s">
        <v>492</v>
      </c>
      <c r="EA198" s="240" t="s">
        <v>492</v>
      </c>
      <c r="EB198" s="240" t="s">
        <v>492</v>
      </c>
      <c r="EC198" s="240" t="s">
        <v>492</v>
      </c>
      <c r="ED198" s="240" t="s">
        <v>492</v>
      </c>
      <c r="EE198" s="240" t="s">
        <v>492</v>
      </c>
      <c r="EF198" s="240" t="s">
        <v>492</v>
      </c>
      <c r="EG198" s="240" t="s">
        <v>492</v>
      </c>
      <c r="EH198" s="240" t="s">
        <v>492</v>
      </c>
      <c r="EI198" s="240" t="s">
        <v>492</v>
      </c>
      <c r="EJ198" s="240" t="s">
        <v>231</v>
      </c>
      <c r="EK198" s="240" t="s">
        <v>231</v>
      </c>
      <c r="EL198" s="240" t="s">
        <v>231</v>
      </c>
      <c r="EM198" s="240" t="s">
        <v>231</v>
      </c>
      <c r="EN198" s="240" t="s">
        <v>231</v>
      </c>
      <c r="EO198" s="240" t="s">
        <v>231</v>
      </c>
      <c r="EP198" s="240" t="s">
        <v>231</v>
      </c>
      <c r="EQ198" s="240" t="s">
        <v>231</v>
      </c>
      <c r="ER198" s="240" t="s">
        <v>231</v>
      </c>
      <c r="ES198" s="240" t="s">
        <v>231</v>
      </c>
      <c r="ET198" s="240" t="s">
        <v>231</v>
      </c>
      <c r="EU198" s="240" t="s">
        <v>231</v>
      </c>
      <c r="EV198" s="240" t="s">
        <v>231</v>
      </c>
      <c r="EW198" s="240" t="s">
        <v>231</v>
      </c>
      <c r="EX198" s="240" t="s">
        <v>231</v>
      </c>
      <c r="EY198" s="240" t="s">
        <v>231</v>
      </c>
      <c r="EZ198" s="240" t="s">
        <v>231</v>
      </c>
      <c r="FA198" s="240" t="s">
        <v>231</v>
      </c>
      <c r="FB198" s="240" t="s">
        <v>231</v>
      </c>
      <c r="FC198" s="240" t="s">
        <v>231</v>
      </c>
      <c r="FD198" s="240" t="s">
        <v>231</v>
      </c>
      <c r="FE198" s="240" t="s">
        <v>231</v>
      </c>
      <c r="FF198" s="240" t="s">
        <v>231</v>
      </c>
      <c r="FG198" s="240" t="s">
        <v>492</v>
      </c>
      <c r="FH198" s="240" t="s">
        <v>492</v>
      </c>
      <c r="FI198" s="240" t="s">
        <v>492</v>
      </c>
      <c r="FJ198" s="240" t="s">
        <v>492</v>
      </c>
      <c r="FK198" s="240" t="s">
        <v>492</v>
      </c>
      <c r="FL198" s="240" t="s">
        <v>492</v>
      </c>
      <c r="FM198" s="240" t="s">
        <v>231</v>
      </c>
      <c r="FN198" s="240" t="s">
        <v>231</v>
      </c>
      <c r="FO198" s="240" t="s">
        <v>231</v>
      </c>
      <c r="FP198" s="240" t="s">
        <v>231</v>
      </c>
      <c r="FQ198" s="240" t="s">
        <v>231</v>
      </c>
      <c r="FR198" s="240" t="s">
        <v>231</v>
      </c>
      <c r="FS198" s="240" t="s">
        <v>231</v>
      </c>
      <c r="FT198" s="240" t="s">
        <v>231</v>
      </c>
      <c r="FU198" s="240" t="s">
        <v>231</v>
      </c>
      <c r="FV198" s="240" t="s">
        <v>231</v>
      </c>
      <c r="FW198" s="240" t="s">
        <v>231</v>
      </c>
      <c r="FX198" s="240" t="s">
        <v>492</v>
      </c>
      <c r="FY198" s="240" t="s">
        <v>231</v>
      </c>
      <c r="FZ198" s="240" t="s">
        <v>231</v>
      </c>
      <c r="GA198" s="240" t="s">
        <v>231</v>
      </c>
      <c r="GB198" s="240" t="s">
        <v>231</v>
      </c>
      <c r="GC198" s="240" t="s">
        <v>231</v>
      </c>
      <c r="GD198" s="240" t="s">
        <v>231</v>
      </c>
      <c r="GE198" s="240" t="s">
        <v>231</v>
      </c>
      <c r="GF198" s="240" t="s">
        <v>231</v>
      </c>
      <c r="GG198" s="240" t="s">
        <v>231</v>
      </c>
      <c r="GH198" s="240" t="s">
        <v>231</v>
      </c>
      <c r="GI198" s="240" t="s">
        <v>231</v>
      </c>
      <c r="GJ198" s="240" t="s">
        <v>231</v>
      </c>
      <c r="GK198" s="240" t="s">
        <v>231</v>
      </c>
      <c r="GL198" s="240" t="s">
        <v>231</v>
      </c>
      <c r="GM198" s="240" t="s">
        <v>231</v>
      </c>
      <c r="GN198" s="240" t="s">
        <v>231</v>
      </c>
      <c r="GO198" s="240" t="s">
        <v>231</v>
      </c>
      <c r="GP198" s="240" t="s">
        <v>492</v>
      </c>
      <c r="GQ198" s="240" t="s">
        <v>231</v>
      </c>
      <c r="GR198" s="240" t="s">
        <v>231</v>
      </c>
      <c r="GS198" s="240" t="s">
        <v>231</v>
      </c>
      <c r="GT198" s="240" t="s">
        <v>231</v>
      </c>
      <c r="GU198" s="240" t="s">
        <v>231</v>
      </c>
      <c r="GV198" s="240" t="s">
        <v>231</v>
      </c>
      <c r="GW198" s="240" t="s">
        <v>231</v>
      </c>
      <c r="GX198" s="240" t="s">
        <v>231</v>
      </c>
      <c r="GY198" s="240" t="s">
        <v>231</v>
      </c>
      <c r="GZ198" s="240" t="s">
        <v>231</v>
      </c>
      <c r="HA198" s="240" t="s">
        <v>231</v>
      </c>
      <c r="HB198" s="240" t="s">
        <v>231</v>
      </c>
      <c r="HC198" s="240" t="s">
        <v>231</v>
      </c>
      <c r="HD198" s="240" t="s">
        <v>231</v>
      </c>
      <c r="HE198" s="240" t="s">
        <v>231</v>
      </c>
      <c r="HF198" s="240" t="s">
        <v>492</v>
      </c>
      <c r="HG198" s="240" t="s">
        <v>231</v>
      </c>
      <c r="HH198" s="240" t="s">
        <v>231</v>
      </c>
      <c r="HI198" s="240" t="s">
        <v>231</v>
      </c>
      <c r="HJ198" s="240" t="s">
        <v>231</v>
      </c>
      <c r="HK198" s="240" t="s">
        <v>231</v>
      </c>
      <c r="HL198" s="240" t="s">
        <v>231</v>
      </c>
      <c r="HM198" s="240" t="s">
        <v>231</v>
      </c>
      <c r="HN198" s="240" t="s">
        <v>231</v>
      </c>
      <c r="HO198" s="240" t="s">
        <v>231</v>
      </c>
      <c r="HP198" s="240" t="s">
        <v>231</v>
      </c>
      <c r="HQ198" s="240" t="s">
        <v>231</v>
      </c>
      <c r="HR198" s="240" t="s">
        <v>231</v>
      </c>
      <c r="HS198" s="240" t="s">
        <v>231</v>
      </c>
      <c r="HT198" s="240" t="s">
        <v>231</v>
      </c>
      <c r="HU198" s="240" t="s">
        <v>231</v>
      </c>
      <c r="HV198" s="240" t="s">
        <v>231</v>
      </c>
      <c r="HW198" s="240" t="s">
        <v>231</v>
      </c>
      <c r="HX198" s="240" t="s">
        <v>231</v>
      </c>
      <c r="HY198" s="240" t="s">
        <v>231</v>
      </c>
      <c r="HZ198" s="240" t="s">
        <v>231</v>
      </c>
      <c r="IA198" s="240" t="s">
        <v>231</v>
      </c>
      <c r="IB198" s="240" t="s">
        <v>231</v>
      </c>
      <c r="IC198" s="240" t="s">
        <v>231</v>
      </c>
      <c r="ID198" s="240" t="s">
        <v>231</v>
      </c>
      <c r="IE198" s="240" t="s">
        <v>231</v>
      </c>
      <c r="IF198" s="240" t="s">
        <v>231</v>
      </c>
      <c r="IG198" s="240" t="s">
        <v>231</v>
      </c>
      <c r="IH198" s="240" t="s">
        <v>231</v>
      </c>
      <c r="II198" s="240" t="s">
        <v>231</v>
      </c>
      <c r="IJ198" s="240" t="s">
        <v>231</v>
      </c>
      <c r="IK198" s="240" t="s">
        <v>232</v>
      </c>
      <c r="IL198" s="240" t="s">
        <v>232</v>
      </c>
      <c r="IM198" s="240" t="s">
        <v>232</v>
      </c>
      <c r="IN198" s="240" t="s">
        <v>231</v>
      </c>
      <c r="IO198" s="240" t="s">
        <v>220</v>
      </c>
      <c r="IP198" s="240" t="s">
        <v>493</v>
      </c>
      <c r="IQ198" s="240" t="s">
        <v>219</v>
      </c>
      <c r="IR198" s="240" t="s">
        <v>490</v>
      </c>
      <c r="IS198" s="240" t="s">
        <v>492</v>
      </c>
      <c r="IT198" s="240" t="s">
        <v>492</v>
      </c>
    </row>
    <row r="199" spans="1:254" ht="15" x14ac:dyDescent="0.25">
      <c r="A199" s="258" t="str">
        <f>HYPERLINK("http://www.ofsted.gov.uk/inspection-reports/find-inspection-report/provider/ELS/120728 ","Ofsted School Webpage")</f>
        <v>Ofsted School Webpage</v>
      </c>
      <c r="B199" s="237">
        <v>120728</v>
      </c>
      <c r="C199" s="237">
        <v>9256016</v>
      </c>
      <c r="D199" s="237" t="s">
        <v>992</v>
      </c>
      <c r="E199" s="237" t="s">
        <v>247</v>
      </c>
      <c r="F199" s="237" t="s">
        <v>482</v>
      </c>
      <c r="G199" s="237" t="s">
        <v>572</v>
      </c>
      <c r="H199" s="237" t="s">
        <v>572</v>
      </c>
      <c r="I199" s="237" t="s">
        <v>929</v>
      </c>
      <c r="J199" s="237" t="s">
        <v>993</v>
      </c>
      <c r="K199" s="237" t="s">
        <v>93</v>
      </c>
      <c r="L199" s="237" t="s">
        <v>93</v>
      </c>
      <c r="M199" s="237" t="s">
        <v>93</v>
      </c>
      <c r="N199" s="237" t="s">
        <v>90</v>
      </c>
      <c r="O199" s="237" t="s">
        <v>486</v>
      </c>
      <c r="P199" s="237" t="s">
        <v>487</v>
      </c>
      <c r="Q199" s="238">
        <v>10078683</v>
      </c>
      <c r="R199" s="239">
        <v>43494</v>
      </c>
      <c r="S199" s="239">
        <v>43496</v>
      </c>
      <c r="T199" s="239">
        <v>43538</v>
      </c>
      <c r="U199" s="237" t="s">
        <v>488</v>
      </c>
      <c r="V199" s="237" t="s">
        <v>489</v>
      </c>
      <c r="W199" s="237">
        <v>2</v>
      </c>
      <c r="X199" s="237">
        <v>2</v>
      </c>
      <c r="Y199" s="237">
        <v>2</v>
      </c>
      <c r="Z199" s="237">
        <v>2</v>
      </c>
      <c r="AA199" s="237">
        <v>2</v>
      </c>
      <c r="AB199" s="237">
        <v>2</v>
      </c>
      <c r="AC199" s="237" t="s">
        <v>486</v>
      </c>
      <c r="AD199" s="237" t="s">
        <v>219</v>
      </c>
      <c r="AE199" s="237" t="s">
        <v>490</v>
      </c>
      <c r="AF199" s="237" t="s">
        <v>486</v>
      </c>
      <c r="AG199" s="237" t="s">
        <v>486</v>
      </c>
      <c r="AH199" s="237" t="s">
        <v>486</v>
      </c>
      <c r="AI199" s="237" t="s">
        <v>486</v>
      </c>
      <c r="AJ199" s="237" t="s">
        <v>486</v>
      </c>
      <c r="AK199" s="237" t="s">
        <v>486</v>
      </c>
      <c r="AL199" s="237" t="s">
        <v>486</v>
      </c>
      <c r="AM199" s="237" t="s">
        <v>491</v>
      </c>
      <c r="AN199" s="237" t="s">
        <v>231</v>
      </c>
      <c r="AO199" s="237" t="s">
        <v>231</v>
      </c>
      <c r="AP199" s="237" t="s">
        <v>231</v>
      </c>
      <c r="AQ199" s="237" t="s">
        <v>231</v>
      </c>
      <c r="AR199" s="237" t="s">
        <v>231</v>
      </c>
      <c r="AS199" s="237" t="s">
        <v>231</v>
      </c>
      <c r="AT199" s="237" t="s">
        <v>231</v>
      </c>
      <c r="AU199" s="237" t="s">
        <v>231</v>
      </c>
      <c r="AV199" s="237" t="s">
        <v>231</v>
      </c>
      <c r="AW199" s="237" t="s">
        <v>231</v>
      </c>
      <c r="AX199" s="237" t="s">
        <v>231</v>
      </c>
      <c r="AY199" s="237" t="s">
        <v>231</v>
      </c>
      <c r="AZ199" s="237" t="s">
        <v>231</v>
      </c>
      <c r="BA199" s="237" t="s">
        <v>231</v>
      </c>
      <c r="BB199" s="237" t="s">
        <v>231</v>
      </c>
      <c r="BC199" s="237" t="s">
        <v>231</v>
      </c>
      <c r="BD199" s="237" t="s">
        <v>492</v>
      </c>
      <c r="BE199" s="237" t="s">
        <v>231</v>
      </c>
      <c r="BF199" s="237" t="s">
        <v>231</v>
      </c>
      <c r="BG199" s="237" t="s">
        <v>231</v>
      </c>
      <c r="BH199" s="237" t="s">
        <v>492</v>
      </c>
      <c r="BI199" s="237" t="s">
        <v>492</v>
      </c>
      <c r="BJ199" s="237" t="s">
        <v>492</v>
      </c>
      <c r="BK199" s="237" t="s">
        <v>492</v>
      </c>
      <c r="BL199" s="237" t="s">
        <v>231</v>
      </c>
      <c r="BM199" s="237" t="s">
        <v>492</v>
      </c>
      <c r="BN199" s="237" t="s">
        <v>231</v>
      </c>
      <c r="BO199" s="237" t="s">
        <v>231</v>
      </c>
      <c r="BP199" s="237" t="s">
        <v>231</v>
      </c>
      <c r="BQ199" s="237" t="s">
        <v>231</v>
      </c>
      <c r="BR199" s="237" t="s">
        <v>231</v>
      </c>
      <c r="BS199" s="237" t="s">
        <v>231</v>
      </c>
      <c r="BT199" s="237" t="s">
        <v>231</v>
      </c>
      <c r="BU199" s="237" t="s">
        <v>231</v>
      </c>
      <c r="BV199" s="237" t="s">
        <v>231</v>
      </c>
      <c r="BW199" s="237" t="s">
        <v>231</v>
      </c>
      <c r="BX199" s="237" t="s">
        <v>231</v>
      </c>
      <c r="BY199" s="237" t="s">
        <v>231</v>
      </c>
      <c r="BZ199" s="237" t="s">
        <v>231</v>
      </c>
      <c r="CA199" s="237" t="s">
        <v>231</v>
      </c>
      <c r="CB199" s="237" t="s">
        <v>231</v>
      </c>
      <c r="CC199" s="237" t="s">
        <v>231</v>
      </c>
      <c r="CD199" s="237" t="s">
        <v>231</v>
      </c>
      <c r="CE199" s="237" t="s">
        <v>231</v>
      </c>
      <c r="CF199" s="237" t="s">
        <v>231</v>
      </c>
      <c r="CG199" s="237" t="s">
        <v>231</v>
      </c>
      <c r="CH199" s="237" t="s">
        <v>231</v>
      </c>
      <c r="CI199" s="237" t="s">
        <v>231</v>
      </c>
      <c r="CJ199" s="237" t="s">
        <v>231</v>
      </c>
      <c r="CK199" s="237" t="s">
        <v>231</v>
      </c>
      <c r="CL199" s="237" t="s">
        <v>231</v>
      </c>
      <c r="CM199" s="237" t="s">
        <v>231</v>
      </c>
      <c r="CN199" s="237" t="s">
        <v>231</v>
      </c>
      <c r="CO199" s="237" t="s">
        <v>231</v>
      </c>
      <c r="CP199" s="237" t="s">
        <v>231</v>
      </c>
      <c r="CQ199" s="237" t="s">
        <v>231</v>
      </c>
      <c r="CR199" s="237" t="s">
        <v>231</v>
      </c>
      <c r="CS199" s="237" t="s">
        <v>231</v>
      </c>
      <c r="CT199" s="237" t="s">
        <v>492</v>
      </c>
      <c r="CU199" s="237" t="s">
        <v>492</v>
      </c>
      <c r="CV199" s="237" t="s">
        <v>492</v>
      </c>
      <c r="CW199" s="237" t="s">
        <v>231</v>
      </c>
      <c r="CX199" s="237" t="s">
        <v>231</v>
      </c>
      <c r="CY199" s="237" t="s">
        <v>231</v>
      </c>
      <c r="CZ199" s="237" t="s">
        <v>231</v>
      </c>
      <c r="DA199" s="237" t="s">
        <v>231</v>
      </c>
      <c r="DB199" s="237" t="s">
        <v>231</v>
      </c>
      <c r="DC199" s="237" t="s">
        <v>231</v>
      </c>
      <c r="DD199" s="237" t="s">
        <v>231</v>
      </c>
      <c r="DE199" s="237" t="s">
        <v>231</v>
      </c>
      <c r="DF199" s="237" t="s">
        <v>231</v>
      </c>
      <c r="DG199" s="237" t="s">
        <v>231</v>
      </c>
      <c r="DH199" s="237" t="s">
        <v>231</v>
      </c>
      <c r="DI199" s="237" t="s">
        <v>231</v>
      </c>
      <c r="DJ199" s="237" t="s">
        <v>231</v>
      </c>
      <c r="DK199" s="237" t="s">
        <v>231</v>
      </c>
      <c r="DL199" s="237" t="s">
        <v>231</v>
      </c>
      <c r="DM199" s="237" t="s">
        <v>231</v>
      </c>
      <c r="DN199" s="237" t="s">
        <v>231</v>
      </c>
      <c r="DO199" s="237" t="s">
        <v>231</v>
      </c>
      <c r="DP199" s="237" t="s">
        <v>231</v>
      </c>
      <c r="DQ199" s="237" t="s">
        <v>231</v>
      </c>
      <c r="DR199" s="237" t="s">
        <v>231</v>
      </c>
      <c r="DS199" s="237" t="s">
        <v>231</v>
      </c>
      <c r="DT199" s="237" t="s">
        <v>492</v>
      </c>
      <c r="DU199" s="237" t="s">
        <v>231</v>
      </c>
      <c r="DV199" s="237" t="s">
        <v>231</v>
      </c>
      <c r="DW199" s="237" t="s">
        <v>231</v>
      </c>
      <c r="DX199" s="237" t="s">
        <v>231</v>
      </c>
      <c r="DY199" s="237" t="s">
        <v>231</v>
      </c>
      <c r="DZ199" s="237" t="s">
        <v>231</v>
      </c>
      <c r="EA199" s="237" t="s">
        <v>231</v>
      </c>
      <c r="EB199" s="237" t="s">
        <v>231</v>
      </c>
      <c r="EC199" s="237" t="s">
        <v>231</v>
      </c>
      <c r="ED199" s="237" t="s">
        <v>231</v>
      </c>
      <c r="EE199" s="237" t="s">
        <v>231</v>
      </c>
      <c r="EF199" s="237" t="s">
        <v>231</v>
      </c>
      <c r="EG199" s="237" t="s">
        <v>231</v>
      </c>
      <c r="EH199" s="237" t="s">
        <v>492</v>
      </c>
      <c r="EI199" s="237" t="s">
        <v>231</v>
      </c>
      <c r="EJ199" s="237" t="s">
        <v>231</v>
      </c>
      <c r="EK199" s="237" t="s">
        <v>231</v>
      </c>
      <c r="EL199" s="237" t="s">
        <v>231</v>
      </c>
      <c r="EM199" s="237" t="s">
        <v>231</v>
      </c>
      <c r="EN199" s="237" t="s">
        <v>231</v>
      </c>
      <c r="EO199" s="237" t="s">
        <v>231</v>
      </c>
      <c r="EP199" s="237" t="s">
        <v>231</v>
      </c>
      <c r="EQ199" s="237" t="s">
        <v>231</v>
      </c>
      <c r="ER199" s="237" t="s">
        <v>231</v>
      </c>
      <c r="ES199" s="237" t="s">
        <v>231</v>
      </c>
      <c r="ET199" s="237" t="s">
        <v>231</v>
      </c>
      <c r="EU199" s="237" t="s">
        <v>231</v>
      </c>
      <c r="EV199" s="237" t="s">
        <v>231</v>
      </c>
      <c r="EW199" s="237" t="s">
        <v>231</v>
      </c>
      <c r="EX199" s="237" t="s">
        <v>231</v>
      </c>
      <c r="EY199" s="237" t="s">
        <v>231</v>
      </c>
      <c r="EZ199" s="237" t="s">
        <v>231</v>
      </c>
      <c r="FA199" s="237" t="s">
        <v>231</v>
      </c>
      <c r="FB199" s="237" t="s">
        <v>231</v>
      </c>
      <c r="FC199" s="237" t="s">
        <v>231</v>
      </c>
      <c r="FD199" s="237" t="s">
        <v>231</v>
      </c>
      <c r="FE199" s="237" t="s">
        <v>231</v>
      </c>
      <c r="FF199" s="237" t="s">
        <v>231</v>
      </c>
      <c r="FG199" s="237" t="s">
        <v>231</v>
      </c>
      <c r="FH199" s="237" t="s">
        <v>231</v>
      </c>
      <c r="FI199" s="237" t="s">
        <v>231</v>
      </c>
      <c r="FJ199" s="237" t="s">
        <v>231</v>
      </c>
      <c r="FK199" s="237" t="s">
        <v>492</v>
      </c>
      <c r="FL199" s="237" t="s">
        <v>231</v>
      </c>
      <c r="FM199" s="237" t="s">
        <v>231</v>
      </c>
      <c r="FN199" s="237" t="s">
        <v>492</v>
      </c>
      <c r="FO199" s="237" t="s">
        <v>493</v>
      </c>
      <c r="FP199" s="237" t="s">
        <v>492</v>
      </c>
      <c r="FQ199" s="237" t="s">
        <v>231</v>
      </c>
      <c r="FR199" s="237" t="s">
        <v>231</v>
      </c>
      <c r="FS199" s="237" t="s">
        <v>231</v>
      </c>
      <c r="FT199" s="237" t="s">
        <v>492</v>
      </c>
      <c r="FU199" s="237" t="s">
        <v>231</v>
      </c>
      <c r="FV199" s="237" t="s">
        <v>231</v>
      </c>
      <c r="FW199" s="237" t="s">
        <v>231</v>
      </c>
      <c r="FX199" s="237" t="s">
        <v>492</v>
      </c>
      <c r="FY199" s="237" t="s">
        <v>231</v>
      </c>
      <c r="FZ199" s="237" t="s">
        <v>231</v>
      </c>
      <c r="GA199" s="237" t="s">
        <v>231</v>
      </c>
      <c r="GB199" s="237" t="s">
        <v>231</v>
      </c>
      <c r="GC199" s="237" t="s">
        <v>231</v>
      </c>
      <c r="GD199" s="237" t="s">
        <v>231</v>
      </c>
      <c r="GE199" s="237" t="s">
        <v>231</v>
      </c>
      <c r="GF199" s="237" t="s">
        <v>231</v>
      </c>
      <c r="GG199" s="237" t="s">
        <v>231</v>
      </c>
      <c r="GH199" s="237" t="s">
        <v>231</v>
      </c>
      <c r="GI199" s="237" t="s">
        <v>231</v>
      </c>
      <c r="GJ199" s="237" t="s">
        <v>231</v>
      </c>
      <c r="GK199" s="237" t="s">
        <v>231</v>
      </c>
      <c r="GL199" s="237" t="s">
        <v>231</v>
      </c>
      <c r="GM199" s="237" t="s">
        <v>231</v>
      </c>
      <c r="GN199" s="237" t="s">
        <v>231</v>
      </c>
      <c r="GO199" s="237" t="s">
        <v>231</v>
      </c>
      <c r="GP199" s="237" t="s">
        <v>492</v>
      </c>
      <c r="GQ199" s="237" t="s">
        <v>231</v>
      </c>
      <c r="GR199" s="237" t="s">
        <v>231</v>
      </c>
      <c r="GS199" s="237" t="s">
        <v>231</v>
      </c>
      <c r="GT199" s="237" t="s">
        <v>231</v>
      </c>
      <c r="GU199" s="237" t="s">
        <v>231</v>
      </c>
      <c r="GV199" s="237" t="s">
        <v>492</v>
      </c>
      <c r="GW199" s="237" t="s">
        <v>231</v>
      </c>
      <c r="GX199" s="237" t="s">
        <v>231</v>
      </c>
      <c r="GY199" s="237" t="s">
        <v>492</v>
      </c>
      <c r="GZ199" s="237" t="s">
        <v>492</v>
      </c>
      <c r="HA199" s="237" t="s">
        <v>492</v>
      </c>
      <c r="HB199" s="237" t="s">
        <v>231</v>
      </c>
      <c r="HC199" s="237" t="s">
        <v>231</v>
      </c>
      <c r="HD199" s="237" t="s">
        <v>231</v>
      </c>
      <c r="HE199" s="237" t="s">
        <v>492</v>
      </c>
      <c r="HF199" s="237" t="s">
        <v>231</v>
      </c>
      <c r="HG199" s="237" t="s">
        <v>231</v>
      </c>
      <c r="HH199" s="237" t="s">
        <v>231</v>
      </c>
      <c r="HI199" s="237" t="s">
        <v>231</v>
      </c>
      <c r="HJ199" s="237" t="s">
        <v>231</v>
      </c>
      <c r="HK199" s="237" t="s">
        <v>231</v>
      </c>
      <c r="HL199" s="237" t="s">
        <v>231</v>
      </c>
      <c r="HM199" s="237" t="s">
        <v>231</v>
      </c>
      <c r="HN199" s="237" t="s">
        <v>231</v>
      </c>
      <c r="HO199" s="237" t="s">
        <v>231</v>
      </c>
      <c r="HP199" s="237" t="s">
        <v>231</v>
      </c>
      <c r="HQ199" s="237" t="s">
        <v>492</v>
      </c>
      <c r="HR199" s="237" t="s">
        <v>492</v>
      </c>
      <c r="HS199" s="237" t="s">
        <v>492</v>
      </c>
      <c r="HT199" s="237" t="s">
        <v>492</v>
      </c>
      <c r="HU199" s="237" t="s">
        <v>231</v>
      </c>
      <c r="HV199" s="237" t="s">
        <v>231</v>
      </c>
      <c r="HW199" s="237" t="s">
        <v>231</v>
      </c>
      <c r="HX199" s="237" t="s">
        <v>231</v>
      </c>
      <c r="HY199" s="237" t="s">
        <v>231</v>
      </c>
      <c r="HZ199" s="237" t="s">
        <v>231</v>
      </c>
      <c r="IA199" s="237" t="s">
        <v>231</v>
      </c>
      <c r="IB199" s="237" t="s">
        <v>231</v>
      </c>
      <c r="IC199" s="237" t="s">
        <v>231</v>
      </c>
      <c r="ID199" s="237" t="s">
        <v>231</v>
      </c>
      <c r="IE199" s="237" t="s">
        <v>231</v>
      </c>
      <c r="IF199" s="237" t="s">
        <v>231</v>
      </c>
      <c r="IG199" s="237" t="s">
        <v>231</v>
      </c>
      <c r="IH199" s="237" t="s">
        <v>231</v>
      </c>
      <c r="II199" s="237" t="s">
        <v>231</v>
      </c>
      <c r="IJ199" s="237" t="s">
        <v>231</v>
      </c>
      <c r="IK199" s="237" t="s">
        <v>231</v>
      </c>
      <c r="IL199" s="237" t="s">
        <v>231</v>
      </c>
      <c r="IM199" s="237" t="s">
        <v>231</v>
      </c>
      <c r="IN199" s="237" t="s">
        <v>231</v>
      </c>
      <c r="IO199" s="237" t="s">
        <v>220</v>
      </c>
      <c r="IP199" s="237" t="s">
        <v>493</v>
      </c>
      <c r="IQ199" s="237" t="s">
        <v>219</v>
      </c>
      <c r="IR199" s="237" t="s">
        <v>490</v>
      </c>
      <c r="IS199" s="237" t="s">
        <v>231</v>
      </c>
      <c r="IT199" s="237" t="s">
        <v>231</v>
      </c>
    </row>
    <row r="200" spans="1:254" ht="15" x14ac:dyDescent="0.25">
      <c r="A200" s="259" t="str">
        <f>HYPERLINK("http://www.ofsted.gov.uk/inspection-reports/find-inspection-report/provider/ELS/135530 ","Ofsted School Webpage")</f>
        <v>Ofsted School Webpage</v>
      </c>
      <c r="B200" s="240">
        <v>135530</v>
      </c>
      <c r="C200" s="240">
        <v>8556041</v>
      </c>
      <c r="D200" s="240" t="s">
        <v>994</v>
      </c>
      <c r="E200" s="240" t="s">
        <v>248</v>
      </c>
      <c r="F200" s="240" t="s">
        <v>501</v>
      </c>
      <c r="G200" s="240" t="s">
        <v>572</v>
      </c>
      <c r="H200" s="240" t="s">
        <v>572</v>
      </c>
      <c r="I200" s="240" t="s">
        <v>966</v>
      </c>
      <c r="J200" s="240" t="s">
        <v>995</v>
      </c>
      <c r="K200" s="240" t="s">
        <v>93</v>
      </c>
      <c r="L200" s="240" t="s">
        <v>93</v>
      </c>
      <c r="M200" s="240" t="s">
        <v>93</v>
      </c>
      <c r="N200" s="240" t="s">
        <v>90</v>
      </c>
      <c r="O200" s="240" t="s">
        <v>486</v>
      </c>
      <c r="P200" s="240" t="s">
        <v>487</v>
      </c>
      <c r="Q200" s="241">
        <v>10078672</v>
      </c>
      <c r="R200" s="242">
        <v>43494</v>
      </c>
      <c r="S200" s="242">
        <v>43496</v>
      </c>
      <c r="T200" s="242">
        <v>43529</v>
      </c>
      <c r="U200" s="240" t="s">
        <v>488</v>
      </c>
      <c r="V200" s="240" t="s">
        <v>489</v>
      </c>
      <c r="W200" s="240">
        <v>1</v>
      </c>
      <c r="X200" s="240">
        <v>1</v>
      </c>
      <c r="Y200" s="240">
        <v>1</v>
      </c>
      <c r="Z200" s="240">
        <v>1</v>
      </c>
      <c r="AA200" s="240">
        <v>1</v>
      </c>
      <c r="AB200" s="240" t="s">
        <v>486</v>
      </c>
      <c r="AC200" s="240" t="s">
        <v>486</v>
      </c>
      <c r="AD200" s="240" t="s">
        <v>219</v>
      </c>
      <c r="AE200" s="240" t="s">
        <v>490</v>
      </c>
      <c r="AF200" s="240" t="s">
        <v>486</v>
      </c>
      <c r="AG200" s="240" t="s">
        <v>486</v>
      </c>
      <c r="AH200" s="240" t="s">
        <v>486</v>
      </c>
      <c r="AI200" s="240" t="s">
        <v>486</v>
      </c>
      <c r="AJ200" s="240" t="s">
        <v>486</v>
      </c>
      <c r="AK200" s="240" t="s">
        <v>486</v>
      </c>
      <c r="AL200" s="240" t="s">
        <v>486</v>
      </c>
      <c r="AM200" s="240" t="s">
        <v>491</v>
      </c>
      <c r="AN200" s="240" t="s">
        <v>231</v>
      </c>
      <c r="AO200" s="240" t="s">
        <v>231</v>
      </c>
      <c r="AP200" s="240" t="s">
        <v>231</v>
      </c>
      <c r="AQ200" s="240" t="s">
        <v>231</v>
      </c>
      <c r="AR200" s="240" t="s">
        <v>231</v>
      </c>
      <c r="AS200" s="240" t="s">
        <v>231</v>
      </c>
      <c r="AT200" s="240" t="s">
        <v>231</v>
      </c>
      <c r="AU200" s="240" t="s">
        <v>231</v>
      </c>
      <c r="AV200" s="240" t="s">
        <v>231</v>
      </c>
      <c r="AW200" s="240" t="s">
        <v>231</v>
      </c>
      <c r="AX200" s="240" t="s">
        <v>231</v>
      </c>
      <c r="AY200" s="240" t="s">
        <v>231</v>
      </c>
      <c r="AZ200" s="240" t="s">
        <v>231</v>
      </c>
      <c r="BA200" s="240" t="s">
        <v>231</v>
      </c>
      <c r="BB200" s="240" t="s">
        <v>231</v>
      </c>
      <c r="BC200" s="240" t="s">
        <v>231</v>
      </c>
      <c r="BD200" s="240" t="s">
        <v>492</v>
      </c>
      <c r="BE200" s="240" t="s">
        <v>231</v>
      </c>
      <c r="BF200" s="240" t="s">
        <v>231</v>
      </c>
      <c r="BG200" s="240" t="s">
        <v>231</v>
      </c>
      <c r="BH200" s="240" t="s">
        <v>231</v>
      </c>
      <c r="BI200" s="240" t="s">
        <v>231</v>
      </c>
      <c r="BJ200" s="240" t="s">
        <v>231</v>
      </c>
      <c r="BK200" s="240" t="s">
        <v>231</v>
      </c>
      <c r="BL200" s="240" t="s">
        <v>492</v>
      </c>
      <c r="BM200" s="240" t="s">
        <v>231</v>
      </c>
      <c r="BN200" s="240" t="s">
        <v>231</v>
      </c>
      <c r="BO200" s="240" t="s">
        <v>231</v>
      </c>
      <c r="BP200" s="240" t="s">
        <v>231</v>
      </c>
      <c r="BQ200" s="240" t="s">
        <v>231</v>
      </c>
      <c r="BR200" s="240" t="s">
        <v>231</v>
      </c>
      <c r="BS200" s="240" t="s">
        <v>231</v>
      </c>
      <c r="BT200" s="240" t="s">
        <v>231</v>
      </c>
      <c r="BU200" s="240" t="s">
        <v>231</v>
      </c>
      <c r="BV200" s="240" t="s">
        <v>231</v>
      </c>
      <c r="BW200" s="240" t="s">
        <v>231</v>
      </c>
      <c r="BX200" s="240" t="s">
        <v>231</v>
      </c>
      <c r="BY200" s="240" t="s">
        <v>231</v>
      </c>
      <c r="BZ200" s="240" t="s">
        <v>231</v>
      </c>
      <c r="CA200" s="240" t="s">
        <v>231</v>
      </c>
      <c r="CB200" s="240" t="s">
        <v>231</v>
      </c>
      <c r="CC200" s="240" t="s">
        <v>231</v>
      </c>
      <c r="CD200" s="240" t="s">
        <v>231</v>
      </c>
      <c r="CE200" s="240" t="s">
        <v>231</v>
      </c>
      <c r="CF200" s="240" t="s">
        <v>231</v>
      </c>
      <c r="CG200" s="240" t="s">
        <v>231</v>
      </c>
      <c r="CH200" s="240" t="s">
        <v>231</v>
      </c>
      <c r="CI200" s="240" t="s">
        <v>231</v>
      </c>
      <c r="CJ200" s="240" t="s">
        <v>231</v>
      </c>
      <c r="CK200" s="240" t="s">
        <v>231</v>
      </c>
      <c r="CL200" s="240" t="s">
        <v>231</v>
      </c>
      <c r="CM200" s="240" t="s">
        <v>231</v>
      </c>
      <c r="CN200" s="240" t="s">
        <v>231</v>
      </c>
      <c r="CO200" s="240" t="s">
        <v>231</v>
      </c>
      <c r="CP200" s="240" t="s">
        <v>231</v>
      </c>
      <c r="CQ200" s="240" t="s">
        <v>231</v>
      </c>
      <c r="CR200" s="240" t="s">
        <v>231</v>
      </c>
      <c r="CS200" s="240" t="s">
        <v>231</v>
      </c>
      <c r="CT200" s="240" t="s">
        <v>492</v>
      </c>
      <c r="CU200" s="240" t="s">
        <v>492</v>
      </c>
      <c r="CV200" s="240" t="s">
        <v>492</v>
      </c>
      <c r="CW200" s="240" t="s">
        <v>231</v>
      </c>
      <c r="CX200" s="240" t="s">
        <v>231</v>
      </c>
      <c r="CY200" s="240" t="s">
        <v>231</v>
      </c>
      <c r="CZ200" s="240" t="s">
        <v>231</v>
      </c>
      <c r="DA200" s="240" t="s">
        <v>231</v>
      </c>
      <c r="DB200" s="240" t="s">
        <v>231</v>
      </c>
      <c r="DC200" s="240" t="s">
        <v>231</v>
      </c>
      <c r="DD200" s="240" t="s">
        <v>231</v>
      </c>
      <c r="DE200" s="240" t="s">
        <v>231</v>
      </c>
      <c r="DF200" s="240" t="s">
        <v>231</v>
      </c>
      <c r="DG200" s="240" t="s">
        <v>231</v>
      </c>
      <c r="DH200" s="240" t="s">
        <v>231</v>
      </c>
      <c r="DI200" s="240" t="s">
        <v>231</v>
      </c>
      <c r="DJ200" s="240" t="s">
        <v>231</v>
      </c>
      <c r="DK200" s="240" t="s">
        <v>231</v>
      </c>
      <c r="DL200" s="240" t="s">
        <v>231</v>
      </c>
      <c r="DM200" s="240" t="s">
        <v>231</v>
      </c>
      <c r="DN200" s="240" t="s">
        <v>231</v>
      </c>
      <c r="DO200" s="240" t="s">
        <v>231</v>
      </c>
      <c r="DP200" s="240" t="s">
        <v>231</v>
      </c>
      <c r="DQ200" s="240" t="s">
        <v>231</v>
      </c>
      <c r="DR200" s="240" t="s">
        <v>231</v>
      </c>
      <c r="DS200" s="240" t="s">
        <v>231</v>
      </c>
      <c r="DT200" s="240" t="s">
        <v>492</v>
      </c>
      <c r="DU200" s="240" t="s">
        <v>231</v>
      </c>
      <c r="DV200" s="240" t="s">
        <v>492</v>
      </c>
      <c r="DW200" s="240" t="s">
        <v>492</v>
      </c>
      <c r="DX200" s="240" t="s">
        <v>492</v>
      </c>
      <c r="DY200" s="240" t="s">
        <v>492</v>
      </c>
      <c r="DZ200" s="240" t="s">
        <v>492</v>
      </c>
      <c r="EA200" s="240" t="s">
        <v>492</v>
      </c>
      <c r="EB200" s="240" t="s">
        <v>492</v>
      </c>
      <c r="EC200" s="240" t="s">
        <v>492</v>
      </c>
      <c r="ED200" s="240" t="s">
        <v>492</v>
      </c>
      <c r="EE200" s="240" t="s">
        <v>492</v>
      </c>
      <c r="EF200" s="240" t="s">
        <v>492</v>
      </c>
      <c r="EG200" s="240" t="s">
        <v>492</v>
      </c>
      <c r="EH200" s="240" t="s">
        <v>492</v>
      </c>
      <c r="EI200" s="240" t="s">
        <v>492</v>
      </c>
      <c r="EJ200" s="240" t="s">
        <v>492</v>
      </c>
      <c r="EK200" s="240" t="s">
        <v>492</v>
      </c>
      <c r="EL200" s="240" t="s">
        <v>492</v>
      </c>
      <c r="EM200" s="240" t="s">
        <v>492</v>
      </c>
      <c r="EN200" s="240" t="s">
        <v>492</v>
      </c>
      <c r="EO200" s="240" t="s">
        <v>492</v>
      </c>
      <c r="EP200" s="240" t="s">
        <v>492</v>
      </c>
      <c r="EQ200" s="240" t="s">
        <v>492</v>
      </c>
      <c r="ER200" s="240" t="s">
        <v>492</v>
      </c>
      <c r="ES200" s="240" t="s">
        <v>231</v>
      </c>
      <c r="ET200" s="240" t="s">
        <v>231</v>
      </c>
      <c r="EU200" s="240" t="s">
        <v>231</v>
      </c>
      <c r="EV200" s="240" t="s">
        <v>231</v>
      </c>
      <c r="EW200" s="240" t="s">
        <v>231</v>
      </c>
      <c r="EX200" s="240" t="s">
        <v>231</v>
      </c>
      <c r="EY200" s="240" t="s">
        <v>231</v>
      </c>
      <c r="EZ200" s="240" t="s">
        <v>231</v>
      </c>
      <c r="FA200" s="240" t="s">
        <v>231</v>
      </c>
      <c r="FB200" s="240" t="s">
        <v>231</v>
      </c>
      <c r="FC200" s="240" t="s">
        <v>231</v>
      </c>
      <c r="FD200" s="240" t="s">
        <v>231</v>
      </c>
      <c r="FE200" s="240" t="s">
        <v>231</v>
      </c>
      <c r="FF200" s="240" t="s">
        <v>231</v>
      </c>
      <c r="FG200" s="240" t="s">
        <v>492</v>
      </c>
      <c r="FH200" s="240" t="s">
        <v>492</v>
      </c>
      <c r="FI200" s="240" t="s">
        <v>492</v>
      </c>
      <c r="FJ200" s="240" t="s">
        <v>492</v>
      </c>
      <c r="FK200" s="240" t="s">
        <v>492</v>
      </c>
      <c r="FL200" s="240" t="s">
        <v>492</v>
      </c>
      <c r="FM200" s="240" t="s">
        <v>492</v>
      </c>
      <c r="FN200" s="240" t="s">
        <v>492</v>
      </c>
      <c r="FO200" s="240" t="s">
        <v>493</v>
      </c>
      <c r="FP200" s="240" t="s">
        <v>492</v>
      </c>
      <c r="FQ200" s="240" t="s">
        <v>231</v>
      </c>
      <c r="FR200" s="240" t="s">
        <v>231</v>
      </c>
      <c r="FS200" s="240" t="s">
        <v>231</v>
      </c>
      <c r="FT200" s="240" t="s">
        <v>231</v>
      </c>
      <c r="FU200" s="240" t="s">
        <v>231</v>
      </c>
      <c r="FV200" s="240" t="s">
        <v>231</v>
      </c>
      <c r="FW200" s="240" t="s">
        <v>231</v>
      </c>
      <c r="FX200" s="240" t="s">
        <v>492</v>
      </c>
      <c r="FY200" s="240" t="s">
        <v>231</v>
      </c>
      <c r="FZ200" s="240" t="s">
        <v>231</v>
      </c>
      <c r="GA200" s="240" t="s">
        <v>231</v>
      </c>
      <c r="GB200" s="240" t="s">
        <v>231</v>
      </c>
      <c r="GC200" s="240" t="s">
        <v>231</v>
      </c>
      <c r="GD200" s="240" t="s">
        <v>231</v>
      </c>
      <c r="GE200" s="240" t="s">
        <v>231</v>
      </c>
      <c r="GF200" s="240" t="s">
        <v>231</v>
      </c>
      <c r="GG200" s="240" t="s">
        <v>231</v>
      </c>
      <c r="GH200" s="240" t="s">
        <v>231</v>
      </c>
      <c r="GI200" s="240" t="s">
        <v>231</v>
      </c>
      <c r="GJ200" s="240" t="s">
        <v>231</v>
      </c>
      <c r="GK200" s="240" t="s">
        <v>231</v>
      </c>
      <c r="GL200" s="240" t="s">
        <v>231</v>
      </c>
      <c r="GM200" s="240" t="s">
        <v>231</v>
      </c>
      <c r="GN200" s="240" t="s">
        <v>231</v>
      </c>
      <c r="GO200" s="240" t="s">
        <v>231</v>
      </c>
      <c r="GP200" s="240" t="s">
        <v>492</v>
      </c>
      <c r="GQ200" s="240" t="s">
        <v>231</v>
      </c>
      <c r="GR200" s="240" t="s">
        <v>231</v>
      </c>
      <c r="GS200" s="240" t="s">
        <v>231</v>
      </c>
      <c r="GT200" s="240" t="s">
        <v>231</v>
      </c>
      <c r="GU200" s="240" t="s">
        <v>231</v>
      </c>
      <c r="GV200" s="240" t="s">
        <v>492</v>
      </c>
      <c r="GW200" s="240" t="s">
        <v>231</v>
      </c>
      <c r="GX200" s="240" t="s">
        <v>231</v>
      </c>
      <c r="GY200" s="240" t="s">
        <v>231</v>
      </c>
      <c r="GZ200" s="240" t="s">
        <v>231</v>
      </c>
      <c r="HA200" s="240" t="s">
        <v>492</v>
      </c>
      <c r="HB200" s="240" t="s">
        <v>231</v>
      </c>
      <c r="HC200" s="240" t="s">
        <v>231</v>
      </c>
      <c r="HD200" s="240" t="s">
        <v>231</v>
      </c>
      <c r="HE200" s="240" t="s">
        <v>231</v>
      </c>
      <c r="HF200" s="240" t="s">
        <v>492</v>
      </c>
      <c r="HG200" s="240" t="s">
        <v>492</v>
      </c>
      <c r="HH200" s="240" t="s">
        <v>231</v>
      </c>
      <c r="HI200" s="240" t="s">
        <v>231</v>
      </c>
      <c r="HJ200" s="240" t="s">
        <v>231</v>
      </c>
      <c r="HK200" s="240" t="s">
        <v>231</v>
      </c>
      <c r="HL200" s="240" t="s">
        <v>231</v>
      </c>
      <c r="HM200" s="240" t="s">
        <v>231</v>
      </c>
      <c r="HN200" s="240" t="s">
        <v>231</v>
      </c>
      <c r="HO200" s="240" t="s">
        <v>231</v>
      </c>
      <c r="HP200" s="240" t="s">
        <v>231</v>
      </c>
      <c r="HQ200" s="240" t="s">
        <v>231</v>
      </c>
      <c r="HR200" s="240" t="s">
        <v>492</v>
      </c>
      <c r="HS200" s="240" t="s">
        <v>492</v>
      </c>
      <c r="HT200" s="240" t="s">
        <v>492</v>
      </c>
      <c r="HU200" s="240" t="s">
        <v>231</v>
      </c>
      <c r="HV200" s="240" t="s">
        <v>231</v>
      </c>
      <c r="HW200" s="240" t="s">
        <v>231</v>
      </c>
      <c r="HX200" s="240" t="s">
        <v>231</v>
      </c>
      <c r="HY200" s="240" t="s">
        <v>231</v>
      </c>
      <c r="HZ200" s="240" t="s">
        <v>231</v>
      </c>
      <c r="IA200" s="240" t="s">
        <v>231</v>
      </c>
      <c r="IB200" s="240" t="s">
        <v>231</v>
      </c>
      <c r="IC200" s="240" t="s">
        <v>231</v>
      </c>
      <c r="ID200" s="240" t="s">
        <v>231</v>
      </c>
      <c r="IE200" s="240" t="s">
        <v>231</v>
      </c>
      <c r="IF200" s="240" t="s">
        <v>231</v>
      </c>
      <c r="IG200" s="240" t="s">
        <v>231</v>
      </c>
      <c r="IH200" s="240" t="s">
        <v>231</v>
      </c>
      <c r="II200" s="240" t="s">
        <v>231</v>
      </c>
      <c r="IJ200" s="240" t="s">
        <v>231</v>
      </c>
      <c r="IK200" s="240" t="s">
        <v>231</v>
      </c>
      <c r="IL200" s="240" t="s">
        <v>231</v>
      </c>
      <c r="IM200" s="240" t="s">
        <v>231</v>
      </c>
      <c r="IN200" s="240" t="s">
        <v>231</v>
      </c>
      <c r="IO200" s="240" t="s">
        <v>220</v>
      </c>
      <c r="IP200" s="240" t="s">
        <v>493</v>
      </c>
      <c r="IQ200" s="240" t="s">
        <v>219</v>
      </c>
      <c r="IR200" s="240" t="s">
        <v>490</v>
      </c>
      <c r="IS200" s="240" t="s">
        <v>492</v>
      </c>
      <c r="IT200" s="240" t="s">
        <v>492</v>
      </c>
    </row>
    <row r="201" spans="1:254" ht="15" x14ac:dyDescent="0.25">
      <c r="A201" s="258" t="str">
        <f>HYPERLINK("http://www.ofsted.gov.uk/inspection-reports/find-inspection-report/provider/ELS/141411 ","Ofsted School Webpage")</f>
        <v>Ofsted School Webpage</v>
      </c>
      <c r="B201" s="237">
        <v>141411</v>
      </c>
      <c r="C201" s="237">
        <v>3206005</v>
      </c>
      <c r="D201" s="237" t="s">
        <v>996</v>
      </c>
      <c r="E201" s="237" t="s">
        <v>247</v>
      </c>
      <c r="F201" s="237" t="s">
        <v>482</v>
      </c>
      <c r="G201" s="237" t="s">
        <v>506</v>
      </c>
      <c r="H201" s="237" t="s">
        <v>506</v>
      </c>
      <c r="I201" s="237" t="s">
        <v>671</v>
      </c>
      <c r="J201" s="237" t="s">
        <v>997</v>
      </c>
      <c r="K201" s="237" t="s">
        <v>93</v>
      </c>
      <c r="L201" s="237" t="s">
        <v>93</v>
      </c>
      <c r="M201" s="237" t="s">
        <v>93</v>
      </c>
      <c r="N201" s="237" t="s">
        <v>90</v>
      </c>
      <c r="O201" s="237" t="s">
        <v>486</v>
      </c>
      <c r="P201" s="237" t="s">
        <v>487</v>
      </c>
      <c r="Q201" s="238">
        <v>10067217</v>
      </c>
      <c r="R201" s="239">
        <v>43494</v>
      </c>
      <c r="S201" s="239">
        <v>43496</v>
      </c>
      <c r="T201" s="239">
        <v>43527</v>
      </c>
      <c r="U201" s="237" t="s">
        <v>488</v>
      </c>
      <c r="V201" s="237" t="s">
        <v>489</v>
      </c>
      <c r="W201" s="237">
        <v>2</v>
      </c>
      <c r="X201" s="237">
        <v>2</v>
      </c>
      <c r="Y201" s="237">
        <v>2</v>
      </c>
      <c r="Z201" s="237">
        <v>2</v>
      </c>
      <c r="AA201" s="237">
        <v>2</v>
      </c>
      <c r="AB201" s="237" t="s">
        <v>486</v>
      </c>
      <c r="AC201" s="237" t="s">
        <v>486</v>
      </c>
      <c r="AD201" s="237" t="s">
        <v>219</v>
      </c>
      <c r="AE201" s="237" t="s">
        <v>512</v>
      </c>
      <c r="AF201" s="237" t="s">
        <v>486</v>
      </c>
      <c r="AG201" s="237" t="s">
        <v>490</v>
      </c>
      <c r="AH201" s="237" t="s">
        <v>486</v>
      </c>
      <c r="AI201" s="237" t="s">
        <v>486</v>
      </c>
      <c r="AJ201" s="237" t="s">
        <v>486</v>
      </c>
      <c r="AK201" s="237" t="s">
        <v>486</v>
      </c>
      <c r="AL201" s="237" t="s">
        <v>486</v>
      </c>
      <c r="AM201" s="237" t="s">
        <v>491</v>
      </c>
      <c r="AN201" s="237" t="s">
        <v>231</v>
      </c>
      <c r="AO201" s="237" t="s">
        <v>231</v>
      </c>
      <c r="AP201" s="237" t="s">
        <v>231</v>
      </c>
      <c r="AQ201" s="237" t="s">
        <v>231</v>
      </c>
      <c r="AR201" s="237" t="s">
        <v>231</v>
      </c>
      <c r="AS201" s="237" t="s">
        <v>231</v>
      </c>
      <c r="AT201" s="237" t="s">
        <v>231</v>
      </c>
      <c r="AU201" s="237" t="s">
        <v>231</v>
      </c>
      <c r="AV201" s="237" t="s">
        <v>231</v>
      </c>
      <c r="AW201" s="237" t="s">
        <v>231</v>
      </c>
      <c r="AX201" s="237" t="s">
        <v>231</v>
      </c>
      <c r="AY201" s="237" t="s">
        <v>231</v>
      </c>
      <c r="AZ201" s="237" t="s">
        <v>231</v>
      </c>
      <c r="BA201" s="237" t="s">
        <v>231</v>
      </c>
      <c r="BB201" s="237" t="s">
        <v>231</v>
      </c>
      <c r="BC201" s="237" t="s">
        <v>231</v>
      </c>
      <c r="BD201" s="237" t="s">
        <v>492</v>
      </c>
      <c r="BE201" s="237" t="s">
        <v>231</v>
      </c>
      <c r="BF201" s="237" t="s">
        <v>231</v>
      </c>
      <c r="BG201" s="237" t="s">
        <v>231</v>
      </c>
      <c r="BH201" s="237" t="s">
        <v>231</v>
      </c>
      <c r="BI201" s="237" t="s">
        <v>231</v>
      </c>
      <c r="BJ201" s="237" t="s">
        <v>231</v>
      </c>
      <c r="BK201" s="237" t="s">
        <v>231</v>
      </c>
      <c r="BL201" s="237" t="s">
        <v>492</v>
      </c>
      <c r="BM201" s="237" t="s">
        <v>492</v>
      </c>
      <c r="BN201" s="237" t="s">
        <v>231</v>
      </c>
      <c r="BO201" s="237" t="s">
        <v>231</v>
      </c>
      <c r="BP201" s="237" t="s">
        <v>231</v>
      </c>
      <c r="BQ201" s="237" t="s">
        <v>231</v>
      </c>
      <c r="BR201" s="237" t="s">
        <v>231</v>
      </c>
      <c r="BS201" s="237" t="s">
        <v>231</v>
      </c>
      <c r="BT201" s="237" t="s">
        <v>231</v>
      </c>
      <c r="BU201" s="237" t="s">
        <v>231</v>
      </c>
      <c r="BV201" s="237" t="s">
        <v>231</v>
      </c>
      <c r="BW201" s="237" t="s">
        <v>231</v>
      </c>
      <c r="BX201" s="237" t="s">
        <v>231</v>
      </c>
      <c r="BY201" s="237" t="s">
        <v>231</v>
      </c>
      <c r="BZ201" s="237" t="s">
        <v>231</v>
      </c>
      <c r="CA201" s="237" t="s">
        <v>231</v>
      </c>
      <c r="CB201" s="237" t="s">
        <v>231</v>
      </c>
      <c r="CC201" s="237" t="s">
        <v>231</v>
      </c>
      <c r="CD201" s="237" t="s">
        <v>231</v>
      </c>
      <c r="CE201" s="237" t="s">
        <v>231</v>
      </c>
      <c r="CF201" s="237" t="s">
        <v>231</v>
      </c>
      <c r="CG201" s="237" t="s">
        <v>231</v>
      </c>
      <c r="CH201" s="237" t="s">
        <v>231</v>
      </c>
      <c r="CI201" s="237" t="s">
        <v>231</v>
      </c>
      <c r="CJ201" s="237" t="s">
        <v>231</v>
      </c>
      <c r="CK201" s="237" t="s">
        <v>231</v>
      </c>
      <c r="CL201" s="237" t="s">
        <v>231</v>
      </c>
      <c r="CM201" s="237" t="s">
        <v>231</v>
      </c>
      <c r="CN201" s="237" t="s">
        <v>231</v>
      </c>
      <c r="CO201" s="237" t="s">
        <v>231</v>
      </c>
      <c r="CP201" s="237" t="s">
        <v>231</v>
      </c>
      <c r="CQ201" s="237" t="s">
        <v>231</v>
      </c>
      <c r="CR201" s="237" t="s">
        <v>231</v>
      </c>
      <c r="CS201" s="237" t="s">
        <v>231</v>
      </c>
      <c r="CT201" s="237" t="s">
        <v>492</v>
      </c>
      <c r="CU201" s="237" t="s">
        <v>492</v>
      </c>
      <c r="CV201" s="237" t="s">
        <v>492</v>
      </c>
      <c r="CW201" s="237" t="s">
        <v>231</v>
      </c>
      <c r="CX201" s="237" t="s">
        <v>231</v>
      </c>
      <c r="CY201" s="237" t="s">
        <v>231</v>
      </c>
      <c r="CZ201" s="237" t="s">
        <v>231</v>
      </c>
      <c r="DA201" s="237" t="s">
        <v>231</v>
      </c>
      <c r="DB201" s="237" t="s">
        <v>231</v>
      </c>
      <c r="DC201" s="237" t="s">
        <v>231</v>
      </c>
      <c r="DD201" s="237" t="s">
        <v>231</v>
      </c>
      <c r="DE201" s="237" t="s">
        <v>231</v>
      </c>
      <c r="DF201" s="237" t="s">
        <v>231</v>
      </c>
      <c r="DG201" s="237" t="s">
        <v>231</v>
      </c>
      <c r="DH201" s="237" t="s">
        <v>231</v>
      </c>
      <c r="DI201" s="237" t="s">
        <v>231</v>
      </c>
      <c r="DJ201" s="237" t="s">
        <v>231</v>
      </c>
      <c r="DK201" s="237" t="s">
        <v>231</v>
      </c>
      <c r="DL201" s="237" t="s">
        <v>231</v>
      </c>
      <c r="DM201" s="237" t="s">
        <v>231</v>
      </c>
      <c r="DN201" s="237" t="s">
        <v>231</v>
      </c>
      <c r="DO201" s="237" t="s">
        <v>231</v>
      </c>
      <c r="DP201" s="237" t="s">
        <v>231</v>
      </c>
      <c r="DQ201" s="237" t="s">
        <v>231</v>
      </c>
      <c r="DR201" s="237" t="s">
        <v>231</v>
      </c>
      <c r="DS201" s="237" t="s">
        <v>231</v>
      </c>
      <c r="DT201" s="237" t="s">
        <v>492</v>
      </c>
      <c r="DU201" s="237" t="s">
        <v>231</v>
      </c>
      <c r="DV201" s="237" t="s">
        <v>231</v>
      </c>
      <c r="DW201" s="237" t="s">
        <v>231</v>
      </c>
      <c r="DX201" s="237" t="s">
        <v>231</v>
      </c>
      <c r="DY201" s="237" t="s">
        <v>231</v>
      </c>
      <c r="DZ201" s="237" t="s">
        <v>231</v>
      </c>
      <c r="EA201" s="237" t="s">
        <v>231</v>
      </c>
      <c r="EB201" s="237" t="s">
        <v>231</v>
      </c>
      <c r="EC201" s="237" t="s">
        <v>231</v>
      </c>
      <c r="ED201" s="237" t="s">
        <v>231</v>
      </c>
      <c r="EE201" s="237" t="s">
        <v>231</v>
      </c>
      <c r="EF201" s="237" t="s">
        <v>231</v>
      </c>
      <c r="EG201" s="237" t="s">
        <v>231</v>
      </c>
      <c r="EH201" s="237" t="s">
        <v>231</v>
      </c>
      <c r="EI201" s="237" t="s">
        <v>231</v>
      </c>
      <c r="EJ201" s="237" t="s">
        <v>231</v>
      </c>
      <c r="EK201" s="237" t="s">
        <v>231</v>
      </c>
      <c r="EL201" s="237" t="s">
        <v>231</v>
      </c>
      <c r="EM201" s="237" t="s">
        <v>231</v>
      </c>
      <c r="EN201" s="237" t="s">
        <v>231</v>
      </c>
      <c r="EO201" s="237" t="s">
        <v>231</v>
      </c>
      <c r="EP201" s="237" t="s">
        <v>231</v>
      </c>
      <c r="EQ201" s="237" t="s">
        <v>231</v>
      </c>
      <c r="ER201" s="237" t="s">
        <v>231</v>
      </c>
      <c r="ES201" s="237" t="s">
        <v>231</v>
      </c>
      <c r="ET201" s="237" t="s">
        <v>231</v>
      </c>
      <c r="EU201" s="237" t="s">
        <v>231</v>
      </c>
      <c r="EV201" s="237" t="s">
        <v>231</v>
      </c>
      <c r="EW201" s="237" t="s">
        <v>231</v>
      </c>
      <c r="EX201" s="237" t="s">
        <v>231</v>
      </c>
      <c r="EY201" s="237" t="s">
        <v>231</v>
      </c>
      <c r="EZ201" s="237" t="s">
        <v>231</v>
      </c>
      <c r="FA201" s="237" t="s">
        <v>231</v>
      </c>
      <c r="FB201" s="237" t="s">
        <v>231</v>
      </c>
      <c r="FC201" s="237" t="s">
        <v>231</v>
      </c>
      <c r="FD201" s="237" t="s">
        <v>231</v>
      </c>
      <c r="FE201" s="237" t="s">
        <v>231</v>
      </c>
      <c r="FF201" s="237" t="s">
        <v>231</v>
      </c>
      <c r="FG201" s="237" t="s">
        <v>231</v>
      </c>
      <c r="FH201" s="237" t="s">
        <v>231</v>
      </c>
      <c r="FI201" s="237" t="s">
        <v>231</v>
      </c>
      <c r="FJ201" s="237" t="s">
        <v>231</v>
      </c>
      <c r="FK201" s="237" t="s">
        <v>231</v>
      </c>
      <c r="FL201" s="237" t="s">
        <v>231</v>
      </c>
      <c r="FM201" s="237" t="s">
        <v>231</v>
      </c>
      <c r="FN201" s="237" t="s">
        <v>231</v>
      </c>
      <c r="FO201" s="237" t="s">
        <v>231</v>
      </c>
      <c r="FP201" s="237" t="s">
        <v>231</v>
      </c>
      <c r="FQ201" s="237" t="s">
        <v>231</v>
      </c>
      <c r="FR201" s="237" t="s">
        <v>231</v>
      </c>
      <c r="FS201" s="237" t="s">
        <v>231</v>
      </c>
      <c r="FT201" s="237" t="s">
        <v>231</v>
      </c>
      <c r="FU201" s="237" t="s">
        <v>231</v>
      </c>
      <c r="FV201" s="237" t="s">
        <v>231</v>
      </c>
      <c r="FW201" s="237" t="s">
        <v>231</v>
      </c>
      <c r="FX201" s="237" t="s">
        <v>492</v>
      </c>
      <c r="FY201" s="237" t="s">
        <v>231</v>
      </c>
      <c r="FZ201" s="237" t="s">
        <v>231</v>
      </c>
      <c r="GA201" s="237" t="s">
        <v>231</v>
      </c>
      <c r="GB201" s="237" t="s">
        <v>231</v>
      </c>
      <c r="GC201" s="237" t="s">
        <v>231</v>
      </c>
      <c r="GD201" s="237" t="s">
        <v>231</v>
      </c>
      <c r="GE201" s="237" t="s">
        <v>231</v>
      </c>
      <c r="GF201" s="237" t="s">
        <v>231</v>
      </c>
      <c r="GG201" s="237" t="s">
        <v>231</v>
      </c>
      <c r="GH201" s="237" t="s">
        <v>231</v>
      </c>
      <c r="GI201" s="237" t="s">
        <v>231</v>
      </c>
      <c r="GJ201" s="237" t="s">
        <v>231</v>
      </c>
      <c r="GK201" s="237" t="s">
        <v>231</v>
      </c>
      <c r="GL201" s="237" t="s">
        <v>231</v>
      </c>
      <c r="GM201" s="237" t="s">
        <v>492</v>
      </c>
      <c r="GN201" s="237" t="s">
        <v>492</v>
      </c>
      <c r="GO201" s="237" t="s">
        <v>492</v>
      </c>
      <c r="GP201" s="237" t="s">
        <v>492</v>
      </c>
      <c r="GQ201" s="237" t="s">
        <v>231</v>
      </c>
      <c r="GR201" s="237" t="s">
        <v>231</v>
      </c>
      <c r="GS201" s="237" t="s">
        <v>231</v>
      </c>
      <c r="GT201" s="237" t="s">
        <v>231</v>
      </c>
      <c r="GU201" s="237" t="s">
        <v>231</v>
      </c>
      <c r="GV201" s="237" t="s">
        <v>231</v>
      </c>
      <c r="GW201" s="237" t="s">
        <v>231</v>
      </c>
      <c r="GX201" s="237" t="s">
        <v>231</v>
      </c>
      <c r="GY201" s="237" t="s">
        <v>231</v>
      </c>
      <c r="GZ201" s="237" t="s">
        <v>231</v>
      </c>
      <c r="HA201" s="237" t="s">
        <v>231</v>
      </c>
      <c r="HB201" s="237" t="s">
        <v>231</v>
      </c>
      <c r="HC201" s="237" t="s">
        <v>231</v>
      </c>
      <c r="HD201" s="237" t="s">
        <v>231</v>
      </c>
      <c r="HE201" s="237" t="s">
        <v>231</v>
      </c>
      <c r="HF201" s="237" t="s">
        <v>492</v>
      </c>
      <c r="HG201" s="237" t="s">
        <v>492</v>
      </c>
      <c r="HH201" s="237" t="s">
        <v>231</v>
      </c>
      <c r="HI201" s="237" t="s">
        <v>231</v>
      </c>
      <c r="HJ201" s="237" t="s">
        <v>231</v>
      </c>
      <c r="HK201" s="237" t="s">
        <v>231</v>
      </c>
      <c r="HL201" s="237" t="s">
        <v>231</v>
      </c>
      <c r="HM201" s="237" t="s">
        <v>231</v>
      </c>
      <c r="HN201" s="237" t="s">
        <v>231</v>
      </c>
      <c r="HO201" s="237" t="s">
        <v>231</v>
      </c>
      <c r="HP201" s="237" t="s">
        <v>231</v>
      </c>
      <c r="HQ201" s="237" t="s">
        <v>231</v>
      </c>
      <c r="HR201" s="237" t="s">
        <v>492</v>
      </c>
      <c r="HS201" s="237" t="s">
        <v>492</v>
      </c>
      <c r="HT201" s="237" t="s">
        <v>492</v>
      </c>
      <c r="HU201" s="237" t="s">
        <v>231</v>
      </c>
      <c r="HV201" s="237" t="s">
        <v>231</v>
      </c>
      <c r="HW201" s="237" t="s">
        <v>231</v>
      </c>
      <c r="HX201" s="237" t="s">
        <v>231</v>
      </c>
      <c r="HY201" s="237" t="s">
        <v>231</v>
      </c>
      <c r="HZ201" s="237" t="s">
        <v>231</v>
      </c>
      <c r="IA201" s="237" t="s">
        <v>231</v>
      </c>
      <c r="IB201" s="237" t="s">
        <v>231</v>
      </c>
      <c r="IC201" s="237" t="s">
        <v>231</v>
      </c>
      <c r="ID201" s="237" t="s">
        <v>231</v>
      </c>
      <c r="IE201" s="237" t="s">
        <v>231</v>
      </c>
      <c r="IF201" s="237" t="s">
        <v>231</v>
      </c>
      <c r="IG201" s="237" t="s">
        <v>231</v>
      </c>
      <c r="IH201" s="237" t="s">
        <v>231</v>
      </c>
      <c r="II201" s="237" t="s">
        <v>231</v>
      </c>
      <c r="IJ201" s="237" t="s">
        <v>231</v>
      </c>
      <c r="IK201" s="237" t="s">
        <v>231</v>
      </c>
      <c r="IL201" s="237" t="s">
        <v>231</v>
      </c>
      <c r="IM201" s="237" t="s">
        <v>231</v>
      </c>
      <c r="IN201" s="237" t="s">
        <v>231</v>
      </c>
      <c r="IO201" s="237" t="s">
        <v>220</v>
      </c>
      <c r="IP201" s="237" t="s">
        <v>493</v>
      </c>
      <c r="IQ201" s="237" t="s">
        <v>219</v>
      </c>
      <c r="IR201" s="237" t="s">
        <v>490</v>
      </c>
      <c r="IS201" s="237" t="s">
        <v>492</v>
      </c>
      <c r="IT201" s="237" t="s">
        <v>492</v>
      </c>
    </row>
    <row r="202" spans="1:254" ht="15" x14ac:dyDescent="0.25">
      <c r="A202" s="259" t="str">
        <f>HYPERLINK("http://www.ofsted.gov.uk/inspection-reports/find-inspection-report/provider/ELS/118993 ","Ofsted School Webpage")</f>
        <v>Ofsted School Webpage</v>
      </c>
      <c r="B202" s="240">
        <v>118993</v>
      </c>
      <c r="C202" s="240">
        <v>8866046</v>
      </c>
      <c r="D202" s="240" t="s">
        <v>998</v>
      </c>
      <c r="E202" s="240" t="s">
        <v>248</v>
      </c>
      <c r="F202" s="240" t="s">
        <v>501</v>
      </c>
      <c r="G202" s="240" t="s">
        <v>581</v>
      </c>
      <c r="H202" s="240" t="s">
        <v>581</v>
      </c>
      <c r="I202" s="240" t="s">
        <v>694</v>
      </c>
      <c r="J202" s="240" t="s">
        <v>999</v>
      </c>
      <c r="K202" s="240" t="s">
        <v>93</v>
      </c>
      <c r="L202" s="240" t="s">
        <v>93</v>
      </c>
      <c r="M202" s="240" t="s">
        <v>93</v>
      </c>
      <c r="N202" s="240" t="s">
        <v>90</v>
      </c>
      <c r="O202" s="240" t="s">
        <v>486</v>
      </c>
      <c r="P202" s="240" t="s">
        <v>487</v>
      </c>
      <c r="Q202" s="241">
        <v>10080988</v>
      </c>
      <c r="R202" s="242">
        <v>43494</v>
      </c>
      <c r="S202" s="242">
        <v>43496</v>
      </c>
      <c r="T202" s="242">
        <v>43535</v>
      </c>
      <c r="U202" s="240" t="s">
        <v>624</v>
      </c>
      <c r="V202" s="240" t="s">
        <v>489</v>
      </c>
      <c r="W202" s="240">
        <v>4</v>
      </c>
      <c r="X202" s="240">
        <v>4</v>
      </c>
      <c r="Y202" s="240">
        <v>4</v>
      </c>
      <c r="Z202" s="240">
        <v>2</v>
      </c>
      <c r="AA202" s="240">
        <v>2</v>
      </c>
      <c r="AB202" s="240" t="s">
        <v>486</v>
      </c>
      <c r="AC202" s="240">
        <v>4</v>
      </c>
      <c r="AD202" s="240" t="s">
        <v>220</v>
      </c>
      <c r="AE202" s="240" t="s">
        <v>490</v>
      </c>
      <c r="AF202" s="240" t="s">
        <v>486</v>
      </c>
      <c r="AG202" s="240" t="s">
        <v>486</v>
      </c>
      <c r="AH202" s="240" t="s">
        <v>486</v>
      </c>
      <c r="AI202" s="240" t="s">
        <v>486</v>
      </c>
      <c r="AJ202" s="240" t="s">
        <v>486</v>
      </c>
      <c r="AK202" s="240" t="s">
        <v>486</v>
      </c>
      <c r="AL202" s="240" t="s">
        <v>486</v>
      </c>
      <c r="AM202" s="240" t="s">
        <v>545</v>
      </c>
      <c r="AN202" s="240" t="s">
        <v>231</v>
      </c>
      <c r="AO202" s="240" t="s">
        <v>231</v>
      </c>
      <c r="AP202" s="240" t="s">
        <v>546</v>
      </c>
      <c r="AQ202" s="240" t="s">
        <v>231</v>
      </c>
      <c r="AR202" s="240" t="s">
        <v>546</v>
      </c>
      <c r="AS202" s="240" t="s">
        <v>231</v>
      </c>
      <c r="AT202" s="240" t="s">
        <v>231</v>
      </c>
      <c r="AU202" s="240" t="s">
        <v>546</v>
      </c>
      <c r="AV202" s="240" t="s">
        <v>231</v>
      </c>
      <c r="AW202" s="240" t="s">
        <v>231</v>
      </c>
      <c r="AX202" s="240" t="s">
        <v>231</v>
      </c>
      <c r="AY202" s="240" t="s">
        <v>231</v>
      </c>
      <c r="AZ202" s="240" t="s">
        <v>231</v>
      </c>
      <c r="BA202" s="240" t="s">
        <v>231</v>
      </c>
      <c r="BB202" s="240" t="s">
        <v>231</v>
      </c>
      <c r="BC202" s="240" t="s">
        <v>231</v>
      </c>
      <c r="BD202" s="240" t="s">
        <v>492</v>
      </c>
      <c r="BE202" s="240" t="s">
        <v>231</v>
      </c>
      <c r="BF202" s="240" t="s">
        <v>231</v>
      </c>
      <c r="BG202" s="240" t="s">
        <v>231</v>
      </c>
      <c r="BH202" s="240" t="s">
        <v>231</v>
      </c>
      <c r="BI202" s="240" t="s">
        <v>231</v>
      </c>
      <c r="BJ202" s="240" t="s">
        <v>231</v>
      </c>
      <c r="BK202" s="240" t="s">
        <v>231</v>
      </c>
      <c r="BL202" s="240" t="s">
        <v>492</v>
      </c>
      <c r="BM202" s="240" t="s">
        <v>231</v>
      </c>
      <c r="BN202" s="240" t="s">
        <v>231</v>
      </c>
      <c r="BO202" s="240" t="s">
        <v>231</v>
      </c>
      <c r="BP202" s="240" t="s">
        <v>231</v>
      </c>
      <c r="BQ202" s="240" t="s">
        <v>231</v>
      </c>
      <c r="BR202" s="240" t="s">
        <v>231</v>
      </c>
      <c r="BS202" s="240" t="s">
        <v>231</v>
      </c>
      <c r="BT202" s="240" t="s">
        <v>231</v>
      </c>
      <c r="BU202" s="240" t="s">
        <v>231</v>
      </c>
      <c r="BV202" s="240" t="s">
        <v>231</v>
      </c>
      <c r="BW202" s="240" t="s">
        <v>231</v>
      </c>
      <c r="BX202" s="240" t="s">
        <v>231</v>
      </c>
      <c r="BY202" s="240" t="s">
        <v>231</v>
      </c>
      <c r="BZ202" s="240" t="s">
        <v>231</v>
      </c>
      <c r="CA202" s="240" t="s">
        <v>231</v>
      </c>
      <c r="CB202" s="240" t="s">
        <v>231</v>
      </c>
      <c r="CC202" s="240" t="s">
        <v>231</v>
      </c>
      <c r="CD202" s="240" t="s">
        <v>231</v>
      </c>
      <c r="CE202" s="240" t="s">
        <v>231</v>
      </c>
      <c r="CF202" s="240" t="s">
        <v>231</v>
      </c>
      <c r="CG202" s="240" t="s">
        <v>231</v>
      </c>
      <c r="CH202" s="240" t="s">
        <v>231</v>
      </c>
      <c r="CI202" s="240" t="s">
        <v>231</v>
      </c>
      <c r="CJ202" s="240" t="s">
        <v>231</v>
      </c>
      <c r="CK202" s="240" t="s">
        <v>231</v>
      </c>
      <c r="CL202" s="240" t="s">
        <v>231</v>
      </c>
      <c r="CM202" s="240" t="s">
        <v>231</v>
      </c>
      <c r="CN202" s="240" t="s">
        <v>231</v>
      </c>
      <c r="CO202" s="240" t="s">
        <v>231</v>
      </c>
      <c r="CP202" s="240" t="s">
        <v>231</v>
      </c>
      <c r="CQ202" s="240" t="s">
        <v>232</v>
      </c>
      <c r="CR202" s="240" t="s">
        <v>232</v>
      </c>
      <c r="CS202" s="240" t="s">
        <v>232</v>
      </c>
      <c r="CT202" s="240" t="s">
        <v>232</v>
      </c>
      <c r="CU202" s="240" t="s">
        <v>232</v>
      </c>
      <c r="CV202" s="240" t="s">
        <v>232</v>
      </c>
      <c r="CW202" s="240" t="s">
        <v>231</v>
      </c>
      <c r="CX202" s="240" t="s">
        <v>231</v>
      </c>
      <c r="CY202" s="240" t="s">
        <v>231</v>
      </c>
      <c r="CZ202" s="240" t="s">
        <v>231</v>
      </c>
      <c r="DA202" s="240" t="s">
        <v>231</v>
      </c>
      <c r="DB202" s="240" t="s">
        <v>231</v>
      </c>
      <c r="DC202" s="240" t="s">
        <v>231</v>
      </c>
      <c r="DD202" s="240" t="s">
        <v>231</v>
      </c>
      <c r="DE202" s="240" t="s">
        <v>231</v>
      </c>
      <c r="DF202" s="240" t="s">
        <v>232</v>
      </c>
      <c r="DG202" s="240" t="s">
        <v>231</v>
      </c>
      <c r="DH202" s="240" t="s">
        <v>231</v>
      </c>
      <c r="DI202" s="240" t="s">
        <v>231</v>
      </c>
      <c r="DJ202" s="240" t="s">
        <v>231</v>
      </c>
      <c r="DK202" s="240" t="s">
        <v>231</v>
      </c>
      <c r="DL202" s="240" t="s">
        <v>231</v>
      </c>
      <c r="DM202" s="240" t="s">
        <v>231</v>
      </c>
      <c r="DN202" s="240" t="s">
        <v>231</v>
      </c>
      <c r="DO202" s="240" t="s">
        <v>231</v>
      </c>
      <c r="DP202" s="240" t="s">
        <v>231</v>
      </c>
      <c r="DQ202" s="240" t="s">
        <v>231</v>
      </c>
      <c r="DR202" s="240" t="s">
        <v>231</v>
      </c>
      <c r="DS202" s="240" t="s">
        <v>231</v>
      </c>
      <c r="DT202" s="240" t="s">
        <v>231</v>
      </c>
      <c r="DU202" s="240" t="s">
        <v>231</v>
      </c>
      <c r="DV202" s="240" t="s">
        <v>231</v>
      </c>
      <c r="DW202" s="240" t="s">
        <v>231</v>
      </c>
      <c r="DX202" s="240" t="s">
        <v>231</v>
      </c>
      <c r="DY202" s="240" t="s">
        <v>231</v>
      </c>
      <c r="DZ202" s="240" t="s">
        <v>231</v>
      </c>
      <c r="EA202" s="240" t="s">
        <v>231</v>
      </c>
      <c r="EB202" s="240" t="s">
        <v>231</v>
      </c>
      <c r="EC202" s="240" t="s">
        <v>231</v>
      </c>
      <c r="ED202" s="240" t="s">
        <v>231</v>
      </c>
      <c r="EE202" s="240" t="s">
        <v>231</v>
      </c>
      <c r="EF202" s="240" t="s">
        <v>231</v>
      </c>
      <c r="EG202" s="240" t="s">
        <v>231</v>
      </c>
      <c r="EH202" s="240" t="s">
        <v>231</v>
      </c>
      <c r="EI202" s="240" t="s">
        <v>231</v>
      </c>
      <c r="EJ202" s="240" t="s">
        <v>231</v>
      </c>
      <c r="EK202" s="240" t="s">
        <v>231</v>
      </c>
      <c r="EL202" s="240" t="s">
        <v>231</v>
      </c>
      <c r="EM202" s="240" t="s">
        <v>231</v>
      </c>
      <c r="EN202" s="240" t="s">
        <v>231</v>
      </c>
      <c r="EO202" s="240" t="s">
        <v>231</v>
      </c>
      <c r="EP202" s="240" t="s">
        <v>231</v>
      </c>
      <c r="EQ202" s="240" t="s">
        <v>231</v>
      </c>
      <c r="ER202" s="240" t="s">
        <v>231</v>
      </c>
      <c r="ES202" s="240" t="s">
        <v>231</v>
      </c>
      <c r="ET202" s="240" t="s">
        <v>231</v>
      </c>
      <c r="EU202" s="240" t="s">
        <v>231</v>
      </c>
      <c r="EV202" s="240" t="s">
        <v>231</v>
      </c>
      <c r="EW202" s="240" t="s">
        <v>231</v>
      </c>
      <c r="EX202" s="240" t="s">
        <v>231</v>
      </c>
      <c r="EY202" s="240" t="s">
        <v>231</v>
      </c>
      <c r="EZ202" s="240" t="s">
        <v>231</v>
      </c>
      <c r="FA202" s="240" t="s">
        <v>231</v>
      </c>
      <c r="FB202" s="240" t="s">
        <v>231</v>
      </c>
      <c r="FC202" s="240" t="s">
        <v>231</v>
      </c>
      <c r="FD202" s="240" t="s">
        <v>231</v>
      </c>
      <c r="FE202" s="240" t="s">
        <v>231</v>
      </c>
      <c r="FF202" s="240" t="s">
        <v>231</v>
      </c>
      <c r="FG202" s="240" t="s">
        <v>231</v>
      </c>
      <c r="FH202" s="240" t="s">
        <v>231</v>
      </c>
      <c r="FI202" s="240" t="s">
        <v>231</v>
      </c>
      <c r="FJ202" s="240" t="s">
        <v>231</v>
      </c>
      <c r="FK202" s="240" t="s">
        <v>231</v>
      </c>
      <c r="FL202" s="240" t="s">
        <v>231</v>
      </c>
      <c r="FM202" s="240" t="s">
        <v>231</v>
      </c>
      <c r="FN202" s="240" t="s">
        <v>231</v>
      </c>
      <c r="FO202" s="240" t="s">
        <v>231</v>
      </c>
      <c r="FP202" s="240" t="s">
        <v>231</v>
      </c>
      <c r="FQ202" s="240" t="s">
        <v>231</v>
      </c>
      <c r="FR202" s="240" t="s">
        <v>231</v>
      </c>
      <c r="FS202" s="240" t="s">
        <v>231</v>
      </c>
      <c r="FT202" s="240" t="s">
        <v>231</v>
      </c>
      <c r="FU202" s="240" t="s">
        <v>231</v>
      </c>
      <c r="FV202" s="240" t="s">
        <v>231</v>
      </c>
      <c r="FW202" s="240" t="s">
        <v>231</v>
      </c>
      <c r="FX202" s="240" t="s">
        <v>492</v>
      </c>
      <c r="FY202" s="240" t="s">
        <v>231</v>
      </c>
      <c r="FZ202" s="240" t="s">
        <v>231</v>
      </c>
      <c r="GA202" s="240" t="s">
        <v>231</v>
      </c>
      <c r="GB202" s="240" t="s">
        <v>231</v>
      </c>
      <c r="GC202" s="240" t="s">
        <v>231</v>
      </c>
      <c r="GD202" s="240" t="s">
        <v>231</v>
      </c>
      <c r="GE202" s="240" t="s">
        <v>231</v>
      </c>
      <c r="GF202" s="240" t="s">
        <v>231</v>
      </c>
      <c r="GG202" s="240" t="s">
        <v>231</v>
      </c>
      <c r="GH202" s="240" t="s">
        <v>231</v>
      </c>
      <c r="GI202" s="240" t="s">
        <v>231</v>
      </c>
      <c r="GJ202" s="240" t="s">
        <v>231</v>
      </c>
      <c r="GK202" s="240" t="s">
        <v>231</v>
      </c>
      <c r="GL202" s="240" t="s">
        <v>231</v>
      </c>
      <c r="GM202" s="240" t="s">
        <v>231</v>
      </c>
      <c r="GN202" s="240" t="s">
        <v>231</v>
      </c>
      <c r="GO202" s="240" t="s">
        <v>231</v>
      </c>
      <c r="GP202" s="240" t="s">
        <v>232</v>
      </c>
      <c r="GQ202" s="240" t="s">
        <v>231</v>
      </c>
      <c r="GR202" s="240" t="s">
        <v>231</v>
      </c>
      <c r="GS202" s="240" t="s">
        <v>231</v>
      </c>
      <c r="GT202" s="240" t="s">
        <v>231</v>
      </c>
      <c r="GU202" s="240" t="s">
        <v>231</v>
      </c>
      <c r="GV202" s="240" t="s">
        <v>231</v>
      </c>
      <c r="GW202" s="240" t="s">
        <v>231</v>
      </c>
      <c r="GX202" s="240" t="s">
        <v>231</v>
      </c>
      <c r="GY202" s="240" t="s">
        <v>231</v>
      </c>
      <c r="GZ202" s="240" t="s">
        <v>231</v>
      </c>
      <c r="HA202" s="240" t="s">
        <v>231</v>
      </c>
      <c r="HB202" s="240" t="s">
        <v>231</v>
      </c>
      <c r="HC202" s="240" t="s">
        <v>231</v>
      </c>
      <c r="HD202" s="240" t="s">
        <v>231</v>
      </c>
      <c r="HE202" s="240" t="s">
        <v>492</v>
      </c>
      <c r="HF202" s="240" t="s">
        <v>231</v>
      </c>
      <c r="HG202" s="240" t="s">
        <v>492</v>
      </c>
      <c r="HH202" s="240" t="s">
        <v>231</v>
      </c>
      <c r="HI202" s="240" t="s">
        <v>231</v>
      </c>
      <c r="HJ202" s="240" t="s">
        <v>231</v>
      </c>
      <c r="HK202" s="240" t="s">
        <v>231</v>
      </c>
      <c r="HL202" s="240" t="s">
        <v>231</v>
      </c>
      <c r="HM202" s="240" t="s">
        <v>231</v>
      </c>
      <c r="HN202" s="240" t="s">
        <v>231</v>
      </c>
      <c r="HO202" s="240" t="s">
        <v>231</v>
      </c>
      <c r="HP202" s="240" t="s">
        <v>492</v>
      </c>
      <c r="HQ202" s="240" t="s">
        <v>492</v>
      </c>
      <c r="HR202" s="240" t="s">
        <v>492</v>
      </c>
      <c r="HS202" s="240" t="s">
        <v>492</v>
      </c>
      <c r="HT202" s="240" t="s">
        <v>492</v>
      </c>
      <c r="HU202" s="240" t="s">
        <v>231</v>
      </c>
      <c r="HV202" s="240" t="s">
        <v>231</v>
      </c>
      <c r="HW202" s="240" t="s">
        <v>231</v>
      </c>
      <c r="HX202" s="240" t="s">
        <v>231</v>
      </c>
      <c r="HY202" s="240" t="s">
        <v>231</v>
      </c>
      <c r="HZ202" s="240" t="s">
        <v>231</v>
      </c>
      <c r="IA202" s="240" t="s">
        <v>231</v>
      </c>
      <c r="IB202" s="240" t="s">
        <v>231</v>
      </c>
      <c r="IC202" s="240" t="s">
        <v>231</v>
      </c>
      <c r="ID202" s="240" t="s">
        <v>231</v>
      </c>
      <c r="IE202" s="240" t="s">
        <v>231</v>
      </c>
      <c r="IF202" s="240" t="s">
        <v>231</v>
      </c>
      <c r="IG202" s="240" t="s">
        <v>231</v>
      </c>
      <c r="IH202" s="240" t="s">
        <v>231</v>
      </c>
      <c r="II202" s="240" t="s">
        <v>231</v>
      </c>
      <c r="IJ202" s="240" t="s">
        <v>231</v>
      </c>
      <c r="IK202" s="240" t="s">
        <v>232</v>
      </c>
      <c r="IL202" s="240" t="s">
        <v>232</v>
      </c>
      <c r="IM202" s="240" t="s">
        <v>232</v>
      </c>
      <c r="IN202" s="240" t="s">
        <v>232</v>
      </c>
      <c r="IO202" s="240" t="s">
        <v>220</v>
      </c>
      <c r="IP202" s="240" t="s">
        <v>493</v>
      </c>
      <c r="IQ202" s="240" t="s">
        <v>219</v>
      </c>
      <c r="IR202" s="240" t="s">
        <v>490</v>
      </c>
      <c r="IS202" s="240" t="s">
        <v>492</v>
      </c>
      <c r="IT202" s="240" t="s">
        <v>492</v>
      </c>
    </row>
    <row r="203" spans="1:254" ht="15" x14ac:dyDescent="0.25">
      <c r="A203" s="258" t="str">
        <f>HYPERLINK("http://www.ofsted.gov.uk/inspection-reports/find-inspection-report/provider/ELS/125789 ","Ofsted School Webpage")</f>
        <v>Ofsted School Webpage</v>
      </c>
      <c r="B203" s="237">
        <v>125789</v>
      </c>
      <c r="C203" s="237">
        <v>9376091</v>
      </c>
      <c r="D203" s="237" t="s">
        <v>1000</v>
      </c>
      <c r="E203" s="237" t="s">
        <v>247</v>
      </c>
      <c r="F203" s="237" t="s">
        <v>482</v>
      </c>
      <c r="G203" s="237" t="s">
        <v>502</v>
      </c>
      <c r="H203" s="237" t="s">
        <v>502</v>
      </c>
      <c r="I203" s="237" t="s">
        <v>503</v>
      </c>
      <c r="J203" s="237" t="s">
        <v>1001</v>
      </c>
      <c r="K203" s="237" t="s">
        <v>93</v>
      </c>
      <c r="L203" s="237" t="s">
        <v>93</v>
      </c>
      <c r="M203" s="237" t="s">
        <v>93</v>
      </c>
      <c r="N203" s="237" t="s">
        <v>90</v>
      </c>
      <c r="O203" s="237" t="s">
        <v>486</v>
      </c>
      <c r="P203" s="237" t="s">
        <v>487</v>
      </c>
      <c r="Q203" s="238">
        <v>10056214</v>
      </c>
      <c r="R203" s="239">
        <v>43494</v>
      </c>
      <c r="S203" s="239">
        <v>43496</v>
      </c>
      <c r="T203" s="239">
        <v>43524</v>
      </c>
      <c r="U203" s="237" t="s">
        <v>488</v>
      </c>
      <c r="V203" s="237" t="s">
        <v>489</v>
      </c>
      <c r="W203" s="237">
        <v>3</v>
      </c>
      <c r="X203" s="237">
        <v>3</v>
      </c>
      <c r="Y203" s="237">
        <v>2</v>
      </c>
      <c r="Z203" s="237">
        <v>3</v>
      </c>
      <c r="AA203" s="237">
        <v>3</v>
      </c>
      <c r="AB203" s="237">
        <v>3</v>
      </c>
      <c r="AC203" s="237" t="s">
        <v>486</v>
      </c>
      <c r="AD203" s="237" t="s">
        <v>219</v>
      </c>
      <c r="AE203" s="237" t="s">
        <v>490</v>
      </c>
      <c r="AF203" s="237" t="s">
        <v>486</v>
      </c>
      <c r="AG203" s="237" t="s">
        <v>486</v>
      </c>
      <c r="AH203" s="237" t="s">
        <v>486</v>
      </c>
      <c r="AI203" s="237" t="s">
        <v>486</v>
      </c>
      <c r="AJ203" s="237" t="s">
        <v>486</v>
      </c>
      <c r="AK203" s="237" t="s">
        <v>486</v>
      </c>
      <c r="AL203" s="237" t="s">
        <v>486</v>
      </c>
      <c r="AM203" s="237" t="s">
        <v>491</v>
      </c>
      <c r="AN203" s="237" t="s">
        <v>231</v>
      </c>
      <c r="AO203" s="237" t="s">
        <v>231</v>
      </c>
      <c r="AP203" s="237" t="s">
        <v>231</v>
      </c>
      <c r="AQ203" s="237" t="s">
        <v>231</v>
      </c>
      <c r="AR203" s="237" t="s">
        <v>231</v>
      </c>
      <c r="AS203" s="237" t="s">
        <v>231</v>
      </c>
      <c r="AT203" s="237" t="s">
        <v>231</v>
      </c>
      <c r="AU203" s="237" t="s">
        <v>231</v>
      </c>
      <c r="AV203" s="237" t="s">
        <v>231</v>
      </c>
      <c r="AW203" s="237" t="s">
        <v>231</v>
      </c>
      <c r="AX203" s="237" t="s">
        <v>231</v>
      </c>
      <c r="AY203" s="237" t="s">
        <v>231</v>
      </c>
      <c r="AZ203" s="237" t="s">
        <v>231</v>
      </c>
      <c r="BA203" s="237" t="s">
        <v>231</v>
      </c>
      <c r="BB203" s="237" t="s">
        <v>231</v>
      </c>
      <c r="BC203" s="237" t="s">
        <v>231</v>
      </c>
      <c r="BD203" s="237" t="s">
        <v>492</v>
      </c>
      <c r="BE203" s="237" t="s">
        <v>231</v>
      </c>
      <c r="BF203" s="237" t="s">
        <v>231</v>
      </c>
      <c r="BG203" s="237" t="s">
        <v>231</v>
      </c>
      <c r="BH203" s="237" t="s">
        <v>492</v>
      </c>
      <c r="BI203" s="237" t="s">
        <v>492</v>
      </c>
      <c r="BJ203" s="237" t="s">
        <v>492</v>
      </c>
      <c r="BK203" s="237" t="s">
        <v>492</v>
      </c>
      <c r="BL203" s="237" t="s">
        <v>231</v>
      </c>
      <c r="BM203" s="237" t="s">
        <v>492</v>
      </c>
      <c r="BN203" s="237" t="s">
        <v>231</v>
      </c>
      <c r="BO203" s="237" t="s">
        <v>231</v>
      </c>
      <c r="BP203" s="237" t="s">
        <v>231</v>
      </c>
      <c r="BQ203" s="237" t="s">
        <v>231</v>
      </c>
      <c r="BR203" s="237" t="s">
        <v>231</v>
      </c>
      <c r="BS203" s="237" t="s">
        <v>231</v>
      </c>
      <c r="BT203" s="237" t="s">
        <v>231</v>
      </c>
      <c r="BU203" s="237" t="s">
        <v>231</v>
      </c>
      <c r="BV203" s="237" t="s">
        <v>231</v>
      </c>
      <c r="BW203" s="237" t="s">
        <v>231</v>
      </c>
      <c r="BX203" s="237" t="s">
        <v>231</v>
      </c>
      <c r="BY203" s="237" t="s">
        <v>231</v>
      </c>
      <c r="BZ203" s="237" t="s">
        <v>231</v>
      </c>
      <c r="CA203" s="237" t="s">
        <v>231</v>
      </c>
      <c r="CB203" s="237" t="s">
        <v>231</v>
      </c>
      <c r="CC203" s="237" t="s">
        <v>231</v>
      </c>
      <c r="CD203" s="237" t="s">
        <v>231</v>
      </c>
      <c r="CE203" s="237" t="s">
        <v>231</v>
      </c>
      <c r="CF203" s="237" t="s">
        <v>231</v>
      </c>
      <c r="CG203" s="237" t="s">
        <v>231</v>
      </c>
      <c r="CH203" s="237" t="s">
        <v>231</v>
      </c>
      <c r="CI203" s="237" t="s">
        <v>231</v>
      </c>
      <c r="CJ203" s="237" t="s">
        <v>231</v>
      </c>
      <c r="CK203" s="237" t="s">
        <v>231</v>
      </c>
      <c r="CL203" s="237" t="s">
        <v>231</v>
      </c>
      <c r="CM203" s="237" t="s">
        <v>231</v>
      </c>
      <c r="CN203" s="237" t="s">
        <v>231</v>
      </c>
      <c r="CO203" s="237" t="s">
        <v>231</v>
      </c>
      <c r="CP203" s="237" t="s">
        <v>231</v>
      </c>
      <c r="CQ203" s="237" t="s">
        <v>231</v>
      </c>
      <c r="CR203" s="237" t="s">
        <v>231</v>
      </c>
      <c r="CS203" s="237" t="s">
        <v>231</v>
      </c>
      <c r="CT203" s="237" t="s">
        <v>492</v>
      </c>
      <c r="CU203" s="237" t="s">
        <v>492</v>
      </c>
      <c r="CV203" s="237" t="s">
        <v>492</v>
      </c>
      <c r="CW203" s="237" t="s">
        <v>231</v>
      </c>
      <c r="CX203" s="237" t="s">
        <v>231</v>
      </c>
      <c r="CY203" s="237" t="s">
        <v>231</v>
      </c>
      <c r="CZ203" s="237" t="s">
        <v>231</v>
      </c>
      <c r="DA203" s="237" t="s">
        <v>231</v>
      </c>
      <c r="DB203" s="237" t="s">
        <v>231</v>
      </c>
      <c r="DC203" s="237" t="s">
        <v>231</v>
      </c>
      <c r="DD203" s="237" t="s">
        <v>231</v>
      </c>
      <c r="DE203" s="237" t="s">
        <v>231</v>
      </c>
      <c r="DF203" s="237" t="s">
        <v>231</v>
      </c>
      <c r="DG203" s="237" t="s">
        <v>231</v>
      </c>
      <c r="DH203" s="237" t="s">
        <v>231</v>
      </c>
      <c r="DI203" s="237" t="s">
        <v>231</v>
      </c>
      <c r="DJ203" s="237" t="s">
        <v>231</v>
      </c>
      <c r="DK203" s="237" t="s">
        <v>231</v>
      </c>
      <c r="DL203" s="237" t="s">
        <v>231</v>
      </c>
      <c r="DM203" s="237" t="s">
        <v>231</v>
      </c>
      <c r="DN203" s="237" t="s">
        <v>231</v>
      </c>
      <c r="DO203" s="237" t="s">
        <v>231</v>
      </c>
      <c r="DP203" s="237" t="s">
        <v>231</v>
      </c>
      <c r="DQ203" s="237" t="s">
        <v>231</v>
      </c>
      <c r="DR203" s="237" t="s">
        <v>231</v>
      </c>
      <c r="DS203" s="237" t="s">
        <v>231</v>
      </c>
      <c r="DT203" s="237" t="s">
        <v>492</v>
      </c>
      <c r="DU203" s="237" t="s">
        <v>231</v>
      </c>
      <c r="DV203" s="237" t="s">
        <v>492</v>
      </c>
      <c r="DW203" s="237" t="s">
        <v>492</v>
      </c>
      <c r="DX203" s="237" t="s">
        <v>492</v>
      </c>
      <c r="DY203" s="237" t="s">
        <v>492</v>
      </c>
      <c r="DZ203" s="237" t="s">
        <v>492</v>
      </c>
      <c r="EA203" s="237" t="s">
        <v>492</v>
      </c>
      <c r="EB203" s="237" t="s">
        <v>492</v>
      </c>
      <c r="EC203" s="237" t="s">
        <v>492</v>
      </c>
      <c r="ED203" s="237" t="s">
        <v>492</v>
      </c>
      <c r="EE203" s="237" t="s">
        <v>492</v>
      </c>
      <c r="EF203" s="237" t="s">
        <v>492</v>
      </c>
      <c r="EG203" s="237" t="s">
        <v>492</v>
      </c>
      <c r="EH203" s="237" t="s">
        <v>492</v>
      </c>
      <c r="EI203" s="237" t="s">
        <v>492</v>
      </c>
      <c r="EJ203" s="237" t="s">
        <v>492</v>
      </c>
      <c r="EK203" s="237" t="s">
        <v>492</v>
      </c>
      <c r="EL203" s="237" t="s">
        <v>492</v>
      </c>
      <c r="EM203" s="237" t="s">
        <v>492</v>
      </c>
      <c r="EN203" s="237" t="s">
        <v>492</v>
      </c>
      <c r="EO203" s="237" t="s">
        <v>492</v>
      </c>
      <c r="EP203" s="237" t="s">
        <v>492</v>
      </c>
      <c r="EQ203" s="237" t="s">
        <v>492</v>
      </c>
      <c r="ER203" s="237" t="s">
        <v>492</v>
      </c>
      <c r="ES203" s="237" t="s">
        <v>231</v>
      </c>
      <c r="ET203" s="237" t="s">
        <v>231</v>
      </c>
      <c r="EU203" s="237" t="s">
        <v>231</v>
      </c>
      <c r="EV203" s="237" t="s">
        <v>231</v>
      </c>
      <c r="EW203" s="237" t="s">
        <v>231</v>
      </c>
      <c r="EX203" s="237" t="s">
        <v>231</v>
      </c>
      <c r="EY203" s="237" t="s">
        <v>231</v>
      </c>
      <c r="EZ203" s="237" t="s">
        <v>231</v>
      </c>
      <c r="FA203" s="237" t="s">
        <v>231</v>
      </c>
      <c r="FB203" s="237" t="s">
        <v>231</v>
      </c>
      <c r="FC203" s="237" t="s">
        <v>231</v>
      </c>
      <c r="FD203" s="237" t="s">
        <v>231</v>
      </c>
      <c r="FE203" s="237" t="s">
        <v>231</v>
      </c>
      <c r="FF203" s="237" t="s">
        <v>231</v>
      </c>
      <c r="FG203" s="237" t="s">
        <v>492</v>
      </c>
      <c r="FH203" s="237" t="s">
        <v>492</v>
      </c>
      <c r="FI203" s="237" t="s">
        <v>492</v>
      </c>
      <c r="FJ203" s="237" t="s">
        <v>492</v>
      </c>
      <c r="FK203" s="237" t="s">
        <v>492</v>
      </c>
      <c r="FL203" s="237" t="s">
        <v>492</v>
      </c>
      <c r="FM203" s="237" t="s">
        <v>492</v>
      </c>
      <c r="FN203" s="237" t="s">
        <v>492</v>
      </c>
      <c r="FO203" s="237" t="s">
        <v>493</v>
      </c>
      <c r="FP203" s="237" t="s">
        <v>492</v>
      </c>
      <c r="FQ203" s="237" t="s">
        <v>231</v>
      </c>
      <c r="FR203" s="237" t="s">
        <v>231</v>
      </c>
      <c r="FS203" s="237" t="s">
        <v>231</v>
      </c>
      <c r="FT203" s="237" t="s">
        <v>492</v>
      </c>
      <c r="FU203" s="237" t="s">
        <v>231</v>
      </c>
      <c r="FV203" s="237" t="s">
        <v>231</v>
      </c>
      <c r="FW203" s="237" t="s">
        <v>231</v>
      </c>
      <c r="FX203" s="237" t="s">
        <v>492</v>
      </c>
      <c r="FY203" s="237" t="s">
        <v>492</v>
      </c>
      <c r="FZ203" s="237" t="s">
        <v>231</v>
      </c>
      <c r="GA203" s="237" t="s">
        <v>231</v>
      </c>
      <c r="GB203" s="237" t="s">
        <v>231</v>
      </c>
      <c r="GC203" s="237" t="s">
        <v>231</v>
      </c>
      <c r="GD203" s="237" t="s">
        <v>231</v>
      </c>
      <c r="GE203" s="237" t="s">
        <v>231</v>
      </c>
      <c r="GF203" s="237" t="s">
        <v>231</v>
      </c>
      <c r="GG203" s="237" t="s">
        <v>231</v>
      </c>
      <c r="GH203" s="237" t="s">
        <v>231</v>
      </c>
      <c r="GI203" s="237" t="s">
        <v>231</v>
      </c>
      <c r="GJ203" s="237" t="s">
        <v>231</v>
      </c>
      <c r="GK203" s="237" t="s">
        <v>231</v>
      </c>
      <c r="GL203" s="237" t="s">
        <v>231</v>
      </c>
      <c r="GM203" s="237" t="s">
        <v>231</v>
      </c>
      <c r="GN203" s="237" t="s">
        <v>231</v>
      </c>
      <c r="GO203" s="237" t="s">
        <v>231</v>
      </c>
      <c r="GP203" s="237" t="s">
        <v>492</v>
      </c>
      <c r="GQ203" s="237" t="s">
        <v>231</v>
      </c>
      <c r="GR203" s="237" t="s">
        <v>231</v>
      </c>
      <c r="GS203" s="237" t="s">
        <v>231</v>
      </c>
      <c r="GT203" s="237" t="s">
        <v>231</v>
      </c>
      <c r="GU203" s="237" t="s">
        <v>231</v>
      </c>
      <c r="GV203" s="237" t="s">
        <v>492</v>
      </c>
      <c r="GW203" s="237" t="s">
        <v>231</v>
      </c>
      <c r="GX203" s="237" t="s">
        <v>231</v>
      </c>
      <c r="GY203" s="237" t="s">
        <v>492</v>
      </c>
      <c r="GZ203" s="237" t="s">
        <v>492</v>
      </c>
      <c r="HA203" s="237" t="s">
        <v>231</v>
      </c>
      <c r="HB203" s="237" t="s">
        <v>231</v>
      </c>
      <c r="HC203" s="237" t="s">
        <v>231</v>
      </c>
      <c r="HD203" s="237" t="s">
        <v>231</v>
      </c>
      <c r="HE203" s="237" t="s">
        <v>231</v>
      </c>
      <c r="HF203" s="237" t="s">
        <v>492</v>
      </c>
      <c r="HG203" s="237" t="s">
        <v>492</v>
      </c>
      <c r="HH203" s="237" t="s">
        <v>231</v>
      </c>
      <c r="HI203" s="237" t="s">
        <v>231</v>
      </c>
      <c r="HJ203" s="237" t="s">
        <v>231</v>
      </c>
      <c r="HK203" s="237" t="s">
        <v>231</v>
      </c>
      <c r="HL203" s="237" t="s">
        <v>231</v>
      </c>
      <c r="HM203" s="237" t="s">
        <v>231</v>
      </c>
      <c r="HN203" s="237" t="s">
        <v>231</v>
      </c>
      <c r="HO203" s="237" t="s">
        <v>231</v>
      </c>
      <c r="HP203" s="237" t="s">
        <v>231</v>
      </c>
      <c r="HQ203" s="237" t="s">
        <v>492</v>
      </c>
      <c r="HR203" s="237" t="s">
        <v>492</v>
      </c>
      <c r="HS203" s="237" t="s">
        <v>492</v>
      </c>
      <c r="HT203" s="237" t="s">
        <v>492</v>
      </c>
      <c r="HU203" s="237" t="s">
        <v>231</v>
      </c>
      <c r="HV203" s="237" t="s">
        <v>231</v>
      </c>
      <c r="HW203" s="237" t="s">
        <v>231</v>
      </c>
      <c r="HX203" s="237" t="s">
        <v>231</v>
      </c>
      <c r="HY203" s="237" t="s">
        <v>231</v>
      </c>
      <c r="HZ203" s="237" t="s">
        <v>231</v>
      </c>
      <c r="IA203" s="237" t="s">
        <v>231</v>
      </c>
      <c r="IB203" s="237" t="s">
        <v>231</v>
      </c>
      <c r="IC203" s="237" t="s">
        <v>231</v>
      </c>
      <c r="ID203" s="237" t="s">
        <v>231</v>
      </c>
      <c r="IE203" s="237" t="s">
        <v>231</v>
      </c>
      <c r="IF203" s="237" t="s">
        <v>231</v>
      </c>
      <c r="IG203" s="237" t="s">
        <v>231</v>
      </c>
      <c r="IH203" s="237" t="s">
        <v>231</v>
      </c>
      <c r="II203" s="237" t="s">
        <v>231</v>
      </c>
      <c r="IJ203" s="237" t="s">
        <v>231</v>
      </c>
      <c r="IK203" s="237" t="s">
        <v>231</v>
      </c>
      <c r="IL203" s="237" t="s">
        <v>231</v>
      </c>
      <c r="IM203" s="237" t="s">
        <v>231</v>
      </c>
      <c r="IN203" s="237" t="s">
        <v>231</v>
      </c>
      <c r="IO203" s="237" t="s">
        <v>220</v>
      </c>
      <c r="IP203" s="237" t="s">
        <v>493</v>
      </c>
      <c r="IQ203" s="237" t="s">
        <v>219</v>
      </c>
      <c r="IR203" s="237" t="s">
        <v>490</v>
      </c>
      <c r="IS203" s="237" t="s">
        <v>231</v>
      </c>
      <c r="IT203" s="237" t="s">
        <v>231</v>
      </c>
    </row>
    <row r="204" spans="1:254" ht="15" x14ac:dyDescent="0.25">
      <c r="A204" s="259" t="str">
        <f>HYPERLINK("http://www.ofsted.gov.uk/inspection-reports/find-inspection-report/provider/ELS/145859 ","Ofsted School Webpage")</f>
        <v>Ofsted School Webpage</v>
      </c>
      <c r="B204" s="240">
        <v>145859</v>
      </c>
      <c r="C204" s="240">
        <v>3306041</v>
      </c>
      <c r="D204" s="240" t="s">
        <v>1002</v>
      </c>
      <c r="E204" s="240" t="s">
        <v>248</v>
      </c>
      <c r="F204" s="240" t="s">
        <v>501</v>
      </c>
      <c r="G204" s="240" t="s">
        <v>502</v>
      </c>
      <c r="H204" s="240" t="s">
        <v>502</v>
      </c>
      <c r="I204" s="240" t="s">
        <v>909</v>
      </c>
      <c r="J204" s="240" t="s">
        <v>1003</v>
      </c>
      <c r="K204" s="240" t="s">
        <v>93</v>
      </c>
      <c r="L204" s="240" t="s">
        <v>93</v>
      </c>
      <c r="M204" s="240" t="s">
        <v>93</v>
      </c>
      <c r="N204" s="240" t="s">
        <v>90</v>
      </c>
      <c r="O204" s="240" t="s">
        <v>486</v>
      </c>
      <c r="P204" s="240" t="s">
        <v>487</v>
      </c>
      <c r="Q204" s="241">
        <v>10083994</v>
      </c>
      <c r="R204" s="242">
        <v>43494</v>
      </c>
      <c r="S204" s="242">
        <v>43496</v>
      </c>
      <c r="T204" s="242">
        <v>43538</v>
      </c>
      <c r="U204" s="240" t="s">
        <v>499</v>
      </c>
      <c r="V204" s="240" t="s">
        <v>489</v>
      </c>
      <c r="W204" s="240">
        <v>2</v>
      </c>
      <c r="X204" s="240">
        <v>2</v>
      </c>
      <c r="Y204" s="240">
        <v>2</v>
      </c>
      <c r="Z204" s="240">
        <v>2</v>
      </c>
      <c r="AA204" s="240">
        <v>2</v>
      </c>
      <c r="AB204" s="240" t="s">
        <v>486</v>
      </c>
      <c r="AC204" s="240" t="s">
        <v>486</v>
      </c>
      <c r="AD204" s="240" t="s">
        <v>219</v>
      </c>
      <c r="AE204" s="240" t="s">
        <v>490</v>
      </c>
      <c r="AF204" s="240" t="s">
        <v>486</v>
      </c>
      <c r="AG204" s="240" t="s">
        <v>486</v>
      </c>
      <c r="AH204" s="240" t="s">
        <v>486</v>
      </c>
      <c r="AI204" s="240" t="s">
        <v>486</v>
      </c>
      <c r="AJ204" s="240" t="s">
        <v>486</v>
      </c>
      <c r="AK204" s="240" t="s">
        <v>486</v>
      </c>
      <c r="AL204" s="240" t="s">
        <v>486</v>
      </c>
      <c r="AM204" s="240" t="s">
        <v>491</v>
      </c>
      <c r="AN204" s="240" t="s">
        <v>231</v>
      </c>
      <c r="AO204" s="240" t="s">
        <v>231</v>
      </c>
      <c r="AP204" s="240" t="s">
        <v>231</v>
      </c>
      <c r="AQ204" s="240" t="s">
        <v>231</v>
      </c>
      <c r="AR204" s="240" t="s">
        <v>231</v>
      </c>
      <c r="AS204" s="240" t="s">
        <v>231</v>
      </c>
      <c r="AT204" s="240" t="s">
        <v>231</v>
      </c>
      <c r="AU204" s="240" t="s">
        <v>231</v>
      </c>
      <c r="AV204" s="240" t="s">
        <v>231</v>
      </c>
      <c r="AW204" s="240" t="s">
        <v>231</v>
      </c>
      <c r="AX204" s="240" t="s">
        <v>231</v>
      </c>
      <c r="AY204" s="240" t="s">
        <v>231</v>
      </c>
      <c r="AZ204" s="240" t="s">
        <v>231</v>
      </c>
      <c r="BA204" s="240" t="s">
        <v>231</v>
      </c>
      <c r="BB204" s="240" t="s">
        <v>231</v>
      </c>
      <c r="BC204" s="240" t="s">
        <v>231</v>
      </c>
      <c r="BD204" s="240" t="s">
        <v>492</v>
      </c>
      <c r="BE204" s="240" t="s">
        <v>231</v>
      </c>
      <c r="BF204" s="240" t="s">
        <v>231</v>
      </c>
      <c r="BG204" s="240" t="s">
        <v>231</v>
      </c>
      <c r="BH204" s="240" t="s">
        <v>231</v>
      </c>
      <c r="BI204" s="240" t="s">
        <v>231</v>
      </c>
      <c r="BJ204" s="240" t="s">
        <v>231</v>
      </c>
      <c r="BK204" s="240" t="s">
        <v>231</v>
      </c>
      <c r="BL204" s="240" t="s">
        <v>492</v>
      </c>
      <c r="BM204" s="240" t="s">
        <v>492</v>
      </c>
      <c r="BN204" s="240" t="s">
        <v>231</v>
      </c>
      <c r="BO204" s="240" t="s">
        <v>231</v>
      </c>
      <c r="BP204" s="240" t="s">
        <v>231</v>
      </c>
      <c r="BQ204" s="240" t="s">
        <v>231</v>
      </c>
      <c r="BR204" s="240" t="s">
        <v>231</v>
      </c>
      <c r="BS204" s="240" t="s">
        <v>231</v>
      </c>
      <c r="BT204" s="240" t="s">
        <v>231</v>
      </c>
      <c r="BU204" s="240" t="s">
        <v>231</v>
      </c>
      <c r="BV204" s="240" t="s">
        <v>231</v>
      </c>
      <c r="BW204" s="240" t="s">
        <v>231</v>
      </c>
      <c r="BX204" s="240" t="s">
        <v>231</v>
      </c>
      <c r="BY204" s="240" t="s">
        <v>231</v>
      </c>
      <c r="BZ204" s="240" t="s">
        <v>231</v>
      </c>
      <c r="CA204" s="240" t="s">
        <v>231</v>
      </c>
      <c r="CB204" s="240" t="s">
        <v>231</v>
      </c>
      <c r="CC204" s="240" t="s">
        <v>231</v>
      </c>
      <c r="CD204" s="240" t="s">
        <v>231</v>
      </c>
      <c r="CE204" s="240" t="s">
        <v>231</v>
      </c>
      <c r="CF204" s="240" t="s">
        <v>231</v>
      </c>
      <c r="CG204" s="240" t="s">
        <v>231</v>
      </c>
      <c r="CH204" s="240" t="s">
        <v>231</v>
      </c>
      <c r="CI204" s="240" t="s">
        <v>231</v>
      </c>
      <c r="CJ204" s="240" t="s">
        <v>231</v>
      </c>
      <c r="CK204" s="240" t="s">
        <v>231</v>
      </c>
      <c r="CL204" s="240" t="s">
        <v>231</v>
      </c>
      <c r="CM204" s="240" t="s">
        <v>231</v>
      </c>
      <c r="CN204" s="240" t="s">
        <v>231</v>
      </c>
      <c r="CO204" s="240" t="s">
        <v>231</v>
      </c>
      <c r="CP204" s="240" t="s">
        <v>231</v>
      </c>
      <c r="CQ204" s="240" t="s">
        <v>231</v>
      </c>
      <c r="CR204" s="240" t="s">
        <v>231</v>
      </c>
      <c r="CS204" s="240" t="s">
        <v>231</v>
      </c>
      <c r="CT204" s="240" t="s">
        <v>492</v>
      </c>
      <c r="CU204" s="240" t="s">
        <v>492</v>
      </c>
      <c r="CV204" s="240" t="s">
        <v>492</v>
      </c>
      <c r="CW204" s="240" t="s">
        <v>231</v>
      </c>
      <c r="CX204" s="240" t="s">
        <v>231</v>
      </c>
      <c r="CY204" s="240" t="s">
        <v>231</v>
      </c>
      <c r="CZ204" s="240" t="s">
        <v>231</v>
      </c>
      <c r="DA204" s="240" t="s">
        <v>231</v>
      </c>
      <c r="DB204" s="240" t="s">
        <v>231</v>
      </c>
      <c r="DC204" s="240" t="s">
        <v>231</v>
      </c>
      <c r="DD204" s="240" t="s">
        <v>231</v>
      </c>
      <c r="DE204" s="240" t="s">
        <v>231</v>
      </c>
      <c r="DF204" s="240" t="s">
        <v>231</v>
      </c>
      <c r="DG204" s="240" t="s">
        <v>231</v>
      </c>
      <c r="DH204" s="240" t="s">
        <v>231</v>
      </c>
      <c r="DI204" s="240" t="s">
        <v>231</v>
      </c>
      <c r="DJ204" s="240" t="s">
        <v>231</v>
      </c>
      <c r="DK204" s="240" t="s">
        <v>231</v>
      </c>
      <c r="DL204" s="240" t="s">
        <v>231</v>
      </c>
      <c r="DM204" s="240" t="s">
        <v>231</v>
      </c>
      <c r="DN204" s="240" t="s">
        <v>231</v>
      </c>
      <c r="DO204" s="240" t="s">
        <v>231</v>
      </c>
      <c r="DP204" s="240" t="s">
        <v>231</v>
      </c>
      <c r="DQ204" s="240" t="s">
        <v>231</v>
      </c>
      <c r="DR204" s="240" t="s">
        <v>231</v>
      </c>
      <c r="DS204" s="240" t="s">
        <v>231</v>
      </c>
      <c r="DT204" s="240" t="s">
        <v>492</v>
      </c>
      <c r="DU204" s="240" t="s">
        <v>231</v>
      </c>
      <c r="DV204" s="240" t="s">
        <v>231</v>
      </c>
      <c r="DW204" s="240" t="s">
        <v>231</v>
      </c>
      <c r="DX204" s="240" t="s">
        <v>231</v>
      </c>
      <c r="DY204" s="240" t="s">
        <v>231</v>
      </c>
      <c r="DZ204" s="240" t="s">
        <v>231</v>
      </c>
      <c r="EA204" s="240" t="s">
        <v>231</v>
      </c>
      <c r="EB204" s="240" t="s">
        <v>231</v>
      </c>
      <c r="EC204" s="240" t="s">
        <v>231</v>
      </c>
      <c r="ED204" s="240" t="s">
        <v>231</v>
      </c>
      <c r="EE204" s="240" t="s">
        <v>231</v>
      </c>
      <c r="EF204" s="240" t="s">
        <v>231</v>
      </c>
      <c r="EG204" s="240" t="s">
        <v>231</v>
      </c>
      <c r="EH204" s="240" t="s">
        <v>492</v>
      </c>
      <c r="EI204" s="240" t="s">
        <v>231</v>
      </c>
      <c r="EJ204" s="240" t="s">
        <v>231</v>
      </c>
      <c r="EK204" s="240" t="s">
        <v>231</v>
      </c>
      <c r="EL204" s="240" t="s">
        <v>231</v>
      </c>
      <c r="EM204" s="240" t="s">
        <v>231</v>
      </c>
      <c r="EN204" s="240" t="s">
        <v>231</v>
      </c>
      <c r="EO204" s="240" t="s">
        <v>231</v>
      </c>
      <c r="EP204" s="240" t="s">
        <v>231</v>
      </c>
      <c r="EQ204" s="240" t="s">
        <v>231</v>
      </c>
      <c r="ER204" s="240" t="s">
        <v>231</v>
      </c>
      <c r="ES204" s="240" t="s">
        <v>231</v>
      </c>
      <c r="ET204" s="240" t="s">
        <v>231</v>
      </c>
      <c r="EU204" s="240" t="s">
        <v>231</v>
      </c>
      <c r="EV204" s="240" t="s">
        <v>231</v>
      </c>
      <c r="EW204" s="240" t="s">
        <v>231</v>
      </c>
      <c r="EX204" s="240" t="s">
        <v>231</v>
      </c>
      <c r="EY204" s="240" t="s">
        <v>231</v>
      </c>
      <c r="EZ204" s="240" t="s">
        <v>231</v>
      </c>
      <c r="FA204" s="240" t="s">
        <v>231</v>
      </c>
      <c r="FB204" s="240" t="s">
        <v>231</v>
      </c>
      <c r="FC204" s="240" t="s">
        <v>231</v>
      </c>
      <c r="FD204" s="240" t="s">
        <v>231</v>
      </c>
      <c r="FE204" s="240" t="s">
        <v>231</v>
      </c>
      <c r="FF204" s="240" t="s">
        <v>231</v>
      </c>
      <c r="FG204" s="240" t="s">
        <v>231</v>
      </c>
      <c r="FH204" s="240" t="s">
        <v>231</v>
      </c>
      <c r="FI204" s="240" t="s">
        <v>231</v>
      </c>
      <c r="FJ204" s="240" t="s">
        <v>231</v>
      </c>
      <c r="FK204" s="240" t="s">
        <v>231</v>
      </c>
      <c r="FL204" s="240" t="s">
        <v>231</v>
      </c>
      <c r="FM204" s="240" t="s">
        <v>231</v>
      </c>
      <c r="FN204" s="240" t="s">
        <v>231</v>
      </c>
      <c r="FO204" s="240" t="s">
        <v>231</v>
      </c>
      <c r="FP204" s="240" t="s">
        <v>231</v>
      </c>
      <c r="FQ204" s="240" t="s">
        <v>231</v>
      </c>
      <c r="FR204" s="240" t="s">
        <v>231</v>
      </c>
      <c r="FS204" s="240" t="s">
        <v>231</v>
      </c>
      <c r="FT204" s="240" t="s">
        <v>231</v>
      </c>
      <c r="FU204" s="240" t="s">
        <v>231</v>
      </c>
      <c r="FV204" s="240" t="s">
        <v>231</v>
      </c>
      <c r="FW204" s="240" t="s">
        <v>231</v>
      </c>
      <c r="FX204" s="240" t="s">
        <v>492</v>
      </c>
      <c r="FY204" s="240" t="s">
        <v>231</v>
      </c>
      <c r="FZ204" s="240" t="s">
        <v>231</v>
      </c>
      <c r="GA204" s="240" t="s">
        <v>231</v>
      </c>
      <c r="GB204" s="240" t="s">
        <v>231</v>
      </c>
      <c r="GC204" s="240" t="s">
        <v>231</v>
      </c>
      <c r="GD204" s="240" t="s">
        <v>231</v>
      </c>
      <c r="GE204" s="240" t="s">
        <v>231</v>
      </c>
      <c r="GF204" s="240" t="s">
        <v>231</v>
      </c>
      <c r="GG204" s="240" t="s">
        <v>231</v>
      </c>
      <c r="GH204" s="240" t="s">
        <v>231</v>
      </c>
      <c r="GI204" s="240" t="s">
        <v>231</v>
      </c>
      <c r="GJ204" s="240" t="s">
        <v>231</v>
      </c>
      <c r="GK204" s="240" t="s">
        <v>231</v>
      </c>
      <c r="GL204" s="240" t="s">
        <v>231</v>
      </c>
      <c r="GM204" s="240" t="s">
        <v>231</v>
      </c>
      <c r="GN204" s="240" t="s">
        <v>231</v>
      </c>
      <c r="GO204" s="240" t="s">
        <v>231</v>
      </c>
      <c r="GP204" s="240" t="s">
        <v>492</v>
      </c>
      <c r="GQ204" s="240" t="s">
        <v>231</v>
      </c>
      <c r="GR204" s="240" t="s">
        <v>231</v>
      </c>
      <c r="GS204" s="240" t="s">
        <v>231</v>
      </c>
      <c r="GT204" s="240" t="s">
        <v>231</v>
      </c>
      <c r="GU204" s="240" t="s">
        <v>231</v>
      </c>
      <c r="GV204" s="240" t="s">
        <v>231</v>
      </c>
      <c r="GW204" s="240" t="s">
        <v>231</v>
      </c>
      <c r="GX204" s="240" t="s">
        <v>231</v>
      </c>
      <c r="GY204" s="240" t="s">
        <v>231</v>
      </c>
      <c r="GZ204" s="240" t="s">
        <v>231</v>
      </c>
      <c r="HA204" s="240" t="s">
        <v>231</v>
      </c>
      <c r="HB204" s="240" t="s">
        <v>231</v>
      </c>
      <c r="HC204" s="240" t="s">
        <v>231</v>
      </c>
      <c r="HD204" s="240" t="s">
        <v>231</v>
      </c>
      <c r="HE204" s="240" t="s">
        <v>492</v>
      </c>
      <c r="HF204" s="240" t="s">
        <v>231</v>
      </c>
      <c r="HG204" s="240" t="s">
        <v>231</v>
      </c>
      <c r="HH204" s="240" t="s">
        <v>231</v>
      </c>
      <c r="HI204" s="240" t="s">
        <v>231</v>
      </c>
      <c r="HJ204" s="240" t="s">
        <v>231</v>
      </c>
      <c r="HK204" s="240" t="s">
        <v>231</v>
      </c>
      <c r="HL204" s="240" t="s">
        <v>231</v>
      </c>
      <c r="HM204" s="240" t="s">
        <v>231</v>
      </c>
      <c r="HN204" s="240" t="s">
        <v>231</v>
      </c>
      <c r="HO204" s="240" t="s">
        <v>231</v>
      </c>
      <c r="HP204" s="240" t="s">
        <v>231</v>
      </c>
      <c r="HQ204" s="240" t="s">
        <v>231</v>
      </c>
      <c r="HR204" s="240" t="s">
        <v>231</v>
      </c>
      <c r="HS204" s="240" t="s">
        <v>231</v>
      </c>
      <c r="HT204" s="240" t="s">
        <v>231</v>
      </c>
      <c r="HU204" s="240" t="s">
        <v>231</v>
      </c>
      <c r="HV204" s="240" t="s">
        <v>231</v>
      </c>
      <c r="HW204" s="240" t="s">
        <v>231</v>
      </c>
      <c r="HX204" s="240" t="s">
        <v>231</v>
      </c>
      <c r="HY204" s="240" t="s">
        <v>231</v>
      </c>
      <c r="HZ204" s="240" t="s">
        <v>231</v>
      </c>
      <c r="IA204" s="240" t="s">
        <v>231</v>
      </c>
      <c r="IB204" s="240" t="s">
        <v>231</v>
      </c>
      <c r="IC204" s="240" t="s">
        <v>231</v>
      </c>
      <c r="ID204" s="240" t="s">
        <v>231</v>
      </c>
      <c r="IE204" s="240" t="s">
        <v>231</v>
      </c>
      <c r="IF204" s="240" t="s">
        <v>231</v>
      </c>
      <c r="IG204" s="240" t="s">
        <v>231</v>
      </c>
      <c r="IH204" s="240" t="s">
        <v>231</v>
      </c>
      <c r="II204" s="240" t="s">
        <v>231</v>
      </c>
      <c r="IJ204" s="240" t="s">
        <v>231</v>
      </c>
      <c r="IK204" s="240" t="s">
        <v>231</v>
      </c>
      <c r="IL204" s="240" t="s">
        <v>231</v>
      </c>
      <c r="IM204" s="240" t="s">
        <v>231</v>
      </c>
      <c r="IN204" s="240" t="s">
        <v>231</v>
      </c>
      <c r="IO204" s="240" t="s">
        <v>220</v>
      </c>
      <c r="IP204" s="240" t="s">
        <v>493</v>
      </c>
      <c r="IQ204" s="240" t="s">
        <v>219</v>
      </c>
      <c r="IR204" s="240" t="s">
        <v>490</v>
      </c>
      <c r="IS204" s="240" t="s">
        <v>492</v>
      </c>
      <c r="IT204" s="240" t="s">
        <v>492</v>
      </c>
    </row>
    <row r="205" spans="1:254" ht="15" x14ac:dyDescent="0.25">
      <c r="A205" s="258" t="str">
        <f>HYPERLINK("http://www.ofsted.gov.uk/inspection-reports/find-inspection-report/provider/ELS/145949 ","Ofsted School Webpage")</f>
        <v>Ofsted School Webpage</v>
      </c>
      <c r="B205" s="237">
        <v>145949</v>
      </c>
      <c r="C205" s="237">
        <v>8916039</v>
      </c>
      <c r="D205" s="237" t="s">
        <v>1004</v>
      </c>
      <c r="E205" s="237" t="s">
        <v>248</v>
      </c>
      <c r="F205" s="237" t="s">
        <v>501</v>
      </c>
      <c r="G205" s="237" t="s">
        <v>572</v>
      </c>
      <c r="H205" s="237" t="s">
        <v>572</v>
      </c>
      <c r="I205" s="237" t="s">
        <v>852</v>
      </c>
      <c r="J205" s="237" t="s">
        <v>1005</v>
      </c>
      <c r="K205" s="237" t="s">
        <v>93</v>
      </c>
      <c r="L205" s="237" t="s">
        <v>93</v>
      </c>
      <c r="M205" s="237" t="s">
        <v>93</v>
      </c>
      <c r="N205" s="237" t="s">
        <v>90</v>
      </c>
      <c r="O205" s="237" t="s">
        <v>486</v>
      </c>
      <c r="P205" s="237" t="s">
        <v>487</v>
      </c>
      <c r="Q205" s="238">
        <v>10081421</v>
      </c>
      <c r="R205" s="239">
        <v>43501</v>
      </c>
      <c r="S205" s="239">
        <v>43502</v>
      </c>
      <c r="T205" s="239">
        <v>43535</v>
      </c>
      <c r="U205" s="237" t="s">
        <v>499</v>
      </c>
      <c r="V205" s="237" t="s">
        <v>489</v>
      </c>
      <c r="W205" s="237">
        <v>2</v>
      </c>
      <c r="X205" s="237">
        <v>2</v>
      </c>
      <c r="Y205" s="237">
        <v>2</v>
      </c>
      <c r="Z205" s="237">
        <v>2</v>
      </c>
      <c r="AA205" s="237">
        <v>2</v>
      </c>
      <c r="AB205" s="237" t="s">
        <v>486</v>
      </c>
      <c r="AC205" s="237" t="s">
        <v>486</v>
      </c>
      <c r="AD205" s="237" t="s">
        <v>219</v>
      </c>
      <c r="AE205" s="237" t="s">
        <v>490</v>
      </c>
      <c r="AF205" s="237" t="s">
        <v>486</v>
      </c>
      <c r="AG205" s="237" t="s">
        <v>486</v>
      </c>
      <c r="AH205" s="237" t="s">
        <v>486</v>
      </c>
      <c r="AI205" s="237" t="s">
        <v>486</v>
      </c>
      <c r="AJ205" s="237" t="s">
        <v>486</v>
      </c>
      <c r="AK205" s="237" t="s">
        <v>486</v>
      </c>
      <c r="AL205" s="237" t="s">
        <v>486</v>
      </c>
      <c r="AM205" s="237" t="s">
        <v>491</v>
      </c>
      <c r="AN205" s="237" t="s">
        <v>231</v>
      </c>
      <c r="AO205" s="237" t="s">
        <v>231</v>
      </c>
      <c r="AP205" s="237" t="s">
        <v>231</v>
      </c>
      <c r="AQ205" s="237" t="s">
        <v>231</v>
      </c>
      <c r="AR205" s="237" t="s">
        <v>231</v>
      </c>
      <c r="AS205" s="237" t="s">
        <v>231</v>
      </c>
      <c r="AT205" s="237" t="s">
        <v>231</v>
      </c>
      <c r="AU205" s="237" t="s">
        <v>231</v>
      </c>
      <c r="AV205" s="237" t="s">
        <v>231</v>
      </c>
      <c r="AW205" s="237" t="s">
        <v>231</v>
      </c>
      <c r="AX205" s="237" t="s">
        <v>231</v>
      </c>
      <c r="AY205" s="237" t="s">
        <v>231</v>
      </c>
      <c r="AZ205" s="237" t="s">
        <v>231</v>
      </c>
      <c r="BA205" s="237" t="s">
        <v>231</v>
      </c>
      <c r="BB205" s="237" t="s">
        <v>231</v>
      </c>
      <c r="BC205" s="237" t="s">
        <v>231</v>
      </c>
      <c r="BD205" s="237" t="s">
        <v>492</v>
      </c>
      <c r="BE205" s="237" t="s">
        <v>231</v>
      </c>
      <c r="BF205" s="237" t="s">
        <v>231</v>
      </c>
      <c r="BG205" s="237" t="s">
        <v>231</v>
      </c>
      <c r="BH205" s="237" t="s">
        <v>231</v>
      </c>
      <c r="BI205" s="237" t="s">
        <v>231</v>
      </c>
      <c r="BJ205" s="237" t="s">
        <v>231</v>
      </c>
      <c r="BK205" s="237" t="s">
        <v>231</v>
      </c>
      <c r="BL205" s="237" t="s">
        <v>492</v>
      </c>
      <c r="BM205" s="237" t="s">
        <v>492</v>
      </c>
      <c r="BN205" s="237" t="s">
        <v>231</v>
      </c>
      <c r="BO205" s="237" t="s">
        <v>231</v>
      </c>
      <c r="BP205" s="237" t="s">
        <v>231</v>
      </c>
      <c r="BQ205" s="237" t="s">
        <v>231</v>
      </c>
      <c r="BR205" s="237" t="s">
        <v>231</v>
      </c>
      <c r="BS205" s="237" t="s">
        <v>231</v>
      </c>
      <c r="BT205" s="237" t="s">
        <v>231</v>
      </c>
      <c r="BU205" s="237" t="s">
        <v>231</v>
      </c>
      <c r="BV205" s="237" t="s">
        <v>231</v>
      </c>
      <c r="BW205" s="237" t="s">
        <v>231</v>
      </c>
      <c r="BX205" s="237" t="s">
        <v>231</v>
      </c>
      <c r="BY205" s="237" t="s">
        <v>231</v>
      </c>
      <c r="BZ205" s="237" t="s">
        <v>231</v>
      </c>
      <c r="CA205" s="237" t="s">
        <v>231</v>
      </c>
      <c r="CB205" s="237" t="s">
        <v>231</v>
      </c>
      <c r="CC205" s="237" t="s">
        <v>231</v>
      </c>
      <c r="CD205" s="237" t="s">
        <v>231</v>
      </c>
      <c r="CE205" s="237" t="s">
        <v>231</v>
      </c>
      <c r="CF205" s="237" t="s">
        <v>231</v>
      </c>
      <c r="CG205" s="237" t="s">
        <v>231</v>
      </c>
      <c r="CH205" s="237" t="s">
        <v>231</v>
      </c>
      <c r="CI205" s="237" t="s">
        <v>231</v>
      </c>
      <c r="CJ205" s="237" t="s">
        <v>231</v>
      </c>
      <c r="CK205" s="237" t="s">
        <v>231</v>
      </c>
      <c r="CL205" s="237" t="s">
        <v>231</v>
      </c>
      <c r="CM205" s="237" t="s">
        <v>231</v>
      </c>
      <c r="CN205" s="237" t="s">
        <v>231</v>
      </c>
      <c r="CO205" s="237" t="s">
        <v>231</v>
      </c>
      <c r="CP205" s="237" t="s">
        <v>231</v>
      </c>
      <c r="CQ205" s="237" t="s">
        <v>231</v>
      </c>
      <c r="CR205" s="237" t="s">
        <v>231</v>
      </c>
      <c r="CS205" s="237" t="s">
        <v>231</v>
      </c>
      <c r="CT205" s="237" t="s">
        <v>231</v>
      </c>
      <c r="CU205" s="237" t="s">
        <v>492</v>
      </c>
      <c r="CV205" s="237" t="s">
        <v>492</v>
      </c>
      <c r="CW205" s="237" t="s">
        <v>231</v>
      </c>
      <c r="CX205" s="237" t="s">
        <v>231</v>
      </c>
      <c r="CY205" s="237" t="s">
        <v>231</v>
      </c>
      <c r="CZ205" s="237" t="s">
        <v>231</v>
      </c>
      <c r="DA205" s="237" t="s">
        <v>231</v>
      </c>
      <c r="DB205" s="237" t="s">
        <v>231</v>
      </c>
      <c r="DC205" s="237" t="s">
        <v>231</v>
      </c>
      <c r="DD205" s="237" t="s">
        <v>231</v>
      </c>
      <c r="DE205" s="237" t="s">
        <v>231</v>
      </c>
      <c r="DF205" s="237" t="s">
        <v>231</v>
      </c>
      <c r="DG205" s="237" t="s">
        <v>231</v>
      </c>
      <c r="DH205" s="237" t="s">
        <v>231</v>
      </c>
      <c r="DI205" s="237" t="s">
        <v>231</v>
      </c>
      <c r="DJ205" s="237" t="s">
        <v>231</v>
      </c>
      <c r="DK205" s="237" t="s">
        <v>231</v>
      </c>
      <c r="DL205" s="237" t="s">
        <v>231</v>
      </c>
      <c r="DM205" s="237" t="s">
        <v>231</v>
      </c>
      <c r="DN205" s="237" t="s">
        <v>231</v>
      </c>
      <c r="DO205" s="237" t="s">
        <v>231</v>
      </c>
      <c r="DP205" s="237" t="s">
        <v>231</v>
      </c>
      <c r="DQ205" s="237" t="s">
        <v>231</v>
      </c>
      <c r="DR205" s="237" t="s">
        <v>231</v>
      </c>
      <c r="DS205" s="237" t="s">
        <v>231</v>
      </c>
      <c r="DT205" s="237" t="s">
        <v>492</v>
      </c>
      <c r="DU205" s="237" t="s">
        <v>231</v>
      </c>
      <c r="DV205" s="237" t="s">
        <v>231</v>
      </c>
      <c r="DW205" s="237" t="s">
        <v>231</v>
      </c>
      <c r="DX205" s="237" t="s">
        <v>231</v>
      </c>
      <c r="DY205" s="237" t="s">
        <v>231</v>
      </c>
      <c r="DZ205" s="237" t="s">
        <v>231</v>
      </c>
      <c r="EA205" s="237" t="s">
        <v>231</v>
      </c>
      <c r="EB205" s="237" t="s">
        <v>231</v>
      </c>
      <c r="EC205" s="237" t="s">
        <v>231</v>
      </c>
      <c r="ED205" s="237" t="s">
        <v>231</v>
      </c>
      <c r="EE205" s="237" t="s">
        <v>231</v>
      </c>
      <c r="EF205" s="237" t="s">
        <v>231</v>
      </c>
      <c r="EG205" s="237" t="s">
        <v>231</v>
      </c>
      <c r="EH205" s="237" t="s">
        <v>492</v>
      </c>
      <c r="EI205" s="237" t="s">
        <v>231</v>
      </c>
      <c r="EJ205" s="237" t="s">
        <v>231</v>
      </c>
      <c r="EK205" s="237" t="s">
        <v>231</v>
      </c>
      <c r="EL205" s="237" t="s">
        <v>231</v>
      </c>
      <c r="EM205" s="237" t="s">
        <v>231</v>
      </c>
      <c r="EN205" s="237" t="s">
        <v>231</v>
      </c>
      <c r="EO205" s="237" t="s">
        <v>231</v>
      </c>
      <c r="EP205" s="237" t="s">
        <v>231</v>
      </c>
      <c r="EQ205" s="237" t="s">
        <v>231</v>
      </c>
      <c r="ER205" s="237" t="s">
        <v>231</v>
      </c>
      <c r="ES205" s="237" t="s">
        <v>231</v>
      </c>
      <c r="ET205" s="237" t="s">
        <v>231</v>
      </c>
      <c r="EU205" s="237" t="s">
        <v>231</v>
      </c>
      <c r="EV205" s="237" t="s">
        <v>231</v>
      </c>
      <c r="EW205" s="237" t="s">
        <v>231</v>
      </c>
      <c r="EX205" s="237" t="s">
        <v>231</v>
      </c>
      <c r="EY205" s="237" t="s">
        <v>231</v>
      </c>
      <c r="EZ205" s="237" t="s">
        <v>231</v>
      </c>
      <c r="FA205" s="237" t="s">
        <v>231</v>
      </c>
      <c r="FB205" s="237" t="s">
        <v>231</v>
      </c>
      <c r="FC205" s="237" t="s">
        <v>231</v>
      </c>
      <c r="FD205" s="237" t="s">
        <v>231</v>
      </c>
      <c r="FE205" s="237" t="s">
        <v>231</v>
      </c>
      <c r="FF205" s="237" t="s">
        <v>231</v>
      </c>
      <c r="FG205" s="237" t="s">
        <v>492</v>
      </c>
      <c r="FH205" s="237" t="s">
        <v>492</v>
      </c>
      <c r="FI205" s="237" t="s">
        <v>492</v>
      </c>
      <c r="FJ205" s="237" t="s">
        <v>492</v>
      </c>
      <c r="FK205" s="237" t="s">
        <v>492</v>
      </c>
      <c r="FL205" s="237" t="s">
        <v>492</v>
      </c>
      <c r="FM205" s="237" t="s">
        <v>492</v>
      </c>
      <c r="FN205" s="237" t="s">
        <v>492</v>
      </c>
      <c r="FO205" s="237" t="s">
        <v>493</v>
      </c>
      <c r="FP205" s="237" t="s">
        <v>492</v>
      </c>
      <c r="FQ205" s="237" t="s">
        <v>231</v>
      </c>
      <c r="FR205" s="237" t="s">
        <v>231</v>
      </c>
      <c r="FS205" s="237" t="s">
        <v>231</v>
      </c>
      <c r="FT205" s="237" t="s">
        <v>231</v>
      </c>
      <c r="FU205" s="237" t="s">
        <v>231</v>
      </c>
      <c r="FV205" s="237" t="s">
        <v>231</v>
      </c>
      <c r="FW205" s="237" t="s">
        <v>231</v>
      </c>
      <c r="FX205" s="237" t="s">
        <v>492</v>
      </c>
      <c r="FY205" s="237" t="s">
        <v>231</v>
      </c>
      <c r="FZ205" s="237" t="s">
        <v>231</v>
      </c>
      <c r="GA205" s="237" t="s">
        <v>231</v>
      </c>
      <c r="GB205" s="237" t="s">
        <v>231</v>
      </c>
      <c r="GC205" s="237" t="s">
        <v>231</v>
      </c>
      <c r="GD205" s="237" t="s">
        <v>231</v>
      </c>
      <c r="GE205" s="237" t="s">
        <v>231</v>
      </c>
      <c r="GF205" s="237" t="s">
        <v>231</v>
      </c>
      <c r="GG205" s="237" t="s">
        <v>231</v>
      </c>
      <c r="GH205" s="237" t="s">
        <v>231</v>
      </c>
      <c r="GI205" s="237" t="s">
        <v>231</v>
      </c>
      <c r="GJ205" s="237" t="s">
        <v>231</v>
      </c>
      <c r="GK205" s="237" t="s">
        <v>231</v>
      </c>
      <c r="GL205" s="237" t="s">
        <v>231</v>
      </c>
      <c r="GM205" s="237" t="s">
        <v>231</v>
      </c>
      <c r="GN205" s="237" t="s">
        <v>231</v>
      </c>
      <c r="GO205" s="237" t="s">
        <v>231</v>
      </c>
      <c r="GP205" s="237" t="s">
        <v>492</v>
      </c>
      <c r="GQ205" s="237" t="s">
        <v>231</v>
      </c>
      <c r="GR205" s="237" t="s">
        <v>231</v>
      </c>
      <c r="GS205" s="237" t="s">
        <v>231</v>
      </c>
      <c r="GT205" s="237" t="s">
        <v>231</v>
      </c>
      <c r="GU205" s="237" t="s">
        <v>492</v>
      </c>
      <c r="GV205" s="237" t="s">
        <v>492</v>
      </c>
      <c r="GW205" s="237" t="s">
        <v>231</v>
      </c>
      <c r="GX205" s="237" t="s">
        <v>231</v>
      </c>
      <c r="GY205" s="237" t="s">
        <v>231</v>
      </c>
      <c r="GZ205" s="237" t="s">
        <v>231</v>
      </c>
      <c r="HA205" s="237" t="s">
        <v>231</v>
      </c>
      <c r="HB205" s="237" t="s">
        <v>231</v>
      </c>
      <c r="HC205" s="237" t="s">
        <v>231</v>
      </c>
      <c r="HD205" s="237" t="s">
        <v>231</v>
      </c>
      <c r="HE205" s="237" t="s">
        <v>231</v>
      </c>
      <c r="HF205" s="237" t="s">
        <v>231</v>
      </c>
      <c r="HG205" s="237" t="s">
        <v>231</v>
      </c>
      <c r="HH205" s="237" t="s">
        <v>231</v>
      </c>
      <c r="HI205" s="237" t="s">
        <v>231</v>
      </c>
      <c r="HJ205" s="237" t="s">
        <v>231</v>
      </c>
      <c r="HK205" s="237" t="s">
        <v>231</v>
      </c>
      <c r="HL205" s="237" t="s">
        <v>231</v>
      </c>
      <c r="HM205" s="237" t="s">
        <v>231</v>
      </c>
      <c r="HN205" s="237" t="s">
        <v>492</v>
      </c>
      <c r="HO205" s="237" t="s">
        <v>231</v>
      </c>
      <c r="HP205" s="237" t="s">
        <v>492</v>
      </c>
      <c r="HQ205" s="237" t="s">
        <v>231</v>
      </c>
      <c r="HR205" s="237" t="s">
        <v>492</v>
      </c>
      <c r="HS205" s="237" t="s">
        <v>492</v>
      </c>
      <c r="HT205" s="237" t="s">
        <v>492</v>
      </c>
      <c r="HU205" s="237" t="s">
        <v>231</v>
      </c>
      <c r="HV205" s="237" t="s">
        <v>231</v>
      </c>
      <c r="HW205" s="237" t="s">
        <v>231</v>
      </c>
      <c r="HX205" s="237" t="s">
        <v>231</v>
      </c>
      <c r="HY205" s="237" t="s">
        <v>231</v>
      </c>
      <c r="HZ205" s="237" t="s">
        <v>231</v>
      </c>
      <c r="IA205" s="237" t="s">
        <v>231</v>
      </c>
      <c r="IB205" s="237" t="s">
        <v>231</v>
      </c>
      <c r="IC205" s="237" t="s">
        <v>231</v>
      </c>
      <c r="ID205" s="237" t="s">
        <v>231</v>
      </c>
      <c r="IE205" s="237" t="s">
        <v>231</v>
      </c>
      <c r="IF205" s="237" t="s">
        <v>231</v>
      </c>
      <c r="IG205" s="237" t="s">
        <v>231</v>
      </c>
      <c r="IH205" s="237" t="s">
        <v>231</v>
      </c>
      <c r="II205" s="237" t="s">
        <v>231</v>
      </c>
      <c r="IJ205" s="237" t="s">
        <v>231</v>
      </c>
      <c r="IK205" s="237" t="s">
        <v>231</v>
      </c>
      <c r="IL205" s="237" t="s">
        <v>231</v>
      </c>
      <c r="IM205" s="237" t="s">
        <v>231</v>
      </c>
      <c r="IN205" s="237" t="s">
        <v>231</v>
      </c>
      <c r="IO205" s="237" t="s">
        <v>220</v>
      </c>
      <c r="IP205" s="237" t="s">
        <v>493</v>
      </c>
      <c r="IQ205" s="237" t="s">
        <v>219</v>
      </c>
      <c r="IR205" s="237" t="s">
        <v>490</v>
      </c>
      <c r="IS205" s="237" t="s">
        <v>492</v>
      </c>
      <c r="IT205" s="237" t="s">
        <v>492</v>
      </c>
    </row>
    <row r="206" spans="1:254" ht="15" x14ac:dyDescent="0.25">
      <c r="A206" s="259" t="str">
        <f>HYPERLINK("http://www.ofsted.gov.uk/inspection-reports/find-inspection-report/provider/ELS/138516 ","Ofsted School Webpage")</f>
        <v>Ofsted School Webpage</v>
      </c>
      <c r="B206" s="240">
        <v>138516</v>
      </c>
      <c r="C206" s="240">
        <v>2046006</v>
      </c>
      <c r="D206" s="240" t="s">
        <v>1006</v>
      </c>
      <c r="E206" s="240" t="s">
        <v>247</v>
      </c>
      <c r="F206" s="240" t="s">
        <v>482</v>
      </c>
      <c r="G206" s="240" t="s">
        <v>506</v>
      </c>
      <c r="H206" s="240" t="s">
        <v>506</v>
      </c>
      <c r="I206" s="240" t="s">
        <v>617</v>
      </c>
      <c r="J206" s="240" t="s">
        <v>705</v>
      </c>
      <c r="K206" s="240" t="s">
        <v>82</v>
      </c>
      <c r="L206" s="240" t="s">
        <v>81</v>
      </c>
      <c r="M206" s="240" t="s">
        <v>82</v>
      </c>
      <c r="N206" s="240" t="s">
        <v>81</v>
      </c>
      <c r="O206" s="240" t="s">
        <v>486</v>
      </c>
      <c r="P206" s="240" t="s">
        <v>487</v>
      </c>
      <c r="Q206" s="241">
        <v>10068030</v>
      </c>
      <c r="R206" s="242">
        <v>43501</v>
      </c>
      <c r="S206" s="242">
        <v>43503</v>
      </c>
      <c r="T206" s="242">
        <v>43542</v>
      </c>
      <c r="U206" s="240" t="s">
        <v>488</v>
      </c>
      <c r="V206" s="240" t="s">
        <v>489</v>
      </c>
      <c r="W206" s="240">
        <v>2</v>
      </c>
      <c r="X206" s="240">
        <v>2</v>
      </c>
      <c r="Y206" s="240">
        <v>2</v>
      </c>
      <c r="Z206" s="240">
        <v>2</v>
      </c>
      <c r="AA206" s="240">
        <v>2</v>
      </c>
      <c r="AB206" s="240">
        <v>2</v>
      </c>
      <c r="AC206" s="240" t="s">
        <v>486</v>
      </c>
      <c r="AD206" s="240" t="s">
        <v>219</v>
      </c>
      <c r="AE206" s="240" t="s">
        <v>512</v>
      </c>
      <c r="AF206" s="240" t="s">
        <v>486</v>
      </c>
      <c r="AG206" s="240" t="s">
        <v>486</v>
      </c>
      <c r="AH206" s="240" t="s">
        <v>490</v>
      </c>
      <c r="AI206" s="240" t="s">
        <v>490</v>
      </c>
      <c r="AJ206" s="240" t="s">
        <v>486</v>
      </c>
      <c r="AK206" s="240" t="s">
        <v>486</v>
      </c>
      <c r="AL206" s="240" t="s">
        <v>486</v>
      </c>
      <c r="AM206" s="240" t="s">
        <v>491</v>
      </c>
      <c r="AN206" s="240" t="s">
        <v>231</v>
      </c>
      <c r="AO206" s="240" t="s">
        <v>231</v>
      </c>
      <c r="AP206" s="240" t="s">
        <v>231</v>
      </c>
      <c r="AQ206" s="240" t="s">
        <v>231</v>
      </c>
      <c r="AR206" s="240" t="s">
        <v>231</v>
      </c>
      <c r="AS206" s="240" t="s">
        <v>231</v>
      </c>
      <c r="AT206" s="240" t="s">
        <v>231</v>
      </c>
      <c r="AU206" s="240" t="s">
        <v>231</v>
      </c>
      <c r="AV206" s="240" t="s">
        <v>231</v>
      </c>
      <c r="AW206" s="240" t="s">
        <v>231</v>
      </c>
      <c r="AX206" s="240" t="s">
        <v>231</v>
      </c>
      <c r="AY206" s="240" t="s">
        <v>231</v>
      </c>
      <c r="AZ206" s="240" t="s">
        <v>231</v>
      </c>
      <c r="BA206" s="240" t="s">
        <v>231</v>
      </c>
      <c r="BB206" s="240" t="s">
        <v>231</v>
      </c>
      <c r="BC206" s="240" t="s">
        <v>231</v>
      </c>
      <c r="BD206" s="240" t="s">
        <v>492</v>
      </c>
      <c r="BE206" s="240" t="s">
        <v>231</v>
      </c>
      <c r="BF206" s="240" t="s">
        <v>231</v>
      </c>
      <c r="BG206" s="240" t="s">
        <v>231</v>
      </c>
      <c r="BH206" s="240" t="s">
        <v>231</v>
      </c>
      <c r="BI206" s="240" t="s">
        <v>231</v>
      </c>
      <c r="BJ206" s="240" t="s">
        <v>231</v>
      </c>
      <c r="BK206" s="240" t="s">
        <v>231</v>
      </c>
      <c r="BL206" s="240" t="s">
        <v>231</v>
      </c>
      <c r="BM206" s="240" t="s">
        <v>231</v>
      </c>
      <c r="BN206" s="240" t="s">
        <v>231</v>
      </c>
      <c r="BO206" s="240" t="s">
        <v>231</v>
      </c>
      <c r="BP206" s="240" t="s">
        <v>231</v>
      </c>
      <c r="BQ206" s="240" t="s">
        <v>231</v>
      </c>
      <c r="BR206" s="240" t="s">
        <v>231</v>
      </c>
      <c r="BS206" s="240" t="s">
        <v>231</v>
      </c>
      <c r="BT206" s="240" t="s">
        <v>231</v>
      </c>
      <c r="BU206" s="240" t="s">
        <v>231</v>
      </c>
      <c r="BV206" s="240" t="s">
        <v>231</v>
      </c>
      <c r="BW206" s="240" t="s">
        <v>231</v>
      </c>
      <c r="BX206" s="240" t="s">
        <v>231</v>
      </c>
      <c r="BY206" s="240" t="s">
        <v>231</v>
      </c>
      <c r="BZ206" s="240" t="s">
        <v>231</v>
      </c>
      <c r="CA206" s="240" t="s">
        <v>231</v>
      </c>
      <c r="CB206" s="240" t="s">
        <v>231</v>
      </c>
      <c r="CC206" s="240" t="s">
        <v>231</v>
      </c>
      <c r="CD206" s="240" t="s">
        <v>231</v>
      </c>
      <c r="CE206" s="240" t="s">
        <v>231</v>
      </c>
      <c r="CF206" s="240" t="s">
        <v>231</v>
      </c>
      <c r="CG206" s="240" t="s">
        <v>231</v>
      </c>
      <c r="CH206" s="240" t="s">
        <v>231</v>
      </c>
      <c r="CI206" s="240" t="s">
        <v>231</v>
      </c>
      <c r="CJ206" s="240" t="s">
        <v>231</v>
      </c>
      <c r="CK206" s="240" t="s">
        <v>231</v>
      </c>
      <c r="CL206" s="240" t="s">
        <v>231</v>
      </c>
      <c r="CM206" s="240" t="s">
        <v>231</v>
      </c>
      <c r="CN206" s="240" t="s">
        <v>231</v>
      </c>
      <c r="CO206" s="240" t="s">
        <v>231</v>
      </c>
      <c r="CP206" s="240" t="s">
        <v>231</v>
      </c>
      <c r="CQ206" s="240" t="s">
        <v>231</v>
      </c>
      <c r="CR206" s="240" t="s">
        <v>231</v>
      </c>
      <c r="CS206" s="240" t="s">
        <v>231</v>
      </c>
      <c r="CT206" s="240" t="s">
        <v>492</v>
      </c>
      <c r="CU206" s="240" t="s">
        <v>492</v>
      </c>
      <c r="CV206" s="240" t="s">
        <v>492</v>
      </c>
      <c r="CW206" s="240" t="s">
        <v>231</v>
      </c>
      <c r="CX206" s="240" t="s">
        <v>231</v>
      </c>
      <c r="CY206" s="240" t="s">
        <v>231</v>
      </c>
      <c r="CZ206" s="240" t="s">
        <v>231</v>
      </c>
      <c r="DA206" s="240" t="s">
        <v>231</v>
      </c>
      <c r="DB206" s="240" t="s">
        <v>231</v>
      </c>
      <c r="DC206" s="240" t="s">
        <v>231</v>
      </c>
      <c r="DD206" s="240" t="s">
        <v>231</v>
      </c>
      <c r="DE206" s="240" t="s">
        <v>231</v>
      </c>
      <c r="DF206" s="240" t="s">
        <v>231</v>
      </c>
      <c r="DG206" s="240" t="s">
        <v>231</v>
      </c>
      <c r="DH206" s="240" t="s">
        <v>231</v>
      </c>
      <c r="DI206" s="240" t="s">
        <v>231</v>
      </c>
      <c r="DJ206" s="240" t="s">
        <v>231</v>
      </c>
      <c r="DK206" s="240" t="s">
        <v>231</v>
      </c>
      <c r="DL206" s="240" t="s">
        <v>231</v>
      </c>
      <c r="DM206" s="240" t="s">
        <v>231</v>
      </c>
      <c r="DN206" s="240" t="s">
        <v>231</v>
      </c>
      <c r="DO206" s="240" t="s">
        <v>231</v>
      </c>
      <c r="DP206" s="240" t="s">
        <v>231</v>
      </c>
      <c r="DQ206" s="240" t="s">
        <v>231</v>
      </c>
      <c r="DR206" s="240" t="s">
        <v>231</v>
      </c>
      <c r="DS206" s="240" t="s">
        <v>492</v>
      </c>
      <c r="DT206" s="240" t="s">
        <v>492</v>
      </c>
      <c r="DU206" s="240" t="s">
        <v>231</v>
      </c>
      <c r="DV206" s="240" t="s">
        <v>231</v>
      </c>
      <c r="DW206" s="240" t="s">
        <v>231</v>
      </c>
      <c r="DX206" s="240" t="s">
        <v>231</v>
      </c>
      <c r="DY206" s="240" t="s">
        <v>231</v>
      </c>
      <c r="DZ206" s="240" t="s">
        <v>231</v>
      </c>
      <c r="EA206" s="240" t="s">
        <v>231</v>
      </c>
      <c r="EB206" s="240" t="s">
        <v>231</v>
      </c>
      <c r="EC206" s="240" t="s">
        <v>231</v>
      </c>
      <c r="ED206" s="240" t="s">
        <v>231</v>
      </c>
      <c r="EE206" s="240" t="s">
        <v>231</v>
      </c>
      <c r="EF206" s="240" t="s">
        <v>231</v>
      </c>
      <c r="EG206" s="240" t="s">
        <v>231</v>
      </c>
      <c r="EH206" s="240" t="s">
        <v>492</v>
      </c>
      <c r="EI206" s="240" t="s">
        <v>231</v>
      </c>
      <c r="EJ206" s="240" t="s">
        <v>231</v>
      </c>
      <c r="EK206" s="240" t="s">
        <v>231</v>
      </c>
      <c r="EL206" s="240" t="s">
        <v>231</v>
      </c>
      <c r="EM206" s="240" t="s">
        <v>231</v>
      </c>
      <c r="EN206" s="240" t="s">
        <v>231</v>
      </c>
      <c r="EO206" s="240" t="s">
        <v>231</v>
      </c>
      <c r="EP206" s="240" t="s">
        <v>231</v>
      </c>
      <c r="EQ206" s="240" t="s">
        <v>231</v>
      </c>
      <c r="ER206" s="240" t="s">
        <v>231</v>
      </c>
      <c r="ES206" s="240" t="s">
        <v>231</v>
      </c>
      <c r="ET206" s="240" t="s">
        <v>231</v>
      </c>
      <c r="EU206" s="240" t="s">
        <v>231</v>
      </c>
      <c r="EV206" s="240" t="s">
        <v>231</v>
      </c>
      <c r="EW206" s="240" t="s">
        <v>231</v>
      </c>
      <c r="EX206" s="240" t="s">
        <v>231</v>
      </c>
      <c r="EY206" s="240" t="s">
        <v>231</v>
      </c>
      <c r="EZ206" s="240" t="s">
        <v>231</v>
      </c>
      <c r="FA206" s="240" t="s">
        <v>231</v>
      </c>
      <c r="FB206" s="240" t="s">
        <v>231</v>
      </c>
      <c r="FC206" s="240" t="s">
        <v>231</v>
      </c>
      <c r="FD206" s="240" t="s">
        <v>231</v>
      </c>
      <c r="FE206" s="240" t="s">
        <v>231</v>
      </c>
      <c r="FF206" s="240" t="s">
        <v>492</v>
      </c>
      <c r="FG206" s="240" t="s">
        <v>231</v>
      </c>
      <c r="FH206" s="240" t="s">
        <v>231</v>
      </c>
      <c r="FI206" s="240" t="s">
        <v>231</v>
      </c>
      <c r="FJ206" s="240" t="s">
        <v>231</v>
      </c>
      <c r="FK206" s="240" t="s">
        <v>231</v>
      </c>
      <c r="FL206" s="240" t="s">
        <v>231</v>
      </c>
      <c r="FM206" s="240" t="s">
        <v>231</v>
      </c>
      <c r="FN206" s="240" t="s">
        <v>492</v>
      </c>
      <c r="FO206" s="240" t="s">
        <v>493</v>
      </c>
      <c r="FP206" s="240" t="s">
        <v>492</v>
      </c>
      <c r="FQ206" s="240" t="s">
        <v>231</v>
      </c>
      <c r="FR206" s="240" t="s">
        <v>231</v>
      </c>
      <c r="FS206" s="240" t="s">
        <v>492</v>
      </c>
      <c r="FT206" s="240" t="s">
        <v>231</v>
      </c>
      <c r="FU206" s="240" t="s">
        <v>231</v>
      </c>
      <c r="FV206" s="240" t="s">
        <v>231</v>
      </c>
      <c r="FW206" s="240" t="s">
        <v>231</v>
      </c>
      <c r="FX206" s="240" t="s">
        <v>492</v>
      </c>
      <c r="FY206" s="240" t="s">
        <v>231</v>
      </c>
      <c r="FZ206" s="240" t="s">
        <v>231</v>
      </c>
      <c r="GA206" s="240" t="s">
        <v>231</v>
      </c>
      <c r="GB206" s="240" t="s">
        <v>231</v>
      </c>
      <c r="GC206" s="240" t="s">
        <v>231</v>
      </c>
      <c r="GD206" s="240" t="s">
        <v>231</v>
      </c>
      <c r="GE206" s="240" t="s">
        <v>231</v>
      </c>
      <c r="GF206" s="240" t="s">
        <v>231</v>
      </c>
      <c r="GG206" s="240" t="s">
        <v>231</v>
      </c>
      <c r="GH206" s="240" t="s">
        <v>231</v>
      </c>
      <c r="GI206" s="240" t="s">
        <v>231</v>
      </c>
      <c r="GJ206" s="240" t="s">
        <v>231</v>
      </c>
      <c r="GK206" s="240" t="s">
        <v>231</v>
      </c>
      <c r="GL206" s="240" t="s">
        <v>231</v>
      </c>
      <c r="GM206" s="240" t="s">
        <v>231</v>
      </c>
      <c r="GN206" s="240" t="s">
        <v>231</v>
      </c>
      <c r="GO206" s="240" t="s">
        <v>231</v>
      </c>
      <c r="GP206" s="240" t="s">
        <v>492</v>
      </c>
      <c r="GQ206" s="240" t="s">
        <v>231</v>
      </c>
      <c r="GR206" s="240" t="s">
        <v>231</v>
      </c>
      <c r="GS206" s="240" t="s">
        <v>231</v>
      </c>
      <c r="GT206" s="240" t="s">
        <v>231</v>
      </c>
      <c r="GU206" s="240" t="s">
        <v>231</v>
      </c>
      <c r="GV206" s="240" t="s">
        <v>492</v>
      </c>
      <c r="GW206" s="240" t="s">
        <v>231</v>
      </c>
      <c r="GX206" s="240" t="s">
        <v>231</v>
      </c>
      <c r="GY206" s="240" t="s">
        <v>492</v>
      </c>
      <c r="GZ206" s="240" t="s">
        <v>492</v>
      </c>
      <c r="HA206" s="240" t="s">
        <v>231</v>
      </c>
      <c r="HB206" s="240" t="s">
        <v>231</v>
      </c>
      <c r="HC206" s="240" t="s">
        <v>231</v>
      </c>
      <c r="HD206" s="240" t="s">
        <v>231</v>
      </c>
      <c r="HE206" s="240" t="s">
        <v>492</v>
      </c>
      <c r="HF206" s="240" t="s">
        <v>231</v>
      </c>
      <c r="HG206" s="240" t="s">
        <v>231</v>
      </c>
      <c r="HH206" s="240" t="s">
        <v>231</v>
      </c>
      <c r="HI206" s="240" t="s">
        <v>231</v>
      </c>
      <c r="HJ206" s="240" t="s">
        <v>231</v>
      </c>
      <c r="HK206" s="240" t="s">
        <v>231</v>
      </c>
      <c r="HL206" s="240" t="s">
        <v>231</v>
      </c>
      <c r="HM206" s="240" t="s">
        <v>231</v>
      </c>
      <c r="HN206" s="240" t="s">
        <v>231</v>
      </c>
      <c r="HO206" s="240" t="s">
        <v>231</v>
      </c>
      <c r="HP206" s="240" t="s">
        <v>231</v>
      </c>
      <c r="HQ206" s="240" t="s">
        <v>492</v>
      </c>
      <c r="HR206" s="240" t="s">
        <v>492</v>
      </c>
      <c r="HS206" s="240" t="s">
        <v>492</v>
      </c>
      <c r="HT206" s="240" t="s">
        <v>492</v>
      </c>
      <c r="HU206" s="240" t="s">
        <v>231</v>
      </c>
      <c r="HV206" s="240" t="s">
        <v>231</v>
      </c>
      <c r="HW206" s="240" t="s">
        <v>231</v>
      </c>
      <c r="HX206" s="240" t="s">
        <v>231</v>
      </c>
      <c r="HY206" s="240" t="s">
        <v>231</v>
      </c>
      <c r="HZ206" s="240" t="s">
        <v>231</v>
      </c>
      <c r="IA206" s="240" t="s">
        <v>231</v>
      </c>
      <c r="IB206" s="240" t="s">
        <v>231</v>
      </c>
      <c r="IC206" s="240" t="s">
        <v>231</v>
      </c>
      <c r="ID206" s="240" t="s">
        <v>231</v>
      </c>
      <c r="IE206" s="240" t="s">
        <v>231</v>
      </c>
      <c r="IF206" s="240" t="s">
        <v>231</v>
      </c>
      <c r="IG206" s="240" t="s">
        <v>231</v>
      </c>
      <c r="IH206" s="240" t="s">
        <v>231</v>
      </c>
      <c r="II206" s="240" t="s">
        <v>231</v>
      </c>
      <c r="IJ206" s="240" t="s">
        <v>231</v>
      </c>
      <c r="IK206" s="240" t="s">
        <v>231</v>
      </c>
      <c r="IL206" s="240" t="s">
        <v>231</v>
      </c>
      <c r="IM206" s="240" t="s">
        <v>231</v>
      </c>
      <c r="IN206" s="240" t="s">
        <v>231</v>
      </c>
      <c r="IO206" s="240" t="s">
        <v>220</v>
      </c>
      <c r="IP206" s="240" t="s">
        <v>493</v>
      </c>
      <c r="IQ206" s="240" t="s">
        <v>219</v>
      </c>
      <c r="IR206" s="240" t="s">
        <v>490</v>
      </c>
      <c r="IS206" s="240" t="s">
        <v>231</v>
      </c>
      <c r="IT206" s="240" t="s">
        <v>231</v>
      </c>
    </row>
    <row r="207" spans="1:254" ht="15" x14ac:dyDescent="0.25">
      <c r="A207" s="258" t="str">
        <f>HYPERLINK("http://www.ofsted.gov.uk/inspection-reports/find-inspection-report/provider/ELS/135975 ","Ofsted School Webpage")</f>
        <v>Ofsted School Webpage</v>
      </c>
      <c r="B207" s="237">
        <v>135975</v>
      </c>
      <c r="C207" s="237">
        <v>3576003</v>
      </c>
      <c r="D207" s="237" t="s">
        <v>1007</v>
      </c>
      <c r="E207" s="237" t="s">
        <v>247</v>
      </c>
      <c r="F207" s="237" t="s">
        <v>482</v>
      </c>
      <c r="G207" s="237" t="s">
        <v>495</v>
      </c>
      <c r="H207" s="237" t="s">
        <v>495</v>
      </c>
      <c r="I207" s="237" t="s">
        <v>834</v>
      </c>
      <c r="J207" s="237" t="s">
        <v>1008</v>
      </c>
      <c r="K207" s="237" t="s">
        <v>93</v>
      </c>
      <c r="L207" s="237" t="s">
        <v>93</v>
      </c>
      <c r="M207" s="237" t="s">
        <v>93</v>
      </c>
      <c r="N207" s="237" t="s">
        <v>90</v>
      </c>
      <c r="O207" s="237" t="s">
        <v>486</v>
      </c>
      <c r="P207" s="237" t="s">
        <v>487</v>
      </c>
      <c r="Q207" s="238">
        <v>10067904</v>
      </c>
      <c r="R207" s="239">
        <v>43501</v>
      </c>
      <c r="S207" s="239">
        <v>43503</v>
      </c>
      <c r="T207" s="239">
        <v>43528</v>
      </c>
      <c r="U207" s="237" t="s">
        <v>488</v>
      </c>
      <c r="V207" s="237" t="s">
        <v>489</v>
      </c>
      <c r="W207" s="237">
        <v>2</v>
      </c>
      <c r="X207" s="237">
        <v>2</v>
      </c>
      <c r="Y207" s="237">
        <v>1</v>
      </c>
      <c r="Z207" s="237">
        <v>2</v>
      </c>
      <c r="AA207" s="237">
        <v>2</v>
      </c>
      <c r="AB207" s="237" t="s">
        <v>486</v>
      </c>
      <c r="AC207" s="237" t="s">
        <v>486</v>
      </c>
      <c r="AD207" s="237" t="s">
        <v>219</v>
      </c>
      <c r="AE207" s="237" t="s">
        <v>490</v>
      </c>
      <c r="AF207" s="237" t="s">
        <v>486</v>
      </c>
      <c r="AG207" s="237" t="s">
        <v>486</v>
      </c>
      <c r="AH207" s="237" t="s">
        <v>486</v>
      </c>
      <c r="AI207" s="237" t="s">
        <v>486</v>
      </c>
      <c r="AJ207" s="237" t="s">
        <v>486</v>
      </c>
      <c r="AK207" s="237" t="s">
        <v>486</v>
      </c>
      <c r="AL207" s="237" t="s">
        <v>486</v>
      </c>
      <c r="AM207" s="237" t="s">
        <v>491</v>
      </c>
      <c r="AN207" s="237" t="s">
        <v>231</v>
      </c>
      <c r="AO207" s="237" t="s">
        <v>231</v>
      </c>
      <c r="AP207" s="237" t="s">
        <v>231</v>
      </c>
      <c r="AQ207" s="237" t="s">
        <v>231</v>
      </c>
      <c r="AR207" s="237" t="s">
        <v>231</v>
      </c>
      <c r="AS207" s="237" t="s">
        <v>231</v>
      </c>
      <c r="AT207" s="237" t="s">
        <v>231</v>
      </c>
      <c r="AU207" s="237" t="s">
        <v>231</v>
      </c>
      <c r="AV207" s="237" t="s">
        <v>231</v>
      </c>
      <c r="AW207" s="237" t="s">
        <v>231</v>
      </c>
      <c r="AX207" s="237" t="s">
        <v>231</v>
      </c>
      <c r="AY207" s="237" t="s">
        <v>231</v>
      </c>
      <c r="AZ207" s="237" t="s">
        <v>231</v>
      </c>
      <c r="BA207" s="237" t="s">
        <v>231</v>
      </c>
      <c r="BB207" s="237" t="s">
        <v>231</v>
      </c>
      <c r="BC207" s="237" t="s">
        <v>231</v>
      </c>
      <c r="BD207" s="237" t="s">
        <v>231</v>
      </c>
      <c r="BE207" s="237" t="s">
        <v>231</v>
      </c>
      <c r="BF207" s="237" t="s">
        <v>231</v>
      </c>
      <c r="BG207" s="237" t="s">
        <v>231</v>
      </c>
      <c r="BH207" s="237" t="s">
        <v>231</v>
      </c>
      <c r="BI207" s="237" t="s">
        <v>231</v>
      </c>
      <c r="BJ207" s="237" t="s">
        <v>231</v>
      </c>
      <c r="BK207" s="237" t="s">
        <v>231</v>
      </c>
      <c r="BL207" s="237" t="s">
        <v>492</v>
      </c>
      <c r="BM207" s="237" t="s">
        <v>231</v>
      </c>
      <c r="BN207" s="237" t="s">
        <v>231</v>
      </c>
      <c r="BO207" s="237" t="s">
        <v>231</v>
      </c>
      <c r="BP207" s="237" t="s">
        <v>231</v>
      </c>
      <c r="BQ207" s="237" t="s">
        <v>231</v>
      </c>
      <c r="BR207" s="237" t="s">
        <v>231</v>
      </c>
      <c r="BS207" s="237" t="s">
        <v>231</v>
      </c>
      <c r="BT207" s="237" t="s">
        <v>231</v>
      </c>
      <c r="BU207" s="237" t="s">
        <v>231</v>
      </c>
      <c r="BV207" s="237" t="s">
        <v>231</v>
      </c>
      <c r="BW207" s="237" t="s">
        <v>231</v>
      </c>
      <c r="BX207" s="237" t="s">
        <v>231</v>
      </c>
      <c r="BY207" s="237" t="s">
        <v>231</v>
      </c>
      <c r="BZ207" s="237" t="s">
        <v>231</v>
      </c>
      <c r="CA207" s="237" t="s">
        <v>231</v>
      </c>
      <c r="CB207" s="237" t="s">
        <v>231</v>
      </c>
      <c r="CC207" s="237" t="s">
        <v>231</v>
      </c>
      <c r="CD207" s="237" t="s">
        <v>231</v>
      </c>
      <c r="CE207" s="237" t="s">
        <v>231</v>
      </c>
      <c r="CF207" s="237" t="s">
        <v>231</v>
      </c>
      <c r="CG207" s="237" t="s">
        <v>231</v>
      </c>
      <c r="CH207" s="237" t="s">
        <v>231</v>
      </c>
      <c r="CI207" s="237" t="s">
        <v>231</v>
      </c>
      <c r="CJ207" s="237" t="s">
        <v>231</v>
      </c>
      <c r="CK207" s="237" t="s">
        <v>231</v>
      </c>
      <c r="CL207" s="237" t="s">
        <v>231</v>
      </c>
      <c r="CM207" s="237" t="s">
        <v>231</v>
      </c>
      <c r="CN207" s="237" t="s">
        <v>231</v>
      </c>
      <c r="CO207" s="237" t="s">
        <v>231</v>
      </c>
      <c r="CP207" s="237" t="s">
        <v>231</v>
      </c>
      <c r="CQ207" s="237" t="s">
        <v>231</v>
      </c>
      <c r="CR207" s="237" t="s">
        <v>231</v>
      </c>
      <c r="CS207" s="237" t="s">
        <v>231</v>
      </c>
      <c r="CT207" s="237" t="s">
        <v>492</v>
      </c>
      <c r="CU207" s="237" t="s">
        <v>492</v>
      </c>
      <c r="CV207" s="237" t="s">
        <v>492</v>
      </c>
      <c r="CW207" s="237" t="s">
        <v>231</v>
      </c>
      <c r="CX207" s="237" t="s">
        <v>231</v>
      </c>
      <c r="CY207" s="237" t="s">
        <v>231</v>
      </c>
      <c r="CZ207" s="237" t="s">
        <v>231</v>
      </c>
      <c r="DA207" s="237" t="s">
        <v>231</v>
      </c>
      <c r="DB207" s="237" t="s">
        <v>231</v>
      </c>
      <c r="DC207" s="237" t="s">
        <v>231</v>
      </c>
      <c r="DD207" s="237" t="s">
        <v>231</v>
      </c>
      <c r="DE207" s="237" t="s">
        <v>231</v>
      </c>
      <c r="DF207" s="237" t="s">
        <v>231</v>
      </c>
      <c r="DG207" s="237" t="s">
        <v>231</v>
      </c>
      <c r="DH207" s="237" t="s">
        <v>231</v>
      </c>
      <c r="DI207" s="237" t="s">
        <v>231</v>
      </c>
      <c r="DJ207" s="237" t="s">
        <v>231</v>
      </c>
      <c r="DK207" s="237" t="s">
        <v>231</v>
      </c>
      <c r="DL207" s="237" t="s">
        <v>231</v>
      </c>
      <c r="DM207" s="237" t="s">
        <v>231</v>
      </c>
      <c r="DN207" s="237" t="s">
        <v>231</v>
      </c>
      <c r="DO207" s="237" t="s">
        <v>231</v>
      </c>
      <c r="DP207" s="237" t="s">
        <v>231</v>
      </c>
      <c r="DQ207" s="237" t="s">
        <v>231</v>
      </c>
      <c r="DR207" s="237" t="s">
        <v>231</v>
      </c>
      <c r="DS207" s="237" t="s">
        <v>231</v>
      </c>
      <c r="DT207" s="237" t="s">
        <v>492</v>
      </c>
      <c r="DU207" s="237" t="s">
        <v>231</v>
      </c>
      <c r="DV207" s="237" t="s">
        <v>231</v>
      </c>
      <c r="DW207" s="237" t="s">
        <v>231</v>
      </c>
      <c r="DX207" s="237" t="s">
        <v>231</v>
      </c>
      <c r="DY207" s="237" t="s">
        <v>231</v>
      </c>
      <c r="DZ207" s="237" t="s">
        <v>231</v>
      </c>
      <c r="EA207" s="237" t="s">
        <v>231</v>
      </c>
      <c r="EB207" s="237" t="s">
        <v>231</v>
      </c>
      <c r="EC207" s="237" t="s">
        <v>231</v>
      </c>
      <c r="ED207" s="237" t="s">
        <v>231</v>
      </c>
      <c r="EE207" s="237" t="s">
        <v>231</v>
      </c>
      <c r="EF207" s="237" t="s">
        <v>231</v>
      </c>
      <c r="EG207" s="237" t="s">
        <v>231</v>
      </c>
      <c r="EH207" s="237" t="s">
        <v>492</v>
      </c>
      <c r="EI207" s="237" t="s">
        <v>231</v>
      </c>
      <c r="EJ207" s="237" t="s">
        <v>231</v>
      </c>
      <c r="EK207" s="237" t="s">
        <v>231</v>
      </c>
      <c r="EL207" s="237" t="s">
        <v>231</v>
      </c>
      <c r="EM207" s="237" t="s">
        <v>231</v>
      </c>
      <c r="EN207" s="237" t="s">
        <v>231</v>
      </c>
      <c r="EO207" s="237" t="s">
        <v>231</v>
      </c>
      <c r="EP207" s="237" t="s">
        <v>231</v>
      </c>
      <c r="EQ207" s="237" t="s">
        <v>231</v>
      </c>
      <c r="ER207" s="237" t="s">
        <v>231</v>
      </c>
      <c r="ES207" s="237" t="s">
        <v>231</v>
      </c>
      <c r="ET207" s="237" t="s">
        <v>231</v>
      </c>
      <c r="EU207" s="237" t="s">
        <v>231</v>
      </c>
      <c r="EV207" s="237" t="s">
        <v>231</v>
      </c>
      <c r="EW207" s="237" t="s">
        <v>231</v>
      </c>
      <c r="EX207" s="237" t="s">
        <v>231</v>
      </c>
      <c r="EY207" s="237" t="s">
        <v>231</v>
      </c>
      <c r="EZ207" s="237" t="s">
        <v>231</v>
      </c>
      <c r="FA207" s="237" t="s">
        <v>231</v>
      </c>
      <c r="FB207" s="237" t="s">
        <v>231</v>
      </c>
      <c r="FC207" s="237" t="s">
        <v>231</v>
      </c>
      <c r="FD207" s="237" t="s">
        <v>231</v>
      </c>
      <c r="FE207" s="237" t="s">
        <v>231</v>
      </c>
      <c r="FF207" s="237" t="s">
        <v>231</v>
      </c>
      <c r="FG207" s="237" t="s">
        <v>231</v>
      </c>
      <c r="FH207" s="237" t="s">
        <v>231</v>
      </c>
      <c r="FI207" s="237" t="s">
        <v>231</v>
      </c>
      <c r="FJ207" s="237" t="s">
        <v>231</v>
      </c>
      <c r="FK207" s="237" t="s">
        <v>231</v>
      </c>
      <c r="FL207" s="237" t="s">
        <v>231</v>
      </c>
      <c r="FM207" s="237" t="s">
        <v>231</v>
      </c>
      <c r="FN207" s="237" t="s">
        <v>231</v>
      </c>
      <c r="FO207" s="237" t="s">
        <v>231</v>
      </c>
      <c r="FP207" s="237" t="s">
        <v>231</v>
      </c>
      <c r="FQ207" s="237" t="s">
        <v>231</v>
      </c>
      <c r="FR207" s="237" t="s">
        <v>231</v>
      </c>
      <c r="FS207" s="237" t="s">
        <v>231</v>
      </c>
      <c r="FT207" s="237" t="s">
        <v>231</v>
      </c>
      <c r="FU207" s="237" t="s">
        <v>231</v>
      </c>
      <c r="FV207" s="237" t="s">
        <v>231</v>
      </c>
      <c r="FW207" s="237" t="s">
        <v>231</v>
      </c>
      <c r="FX207" s="237" t="s">
        <v>492</v>
      </c>
      <c r="FY207" s="237" t="s">
        <v>231</v>
      </c>
      <c r="FZ207" s="237" t="s">
        <v>231</v>
      </c>
      <c r="GA207" s="237" t="s">
        <v>231</v>
      </c>
      <c r="GB207" s="237" t="s">
        <v>231</v>
      </c>
      <c r="GC207" s="237" t="s">
        <v>231</v>
      </c>
      <c r="GD207" s="237" t="s">
        <v>231</v>
      </c>
      <c r="GE207" s="237" t="s">
        <v>231</v>
      </c>
      <c r="GF207" s="237" t="s">
        <v>231</v>
      </c>
      <c r="GG207" s="237" t="s">
        <v>231</v>
      </c>
      <c r="GH207" s="237" t="s">
        <v>231</v>
      </c>
      <c r="GI207" s="237" t="s">
        <v>231</v>
      </c>
      <c r="GJ207" s="237" t="s">
        <v>231</v>
      </c>
      <c r="GK207" s="237" t="s">
        <v>231</v>
      </c>
      <c r="GL207" s="237" t="s">
        <v>231</v>
      </c>
      <c r="GM207" s="237" t="s">
        <v>231</v>
      </c>
      <c r="GN207" s="237" t="s">
        <v>231</v>
      </c>
      <c r="GO207" s="237" t="s">
        <v>231</v>
      </c>
      <c r="GP207" s="237" t="s">
        <v>492</v>
      </c>
      <c r="GQ207" s="237" t="s">
        <v>231</v>
      </c>
      <c r="GR207" s="237" t="s">
        <v>231</v>
      </c>
      <c r="GS207" s="237" t="s">
        <v>231</v>
      </c>
      <c r="GT207" s="237" t="s">
        <v>231</v>
      </c>
      <c r="GU207" s="237" t="s">
        <v>231</v>
      </c>
      <c r="GV207" s="237" t="s">
        <v>231</v>
      </c>
      <c r="GW207" s="237" t="s">
        <v>231</v>
      </c>
      <c r="GX207" s="237" t="s">
        <v>231</v>
      </c>
      <c r="GY207" s="237" t="s">
        <v>231</v>
      </c>
      <c r="GZ207" s="237" t="s">
        <v>231</v>
      </c>
      <c r="HA207" s="237" t="s">
        <v>231</v>
      </c>
      <c r="HB207" s="237" t="s">
        <v>231</v>
      </c>
      <c r="HC207" s="237" t="s">
        <v>231</v>
      </c>
      <c r="HD207" s="237" t="s">
        <v>231</v>
      </c>
      <c r="HE207" s="237" t="s">
        <v>231</v>
      </c>
      <c r="HF207" s="237" t="s">
        <v>492</v>
      </c>
      <c r="HG207" s="237" t="s">
        <v>492</v>
      </c>
      <c r="HH207" s="237" t="s">
        <v>231</v>
      </c>
      <c r="HI207" s="237" t="s">
        <v>231</v>
      </c>
      <c r="HJ207" s="237" t="s">
        <v>231</v>
      </c>
      <c r="HK207" s="237" t="s">
        <v>231</v>
      </c>
      <c r="HL207" s="237" t="s">
        <v>231</v>
      </c>
      <c r="HM207" s="237" t="s">
        <v>231</v>
      </c>
      <c r="HN207" s="237" t="s">
        <v>492</v>
      </c>
      <c r="HO207" s="237" t="s">
        <v>231</v>
      </c>
      <c r="HP207" s="237" t="s">
        <v>231</v>
      </c>
      <c r="HQ207" s="237" t="s">
        <v>492</v>
      </c>
      <c r="HR207" s="237" t="s">
        <v>492</v>
      </c>
      <c r="HS207" s="237" t="s">
        <v>492</v>
      </c>
      <c r="HT207" s="237" t="s">
        <v>492</v>
      </c>
      <c r="HU207" s="237" t="s">
        <v>231</v>
      </c>
      <c r="HV207" s="237" t="s">
        <v>231</v>
      </c>
      <c r="HW207" s="237" t="s">
        <v>231</v>
      </c>
      <c r="HX207" s="237" t="s">
        <v>231</v>
      </c>
      <c r="HY207" s="237" t="s">
        <v>231</v>
      </c>
      <c r="HZ207" s="237" t="s">
        <v>231</v>
      </c>
      <c r="IA207" s="237" t="s">
        <v>231</v>
      </c>
      <c r="IB207" s="237" t="s">
        <v>231</v>
      </c>
      <c r="IC207" s="237" t="s">
        <v>231</v>
      </c>
      <c r="ID207" s="237" t="s">
        <v>231</v>
      </c>
      <c r="IE207" s="237" t="s">
        <v>231</v>
      </c>
      <c r="IF207" s="237" t="s">
        <v>231</v>
      </c>
      <c r="IG207" s="237" t="s">
        <v>231</v>
      </c>
      <c r="IH207" s="237" t="s">
        <v>231</v>
      </c>
      <c r="II207" s="237" t="s">
        <v>231</v>
      </c>
      <c r="IJ207" s="237" t="s">
        <v>231</v>
      </c>
      <c r="IK207" s="237" t="s">
        <v>231</v>
      </c>
      <c r="IL207" s="237" t="s">
        <v>231</v>
      </c>
      <c r="IM207" s="237" t="s">
        <v>231</v>
      </c>
      <c r="IN207" s="237" t="s">
        <v>231</v>
      </c>
      <c r="IO207" s="237" t="s">
        <v>220</v>
      </c>
      <c r="IP207" s="237" t="s">
        <v>493</v>
      </c>
      <c r="IQ207" s="237" t="s">
        <v>219</v>
      </c>
      <c r="IR207" s="237" t="s">
        <v>490</v>
      </c>
      <c r="IS207" s="237" t="s">
        <v>492</v>
      </c>
      <c r="IT207" s="237" t="s">
        <v>492</v>
      </c>
    </row>
    <row r="208" spans="1:254" ht="15" x14ac:dyDescent="0.25">
      <c r="A208" s="259" t="str">
        <f>HYPERLINK("http://www.ofsted.gov.uk/inspection-reports/find-inspection-report/provider/ELS/145417 ","Ofsted School Webpage")</f>
        <v>Ofsted School Webpage</v>
      </c>
      <c r="B208" s="240">
        <v>145417</v>
      </c>
      <c r="C208" s="240">
        <v>3306036</v>
      </c>
      <c r="D208" s="240" t="s">
        <v>1009</v>
      </c>
      <c r="E208" s="240" t="s">
        <v>247</v>
      </c>
      <c r="F208" s="240" t="s">
        <v>482</v>
      </c>
      <c r="G208" s="240" t="s">
        <v>502</v>
      </c>
      <c r="H208" s="240" t="s">
        <v>502</v>
      </c>
      <c r="I208" s="240" t="s">
        <v>909</v>
      </c>
      <c r="J208" s="240" t="s">
        <v>1010</v>
      </c>
      <c r="K208" s="240" t="s">
        <v>93</v>
      </c>
      <c r="L208" s="240" t="s">
        <v>93</v>
      </c>
      <c r="M208" s="240" t="s">
        <v>93</v>
      </c>
      <c r="N208" s="240" t="s">
        <v>90</v>
      </c>
      <c r="O208" s="240" t="s">
        <v>486</v>
      </c>
      <c r="P208" s="240" t="s">
        <v>487</v>
      </c>
      <c r="Q208" s="241">
        <v>10082350</v>
      </c>
      <c r="R208" s="242">
        <v>43501</v>
      </c>
      <c r="S208" s="242">
        <v>43503</v>
      </c>
      <c r="T208" s="242">
        <v>43535</v>
      </c>
      <c r="U208" s="240" t="s">
        <v>499</v>
      </c>
      <c r="V208" s="240" t="s">
        <v>489</v>
      </c>
      <c r="W208" s="240">
        <v>2</v>
      </c>
      <c r="X208" s="240">
        <v>2</v>
      </c>
      <c r="Y208" s="240">
        <v>2</v>
      </c>
      <c r="Z208" s="240">
        <v>2</v>
      </c>
      <c r="AA208" s="240">
        <v>2</v>
      </c>
      <c r="AB208" s="240" t="s">
        <v>486</v>
      </c>
      <c r="AC208" s="240" t="s">
        <v>486</v>
      </c>
      <c r="AD208" s="240" t="s">
        <v>219</v>
      </c>
      <c r="AE208" s="240" t="s">
        <v>490</v>
      </c>
      <c r="AF208" s="240" t="s">
        <v>486</v>
      </c>
      <c r="AG208" s="240" t="s">
        <v>486</v>
      </c>
      <c r="AH208" s="240" t="s">
        <v>486</v>
      </c>
      <c r="AI208" s="240" t="s">
        <v>486</v>
      </c>
      <c r="AJ208" s="240" t="s">
        <v>486</v>
      </c>
      <c r="AK208" s="240" t="s">
        <v>486</v>
      </c>
      <c r="AL208" s="240" t="s">
        <v>486</v>
      </c>
      <c r="AM208" s="240" t="s">
        <v>491</v>
      </c>
      <c r="AN208" s="240" t="s">
        <v>231</v>
      </c>
      <c r="AO208" s="240" t="s">
        <v>231</v>
      </c>
      <c r="AP208" s="240" t="s">
        <v>231</v>
      </c>
      <c r="AQ208" s="240" t="s">
        <v>231</v>
      </c>
      <c r="AR208" s="240" t="s">
        <v>231</v>
      </c>
      <c r="AS208" s="240" t="s">
        <v>231</v>
      </c>
      <c r="AT208" s="240" t="s">
        <v>231</v>
      </c>
      <c r="AU208" s="240" t="s">
        <v>231</v>
      </c>
      <c r="AV208" s="240" t="s">
        <v>231</v>
      </c>
      <c r="AW208" s="240" t="s">
        <v>231</v>
      </c>
      <c r="AX208" s="240" t="s">
        <v>231</v>
      </c>
      <c r="AY208" s="240" t="s">
        <v>231</v>
      </c>
      <c r="AZ208" s="240" t="s">
        <v>231</v>
      </c>
      <c r="BA208" s="240" t="s">
        <v>231</v>
      </c>
      <c r="BB208" s="240" t="s">
        <v>231</v>
      </c>
      <c r="BC208" s="240" t="s">
        <v>231</v>
      </c>
      <c r="BD208" s="240" t="s">
        <v>492</v>
      </c>
      <c r="BE208" s="240" t="s">
        <v>231</v>
      </c>
      <c r="BF208" s="240" t="s">
        <v>231</v>
      </c>
      <c r="BG208" s="240" t="s">
        <v>231</v>
      </c>
      <c r="BH208" s="240" t="s">
        <v>231</v>
      </c>
      <c r="BI208" s="240" t="s">
        <v>231</v>
      </c>
      <c r="BJ208" s="240" t="s">
        <v>231</v>
      </c>
      <c r="BK208" s="240" t="s">
        <v>231</v>
      </c>
      <c r="BL208" s="240" t="s">
        <v>492</v>
      </c>
      <c r="BM208" s="240" t="s">
        <v>492</v>
      </c>
      <c r="BN208" s="240" t="s">
        <v>231</v>
      </c>
      <c r="BO208" s="240" t="s">
        <v>231</v>
      </c>
      <c r="BP208" s="240" t="s">
        <v>231</v>
      </c>
      <c r="BQ208" s="240" t="s">
        <v>231</v>
      </c>
      <c r="BR208" s="240" t="s">
        <v>231</v>
      </c>
      <c r="BS208" s="240" t="s">
        <v>231</v>
      </c>
      <c r="BT208" s="240" t="s">
        <v>231</v>
      </c>
      <c r="BU208" s="240" t="s">
        <v>231</v>
      </c>
      <c r="BV208" s="240" t="s">
        <v>231</v>
      </c>
      <c r="BW208" s="240" t="s">
        <v>231</v>
      </c>
      <c r="BX208" s="240" t="s">
        <v>231</v>
      </c>
      <c r="BY208" s="240" t="s">
        <v>231</v>
      </c>
      <c r="BZ208" s="240" t="s">
        <v>231</v>
      </c>
      <c r="CA208" s="240" t="s">
        <v>231</v>
      </c>
      <c r="CB208" s="240" t="s">
        <v>231</v>
      </c>
      <c r="CC208" s="240" t="s">
        <v>231</v>
      </c>
      <c r="CD208" s="240" t="s">
        <v>231</v>
      </c>
      <c r="CE208" s="240" t="s">
        <v>231</v>
      </c>
      <c r="CF208" s="240" t="s">
        <v>231</v>
      </c>
      <c r="CG208" s="240" t="s">
        <v>231</v>
      </c>
      <c r="CH208" s="240" t="s">
        <v>231</v>
      </c>
      <c r="CI208" s="240" t="s">
        <v>231</v>
      </c>
      <c r="CJ208" s="240" t="s">
        <v>231</v>
      </c>
      <c r="CK208" s="240" t="s">
        <v>231</v>
      </c>
      <c r="CL208" s="240" t="s">
        <v>231</v>
      </c>
      <c r="CM208" s="240" t="s">
        <v>231</v>
      </c>
      <c r="CN208" s="240" t="s">
        <v>231</v>
      </c>
      <c r="CO208" s="240" t="s">
        <v>231</v>
      </c>
      <c r="CP208" s="240" t="s">
        <v>231</v>
      </c>
      <c r="CQ208" s="240" t="s">
        <v>231</v>
      </c>
      <c r="CR208" s="240" t="s">
        <v>231</v>
      </c>
      <c r="CS208" s="240" t="s">
        <v>231</v>
      </c>
      <c r="CT208" s="240" t="s">
        <v>492</v>
      </c>
      <c r="CU208" s="240" t="s">
        <v>492</v>
      </c>
      <c r="CV208" s="240" t="s">
        <v>492</v>
      </c>
      <c r="CW208" s="240" t="s">
        <v>231</v>
      </c>
      <c r="CX208" s="240" t="s">
        <v>231</v>
      </c>
      <c r="CY208" s="240" t="s">
        <v>231</v>
      </c>
      <c r="CZ208" s="240" t="s">
        <v>231</v>
      </c>
      <c r="DA208" s="240" t="s">
        <v>231</v>
      </c>
      <c r="DB208" s="240" t="s">
        <v>231</v>
      </c>
      <c r="DC208" s="240" t="s">
        <v>231</v>
      </c>
      <c r="DD208" s="240" t="s">
        <v>231</v>
      </c>
      <c r="DE208" s="240" t="s">
        <v>231</v>
      </c>
      <c r="DF208" s="240" t="s">
        <v>231</v>
      </c>
      <c r="DG208" s="240" t="s">
        <v>231</v>
      </c>
      <c r="DH208" s="240" t="s">
        <v>231</v>
      </c>
      <c r="DI208" s="240" t="s">
        <v>231</v>
      </c>
      <c r="DJ208" s="240" t="s">
        <v>231</v>
      </c>
      <c r="DK208" s="240" t="s">
        <v>231</v>
      </c>
      <c r="DL208" s="240" t="s">
        <v>231</v>
      </c>
      <c r="DM208" s="240" t="s">
        <v>231</v>
      </c>
      <c r="DN208" s="240" t="s">
        <v>231</v>
      </c>
      <c r="DO208" s="240" t="s">
        <v>231</v>
      </c>
      <c r="DP208" s="240" t="s">
        <v>231</v>
      </c>
      <c r="DQ208" s="240" t="s">
        <v>231</v>
      </c>
      <c r="DR208" s="240" t="s">
        <v>231</v>
      </c>
      <c r="DS208" s="240" t="s">
        <v>231</v>
      </c>
      <c r="DT208" s="240" t="s">
        <v>231</v>
      </c>
      <c r="DU208" s="240" t="s">
        <v>231</v>
      </c>
      <c r="DV208" s="240" t="s">
        <v>231</v>
      </c>
      <c r="DW208" s="240" t="s">
        <v>231</v>
      </c>
      <c r="DX208" s="240" t="s">
        <v>231</v>
      </c>
      <c r="DY208" s="240" t="s">
        <v>231</v>
      </c>
      <c r="DZ208" s="240" t="s">
        <v>231</v>
      </c>
      <c r="EA208" s="240" t="s">
        <v>231</v>
      </c>
      <c r="EB208" s="240" t="s">
        <v>231</v>
      </c>
      <c r="EC208" s="240" t="s">
        <v>231</v>
      </c>
      <c r="ED208" s="240" t="s">
        <v>231</v>
      </c>
      <c r="EE208" s="240" t="s">
        <v>231</v>
      </c>
      <c r="EF208" s="240" t="s">
        <v>231</v>
      </c>
      <c r="EG208" s="240" t="s">
        <v>231</v>
      </c>
      <c r="EH208" s="240" t="s">
        <v>231</v>
      </c>
      <c r="EI208" s="240" t="s">
        <v>231</v>
      </c>
      <c r="EJ208" s="240" t="s">
        <v>231</v>
      </c>
      <c r="EK208" s="240" t="s">
        <v>231</v>
      </c>
      <c r="EL208" s="240" t="s">
        <v>231</v>
      </c>
      <c r="EM208" s="240" t="s">
        <v>231</v>
      </c>
      <c r="EN208" s="240" t="s">
        <v>231</v>
      </c>
      <c r="EO208" s="240" t="s">
        <v>231</v>
      </c>
      <c r="EP208" s="240" t="s">
        <v>231</v>
      </c>
      <c r="EQ208" s="240" t="s">
        <v>231</v>
      </c>
      <c r="ER208" s="240" t="s">
        <v>231</v>
      </c>
      <c r="ES208" s="240" t="s">
        <v>231</v>
      </c>
      <c r="ET208" s="240" t="s">
        <v>231</v>
      </c>
      <c r="EU208" s="240" t="s">
        <v>231</v>
      </c>
      <c r="EV208" s="240" t="s">
        <v>231</v>
      </c>
      <c r="EW208" s="240" t="s">
        <v>231</v>
      </c>
      <c r="EX208" s="240" t="s">
        <v>231</v>
      </c>
      <c r="EY208" s="240" t="s">
        <v>231</v>
      </c>
      <c r="EZ208" s="240" t="s">
        <v>231</v>
      </c>
      <c r="FA208" s="240" t="s">
        <v>231</v>
      </c>
      <c r="FB208" s="240" t="s">
        <v>231</v>
      </c>
      <c r="FC208" s="240" t="s">
        <v>231</v>
      </c>
      <c r="FD208" s="240" t="s">
        <v>231</v>
      </c>
      <c r="FE208" s="240" t="s">
        <v>231</v>
      </c>
      <c r="FF208" s="240" t="s">
        <v>231</v>
      </c>
      <c r="FG208" s="240" t="s">
        <v>231</v>
      </c>
      <c r="FH208" s="240" t="s">
        <v>231</v>
      </c>
      <c r="FI208" s="240" t="s">
        <v>231</v>
      </c>
      <c r="FJ208" s="240" t="s">
        <v>231</v>
      </c>
      <c r="FK208" s="240" t="s">
        <v>231</v>
      </c>
      <c r="FL208" s="240" t="s">
        <v>231</v>
      </c>
      <c r="FM208" s="240" t="s">
        <v>231</v>
      </c>
      <c r="FN208" s="240" t="s">
        <v>231</v>
      </c>
      <c r="FO208" s="240" t="s">
        <v>231</v>
      </c>
      <c r="FP208" s="240" t="s">
        <v>231</v>
      </c>
      <c r="FQ208" s="240" t="s">
        <v>231</v>
      </c>
      <c r="FR208" s="240" t="s">
        <v>231</v>
      </c>
      <c r="FS208" s="240" t="s">
        <v>231</v>
      </c>
      <c r="FT208" s="240" t="s">
        <v>231</v>
      </c>
      <c r="FU208" s="240" t="s">
        <v>231</v>
      </c>
      <c r="FV208" s="240" t="s">
        <v>231</v>
      </c>
      <c r="FW208" s="240" t="s">
        <v>231</v>
      </c>
      <c r="FX208" s="240" t="s">
        <v>492</v>
      </c>
      <c r="FY208" s="240" t="s">
        <v>231</v>
      </c>
      <c r="FZ208" s="240" t="s">
        <v>231</v>
      </c>
      <c r="GA208" s="240" t="s">
        <v>231</v>
      </c>
      <c r="GB208" s="240" t="s">
        <v>231</v>
      </c>
      <c r="GC208" s="240" t="s">
        <v>231</v>
      </c>
      <c r="GD208" s="240" t="s">
        <v>231</v>
      </c>
      <c r="GE208" s="240" t="s">
        <v>231</v>
      </c>
      <c r="GF208" s="240" t="s">
        <v>231</v>
      </c>
      <c r="GG208" s="240" t="s">
        <v>231</v>
      </c>
      <c r="GH208" s="240" t="s">
        <v>231</v>
      </c>
      <c r="GI208" s="240" t="s">
        <v>231</v>
      </c>
      <c r="GJ208" s="240" t="s">
        <v>231</v>
      </c>
      <c r="GK208" s="240" t="s">
        <v>231</v>
      </c>
      <c r="GL208" s="240" t="s">
        <v>231</v>
      </c>
      <c r="GM208" s="240" t="s">
        <v>231</v>
      </c>
      <c r="GN208" s="240" t="s">
        <v>231</v>
      </c>
      <c r="GO208" s="240" t="s">
        <v>231</v>
      </c>
      <c r="GP208" s="240" t="s">
        <v>492</v>
      </c>
      <c r="GQ208" s="240" t="s">
        <v>231</v>
      </c>
      <c r="GR208" s="240" t="s">
        <v>231</v>
      </c>
      <c r="GS208" s="240" t="s">
        <v>231</v>
      </c>
      <c r="GT208" s="240" t="s">
        <v>231</v>
      </c>
      <c r="GU208" s="240" t="s">
        <v>231</v>
      </c>
      <c r="GV208" s="240" t="s">
        <v>492</v>
      </c>
      <c r="GW208" s="240" t="s">
        <v>231</v>
      </c>
      <c r="GX208" s="240" t="s">
        <v>231</v>
      </c>
      <c r="GY208" s="240" t="s">
        <v>231</v>
      </c>
      <c r="GZ208" s="240" t="s">
        <v>231</v>
      </c>
      <c r="HA208" s="240" t="s">
        <v>231</v>
      </c>
      <c r="HB208" s="240" t="s">
        <v>231</v>
      </c>
      <c r="HC208" s="240" t="s">
        <v>231</v>
      </c>
      <c r="HD208" s="240" t="s">
        <v>231</v>
      </c>
      <c r="HE208" s="240" t="s">
        <v>492</v>
      </c>
      <c r="HF208" s="240" t="s">
        <v>231</v>
      </c>
      <c r="HG208" s="240" t="s">
        <v>231</v>
      </c>
      <c r="HH208" s="240" t="s">
        <v>231</v>
      </c>
      <c r="HI208" s="240" t="s">
        <v>231</v>
      </c>
      <c r="HJ208" s="240" t="s">
        <v>231</v>
      </c>
      <c r="HK208" s="240" t="s">
        <v>231</v>
      </c>
      <c r="HL208" s="240" t="s">
        <v>231</v>
      </c>
      <c r="HM208" s="240" t="s">
        <v>231</v>
      </c>
      <c r="HN208" s="240" t="s">
        <v>231</v>
      </c>
      <c r="HO208" s="240" t="s">
        <v>231</v>
      </c>
      <c r="HP208" s="240" t="s">
        <v>231</v>
      </c>
      <c r="HQ208" s="240" t="s">
        <v>231</v>
      </c>
      <c r="HR208" s="240" t="s">
        <v>492</v>
      </c>
      <c r="HS208" s="240" t="s">
        <v>492</v>
      </c>
      <c r="HT208" s="240" t="s">
        <v>492</v>
      </c>
      <c r="HU208" s="240" t="s">
        <v>231</v>
      </c>
      <c r="HV208" s="240" t="s">
        <v>231</v>
      </c>
      <c r="HW208" s="240" t="s">
        <v>231</v>
      </c>
      <c r="HX208" s="240" t="s">
        <v>231</v>
      </c>
      <c r="HY208" s="240" t="s">
        <v>231</v>
      </c>
      <c r="HZ208" s="240" t="s">
        <v>231</v>
      </c>
      <c r="IA208" s="240" t="s">
        <v>231</v>
      </c>
      <c r="IB208" s="240" t="s">
        <v>231</v>
      </c>
      <c r="IC208" s="240" t="s">
        <v>231</v>
      </c>
      <c r="ID208" s="240" t="s">
        <v>231</v>
      </c>
      <c r="IE208" s="240" t="s">
        <v>231</v>
      </c>
      <c r="IF208" s="240" t="s">
        <v>231</v>
      </c>
      <c r="IG208" s="240" t="s">
        <v>231</v>
      </c>
      <c r="IH208" s="240" t="s">
        <v>231</v>
      </c>
      <c r="II208" s="240" t="s">
        <v>231</v>
      </c>
      <c r="IJ208" s="240" t="s">
        <v>231</v>
      </c>
      <c r="IK208" s="240" t="s">
        <v>231</v>
      </c>
      <c r="IL208" s="240" t="s">
        <v>231</v>
      </c>
      <c r="IM208" s="240" t="s">
        <v>231</v>
      </c>
      <c r="IN208" s="240" t="s">
        <v>231</v>
      </c>
      <c r="IO208" s="240" t="s">
        <v>220</v>
      </c>
      <c r="IP208" s="240" t="s">
        <v>493</v>
      </c>
      <c r="IQ208" s="240" t="s">
        <v>219</v>
      </c>
      <c r="IR208" s="240" t="s">
        <v>490</v>
      </c>
      <c r="IS208" s="240" t="s">
        <v>492</v>
      </c>
      <c r="IT208" s="240" t="s">
        <v>492</v>
      </c>
    </row>
    <row r="209" spans="1:254" ht="15" x14ac:dyDescent="0.25">
      <c r="A209" s="258" t="str">
        <f>HYPERLINK("http://www.ofsted.gov.uk/inspection-reports/find-inspection-report/provider/ELS/140038 ","Ofsted School Webpage")</f>
        <v>Ofsted School Webpage</v>
      </c>
      <c r="B209" s="237">
        <v>140038</v>
      </c>
      <c r="C209" s="237">
        <v>3836001</v>
      </c>
      <c r="D209" s="237" t="s">
        <v>1011</v>
      </c>
      <c r="E209" s="237" t="s">
        <v>247</v>
      </c>
      <c r="F209" s="237" t="s">
        <v>482</v>
      </c>
      <c r="G209" s="237" t="s">
        <v>523</v>
      </c>
      <c r="H209" s="237" t="s">
        <v>524</v>
      </c>
      <c r="I209" s="237" t="s">
        <v>702</v>
      </c>
      <c r="J209" s="237" t="s">
        <v>1012</v>
      </c>
      <c r="K209" s="237" t="s">
        <v>71</v>
      </c>
      <c r="L209" s="237" t="s">
        <v>71</v>
      </c>
      <c r="M209" s="237" t="s">
        <v>71</v>
      </c>
      <c r="N209" s="237" t="s">
        <v>71</v>
      </c>
      <c r="O209" s="237" t="s">
        <v>486</v>
      </c>
      <c r="P209" s="237" t="s">
        <v>487</v>
      </c>
      <c r="Q209" s="238">
        <v>10061280</v>
      </c>
      <c r="R209" s="239">
        <v>43501</v>
      </c>
      <c r="S209" s="239">
        <v>43503</v>
      </c>
      <c r="T209" s="239">
        <v>43538</v>
      </c>
      <c r="U209" s="237" t="s">
        <v>488</v>
      </c>
      <c r="V209" s="237" t="s">
        <v>489</v>
      </c>
      <c r="W209" s="237">
        <v>2</v>
      </c>
      <c r="X209" s="237">
        <v>2</v>
      </c>
      <c r="Y209" s="237">
        <v>1</v>
      </c>
      <c r="Z209" s="237">
        <v>2</v>
      </c>
      <c r="AA209" s="237">
        <v>2</v>
      </c>
      <c r="AB209" s="237">
        <v>2</v>
      </c>
      <c r="AC209" s="237" t="s">
        <v>486</v>
      </c>
      <c r="AD209" s="237" t="s">
        <v>219</v>
      </c>
      <c r="AE209" s="237" t="s">
        <v>490</v>
      </c>
      <c r="AF209" s="237" t="s">
        <v>486</v>
      </c>
      <c r="AG209" s="237" t="s">
        <v>486</v>
      </c>
      <c r="AH209" s="237" t="s">
        <v>486</v>
      </c>
      <c r="AI209" s="237" t="s">
        <v>486</v>
      </c>
      <c r="AJ209" s="237" t="s">
        <v>486</v>
      </c>
      <c r="AK209" s="237" t="s">
        <v>486</v>
      </c>
      <c r="AL209" s="237" t="s">
        <v>486</v>
      </c>
      <c r="AM209" s="237" t="s">
        <v>491</v>
      </c>
      <c r="AN209" s="237" t="s">
        <v>231</v>
      </c>
      <c r="AO209" s="237" t="s">
        <v>231</v>
      </c>
      <c r="AP209" s="237" t="s">
        <v>231</v>
      </c>
      <c r="AQ209" s="237" t="s">
        <v>231</v>
      </c>
      <c r="AR209" s="237" t="s">
        <v>231</v>
      </c>
      <c r="AS209" s="237" t="s">
        <v>231</v>
      </c>
      <c r="AT209" s="237" t="s">
        <v>231</v>
      </c>
      <c r="AU209" s="237" t="s">
        <v>231</v>
      </c>
      <c r="AV209" s="237" t="s">
        <v>231</v>
      </c>
      <c r="AW209" s="237" t="s">
        <v>231</v>
      </c>
      <c r="AX209" s="237" t="s">
        <v>231</v>
      </c>
      <c r="AY209" s="237" t="s">
        <v>231</v>
      </c>
      <c r="AZ209" s="237" t="s">
        <v>231</v>
      </c>
      <c r="BA209" s="237" t="s">
        <v>231</v>
      </c>
      <c r="BB209" s="237" t="s">
        <v>231</v>
      </c>
      <c r="BC209" s="237" t="s">
        <v>231</v>
      </c>
      <c r="BD209" s="237" t="s">
        <v>492</v>
      </c>
      <c r="BE209" s="237" t="s">
        <v>231</v>
      </c>
      <c r="BF209" s="237" t="s">
        <v>231</v>
      </c>
      <c r="BG209" s="237" t="s">
        <v>231</v>
      </c>
      <c r="BH209" s="237" t="s">
        <v>492</v>
      </c>
      <c r="BI209" s="237" t="s">
        <v>492</v>
      </c>
      <c r="BJ209" s="237" t="s">
        <v>492</v>
      </c>
      <c r="BK209" s="237" t="s">
        <v>492</v>
      </c>
      <c r="BL209" s="237" t="s">
        <v>492</v>
      </c>
      <c r="BM209" s="237" t="s">
        <v>492</v>
      </c>
      <c r="BN209" s="237" t="s">
        <v>231</v>
      </c>
      <c r="BO209" s="237" t="s">
        <v>231</v>
      </c>
      <c r="BP209" s="237" t="s">
        <v>231</v>
      </c>
      <c r="BQ209" s="237" t="s">
        <v>231</v>
      </c>
      <c r="BR209" s="237" t="s">
        <v>231</v>
      </c>
      <c r="BS209" s="237" t="s">
        <v>231</v>
      </c>
      <c r="BT209" s="237" t="s">
        <v>231</v>
      </c>
      <c r="BU209" s="237" t="s">
        <v>231</v>
      </c>
      <c r="BV209" s="237" t="s">
        <v>231</v>
      </c>
      <c r="BW209" s="237" t="s">
        <v>231</v>
      </c>
      <c r="BX209" s="237" t="s">
        <v>231</v>
      </c>
      <c r="BY209" s="237" t="s">
        <v>231</v>
      </c>
      <c r="BZ209" s="237" t="s">
        <v>231</v>
      </c>
      <c r="CA209" s="237" t="s">
        <v>231</v>
      </c>
      <c r="CB209" s="237" t="s">
        <v>231</v>
      </c>
      <c r="CC209" s="237" t="s">
        <v>231</v>
      </c>
      <c r="CD209" s="237" t="s">
        <v>231</v>
      </c>
      <c r="CE209" s="237" t="s">
        <v>231</v>
      </c>
      <c r="CF209" s="237" t="s">
        <v>231</v>
      </c>
      <c r="CG209" s="237" t="s">
        <v>231</v>
      </c>
      <c r="CH209" s="237" t="s">
        <v>231</v>
      </c>
      <c r="CI209" s="237" t="s">
        <v>231</v>
      </c>
      <c r="CJ209" s="237" t="s">
        <v>231</v>
      </c>
      <c r="CK209" s="237" t="s">
        <v>231</v>
      </c>
      <c r="CL209" s="237" t="s">
        <v>231</v>
      </c>
      <c r="CM209" s="237" t="s">
        <v>231</v>
      </c>
      <c r="CN209" s="237" t="s">
        <v>231</v>
      </c>
      <c r="CO209" s="237" t="s">
        <v>231</v>
      </c>
      <c r="CP209" s="237" t="s">
        <v>231</v>
      </c>
      <c r="CQ209" s="237" t="s">
        <v>231</v>
      </c>
      <c r="CR209" s="237" t="s">
        <v>231</v>
      </c>
      <c r="CS209" s="237" t="s">
        <v>231</v>
      </c>
      <c r="CT209" s="237" t="s">
        <v>492</v>
      </c>
      <c r="CU209" s="237" t="s">
        <v>492</v>
      </c>
      <c r="CV209" s="237" t="s">
        <v>492</v>
      </c>
      <c r="CW209" s="237" t="s">
        <v>231</v>
      </c>
      <c r="CX209" s="237" t="s">
        <v>231</v>
      </c>
      <c r="CY209" s="237" t="s">
        <v>231</v>
      </c>
      <c r="CZ209" s="237" t="s">
        <v>231</v>
      </c>
      <c r="DA209" s="237" t="s">
        <v>231</v>
      </c>
      <c r="DB209" s="237" t="s">
        <v>231</v>
      </c>
      <c r="DC209" s="237" t="s">
        <v>231</v>
      </c>
      <c r="DD209" s="237" t="s">
        <v>231</v>
      </c>
      <c r="DE209" s="237" t="s">
        <v>231</v>
      </c>
      <c r="DF209" s="237" t="s">
        <v>231</v>
      </c>
      <c r="DG209" s="237" t="s">
        <v>231</v>
      </c>
      <c r="DH209" s="237" t="s">
        <v>231</v>
      </c>
      <c r="DI209" s="237" t="s">
        <v>231</v>
      </c>
      <c r="DJ209" s="237" t="s">
        <v>231</v>
      </c>
      <c r="DK209" s="237" t="s">
        <v>231</v>
      </c>
      <c r="DL209" s="237" t="s">
        <v>231</v>
      </c>
      <c r="DM209" s="237" t="s">
        <v>231</v>
      </c>
      <c r="DN209" s="237" t="s">
        <v>231</v>
      </c>
      <c r="DO209" s="237" t="s">
        <v>231</v>
      </c>
      <c r="DP209" s="237" t="s">
        <v>231</v>
      </c>
      <c r="DQ209" s="237" t="s">
        <v>231</v>
      </c>
      <c r="DR209" s="237" t="s">
        <v>231</v>
      </c>
      <c r="DS209" s="237" t="s">
        <v>231</v>
      </c>
      <c r="DT209" s="237" t="s">
        <v>492</v>
      </c>
      <c r="DU209" s="237" t="s">
        <v>231</v>
      </c>
      <c r="DV209" s="237" t="s">
        <v>231</v>
      </c>
      <c r="DW209" s="237" t="s">
        <v>231</v>
      </c>
      <c r="DX209" s="237" t="s">
        <v>231</v>
      </c>
      <c r="DY209" s="237" t="s">
        <v>231</v>
      </c>
      <c r="DZ209" s="237" t="s">
        <v>231</v>
      </c>
      <c r="EA209" s="237" t="s">
        <v>231</v>
      </c>
      <c r="EB209" s="237" t="s">
        <v>231</v>
      </c>
      <c r="EC209" s="237" t="s">
        <v>492</v>
      </c>
      <c r="ED209" s="237" t="s">
        <v>492</v>
      </c>
      <c r="EE209" s="237" t="s">
        <v>492</v>
      </c>
      <c r="EF209" s="237" t="s">
        <v>492</v>
      </c>
      <c r="EG209" s="237" t="s">
        <v>492</v>
      </c>
      <c r="EH209" s="237" t="s">
        <v>492</v>
      </c>
      <c r="EI209" s="237" t="s">
        <v>492</v>
      </c>
      <c r="EJ209" s="237" t="s">
        <v>231</v>
      </c>
      <c r="EK209" s="237" t="s">
        <v>231</v>
      </c>
      <c r="EL209" s="237" t="s">
        <v>231</v>
      </c>
      <c r="EM209" s="237" t="s">
        <v>231</v>
      </c>
      <c r="EN209" s="237" t="s">
        <v>231</v>
      </c>
      <c r="EO209" s="237" t="s">
        <v>231</v>
      </c>
      <c r="EP209" s="237" t="s">
        <v>231</v>
      </c>
      <c r="EQ209" s="237" t="s">
        <v>231</v>
      </c>
      <c r="ER209" s="237" t="s">
        <v>231</v>
      </c>
      <c r="ES209" s="237" t="s">
        <v>231</v>
      </c>
      <c r="ET209" s="237" t="s">
        <v>231</v>
      </c>
      <c r="EU209" s="237" t="s">
        <v>231</v>
      </c>
      <c r="EV209" s="237" t="s">
        <v>231</v>
      </c>
      <c r="EW209" s="237" t="s">
        <v>231</v>
      </c>
      <c r="EX209" s="237" t="s">
        <v>231</v>
      </c>
      <c r="EY209" s="237" t="s">
        <v>231</v>
      </c>
      <c r="EZ209" s="237" t="s">
        <v>231</v>
      </c>
      <c r="FA209" s="237" t="s">
        <v>231</v>
      </c>
      <c r="FB209" s="237" t="s">
        <v>231</v>
      </c>
      <c r="FC209" s="237" t="s">
        <v>231</v>
      </c>
      <c r="FD209" s="237" t="s">
        <v>231</v>
      </c>
      <c r="FE209" s="237" t="s">
        <v>231</v>
      </c>
      <c r="FF209" s="237" t="s">
        <v>231</v>
      </c>
      <c r="FG209" s="237" t="s">
        <v>492</v>
      </c>
      <c r="FH209" s="237" t="s">
        <v>492</v>
      </c>
      <c r="FI209" s="237" t="s">
        <v>492</v>
      </c>
      <c r="FJ209" s="237" t="s">
        <v>492</v>
      </c>
      <c r="FK209" s="237" t="s">
        <v>492</v>
      </c>
      <c r="FL209" s="237" t="s">
        <v>492</v>
      </c>
      <c r="FM209" s="237" t="s">
        <v>492</v>
      </c>
      <c r="FN209" s="237" t="s">
        <v>492</v>
      </c>
      <c r="FO209" s="237" t="s">
        <v>493</v>
      </c>
      <c r="FP209" s="237" t="s">
        <v>492</v>
      </c>
      <c r="FQ209" s="237" t="s">
        <v>231</v>
      </c>
      <c r="FR209" s="237" t="s">
        <v>231</v>
      </c>
      <c r="FS209" s="237" t="s">
        <v>231</v>
      </c>
      <c r="FT209" s="237" t="s">
        <v>231</v>
      </c>
      <c r="FU209" s="237" t="s">
        <v>231</v>
      </c>
      <c r="FV209" s="237" t="s">
        <v>231</v>
      </c>
      <c r="FW209" s="237" t="s">
        <v>231</v>
      </c>
      <c r="FX209" s="237" t="s">
        <v>492</v>
      </c>
      <c r="FY209" s="237" t="s">
        <v>231</v>
      </c>
      <c r="FZ209" s="237" t="s">
        <v>231</v>
      </c>
      <c r="GA209" s="237" t="s">
        <v>231</v>
      </c>
      <c r="GB209" s="237" t="s">
        <v>231</v>
      </c>
      <c r="GC209" s="237" t="s">
        <v>231</v>
      </c>
      <c r="GD209" s="237" t="s">
        <v>231</v>
      </c>
      <c r="GE209" s="237" t="s">
        <v>231</v>
      </c>
      <c r="GF209" s="237" t="s">
        <v>231</v>
      </c>
      <c r="GG209" s="237" t="s">
        <v>231</v>
      </c>
      <c r="GH209" s="237" t="s">
        <v>231</v>
      </c>
      <c r="GI209" s="237" t="s">
        <v>231</v>
      </c>
      <c r="GJ209" s="237" t="s">
        <v>231</v>
      </c>
      <c r="GK209" s="237" t="s">
        <v>231</v>
      </c>
      <c r="GL209" s="237" t="s">
        <v>231</v>
      </c>
      <c r="GM209" s="237" t="s">
        <v>231</v>
      </c>
      <c r="GN209" s="237" t="s">
        <v>231</v>
      </c>
      <c r="GO209" s="237" t="s">
        <v>231</v>
      </c>
      <c r="GP209" s="237" t="s">
        <v>492</v>
      </c>
      <c r="GQ209" s="237" t="s">
        <v>231</v>
      </c>
      <c r="GR209" s="237" t="s">
        <v>231</v>
      </c>
      <c r="GS209" s="237" t="s">
        <v>231</v>
      </c>
      <c r="GT209" s="237" t="s">
        <v>231</v>
      </c>
      <c r="GU209" s="237" t="s">
        <v>231</v>
      </c>
      <c r="GV209" s="237" t="s">
        <v>492</v>
      </c>
      <c r="GW209" s="237" t="s">
        <v>231</v>
      </c>
      <c r="GX209" s="237" t="s">
        <v>231</v>
      </c>
      <c r="GY209" s="237" t="s">
        <v>492</v>
      </c>
      <c r="GZ209" s="237" t="s">
        <v>492</v>
      </c>
      <c r="HA209" s="237" t="s">
        <v>231</v>
      </c>
      <c r="HB209" s="237" t="s">
        <v>231</v>
      </c>
      <c r="HC209" s="237" t="s">
        <v>231</v>
      </c>
      <c r="HD209" s="237" t="s">
        <v>231</v>
      </c>
      <c r="HE209" s="237" t="s">
        <v>231</v>
      </c>
      <c r="HF209" s="237" t="s">
        <v>231</v>
      </c>
      <c r="HG209" s="237" t="s">
        <v>231</v>
      </c>
      <c r="HH209" s="237" t="s">
        <v>231</v>
      </c>
      <c r="HI209" s="237" t="s">
        <v>231</v>
      </c>
      <c r="HJ209" s="237" t="s">
        <v>231</v>
      </c>
      <c r="HK209" s="237" t="s">
        <v>231</v>
      </c>
      <c r="HL209" s="237" t="s">
        <v>231</v>
      </c>
      <c r="HM209" s="237" t="s">
        <v>231</v>
      </c>
      <c r="HN209" s="237" t="s">
        <v>231</v>
      </c>
      <c r="HO209" s="237" t="s">
        <v>231</v>
      </c>
      <c r="HP209" s="237" t="s">
        <v>231</v>
      </c>
      <c r="HQ209" s="237" t="s">
        <v>492</v>
      </c>
      <c r="HR209" s="237" t="s">
        <v>492</v>
      </c>
      <c r="HS209" s="237" t="s">
        <v>492</v>
      </c>
      <c r="HT209" s="237" t="s">
        <v>492</v>
      </c>
      <c r="HU209" s="237" t="s">
        <v>231</v>
      </c>
      <c r="HV209" s="237" t="s">
        <v>231</v>
      </c>
      <c r="HW209" s="237" t="s">
        <v>231</v>
      </c>
      <c r="HX209" s="237" t="s">
        <v>231</v>
      </c>
      <c r="HY209" s="237" t="s">
        <v>231</v>
      </c>
      <c r="HZ209" s="237" t="s">
        <v>231</v>
      </c>
      <c r="IA209" s="237" t="s">
        <v>231</v>
      </c>
      <c r="IB209" s="237" t="s">
        <v>231</v>
      </c>
      <c r="IC209" s="237" t="s">
        <v>231</v>
      </c>
      <c r="ID209" s="237" t="s">
        <v>231</v>
      </c>
      <c r="IE209" s="237" t="s">
        <v>231</v>
      </c>
      <c r="IF209" s="237" t="s">
        <v>231</v>
      </c>
      <c r="IG209" s="237" t="s">
        <v>231</v>
      </c>
      <c r="IH209" s="237" t="s">
        <v>231</v>
      </c>
      <c r="II209" s="237" t="s">
        <v>231</v>
      </c>
      <c r="IJ209" s="237" t="s">
        <v>231</v>
      </c>
      <c r="IK209" s="237" t="s">
        <v>231</v>
      </c>
      <c r="IL209" s="237" t="s">
        <v>231</v>
      </c>
      <c r="IM209" s="237" t="s">
        <v>231</v>
      </c>
      <c r="IN209" s="237" t="s">
        <v>231</v>
      </c>
      <c r="IO209" s="237" t="s">
        <v>220</v>
      </c>
      <c r="IP209" s="237" t="s">
        <v>493</v>
      </c>
      <c r="IQ209" s="237" t="s">
        <v>219</v>
      </c>
      <c r="IR209" s="237" t="s">
        <v>490</v>
      </c>
      <c r="IS209" s="237" t="s">
        <v>492</v>
      </c>
      <c r="IT209" s="237" t="s">
        <v>492</v>
      </c>
    </row>
    <row r="210" spans="1:254" ht="15" x14ac:dyDescent="0.25">
      <c r="A210" s="259" t="str">
        <f>HYPERLINK("http://www.ofsted.gov.uk/inspection-reports/find-inspection-report/provider/ELS/131551 ","Ofsted School Webpage")</f>
        <v>Ofsted School Webpage</v>
      </c>
      <c r="B210" s="240">
        <v>131551</v>
      </c>
      <c r="C210" s="240">
        <v>3566027</v>
      </c>
      <c r="D210" s="240" t="s">
        <v>1013</v>
      </c>
      <c r="E210" s="240" t="s">
        <v>248</v>
      </c>
      <c r="F210" s="240" t="s">
        <v>501</v>
      </c>
      <c r="G210" s="240" t="s">
        <v>495</v>
      </c>
      <c r="H210" s="240" t="s">
        <v>495</v>
      </c>
      <c r="I210" s="240" t="s">
        <v>934</v>
      </c>
      <c r="J210" s="240" t="s">
        <v>1014</v>
      </c>
      <c r="K210" s="240" t="s">
        <v>93</v>
      </c>
      <c r="L210" s="240" t="s">
        <v>93</v>
      </c>
      <c r="M210" s="240" t="s">
        <v>93</v>
      </c>
      <c r="N210" s="240" t="s">
        <v>90</v>
      </c>
      <c r="O210" s="240" t="s">
        <v>486</v>
      </c>
      <c r="P210" s="240" t="s">
        <v>487</v>
      </c>
      <c r="Q210" s="241">
        <v>10067893</v>
      </c>
      <c r="R210" s="242">
        <v>43501</v>
      </c>
      <c r="S210" s="242">
        <v>43503</v>
      </c>
      <c r="T210" s="242">
        <v>43542</v>
      </c>
      <c r="U210" s="240" t="s">
        <v>488</v>
      </c>
      <c r="V210" s="240" t="s">
        <v>489</v>
      </c>
      <c r="W210" s="240">
        <v>3</v>
      </c>
      <c r="X210" s="240">
        <v>3</v>
      </c>
      <c r="Y210" s="240">
        <v>2</v>
      </c>
      <c r="Z210" s="240">
        <v>3</v>
      </c>
      <c r="AA210" s="240">
        <v>3</v>
      </c>
      <c r="AB210" s="240" t="s">
        <v>486</v>
      </c>
      <c r="AC210" s="240" t="s">
        <v>486</v>
      </c>
      <c r="AD210" s="240" t="s">
        <v>219</v>
      </c>
      <c r="AE210" s="240" t="s">
        <v>490</v>
      </c>
      <c r="AF210" s="240" t="s">
        <v>486</v>
      </c>
      <c r="AG210" s="240" t="s">
        <v>486</v>
      </c>
      <c r="AH210" s="240" t="s">
        <v>486</v>
      </c>
      <c r="AI210" s="240" t="s">
        <v>486</v>
      </c>
      <c r="AJ210" s="240" t="s">
        <v>486</v>
      </c>
      <c r="AK210" s="240" t="s">
        <v>486</v>
      </c>
      <c r="AL210" s="240" t="s">
        <v>486</v>
      </c>
      <c r="AM210" s="240" t="s">
        <v>491</v>
      </c>
      <c r="AN210" s="240" t="s">
        <v>231</v>
      </c>
      <c r="AO210" s="240" t="s">
        <v>231</v>
      </c>
      <c r="AP210" s="240" t="s">
        <v>231</v>
      </c>
      <c r="AQ210" s="240" t="s">
        <v>231</v>
      </c>
      <c r="AR210" s="240" t="s">
        <v>231</v>
      </c>
      <c r="AS210" s="240" t="s">
        <v>231</v>
      </c>
      <c r="AT210" s="240" t="s">
        <v>231</v>
      </c>
      <c r="AU210" s="240" t="s">
        <v>231</v>
      </c>
      <c r="AV210" s="240" t="s">
        <v>231</v>
      </c>
      <c r="AW210" s="240" t="s">
        <v>231</v>
      </c>
      <c r="AX210" s="240" t="s">
        <v>231</v>
      </c>
      <c r="AY210" s="240" t="s">
        <v>231</v>
      </c>
      <c r="AZ210" s="240" t="s">
        <v>231</v>
      </c>
      <c r="BA210" s="240" t="s">
        <v>231</v>
      </c>
      <c r="BB210" s="240" t="s">
        <v>231</v>
      </c>
      <c r="BC210" s="240" t="s">
        <v>231</v>
      </c>
      <c r="BD210" s="240" t="s">
        <v>492</v>
      </c>
      <c r="BE210" s="240" t="s">
        <v>231</v>
      </c>
      <c r="BF210" s="240" t="s">
        <v>231</v>
      </c>
      <c r="BG210" s="240" t="s">
        <v>231</v>
      </c>
      <c r="BH210" s="240" t="s">
        <v>231</v>
      </c>
      <c r="BI210" s="240" t="s">
        <v>231</v>
      </c>
      <c r="BJ210" s="240" t="s">
        <v>231</v>
      </c>
      <c r="BK210" s="240" t="s">
        <v>231</v>
      </c>
      <c r="BL210" s="240" t="s">
        <v>492</v>
      </c>
      <c r="BM210" s="240" t="s">
        <v>492</v>
      </c>
      <c r="BN210" s="240" t="s">
        <v>231</v>
      </c>
      <c r="BO210" s="240" t="s">
        <v>231</v>
      </c>
      <c r="BP210" s="240" t="s">
        <v>231</v>
      </c>
      <c r="BQ210" s="240" t="s">
        <v>231</v>
      </c>
      <c r="BR210" s="240" t="s">
        <v>231</v>
      </c>
      <c r="BS210" s="240" t="s">
        <v>231</v>
      </c>
      <c r="BT210" s="240" t="s">
        <v>231</v>
      </c>
      <c r="BU210" s="240" t="s">
        <v>231</v>
      </c>
      <c r="BV210" s="240" t="s">
        <v>231</v>
      </c>
      <c r="BW210" s="240" t="s">
        <v>231</v>
      </c>
      <c r="BX210" s="240" t="s">
        <v>231</v>
      </c>
      <c r="BY210" s="240" t="s">
        <v>231</v>
      </c>
      <c r="BZ210" s="240" t="s">
        <v>231</v>
      </c>
      <c r="CA210" s="240" t="s">
        <v>231</v>
      </c>
      <c r="CB210" s="240" t="s">
        <v>231</v>
      </c>
      <c r="CC210" s="240" t="s">
        <v>231</v>
      </c>
      <c r="CD210" s="240" t="s">
        <v>231</v>
      </c>
      <c r="CE210" s="240" t="s">
        <v>231</v>
      </c>
      <c r="CF210" s="240" t="s">
        <v>231</v>
      </c>
      <c r="CG210" s="240" t="s">
        <v>231</v>
      </c>
      <c r="CH210" s="240" t="s">
        <v>231</v>
      </c>
      <c r="CI210" s="240" t="s">
        <v>231</v>
      </c>
      <c r="CJ210" s="240" t="s">
        <v>231</v>
      </c>
      <c r="CK210" s="240" t="s">
        <v>231</v>
      </c>
      <c r="CL210" s="240" t="s">
        <v>231</v>
      </c>
      <c r="CM210" s="240" t="s">
        <v>231</v>
      </c>
      <c r="CN210" s="240" t="s">
        <v>231</v>
      </c>
      <c r="CO210" s="240" t="s">
        <v>231</v>
      </c>
      <c r="CP210" s="240" t="s">
        <v>231</v>
      </c>
      <c r="CQ210" s="240" t="s">
        <v>231</v>
      </c>
      <c r="CR210" s="240" t="s">
        <v>231</v>
      </c>
      <c r="CS210" s="240" t="s">
        <v>231</v>
      </c>
      <c r="CT210" s="240" t="s">
        <v>492</v>
      </c>
      <c r="CU210" s="240" t="s">
        <v>492</v>
      </c>
      <c r="CV210" s="240" t="s">
        <v>492</v>
      </c>
      <c r="CW210" s="240" t="s">
        <v>231</v>
      </c>
      <c r="CX210" s="240" t="s">
        <v>231</v>
      </c>
      <c r="CY210" s="240" t="s">
        <v>231</v>
      </c>
      <c r="CZ210" s="240" t="s">
        <v>231</v>
      </c>
      <c r="DA210" s="240" t="s">
        <v>231</v>
      </c>
      <c r="DB210" s="240" t="s">
        <v>231</v>
      </c>
      <c r="DC210" s="240" t="s">
        <v>231</v>
      </c>
      <c r="DD210" s="240" t="s">
        <v>231</v>
      </c>
      <c r="DE210" s="240" t="s">
        <v>231</v>
      </c>
      <c r="DF210" s="240" t="s">
        <v>231</v>
      </c>
      <c r="DG210" s="240" t="s">
        <v>231</v>
      </c>
      <c r="DH210" s="240" t="s">
        <v>231</v>
      </c>
      <c r="DI210" s="240" t="s">
        <v>231</v>
      </c>
      <c r="DJ210" s="240" t="s">
        <v>231</v>
      </c>
      <c r="DK210" s="240" t="s">
        <v>231</v>
      </c>
      <c r="DL210" s="240" t="s">
        <v>231</v>
      </c>
      <c r="DM210" s="240" t="s">
        <v>231</v>
      </c>
      <c r="DN210" s="240" t="s">
        <v>231</v>
      </c>
      <c r="DO210" s="240" t="s">
        <v>231</v>
      </c>
      <c r="DP210" s="240" t="s">
        <v>231</v>
      </c>
      <c r="DQ210" s="240" t="s">
        <v>231</v>
      </c>
      <c r="DR210" s="240" t="s">
        <v>231</v>
      </c>
      <c r="DS210" s="240" t="s">
        <v>492</v>
      </c>
      <c r="DT210" s="240" t="s">
        <v>492</v>
      </c>
      <c r="DU210" s="240" t="s">
        <v>231</v>
      </c>
      <c r="DV210" s="240" t="s">
        <v>231</v>
      </c>
      <c r="DW210" s="240" t="s">
        <v>231</v>
      </c>
      <c r="DX210" s="240" t="s">
        <v>231</v>
      </c>
      <c r="DY210" s="240" t="s">
        <v>231</v>
      </c>
      <c r="DZ210" s="240" t="s">
        <v>231</v>
      </c>
      <c r="EA210" s="240" t="s">
        <v>231</v>
      </c>
      <c r="EB210" s="240" t="s">
        <v>231</v>
      </c>
      <c r="EC210" s="240" t="s">
        <v>231</v>
      </c>
      <c r="ED210" s="240" t="s">
        <v>231</v>
      </c>
      <c r="EE210" s="240" t="s">
        <v>231</v>
      </c>
      <c r="EF210" s="240" t="s">
        <v>231</v>
      </c>
      <c r="EG210" s="240" t="s">
        <v>231</v>
      </c>
      <c r="EH210" s="240" t="s">
        <v>492</v>
      </c>
      <c r="EI210" s="240" t="s">
        <v>231</v>
      </c>
      <c r="EJ210" s="240" t="s">
        <v>231</v>
      </c>
      <c r="EK210" s="240" t="s">
        <v>231</v>
      </c>
      <c r="EL210" s="240" t="s">
        <v>231</v>
      </c>
      <c r="EM210" s="240" t="s">
        <v>231</v>
      </c>
      <c r="EN210" s="240" t="s">
        <v>231</v>
      </c>
      <c r="EO210" s="240" t="s">
        <v>231</v>
      </c>
      <c r="EP210" s="240" t="s">
        <v>231</v>
      </c>
      <c r="EQ210" s="240" t="s">
        <v>492</v>
      </c>
      <c r="ER210" s="240" t="s">
        <v>231</v>
      </c>
      <c r="ES210" s="240" t="s">
        <v>231</v>
      </c>
      <c r="ET210" s="240" t="s">
        <v>231</v>
      </c>
      <c r="EU210" s="240" t="s">
        <v>231</v>
      </c>
      <c r="EV210" s="240" t="s">
        <v>231</v>
      </c>
      <c r="EW210" s="240" t="s">
        <v>231</v>
      </c>
      <c r="EX210" s="240" t="s">
        <v>231</v>
      </c>
      <c r="EY210" s="240" t="s">
        <v>231</v>
      </c>
      <c r="EZ210" s="240" t="s">
        <v>231</v>
      </c>
      <c r="FA210" s="240" t="s">
        <v>231</v>
      </c>
      <c r="FB210" s="240" t="s">
        <v>231</v>
      </c>
      <c r="FC210" s="240" t="s">
        <v>231</v>
      </c>
      <c r="FD210" s="240" t="s">
        <v>492</v>
      </c>
      <c r="FE210" s="240" t="s">
        <v>231</v>
      </c>
      <c r="FF210" s="240" t="s">
        <v>231</v>
      </c>
      <c r="FG210" s="240" t="s">
        <v>231</v>
      </c>
      <c r="FH210" s="240" t="s">
        <v>231</v>
      </c>
      <c r="FI210" s="240" t="s">
        <v>231</v>
      </c>
      <c r="FJ210" s="240" t="s">
        <v>231</v>
      </c>
      <c r="FK210" s="240" t="s">
        <v>231</v>
      </c>
      <c r="FL210" s="240" t="s">
        <v>231</v>
      </c>
      <c r="FM210" s="240" t="s">
        <v>231</v>
      </c>
      <c r="FN210" s="240" t="s">
        <v>231</v>
      </c>
      <c r="FO210" s="240" t="s">
        <v>231</v>
      </c>
      <c r="FP210" s="240" t="s">
        <v>231</v>
      </c>
      <c r="FQ210" s="240" t="s">
        <v>231</v>
      </c>
      <c r="FR210" s="240" t="s">
        <v>231</v>
      </c>
      <c r="FS210" s="240" t="s">
        <v>231</v>
      </c>
      <c r="FT210" s="240" t="s">
        <v>492</v>
      </c>
      <c r="FU210" s="240" t="s">
        <v>231</v>
      </c>
      <c r="FV210" s="240" t="s">
        <v>231</v>
      </c>
      <c r="FW210" s="240" t="s">
        <v>231</v>
      </c>
      <c r="FX210" s="240" t="s">
        <v>492</v>
      </c>
      <c r="FY210" s="240" t="s">
        <v>231</v>
      </c>
      <c r="FZ210" s="240" t="s">
        <v>231</v>
      </c>
      <c r="GA210" s="240" t="s">
        <v>231</v>
      </c>
      <c r="GB210" s="240" t="s">
        <v>231</v>
      </c>
      <c r="GC210" s="240" t="s">
        <v>231</v>
      </c>
      <c r="GD210" s="240" t="s">
        <v>231</v>
      </c>
      <c r="GE210" s="240" t="s">
        <v>231</v>
      </c>
      <c r="GF210" s="240" t="s">
        <v>231</v>
      </c>
      <c r="GG210" s="240" t="s">
        <v>231</v>
      </c>
      <c r="GH210" s="240" t="s">
        <v>231</v>
      </c>
      <c r="GI210" s="240" t="s">
        <v>231</v>
      </c>
      <c r="GJ210" s="240" t="s">
        <v>231</v>
      </c>
      <c r="GK210" s="240" t="s">
        <v>231</v>
      </c>
      <c r="GL210" s="240" t="s">
        <v>231</v>
      </c>
      <c r="GM210" s="240" t="s">
        <v>231</v>
      </c>
      <c r="GN210" s="240" t="s">
        <v>231</v>
      </c>
      <c r="GO210" s="240" t="s">
        <v>231</v>
      </c>
      <c r="GP210" s="240" t="s">
        <v>492</v>
      </c>
      <c r="GQ210" s="240" t="s">
        <v>231</v>
      </c>
      <c r="GR210" s="240" t="s">
        <v>231</v>
      </c>
      <c r="GS210" s="240" t="s">
        <v>231</v>
      </c>
      <c r="GT210" s="240" t="s">
        <v>231</v>
      </c>
      <c r="GU210" s="240" t="s">
        <v>231</v>
      </c>
      <c r="GV210" s="240" t="s">
        <v>492</v>
      </c>
      <c r="GW210" s="240" t="s">
        <v>231</v>
      </c>
      <c r="GX210" s="240" t="s">
        <v>231</v>
      </c>
      <c r="GY210" s="240" t="s">
        <v>231</v>
      </c>
      <c r="GZ210" s="240" t="s">
        <v>231</v>
      </c>
      <c r="HA210" s="240" t="s">
        <v>492</v>
      </c>
      <c r="HB210" s="240" t="s">
        <v>231</v>
      </c>
      <c r="HC210" s="240" t="s">
        <v>231</v>
      </c>
      <c r="HD210" s="240" t="s">
        <v>231</v>
      </c>
      <c r="HE210" s="240" t="s">
        <v>492</v>
      </c>
      <c r="HF210" s="240" t="s">
        <v>231</v>
      </c>
      <c r="HG210" s="240" t="s">
        <v>231</v>
      </c>
      <c r="HH210" s="240" t="s">
        <v>231</v>
      </c>
      <c r="HI210" s="240" t="s">
        <v>231</v>
      </c>
      <c r="HJ210" s="240" t="s">
        <v>231</v>
      </c>
      <c r="HK210" s="240" t="s">
        <v>231</v>
      </c>
      <c r="HL210" s="240" t="s">
        <v>231</v>
      </c>
      <c r="HM210" s="240" t="s">
        <v>231</v>
      </c>
      <c r="HN210" s="240" t="s">
        <v>231</v>
      </c>
      <c r="HO210" s="240" t="s">
        <v>231</v>
      </c>
      <c r="HP210" s="240" t="s">
        <v>231</v>
      </c>
      <c r="HQ210" s="240" t="s">
        <v>492</v>
      </c>
      <c r="HR210" s="240" t="s">
        <v>492</v>
      </c>
      <c r="HS210" s="240" t="s">
        <v>492</v>
      </c>
      <c r="HT210" s="240" t="s">
        <v>492</v>
      </c>
      <c r="HU210" s="240" t="s">
        <v>231</v>
      </c>
      <c r="HV210" s="240" t="s">
        <v>231</v>
      </c>
      <c r="HW210" s="240" t="s">
        <v>231</v>
      </c>
      <c r="HX210" s="240" t="s">
        <v>231</v>
      </c>
      <c r="HY210" s="240" t="s">
        <v>231</v>
      </c>
      <c r="HZ210" s="240" t="s">
        <v>231</v>
      </c>
      <c r="IA210" s="240" t="s">
        <v>231</v>
      </c>
      <c r="IB210" s="240" t="s">
        <v>231</v>
      </c>
      <c r="IC210" s="240" t="s">
        <v>231</v>
      </c>
      <c r="ID210" s="240" t="s">
        <v>231</v>
      </c>
      <c r="IE210" s="240" t="s">
        <v>231</v>
      </c>
      <c r="IF210" s="240" t="s">
        <v>231</v>
      </c>
      <c r="IG210" s="240" t="s">
        <v>231</v>
      </c>
      <c r="IH210" s="240" t="s">
        <v>231</v>
      </c>
      <c r="II210" s="240" t="s">
        <v>231</v>
      </c>
      <c r="IJ210" s="240" t="s">
        <v>231</v>
      </c>
      <c r="IK210" s="240" t="s">
        <v>231</v>
      </c>
      <c r="IL210" s="240" t="s">
        <v>231</v>
      </c>
      <c r="IM210" s="240" t="s">
        <v>231</v>
      </c>
      <c r="IN210" s="240" t="s">
        <v>231</v>
      </c>
      <c r="IO210" s="240" t="s">
        <v>220</v>
      </c>
      <c r="IP210" s="240" t="s">
        <v>493</v>
      </c>
      <c r="IQ210" s="240" t="s">
        <v>219</v>
      </c>
      <c r="IR210" s="240" t="s">
        <v>490</v>
      </c>
      <c r="IS210" s="240" t="s">
        <v>492</v>
      </c>
      <c r="IT210" s="240" t="s">
        <v>492</v>
      </c>
    </row>
    <row r="211" spans="1:254" ht="15" x14ac:dyDescent="0.25">
      <c r="A211" s="258" t="str">
        <f>HYPERLINK("http://www.ofsted.gov.uk/inspection-reports/find-inspection-report/provider/ELS/145849 ","Ofsted School Webpage")</f>
        <v>Ofsted School Webpage</v>
      </c>
      <c r="B211" s="237">
        <v>145849</v>
      </c>
      <c r="C211" s="237">
        <v>3046007</v>
      </c>
      <c r="D211" s="237" t="s">
        <v>1015</v>
      </c>
      <c r="E211" s="237" t="s">
        <v>248</v>
      </c>
      <c r="F211" s="237" t="s">
        <v>501</v>
      </c>
      <c r="G211" s="237" t="s">
        <v>506</v>
      </c>
      <c r="H211" s="237" t="s">
        <v>506</v>
      </c>
      <c r="I211" s="237" t="s">
        <v>543</v>
      </c>
      <c r="J211" s="237" t="s">
        <v>1016</v>
      </c>
      <c r="K211" s="237" t="s">
        <v>93</v>
      </c>
      <c r="L211" s="237" t="s">
        <v>93</v>
      </c>
      <c r="M211" s="237" t="s">
        <v>93</v>
      </c>
      <c r="N211" s="237" t="s">
        <v>90</v>
      </c>
      <c r="O211" s="237" t="s">
        <v>486</v>
      </c>
      <c r="P211" s="237" t="s">
        <v>487</v>
      </c>
      <c r="Q211" s="238">
        <v>10067221</v>
      </c>
      <c r="R211" s="239">
        <v>43501</v>
      </c>
      <c r="S211" s="239">
        <v>43503</v>
      </c>
      <c r="T211" s="239">
        <v>43538</v>
      </c>
      <c r="U211" s="237" t="s">
        <v>499</v>
      </c>
      <c r="V211" s="237" t="s">
        <v>489</v>
      </c>
      <c r="W211" s="237">
        <v>2</v>
      </c>
      <c r="X211" s="237">
        <v>2</v>
      </c>
      <c r="Y211" s="237">
        <v>2</v>
      </c>
      <c r="Z211" s="237">
        <v>2</v>
      </c>
      <c r="AA211" s="237">
        <v>2</v>
      </c>
      <c r="AB211" s="237" t="s">
        <v>486</v>
      </c>
      <c r="AC211" s="237" t="s">
        <v>486</v>
      </c>
      <c r="AD211" s="237" t="s">
        <v>219</v>
      </c>
      <c r="AE211" s="237" t="s">
        <v>490</v>
      </c>
      <c r="AF211" s="237" t="s">
        <v>486</v>
      </c>
      <c r="AG211" s="237" t="s">
        <v>486</v>
      </c>
      <c r="AH211" s="237" t="s">
        <v>486</v>
      </c>
      <c r="AI211" s="237" t="s">
        <v>486</v>
      </c>
      <c r="AJ211" s="237" t="s">
        <v>486</v>
      </c>
      <c r="AK211" s="237" t="s">
        <v>486</v>
      </c>
      <c r="AL211" s="237" t="s">
        <v>486</v>
      </c>
      <c r="AM211" s="237" t="s">
        <v>491</v>
      </c>
      <c r="AN211" s="237" t="s">
        <v>231</v>
      </c>
      <c r="AO211" s="237" t="s">
        <v>231</v>
      </c>
      <c r="AP211" s="237" t="s">
        <v>231</v>
      </c>
      <c r="AQ211" s="237" t="s">
        <v>231</v>
      </c>
      <c r="AR211" s="237" t="s">
        <v>231</v>
      </c>
      <c r="AS211" s="237" t="s">
        <v>231</v>
      </c>
      <c r="AT211" s="237" t="s">
        <v>231</v>
      </c>
      <c r="AU211" s="237" t="s">
        <v>231</v>
      </c>
      <c r="AV211" s="237" t="s">
        <v>231</v>
      </c>
      <c r="AW211" s="237" t="s">
        <v>231</v>
      </c>
      <c r="AX211" s="237" t="s">
        <v>231</v>
      </c>
      <c r="AY211" s="237" t="s">
        <v>231</v>
      </c>
      <c r="AZ211" s="237" t="s">
        <v>231</v>
      </c>
      <c r="BA211" s="237" t="s">
        <v>231</v>
      </c>
      <c r="BB211" s="237" t="s">
        <v>231</v>
      </c>
      <c r="BC211" s="237" t="s">
        <v>231</v>
      </c>
      <c r="BD211" s="237" t="s">
        <v>492</v>
      </c>
      <c r="BE211" s="237" t="s">
        <v>231</v>
      </c>
      <c r="BF211" s="237" t="s">
        <v>231</v>
      </c>
      <c r="BG211" s="237" t="s">
        <v>231</v>
      </c>
      <c r="BH211" s="237" t="s">
        <v>492</v>
      </c>
      <c r="BI211" s="237" t="s">
        <v>492</v>
      </c>
      <c r="BJ211" s="237" t="s">
        <v>492</v>
      </c>
      <c r="BK211" s="237" t="s">
        <v>492</v>
      </c>
      <c r="BL211" s="237" t="s">
        <v>492</v>
      </c>
      <c r="BM211" s="237" t="s">
        <v>492</v>
      </c>
      <c r="BN211" s="237" t="s">
        <v>231</v>
      </c>
      <c r="BO211" s="237" t="s">
        <v>231</v>
      </c>
      <c r="BP211" s="237" t="s">
        <v>231</v>
      </c>
      <c r="BQ211" s="237" t="s">
        <v>231</v>
      </c>
      <c r="BR211" s="237" t="s">
        <v>231</v>
      </c>
      <c r="BS211" s="237" t="s">
        <v>231</v>
      </c>
      <c r="BT211" s="237" t="s">
        <v>231</v>
      </c>
      <c r="BU211" s="237" t="s">
        <v>231</v>
      </c>
      <c r="BV211" s="237" t="s">
        <v>231</v>
      </c>
      <c r="BW211" s="237" t="s">
        <v>231</v>
      </c>
      <c r="BX211" s="237" t="s">
        <v>231</v>
      </c>
      <c r="BY211" s="237" t="s">
        <v>231</v>
      </c>
      <c r="BZ211" s="237" t="s">
        <v>231</v>
      </c>
      <c r="CA211" s="237" t="s">
        <v>231</v>
      </c>
      <c r="CB211" s="237" t="s">
        <v>231</v>
      </c>
      <c r="CC211" s="237" t="s">
        <v>231</v>
      </c>
      <c r="CD211" s="237" t="s">
        <v>231</v>
      </c>
      <c r="CE211" s="237" t="s">
        <v>231</v>
      </c>
      <c r="CF211" s="237" t="s">
        <v>231</v>
      </c>
      <c r="CG211" s="237" t="s">
        <v>231</v>
      </c>
      <c r="CH211" s="237" t="s">
        <v>231</v>
      </c>
      <c r="CI211" s="237" t="s">
        <v>231</v>
      </c>
      <c r="CJ211" s="237" t="s">
        <v>231</v>
      </c>
      <c r="CK211" s="237" t="s">
        <v>231</v>
      </c>
      <c r="CL211" s="237" t="s">
        <v>231</v>
      </c>
      <c r="CM211" s="237" t="s">
        <v>231</v>
      </c>
      <c r="CN211" s="237" t="s">
        <v>231</v>
      </c>
      <c r="CO211" s="237" t="s">
        <v>231</v>
      </c>
      <c r="CP211" s="237" t="s">
        <v>231</v>
      </c>
      <c r="CQ211" s="237" t="s">
        <v>231</v>
      </c>
      <c r="CR211" s="237" t="s">
        <v>231</v>
      </c>
      <c r="CS211" s="237" t="s">
        <v>231</v>
      </c>
      <c r="CT211" s="237" t="s">
        <v>492</v>
      </c>
      <c r="CU211" s="237" t="s">
        <v>492</v>
      </c>
      <c r="CV211" s="237" t="s">
        <v>492</v>
      </c>
      <c r="CW211" s="237" t="s">
        <v>231</v>
      </c>
      <c r="CX211" s="237" t="s">
        <v>231</v>
      </c>
      <c r="CY211" s="237" t="s">
        <v>231</v>
      </c>
      <c r="CZ211" s="237" t="s">
        <v>231</v>
      </c>
      <c r="DA211" s="237" t="s">
        <v>231</v>
      </c>
      <c r="DB211" s="237" t="s">
        <v>231</v>
      </c>
      <c r="DC211" s="237" t="s">
        <v>231</v>
      </c>
      <c r="DD211" s="237" t="s">
        <v>231</v>
      </c>
      <c r="DE211" s="237" t="s">
        <v>231</v>
      </c>
      <c r="DF211" s="237" t="s">
        <v>231</v>
      </c>
      <c r="DG211" s="237" t="s">
        <v>231</v>
      </c>
      <c r="DH211" s="237" t="s">
        <v>231</v>
      </c>
      <c r="DI211" s="237" t="s">
        <v>231</v>
      </c>
      <c r="DJ211" s="237" t="s">
        <v>231</v>
      </c>
      <c r="DK211" s="237" t="s">
        <v>231</v>
      </c>
      <c r="DL211" s="237" t="s">
        <v>231</v>
      </c>
      <c r="DM211" s="237" t="s">
        <v>231</v>
      </c>
      <c r="DN211" s="237" t="s">
        <v>231</v>
      </c>
      <c r="DO211" s="237" t="s">
        <v>231</v>
      </c>
      <c r="DP211" s="237" t="s">
        <v>231</v>
      </c>
      <c r="DQ211" s="237" t="s">
        <v>231</v>
      </c>
      <c r="DR211" s="237" t="s">
        <v>231</v>
      </c>
      <c r="DS211" s="237" t="s">
        <v>231</v>
      </c>
      <c r="DT211" s="237" t="s">
        <v>492</v>
      </c>
      <c r="DU211" s="237" t="s">
        <v>231</v>
      </c>
      <c r="DV211" s="237" t="s">
        <v>231</v>
      </c>
      <c r="DW211" s="237" t="s">
        <v>231</v>
      </c>
      <c r="DX211" s="237" t="s">
        <v>231</v>
      </c>
      <c r="DY211" s="237" t="s">
        <v>231</v>
      </c>
      <c r="DZ211" s="237" t="s">
        <v>231</v>
      </c>
      <c r="EA211" s="237" t="s">
        <v>231</v>
      </c>
      <c r="EB211" s="237" t="s">
        <v>231</v>
      </c>
      <c r="EC211" s="237" t="s">
        <v>231</v>
      </c>
      <c r="ED211" s="237" t="s">
        <v>231</v>
      </c>
      <c r="EE211" s="237" t="s">
        <v>231</v>
      </c>
      <c r="EF211" s="237" t="s">
        <v>231</v>
      </c>
      <c r="EG211" s="237" t="s">
        <v>231</v>
      </c>
      <c r="EH211" s="237" t="s">
        <v>492</v>
      </c>
      <c r="EI211" s="237" t="s">
        <v>231</v>
      </c>
      <c r="EJ211" s="237" t="s">
        <v>231</v>
      </c>
      <c r="EK211" s="237" t="s">
        <v>231</v>
      </c>
      <c r="EL211" s="237" t="s">
        <v>231</v>
      </c>
      <c r="EM211" s="237" t="s">
        <v>231</v>
      </c>
      <c r="EN211" s="237" t="s">
        <v>231</v>
      </c>
      <c r="EO211" s="237" t="s">
        <v>231</v>
      </c>
      <c r="EP211" s="237" t="s">
        <v>231</v>
      </c>
      <c r="EQ211" s="237" t="s">
        <v>231</v>
      </c>
      <c r="ER211" s="237" t="s">
        <v>231</v>
      </c>
      <c r="ES211" s="237" t="s">
        <v>231</v>
      </c>
      <c r="ET211" s="237" t="s">
        <v>231</v>
      </c>
      <c r="EU211" s="237" t="s">
        <v>231</v>
      </c>
      <c r="EV211" s="237" t="s">
        <v>231</v>
      </c>
      <c r="EW211" s="237" t="s">
        <v>231</v>
      </c>
      <c r="EX211" s="237" t="s">
        <v>231</v>
      </c>
      <c r="EY211" s="237" t="s">
        <v>231</v>
      </c>
      <c r="EZ211" s="237" t="s">
        <v>231</v>
      </c>
      <c r="FA211" s="237" t="s">
        <v>231</v>
      </c>
      <c r="FB211" s="237" t="s">
        <v>231</v>
      </c>
      <c r="FC211" s="237" t="s">
        <v>231</v>
      </c>
      <c r="FD211" s="237" t="s">
        <v>231</v>
      </c>
      <c r="FE211" s="237" t="s">
        <v>231</v>
      </c>
      <c r="FF211" s="237" t="s">
        <v>231</v>
      </c>
      <c r="FG211" s="237" t="s">
        <v>231</v>
      </c>
      <c r="FH211" s="237" t="s">
        <v>231</v>
      </c>
      <c r="FI211" s="237" t="s">
        <v>231</v>
      </c>
      <c r="FJ211" s="237" t="s">
        <v>231</v>
      </c>
      <c r="FK211" s="237" t="s">
        <v>231</v>
      </c>
      <c r="FL211" s="237" t="s">
        <v>231</v>
      </c>
      <c r="FM211" s="237" t="s">
        <v>231</v>
      </c>
      <c r="FN211" s="237" t="s">
        <v>231</v>
      </c>
      <c r="FO211" s="237" t="s">
        <v>231</v>
      </c>
      <c r="FP211" s="237" t="s">
        <v>231</v>
      </c>
      <c r="FQ211" s="237" t="s">
        <v>231</v>
      </c>
      <c r="FR211" s="237" t="s">
        <v>231</v>
      </c>
      <c r="FS211" s="237" t="s">
        <v>231</v>
      </c>
      <c r="FT211" s="237" t="s">
        <v>492</v>
      </c>
      <c r="FU211" s="237" t="s">
        <v>231</v>
      </c>
      <c r="FV211" s="237" t="s">
        <v>231</v>
      </c>
      <c r="FW211" s="237" t="s">
        <v>231</v>
      </c>
      <c r="FX211" s="237" t="s">
        <v>492</v>
      </c>
      <c r="FY211" s="237" t="s">
        <v>231</v>
      </c>
      <c r="FZ211" s="237" t="s">
        <v>231</v>
      </c>
      <c r="GA211" s="237" t="s">
        <v>231</v>
      </c>
      <c r="GB211" s="237" t="s">
        <v>231</v>
      </c>
      <c r="GC211" s="237" t="s">
        <v>231</v>
      </c>
      <c r="GD211" s="237" t="s">
        <v>231</v>
      </c>
      <c r="GE211" s="237" t="s">
        <v>231</v>
      </c>
      <c r="GF211" s="237" t="s">
        <v>231</v>
      </c>
      <c r="GG211" s="237" t="s">
        <v>231</v>
      </c>
      <c r="GH211" s="237" t="s">
        <v>231</v>
      </c>
      <c r="GI211" s="237" t="s">
        <v>231</v>
      </c>
      <c r="GJ211" s="237" t="s">
        <v>231</v>
      </c>
      <c r="GK211" s="237" t="s">
        <v>231</v>
      </c>
      <c r="GL211" s="237" t="s">
        <v>231</v>
      </c>
      <c r="GM211" s="237" t="s">
        <v>231</v>
      </c>
      <c r="GN211" s="237" t="s">
        <v>231</v>
      </c>
      <c r="GO211" s="237" t="s">
        <v>231</v>
      </c>
      <c r="GP211" s="237" t="s">
        <v>492</v>
      </c>
      <c r="GQ211" s="237" t="s">
        <v>231</v>
      </c>
      <c r="GR211" s="237" t="s">
        <v>231</v>
      </c>
      <c r="GS211" s="237" t="s">
        <v>231</v>
      </c>
      <c r="GT211" s="237" t="s">
        <v>231</v>
      </c>
      <c r="GU211" s="237" t="s">
        <v>492</v>
      </c>
      <c r="GV211" s="237" t="s">
        <v>492</v>
      </c>
      <c r="GW211" s="237" t="s">
        <v>231</v>
      </c>
      <c r="GX211" s="237" t="s">
        <v>231</v>
      </c>
      <c r="GY211" s="237" t="s">
        <v>231</v>
      </c>
      <c r="GZ211" s="237" t="s">
        <v>231</v>
      </c>
      <c r="HA211" s="237" t="s">
        <v>231</v>
      </c>
      <c r="HB211" s="237" t="s">
        <v>231</v>
      </c>
      <c r="HC211" s="237" t="s">
        <v>231</v>
      </c>
      <c r="HD211" s="237" t="s">
        <v>231</v>
      </c>
      <c r="HE211" s="237" t="s">
        <v>492</v>
      </c>
      <c r="HF211" s="237" t="s">
        <v>231</v>
      </c>
      <c r="HG211" s="237" t="s">
        <v>231</v>
      </c>
      <c r="HH211" s="237" t="s">
        <v>231</v>
      </c>
      <c r="HI211" s="237" t="s">
        <v>231</v>
      </c>
      <c r="HJ211" s="237" t="s">
        <v>231</v>
      </c>
      <c r="HK211" s="237" t="s">
        <v>231</v>
      </c>
      <c r="HL211" s="237" t="s">
        <v>231</v>
      </c>
      <c r="HM211" s="237" t="s">
        <v>231</v>
      </c>
      <c r="HN211" s="237" t="s">
        <v>231</v>
      </c>
      <c r="HO211" s="237" t="s">
        <v>231</v>
      </c>
      <c r="HP211" s="237" t="s">
        <v>492</v>
      </c>
      <c r="HQ211" s="237" t="s">
        <v>492</v>
      </c>
      <c r="HR211" s="237" t="s">
        <v>492</v>
      </c>
      <c r="HS211" s="237" t="s">
        <v>492</v>
      </c>
      <c r="HT211" s="237" t="s">
        <v>492</v>
      </c>
      <c r="HU211" s="237" t="s">
        <v>231</v>
      </c>
      <c r="HV211" s="237" t="s">
        <v>231</v>
      </c>
      <c r="HW211" s="237" t="s">
        <v>231</v>
      </c>
      <c r="HX211" s="237" t="s">
        <v>231</v>
      </c>
      <c r="HY211" s="237" t="s">
        <v>231</v>
      </c>
      <c r="HZ211" s="237" t="s">
        <v>231</v>
      </c>
      <c r="IA211" s="237" t="s">
        <v>231</v>
      </c>
      <c r="IB211" s="237" t="s">
        <v>231</v>
      </c>
      <c r="IC211" s="237" t="s">
        <v>231</v>
      </c>
      <c r="ID211" s="237" t="s">
        <v>231</v>
      </c>
      <c r="IE211" s="237" t="s">
        <v>231</v>
      </c>
      <c r="IF211" s="237" t="s">
        <v>231</v>
      </c>
      <c r="IG211" s="237" t="s">
        <v>231</v>
      </c>
      <c r="IH211" s="237" t="s">
        <v>231</v>
      </c>
      <c r="II211" s="237" t="s">
        <v>231</v>
      </c>
      <c r="IJ211" s="237" t="s">
        <v>231</v>
      </c>
      <c r="IK211" s="237" t="s">
        <v>231</v>
      </c>
      <c r="IL211" s="237" t="s">
        <v>231</v>
      </c>
      <c r="IM211" s="237" t="s">
        <v>231</v>
      </c>
      <c r="IN211" s="237" t="s">
        <v>231</v>
      </c>
      <c r="IO211" s="237" t="s">
        <v>220</v>
      </c>
      <c r="IP211" s="237" t="s">
        <v>493</v>
      </c>
      <c r="IQ211" s="237" t="s">
        <v>219</v>
      </c>
      <c r="IR211" s="237" t="s">
        <v>490</v>
      </c>
      <c r="IS211" s="237" t="s">
        <v>492</v>
      </c>
      <c r="IT211" s="237" t="s">
        <v>492</v>
      </c>
    </row>
    <row r="212" spans="1:254" ht="15" x14ac:dyDescent="0.25">
      <c r="A212" s="259" t="str">
        <f>HYPERLINK("http://www.ofsted.gov.uk/inspection-reports/find-inspection-report/provider/ELS/108109 ","Ofsted School Webpage")</f>
        <v>Ofsted School Webpage</v>
      </c>
      <c r="B212" s="240">
        <v>108109</v>
      </c>
      <c r="C212" s="240">
        <v>3836098</v>
      </c>
      <c r="D212" s="240" t="s">
        <v>1017</v>
      </c>
      <c r="E212" s="240" t="s">
        <v>247</v>
      </c>
      <c r="F212" s="240" t="s">
        <v>482</v>
      </c>
      <c r="G212" s="240" t="s">
        <v>523</v>
      </c>
      <c r="H212" s="240" t="s">
        <v>524</v>
      </c>
      <c r="I212" s="240" t="s">
        <v>702</v>
      </c>
      <c r="J212" s="240" t="s">
        <v>1018</v>
      </c>
      <c r="K212" s="240" t="s">
        <v>93</v>
      </c>
      <c r="L212" s="240" t="s">
        <v>71</v>
      </c>
      <c r="M212" s="240" t="s">
        <v>71</v>
      </c>
      <c r="N212" s="240" t="s">
        <v>71</v>
      </c>
      <c r="O212" s="240" t="s">
        <v>486</v>
      </c>
      <c r="P212" s="240" t="s">
        <v>487</v>
      </c>
      <c r="Q212" s="241">
        <v>10077924</v>
      </c>
      <c r="R212" s="242">
        <v>43501</v>
      </c>
      <c r="S212" s="242">
        <v>43503</v>
      </c>
      <c r="T212" s="242">
        <v>43531</v>
      </c>
      <c r="U212" s="240" t="s">
        <v>488</v>
      </c>
      <c r="V212" s="240" t="s">
        <v>489</v>
      </c>
      <c r="W212" s="240">
        <v>2</v>
      </c>
      <c r="X212" s="240">
        <v>2</v>
      </c>
      <c r="Y212" s="240">
        <v>1</v>
      </c>
      <c r="Z212" s="240">
        <v>2</v>
      </c>
      <c r="AA212" s="240">
        <v>2</v>
      </c>
      <c r="AB212" s="240">
        <v>2</v>
      </c>
      <c r="AC212" s="240" t="s">
        <v>486</v>
      </c>
      <c r="AD212" s="240" t="s">
        <v>219</v>
      </c>
      <c r="AE212" s="240" t="s">
        <v>490</v>
      </c>
      <c r="AF212" s="240" t="s">
        <v>486</v>
      </c>
      <c r="AG212" s="240" t="s">
        <v>486</v>
      </c>
      <c r="AH212" s="240" t="s">
        <v>486</v>
      </c>
      <c r="AI212" s="240" t="s">
        <v>486</v>
      </c>
      <c r="AJ212" s="240" t="s">
        <v>486</v>
      </c>
      <c r="AK212" s="240" t="s">
        <v>486</v>
      </c>
      <c r="AL212" s="240" t="s">
        <v>486</v>
      </c>
      <c r="AM212" s="240" t="s">
        <v>491</v>
      </c>
      <c r="AN212" s="240" t="s">
        <v>231</v>
      </c>
      <c r="AO212" s="240" t="s">
        <v>231</v>
      </c>
      <c r="AP212" s="240" t="s">
        <v>231</v>
      </c>
      <c r="AQ212" s="240" t="s">
        <v>231</v>
      </c>
      <c r="AR212" s="240" t="s">
        <v>231</v>
      </c>
      <c r="AS212" s="240" t="s">
        <v>231</v>
      </c>
      <c r="AT212" s="240" t="s">
        <v>231</v>
      </c>
      <c r="AU212" s="240" t="s">
        <v>231</v>
      </c>
      <c r="AV212" s="240" t="s">
        <v>231</v>
      </c>
      <c r="AW212" s="240" t="s">
        <v>231</v>
      </c>
      <c r="AX212" s="240" t="s">
        <v>231</v>
      </c>
      <c r="AY212" s="240" t="s">
        <v>231</v>
      </c>
      <c r="AZ212" s="240" t="s">
        <v>231</v>
      </c>
      <c r="BA212" s="240" t="s">
        <v>231</v>
      </c>
      <c r="BB212" s="240" t="s">
        <v>231</v>
      </c>
      <c r="BC212" s="240" t="s">
        <v>231</v>
      </c>
      <c r="BD212" s="240" t="s">
        <v>492</v>
      </c>
      <c r="BE212" s="240" t="s">
        <v>231</v>
      </c>
      <c r="BF212" s="240" t="s">
        <v>231</v>
      </c>
      <c r="BG212" s="240" t="s">
        <v>231</v>
      </c>
      <c r="BH212" s="240" t="s">
        <v>492</v>
      </c>
      <c r="BI212" s="240" t="s">
        <v>492</v>
      </c>
      <c r="BJ212" s="240" t="s">
        <v>492</v>
      </c>
      <c r="BK212" s="240" t="s">
        <v>492</v>
      </c>
      <c r="BL212" s="240" t="s">
        <v>231</v>
      </c>
      <c r="BM212" s="240" t="s">
        <v>492</v>
      </c>
      <c r="BN212" s="240" t="s">
        <v>231</v>
      </c>
      <c r="BO212" s="240" t="s">
        <v>231</v>
      </c>
      <c r="BP212" s="240" t="s">
        <v>231</v>
      </c>
      <c r="BQ212" s="240" t="s">
        <v>231</v>
      </c>
      <c r="BR212" s="240" t="s">
        <v>231</v>
      </c>
      <c r="BS212" s="240" t="s">
        <v>231</v>
      </c>
      <c r="BT212" s="240" t="s">
        <v>231</v>
      </c>
      <c r="BU212" s="240" t="s">
        <v>231</v>
      </c>
      <c r="BV212" s="240" t="s">
        <v>231</v>
      </c>
      <c r="BW212" s="240" t="s">
        <v>231</v>
      </c>
      <c r="BX212" s="240" t="s">
        <v>231</v>
      </c>
      <c r="BY212" s="240" t="s">
        <v>231</v>
      </c>
      <c r="BZ212" s="240" t="s">
        <v>231</v>
      </c>
      <c r="CA212" s="240" t="s">
        <v>231</v>
      </c>
      <c r="CB212" s="240" t="s">
        <v>231</v>
      </c>
      <c r="CC212" s="240" t="s">
        <v>231</v>
      </c>
      <c r="CD212" s="240" t="s">
        <v>231</v>
      </c>
      <c r="CE212" s="240" t="s">
        <v>231</v>
      </c>
      <c r="CF212" s="240" t="s">
        <v>231</v>
      </c>
      <c r="CG212" s="240" t="s">
        <v>231</v>
      </c>
      <c r="CH212" s="240" t="s">
        <v>231</v>
      </c>
      <c r="CI212" s="240" t="s">
        <v>231</v>
      </c>
      <c r="CJ212" s="240" t="s">
        <v>231</v>
      </c>
      <c r="CK212" s="240" t="s">
        <v>231</v>
      </c>
      <c r="CL212" s="240" t="s">
        <v>231</v>
      </c>
      <c r="CM212" s="240" t="s">
        <v>231</v>
      </c>
      <c r="CN212" s="240" t="s">
        <v>231</v>
      </c>
      <c r="CO212" s="240" t="s">
        <v>231</v>
      </c>
      <c r="CP212" s="240" t="s">
        <v>231</v>
      </c>
      <c r="CQ212" s="240" t="s">
        <v>231</v>
      </c>
      <c r="CR212" s="240" t="s">
        <v>231</v>
      </c>
      <c r="CS212" s="240" t="s">
        <v>231</v>
      </c>
      <c r="CT212" s="240" t="s">
        <v>492</v>
      </c>
      <c r="CU212" s="240" t="s">
        <v>492</v>
      </c>
      <c r="CV212" s="240" t="s">
        <v>492</v>
      </c>
      <c r="CW212" s="240" t="s">
        <v>231</v>
      </c>
      <c r="CX212" s="240" t="s">
        <v>231</v>
      </c>
      <c r="CY212" s="240" t="s">
        <v>231</v>
      </c>
      <c r="CZ212" s="240" t="s">
        <v>231</v>
      </c>
      <c r="DA212" s="240" t="s">
        <v>231</v>
      </c>
      <c r="DB212" s="240" t="s">
        <v>231</v>
      </c>
      <c r="DC212" s="240" t="s">
        <v>231</v>
      </c>
      <c r="DD212" s="240" t="s">
        <v>231</v>
      </c>
      <c r="DE212" s="240" t="s">
        <v>231</v>
      </c>
      <c r="DF212" s="240" t="s">
        <v>231</v>
      </c>
      <c r="DG212" s="240" t="s">
        <v>231</v>
      </c>
      <c r="DH212" s="240" t="s">
        <v>231</v>
      </c>
      <c r="DI212" s="240" t="s">
        <v>231</v>
      </c>
      <c r="DJ212" s="240" t="s">
        <v>231</v>
      </c>
      <c r="DK212" s="240" t="s">
        <v>231</v>
      </c>
      <c r="DL212" s="240" t="s">
        <v>231</v>
      </c>
      <c r="DM212" s="240" t="s">
        <v>231</v>
      </c>
      <c r="DN212" s="240" t="s">
        <v>231</v>
      </c>
      <c r="DO212" s="240" t="s">
        <v>231</v>
      </c>
      <c r="DP212" s="240" t="s">
        <v>231</v>
      </c>
      <c r="DQ212" s="240" t="s">
        <v>231</v>
      </c>
      <c r="DR212" s="240" t="s">
        <v>231</v>
      </c>
      <c r="DS212" s="240" t="s">
        <v>231</v>
      </c>
      <c r="DT212" s="240" t="s">
        <v>492</v>
      </c>
      <c r="DU212" s="240" t="s">
        <v>231</v>
      </c>
      <c r="DV212" s="240" t="s">
        <v>492</v>
      </c>
      <c r="DW212" s="240" t="s">
        <v>492</v>
      </c>
      <c r="DX212" s="240" t="s">
        <v>492</v>
      </c>
      <c r="DY212" s="240" t="s">
        <v>492</v>
      </c>
      <c r="DZ212" s="240" t="s">
        <v>492</v>
      </c>
      <c r="EA212" s="240" t="s">
        <v>492</v>
      </c>
      <c r="EB212" s="240" t="s">
        <v>492</v>
      </c>
      <c r="EC212" s="240" t="s">
        <v>492</v>
      </c>
      <c r="ED212" s="240" t="s">
        <v>492</v>
      </c>
      <c r="EE212" s="240" t="s">
        <v>492</v>
      </c>
      <c r="EF212" s="240" t="s">
        <v>492</v>
      </c>
      <c r="EG212" s="240" t="s">
        <v>492</v>
      </c>
      <c r="EH212" s="240" t="s">
        <v>492</v>
      </c>
      <c r="EI212" s="240" t="s">
        <v>492</v>
      </c>
      <c r="EJ212" s="240" t="s">
        <v>492</v>
      </c>
      <c r="EK212" s="240" t="s">
        <v>492</v>
      </c>
      <c r="EL212" s="240" t="s">
        <v>492</v>
      </c>
      <c r="EM212" s="240" t="s">
        <v>492</v>
      </c>
      <c r="EN212" s="240" t="s">
        <v>492</v>
      </c>
      <c r="EO212" s="240" t="s">
        <v>492</v>
      </c>
      <c r="EP212" s="240" t="s">
        <v>492</v>
      </c>
      <c r="EQ212" s="240" t="s">
        <v>492</v>
      </c>
      <c r="ER212" s="240" t="s">
        <v>492</v>
      </c>
      <c r="ES212" s="240" t="s">
        <v>231</v>
      </c>
      <c r="ET212" s="240" t="s">
        <v>231</v>
      </c>
      <c r="EU212" s="240" t="s">
        <v>231</v>
      </c>
      <c r="EV212" s="240" t="s">
        <v>231</v>
      </c>
      <c r="EW212" s="240" t="s">
        <v>231</v>
      </c>
      <c r="EX212" s="240" t="s">
        <v>231</v>
      </c>
      <c r="EY212" s="240" t="s">
        <v>231</v>
      </c>
      <c r="EZ212" s="240" t="s">
        <v>231</v>
      </c>
      <c r="FA212" s="240" t="s">
        <v>231</v>
      </c>
      <c r="FB212" s="240" t="s">
        <v>231</v>
      </c>
      <c r="FC212" s="240" t="s">
        <v>231</v>
      </c>
      <c r="FD212" s="240" t="s">
        <v>231</v>
      </c>
      <c r="FE212" s="240" t="s">
        <v>231</v>
      </c>
      <c r="FF212" s="240" t="s">
        <v>231</v>
      </c>
      <c r="FG212" s="240" t="s">
        <v>492</v>
      </c>
      <c r="FH212" s="240" t="s">
        <v>492</v>
      </c>
      <c r="FI212" s="240" t="s">
        <v>492</v>
      </c>
      <c r="FJ212" s="240" t="s">
        <v>492</v>
      </c>
      <c r="FK212" s="240" t="s">
        <v>492</v>
      </c>
      <c r="FL212" s="240" t="s">
        <v>492</v>
      </c>
      <c r="FM212" s="240" t="s">
        <v>492</v>
      </c>
      <c r="FN212" s="240" t="s">
        <v>492</v>
      </c>
      <c r="FO212" s="240" t="s">
        <v>493</v>
      </c>
      <c r="FP212" s="240" t="s">
        <v>492</v>
      </c>
      <c r="FQ212" s="240" t="s">
        <v>231</v>
      </c>
      <c r="FR212" s="240" t="s">
        <v>231</v>
      </c>
      <c r="FS212" s="240" t="s">
        <v>231</v>
      </c>
      <c r="FT212" s="240" t="s">
        <v>231</v>
      </c>
      <c r="FU212" s="240" t="s">
        <v>231</v>
      </c>
      <c r="FV212" s="240" t="s">
        <v>231</v>
      </c>
      <c r="FW212" s="240" t="s">
        <v>231</v>
      </c>
      <c r="FX212" s="240" t="s">
        <v>492</v>
      </c>
      <c r="FY212" s="240" t="s">
        <v>231</v>
      </c>
      <c r="FZ212" s="240" t="s">
        <v>231</v>
      </c>
      <c r="GA212" s="240" t="s">
        <v>231</v>
      </c>
      <c r="GB212" s="240" t="s">
        <v>231</v>
      </c>
      <c r="GC212" s="240" t="s">
        <v>231</v>
      </c>
      <c r="GD212" s="240" t="s">
        <v>231</v>
      </c>
      <c r="GE212" s="240" t="s">
        <v>231</v>
      </c>
      <c r="GF212" s="240" t="s">
        <v>231</v>
      </c>
      <c r="GG212" s="240" t="s">
        <v>231</v>
      </c>
      <c r="GH212" s="240" t="s">
        <v>231</v>
      </c>
      <c r="GI212" s="240" t="s">
        <v>231</v>
      </c>
      <c r="GJ212" s="240" t="s">
        <v>231</v>
      </c>
      <c r="GK212" s="240" t="s">
        <v>231</v>
      </c>
      <c r="GL212" s="240" t="s">
        <v>231</v>
      </c>
      <c r="GM212" s="240" t="s">
        <v>231</v>
      </c>
      <c r="GN212" s="240" t="s">
        <v>231</v>
      </c>
      <c r="GO212" s="240" t="s">
        <v>231</v>
      </c>
      <c r="GP212" s="240" t="s">
        <v>492</v>
      </c>
      <c r="GQ212" s="240" t="s">
        <v>231</v>
      </c>
      <c r="GR212" s="240" t="s">
        <v>231</v>
      </c>
      <c r="GS212" s="240" t="s">
        <v>231</v>
      </c>
      <c r="GT212" s="240" t="s">
        <v>231</v>
      </c>
      <c r="GU212" s="240" t="s">
        <v>231</v>
      </c>
      <c r="GV212" s="240" t="s">
        <v>492</v>
      </c>
      <c r="GW212" s="240" t="s">
        <v>231</v>
      </c>
      <c r="GX212" s="240" t="s">
        <v>231</v>
      </c>
      <c r="GY212" s="240" t="s">
        <v>492</v>
      </c>
      <c r="GZ212" s="240" t="s">
        <v>492</v>
      </c>
      <c r="HA212" s="240" t="s">
        <v>492</v>
      </c>
      <c r="HB212" s="240" t="s">
        <v>231</v>
      </c>
      <c r="HC212" s="240" t="s">
        <v>231</v>
      </c>
      <c r="HD212" s="240" t="s">
        <v>231</v>
      </c>
      <c r="HE212" s="240" t="s">
        <v>231</v>
      </c>
      <c r="HF212" s="240" t="s">
        <v>231</v>
      </c>
      <c r="HG212" s="240" t="s">
        <v>492</v>
      </c>
      <c r="HH212" s="240" t="s">
        <v>231</v>
      </c>
      <c r="HI212" s="240" t="s">
        <v>231</v>
      </c>
      <c r="HJ212" s="240" t="s">
        <v>231</v>
      </c>
      <c r="HK212" s="240" t="s">
        <v>231</v>
      </c>
      <c r="HL212" s="240" t="s">
        <v>231</v>
      </c>
      <c r="HM212" s="240" t="s">
        <v>231</v>
      </c>
      <c r="HN212" s="240" t="s">
        <v>231</v>
      </c>
      <c r="HO212" s="240" t="s">
        <v>231</v>
      </c>
      <c r="HP212" s="240" t="s">
        <v>231</v>
      </c>
      <c r="HQ212" s="240" t="s">
        <v>492</v>
      </c>
      <c r="HR212" s="240" t="s">
        <v>492</v>
      </c>
      <c r="HS212" s="240" t="s">
        <v>492</v>
      </c>
      <c r="HT212" s="240" t="s">
        <v>492</v>
      </c>
      <c r="HU212" s="240" t="s">
        <v>231</v>
      </c>
      <c r="HV212" s="240" t="s">
        <v>231</v>
      </c>
      <c r="HW212" s="240" t="s">
        <v>231</v>
      </c>
      <c r="HX212" s="240" t="s">
        <v>231</v>
      </c>
      <c r="HY212" s="240" t="s">
        <v>231</v>
      </c>
      <c r="HZ212" s="240" t="s">
        <v>231</v>
      </c>
      <c r="IA212" s="240" t="s">
        <v>231</v>
      </c>
      <c r="IB212" s="240" t="s">
        <v>231</v>
      </c>
      <c r="IC212" s="240" t="s">
        <v>231</v>
      </c>
      <c r="ID212" s="240" t="s">
        <v>231</v>
      </c>
      <c r="IE212" s="240" t="s">
        <v>231</v>
      </c>
      <c r="IF212" s="240" t="s">
        <v>231</v>
      </c>
      <c r="IG212" s="240" t="s">
        <v>231</v>
      </c>
      <c r="IH212" s="240" t="s">
        <v>231</v>
      </c>
      <c r="II212" s="240" t="s">
        <v>231</v>
      </c>
      <c r="IJ212" s="240" t="s">
        <v>232</v>
      </c>
      <c r="IK212" s="240" t="s">
        <v>231</v>
      </c>
      <c r="IL212" s="240" t="s">
        <v>231</v>
      </c>
      <c r="IM212" s="240" t="s">
        <v>231</v>
      </c>
      <c r="IN212" s="240" t="s">
        <v>231</v>
      </c>
      <c r="IO212" s="240" t="s">
        <v>220</v>
      </c>
      <c r="IP212" s="240" t="s">
        <v>493</v>
      </c>
      <c r="IQ212" s="240" t="s">
        <v>219</v>
      </c>
      <c r="IR212" s="240" t="s">
        <v>490</v>
      </c>
      <c r="IS212" s="240" t="s">
        <v>231</v>
      </c>
      <c r="IT212" s="240" t="s">
        <v>231</v>
      </c>
    </row>
    <row r="213" spans="1:254" ht="15" x14ac:dyDescent="0.25">
      <c r="A213" s="258" t="str">
        <f>HYPERLINK("http://www.ofsted.gov.uk/inspection-reports/find-inspection-report/provider/ELS/130855 ","Ofsted School Webpage")</f>
        <v>Ofsted School Webpage</v>
      </c>
      <c r="B213" s="237">
        <v>130855</v>
      </c>
      <c r="C213" s="237">
        <v>9356085</v>
      </c>
      <c r="D213" s="237" t="s">
        <v>1019</v>
      </c>
      <c r="E213" s="237" t="s">
        <v>248</v>
      </c>
      <c r="F213" s="237" t="s">
        <v>501</v>
      </c>
      <c r="G213" s="237" t="s">
        <v>516</v>
      </c>
      <c r="H213" s="237" t="s">
        <v>516</v>
      </c>
      <c r="I213" s="237" t="s">
        <v>937</v>
      </c>
      <c r="J213" s="237" t="s">
        <v>1020</v>
      </c>
      <c r="K213" s="237" t="s">
        <v>93</v>
      </c>
      <c r="L213" s="237" t="s">
        <v>93</v>
      </c>
      <c r="M213" s="237" t="s">
        <v>93</v>
      </c>
      <c r="N213" s="237" t="s">
        <v>90</v>
      </c>
      <c r="O213" s="237" t="s">
        <v>486</v>
      </c>
      <c r="P213" s="237" t="s">
        <v>487</v>
      </c>
      <c r="Q213" s="238">
        <v>10056560</v>
      </c>
      <c r="R213" s="239">
        <v>43501</v>
      </c>
      <c r="S213" s="239">
        <v>43503</v>
      </c>
      <c r="T213" s="239">
        <v>43538</v>
      </c>
      <c r="U213" s="237" t="s">
        <v>488</v>
      </c>
      <c r="V213" s="237" t="s">
        <v>489</v>
      </c>
      <c r="W213" s="237">
        <v>2</v>
      </c>
      <c r="X213" s="237">
        <v>2</v>
      </c>
      <c r="Y213" s="237">
        <v>2</v>
      </c>
      <c r="Z213" s="237">
        <v>2</v>
      </c>
      <c r="AA213" s="237">
        <v>2</v>
      </c>
      <c r="AB213" s="237" t="s">
        <v>486</v>
      </c>
      <c r="AC213" s="237" t="s">
        <v>486</v>
      </c>
      <c r="AD213" s="237" t="s">
        <v>219</v>
      </c>
      <c r="AE213" s="237" t="s">
        <v>490</v>
      </c>
      <c r="AF213" s="237" t="s">
        <v>486</v>
      </c>
      <c r="AG213" s="237" t="s">
        <v>486</v>
      </c>
      <c r="AH213" s="237" t="s">
        <v>486</v>
      </c>
      <c r="AI213" s="237" t="s">
        <v>486</v>
      </c>
      <c r="AJ213" s="237" t="s">
        <v>486</v>
      </c>
      <c r="AK213" s="237" t="s">
        <v>486</v>
      </c>
      <c r="AL213" s="237" t="s">
        <v>486</v>
      </c>
      <c r="AM213" s="237" t="s">
        <v>491</v>
      </c>
      <c r="AN213" s="237" t="s">
        <v>231</v>
      </c>
      <c r="AO213" s="237" t="s">
        <v>231</v>
      </c>
      <c r="AP213" s="237" t="s">
        <v>231</v>
      </c>
      <c r="AQ213" s="237" t="s">
        <v>231</v>
      </c>
      <c r="AR213" s="237" t="s">
        <v>231</v>
      </c>
      <c r="AS213" s="237" t="s">
        <v>231</v>
      </c>
      <c r="AT213" s="237" t="s">
        <v>231</v>
      </c>
      <c r="AU213" s="237" t="s">
        <v>231</v>
      </c>
      <c r="AV213" s="237" t="s">
        <v>231</v>
      </c>
      <c r="AW213" s="237" t="s">
        <v>231</v>
      </c>
      <c r="AX213" s="237" t="s">
        <v>231</v>
      </c>
      <c r="AY213" s="237" t="s">
        <v>231</v>
      </c>
      <c r="AZ213" s="237" t="s">
        <v>231</v>
      </c>
      <c r="BA213" s="237" t="s">
        <v>231</v>
      </c>
      <c r="BB213" s="237" t="s">
        <v>231</v>
      </c>
      <c r="BC213" s="237" t="s">
        <v>231</v>
      </c>
      <c r="BD213" s="237" t="s">
        <v>492</v>
      </c>
      <c r="BE213" s="237" t="s">
        <v>231</v>
      </c>
      <c r="BF213" s="237" t="s">
        <v>231</v>
      </c>
      <c r="BG213" s="237" t="s">
        <v>231</v>
      </c>
      <c r="BH213" s="237" t="s">
        <v>231</v>
      </c>
      <c r="BI213" s="237" t="s">
        <v>231</v>
      </c>
      <c r="BJ213" s="237" t="s">
        <v>231</v>
      </c>
      <c r="BK213" s="237" t="s">
        <v>231</v>
      </c>
      <c r="BL213" s="237" t="s">
        <v>492</v>
      </c>
      <c r="BM213" s="237" t="s">
        <v>492</v>
      </c>
      <c r="BN213" s="237" t="s">
        <v>231</v>
      </c>
      <c r="BO213" s="237" t="s">
        <v>231</v>
      </c>
      <c r="BP213" s="237" t="s">
        <v>231</v>
      </c>
      <c r="BQ213" s="237" t="s">
        <v>231</v>
      </c>
      <c r="BR213" s="237" t="s">
        <v>231</v>
      </c>
      <c r="BS213" s="237" t="s">
        <v>231</v>
      </c>
      <c r="BT213" s="237" t="s">
        <v>231</v>
      </c>
      <c r="BU213" s="237" t="s">
        <v>231</v>
      </c>
      <c r="BV213" s="237" t="s">
        <v>231</v>
      </c>
      <c r="BW213" s="237" t="s">
        <v>231</v>
      </c>
      <c r="BX213" s="237" t="s">
        <v>231</v>
      </c>
      <c r="BY213" s="237" t="s">
        <v>231</v>
      </c>
      <c r="BZ213" s="237" t="s">
        <v>231</v>
      </c>
      <c r="CA213" s="237" t="s">
        <v>231</v>
      </c>
      <c r="CB213" s="237" t="s">
        <v>231</v>
      </c>
      <c r="CC213" s="237" t="s">
        <v>231</v>
      </c>
      <c r="CD213" s="237" t="s">
        <v>231</v>
      </c>
      <c r="CE213" s="237" t="s">
        <v>231</v>
      </c>
      <c r="CF213" s="237" t="s">
        <v>231</v>
      </c>
      <c r="CG213" s="237" t="s">
        <v>231</v>
      </c>
      <c r="CH213" s="237" t="s">
        <v>231</v>
      </c>
      <c r="CI213" s="237" t="s">
        <v>231</v>
      </c>
      <c r="CJ213" s="237" t="s">
        <v>231</v>
      </c>
      <c r="CK213" s="237" t="s">
        <v>231</v>
      </c>
      <c r="CL213" s="237" t="s">
        <v>231</v>
      </c>
      <c r="CM213" s="237" t="s">
        <v>231</v>
      </c>
      <c r="CN213" s="237" t="s">
        <v>231</v>
      </c>
      <c r="CO213" s="237" t="s">
        <v>231</v>
      </c>
      <c r="CP213" s="237" t="s">
        <v>231</v>
      </c>
      <c r="CQ213" s="237" t="s">
        <v>231</v>
      </c>
      <c r="CR213" s="237" t="s">
        <v>231</v>
      </c>
      <c r="CS213" s="237" t="s">
        <v>231</v>
      </c>
      <c r="CT213" s="237" t="s">
        <v>492</v>
      </c>
      <c r="CU213" s="237" t="s">
        <v>492</v>
      </c>
      <c r="CV213" s="237" t="s">
        <v>492</v>
      </c>
      <c r="CW213" s="237" t="s">
        <v>231</v>
      </c>
      <c r="CX213" s="237" t="s">
        <v>231</v>
      </c>
      <c r="CY213" s="237" t="s">
        <v>231</v>
      </c>
      <c r="CZ213" s="237" t="s">
        <v>231</v>
      </c>
      <c r="DA213" s="237" t="s">
        <v>231</v>
      </c>
      <c r="DB213" s="237" t="s">
        <v>231</v>
      </c>
      <c r="DC213" s="237" t="s">
        <v>231</v>
      </c>
      <c r="DD213" s="237" t="s">
        <v>231</v>
      </c>
      <c r="DE213" s="237" t="s">
        <v>231</v>
      </c>
      <c r="DF213" s="237" t="s">
        <v>231</v>
      </c>
      <c r="DG213" s="237" t="s">
        <v>231</v>
      </c>
      <c r="DH213" s="237" t="s">
        <v>231</v>
      </c>
      <c r="DI213" s="237" t="s">
        <v>231</v>
      </c>
      <c r="DJ213" s="237" t="s">
        <v>231</v>
      </c>
      <c r="DK213" s="237" t="s">
        <v>231</v>
      </c>
      <c r="DL213" s="237" t="s">
        <v>231</v>
      </c>
      <c r="DM213" s="237" t="s">
        <v>231</v>
      </c>
      <c r="DN213" s="237" t="s">
        <v>231</v>
      </c>
      <c r="DO213" s="237" t="s">
        <v>231</v>
      </c>
      <c r="DP213" s="237" t="s">
        <v>231</v>
      </c>
      <c r="DQ213" s="237" t="s">
        <v>231</v>
      </c>
      <c r="DR213" s="237" t="s">
        <v>231</v>
      </c>
      <c r="DS213" s="237" t="s">
        <v>231</v>
      </c>
      <c r="DT213" s="237" t="s">
        <v>492</v>
      </c>
      <c r="DU213" s="237" t="s">
        <v>231</v>
      </c>
      <c r="DV213" s="237" t="s">
        <v>231</v>
      </c>
      <c r="DW213" s="237" t="s">
        <v>231</v>
      </c>
      <c r="DX213" s="237" t="s">
        <v>231</v>
      </c>
      <c r="DY213" s="237" t="s">
        <v>231</v>
      </c>
      <c r="DZ213" s="237" t="s">
        <v>231</v>
      </c>
      <c r="EA213" s="237" t="s">
        <v>231</v>
      </c>
      <c r="EB213" s="237" t="s">
        <v>231</v>
      </c>
      <c r="EC213" s="237" t="s">
        <v>231</v>
      </c>
      <c r="ED213" s="237" t="s">
        <v>231</v>
      </c>
      <c r="EE213" s="237" t="s">
        <v>231</v>
      </c>
      <c r="EF213" s="237" t="s">
        <v>231</v>
      </c>
      <c r="EG213" s="237" t="s">
        <v>231</v>
      </c>
      <c r="EH213" s="237" t="s">
        <v>492</v>
      </c>
      <c r="EI213" s="237" t="s">
        <v>231</v>
      </c>
      <c r="EJ213" s="237" t="s">
        <v>231</v>
      </c>
      <c r="EK213" s="237" t="s">
        <v>231</v>
      </c>
      <c r="EL213" s="237" t="s">
        <v>231</v>
      </c>
      <c r="EM213" s="237" t="s">
        <v>231</v>
      </c>
      <c r="EN213" s="237" t="s">
        <v>231</v>
      </c>
      <c r="EO213" s="237" t="s">
        <v>231</v>
      </c>
      <c r="EP213" s="237" t="s">
        <v>231</v>
      </c>
      <c r="EQ213" s="237" t="s">
        <v>231</v>
      </c>
      <c r="ER213" s="237" t="s">
        <v>231</v>
      </c>
      <c r="ES213" s="237" t="s">
        <v>231</v>
      </c>
      <c r="ET213" s="237" t="s">
        <v>231</v>
      </c>
      <c r="EU213" s="237" t="s">
        <v>231</v>
      </c>
      <c r="EV213" s="237" t="s">
        <v>231</v>
      </c>
      <c r="EW213" s="237" t="s">
        <v>231</v>
      </c>
      <c r="EX213" s="237" t="s">
        <v>231</v>
      </c>
      <c r="EY213" s="237" t="s">
        <v>231</v>
      </c>
      <c r="EZ213" s="237" t="s">
        <v>231</v>
      </c>
      <c r="FA213" s="237" t="s">
        <v>231</v>
      </c>
      <c r="FB213" s="237" t="s">
        <v>231</v>
      </c>
      <c r="FC213" s="237" t="s">
        <v>231</v>
      </c>
      <c r="FD213" s="237" t="s">
        <v>231</v>
      </c>
      <c r="FE213" s="237" t="s">
        <v>231</v>
      </c>
      <c r="FF213" s="237" t="s">
        <v>231</v>
      </c>
      <c r="FG213" s="237" t="s">
        <v>231</v>
      </c>
      <c r="FH213" s="237" t="s">
        <v>231</v>
      </c>
      <c r="FI213" s="237" t="s">
        <v>231</v>
      </c>
      <c r="FJ213" s="237" t="s">
        <v>231</v>
      </c>
      <c r="FK213" s="237" t="s">
        <v>231</v>
      </c>
      <c r="FL213" s="237" t="s">
        <v>231</v>
      </c>
      <c r="FM213" s="237" t="s">
        <v>231</v>
      </c>
      <c r="FN213" s="237" t="s">
        <v>231</v>
      </c>
      <c r="FO213" s="237" t="s">
        <v>231</v>
      </c>
      <c r="FP213" s="237" t="s">
        <v>231</v>
      </c>
      <c r="FQ213" s="237" t="s">
        <v>231</v>
      </c>
      <c r="FR213" s="237" t="s">
        <v>231</v>
      </c>
      <c r="FS213" s="237" t="s">
        <v>231</v>
      </c>
      <c r="FT213" s="237" t="s">
        <v>231</v>
      </c>
      <c r="FU213" s="237" t="s">
        <v>231</v>
      </c>
      <c r="FV213" s="237" t="s">
        <v>231</v>
      </c>
      <c r="FW213" s="237" t="s">
        <v>231</v>
      </c>
      <c r="FX213" s="237" t="s">
        <v>231</v>
      </c>
      <c r="FY213" s="237" t="s">
        <v>231</v>
      </c>
      <c r="FZ213" s="237" t="s">
        <v>231</v>
      </c>
      <c r="GA213" s="237" t="s">
        <v>231</v>
      </c>
      <c r="GB213" s="237" t="s">
        <v>231</v>
      </c>
      <c r="GC213" s="237" t="s">
        <v>231</v>
      </c>
      <c r="GD213" s="237" t="s">
        <v>231</v>
      </c>
      <c r="GE213" s="237" t="s">
        <v>231</v>
      </c>
      <c r="GF213" s="237" t="s">
        <v>231</v>
      </c>
      <c r="GG213" s="237" t="s">
        <v>231</v>
      </c>
      <c r="GH213" s="237" t="s">
        <v>231</v>
      </c>
      <c r="GI213" s="237" t="s">
        <v>231</v>
      </c>
      <c r="GJ213" s="237" t="s">
        <v>231</v>
      </c>
      <c r="GK213" s="237" t="s">
        <v>231</v>
      </c>
      <c r="GL213" s="237" t="s">
        <v>231</v>
      </c>
      <c r="GM213" s="237" t="s">
        <v>231</v>
      </c>
      <c r="GN213" s="237" t="s">
        <v>231</v>
      </c>
      <c r="GO213" s="237" t="s">
        <v>231</v>
      </c>
      <c r="GP213" s="237" t="s">
        <v>231</v>
      </c>
      <c r="GQ213" s="237" t="s">
        <v>231</v>
      </c>
      <c r="GR213" s="237" t="s">
        <v>231</v>
      </c>
      <c r="GS213" s="237" t="s">
        <v>231</v>
      </c>
      <c r="GT213" s="237" t="s">
        <v>231</v>
      </c>
      <c r="GU213" s="237" t="s">
        <v>231</v>
      </c>
      <c r="GV213" s="237" t="s">
        <v>231</v>
      </c>
      <c r="GW213" s="237" t="s">
        <v>231</v>
      </c>
      <c r="GX213" s="237" t="s">
        <v>231</v>
      </c>
      <c r="GY213" s="237" t="s">
        <v>231</v>
      </c>
      <c r="GZ213" s="237" t="s">
        <v>231</v>
      </c>
      <c r="HA213" s="237" t="s">
        <v>231</v>
      </c>
      <c r="HB213" s="237" t="s">
        <v>231</v>
      </c>
      <c r="HC213" s="237" t="s">
        <v>492</v>
      </c>
      <c r="HD213" s="237" t="s">
        <v>231</v>
      </c>
      <c r="HE213" s="237" t="s">
        <v>492</v>
      </c>
      <c r="HF213" s="237" t="s">
        <v>231</v>
      </c>
      <c r="HG213" s="237" t="s">
        <v>492</v>
      </c>
      <c r="HH213" s="237" t="s">
        <v>231</v>
      </c>
      <c r="HI213" s="237" t="s">
        <v>231</v>
      </c>
      <c r="HJ213" s="237" t="s">
        <v>231</v>
      </c>
      <c r="HK213" s="237" t="s">
        <v>231</v>
      </c>
      <c r="HL213" s="237" t="s">
        <v>231</v>
      </c>
      <c r="HM213" s="237" t="s">
        <v>231</v>
      </c>
      <c r="HN213" s="237" t="s">
        <v>231</v>
      </c>
      <c r="HO213" s="237" t="s">
        <v>231</v>
      </c>
      <c r="HP213" s="237" t="s">
        <v>231</v>
      </c>
      <c r="HQ213" s="237" t="s">
        <v>231</v>
      </c>
      <c r="HR213" s="237" t="s">
        <v>492</v>
      </c>
      <c r="HS213" s="237" t="s">
        <v>492</v>
      </c>
      <c r="HT213" s="237" t="s">
        <v>492</v>
      </c>
      <c r="HU213" s="237" t="s">
        <v>231</v>
      </c>
      <c r="HV213" s="237" t="s">
        <v>231</v>
      </c>
      <c r="HW213" s="237" t="s">
        <v>231</v>
      </c>
      <c r="HX213" s="237" t="s">
        <v>231</v>
      </c>
      <c r="HY213" s="237" t="s">
        <v>231</v>
      </c>
      <c r="HZ213" s="237" t="s">
        <v>231</v>
      </c>
      <c r="IA213" s="237" t="s">
        <v>231</v>
      </c>
      <c r="IB213" s="237" t="s">
        <v>231</v>
      </c>
      <c r="IC213" s="237" t="s">
        <v>231</v>
      </c>
      <c r="ID213" s="237" t="s">
        <v>231</v>
      </c>
      <c r="IE213" s="237" t="s">
        <v>231</v>
      </c>
      <c r="IF213" s="237" t="s">
        <v>231</v>
      </c>
      <c r="IG213" s="237" t="s">
        <v>231</v>
      </c>
      <c r="IH213" s="237" t="s">
        <v>231</v>
      </c>
      <c r="II213" s="237" t="s">
        <v>231</v>
      </c>
      <c r="IJ213" s="237" t="s">
        <v>231</v>
      </c>
      <c r="IK213" s="237" t="s">
        <v>231</v>
      </c>
      <c r="IL213" s="237" t="s">
        <v>231</v>
      </c>
      <c r="IM213" s="237" t="s">
        <v>231</v>
      </c>
      <c r="IN213" s="237" t="s">
        <v>231</v>
      </c>
      <c r="IO213" s="237" t="s">
        <v>220</v>
      </c>
      <c r="IP213" s="237" t="s">
        <v>493</v>
      </c>
      <c r="IQ213" s="237" t="s">
        <v>219</v>
      </c>
      <c r="IR213" s="237" t="s">
        <v>490</v>
      </c>
      <c r="IS213" s="237" t="s">
        <v>492</v>
      </c>
      <c r="IT213" s="237" t="s">
        <v>492</v>
      </c>
    </row>
    <row r="214" spans="1:254" ht="15" x14ac:dyDescent="0.25">
      <c r="A214" s="259" t="str">
        <f>HYPERLINK("http://www.ofsted.gov.uk/inspection-reports/find-inspection-report/provider/ELS/108307 ","Ofsted School Webpage")</f>
        <v>Ofsted School Webpage</v>
      </c>
      <c r="B214" s="240">
        <v>108307</v>
      </c>
      <c r="C214" s="240">
        <v>3846116</v>
      </c>
      <c r="D214" s="240" t="s">
        <v>1021</v>
      </c>
      <c r="E214" s="240" t="s">
        <v>247</v>
      </c>
      <c r="F214" s="240" t="s">
        <v>482</v>
      </c>
      <c r="G214" s="240" t="s">
        <v>523</v>
      </c>
      <c r="H214" s="240" t="s">
        <v>524</v>
      </c>
      <c r="I214" s="240" t="s">
        <v>525</v>
      </c>
      <c r="J214" s="240" t="s">
        <v>1022</v>
      </c>
      <c r="K214" s="240" t="s">
        <v>93</v>
      </c>
      <c r="L214" s="240" t="s">
        <v>74</v>
      </c>
      <c r="M214" s="240" t="s">
        <v>74</v>
      </c>
      <c r="N214" s="240" t="s">
        <v>71</v>
      </c>
      <c r="O214" s="240" t="s">
        <v>486</v>
      </c>
      <c r="P214" s="240" t="s">
        <v>487</v>
      </c>
      <c r="Q214" s="241">
        <v>10061239</v>
      </c>
      <c r="R214" s="242">
        <v>43501</v>
      </c>
      <c r="S214" s="242">
        <v>43503</v>
      </c>
      <c r="T214" s="242">
        <v>43531</v>
      </c>
      <c r="U214" s="240" t="s">
        <v>488</v>
      </c>
      <c r="V214" s="240" t="s">
        <v>489</v>
      </c>
      <c r="W214" s="240">
        <v>2</v>
      </c>
      <c r="X214" s="240">
        <v>2</v>
      </c>
      <c r="Y214" s="240">
        <v>1</v>
      </c>
      <c r="Z214" s="240">
        <v>2</v>
      </c>
      <c r="AA214" s="240">
        <v>2</v>
      </c>
      <c r="AB214" s="240">
        <v>2</v>
      </c>
      <c r="AC214" s="240" t="s">
        <v>486</v>
      </c>
      <c r="AD214" s="240" t="s">
        <v>219</v>
      </c>
      <c r="AE214" s="240" t="s">
        <v>490</v>
      </c>
      <c r="AF214" s="240" t="s">
        <v>486</v>
      </c>
      <c r="AG214" s="240" t="s">
        <v>486</v>
      </c>
      <c r="AH214" s="240" t="s">
        <v>486</v>
      </c>
      <c r="AI214" s="240" t="s">
        <v>486</v>
      </c>
      <c r="AJ214" s="240" t="s">
        <v>486</v>
      </c>
      <c r="AK214" s="240" t="s">
        <v>486</v>
      </c>
      <c r="AL214" s="240" t="s">
        <v>486</v>
      </c>
      <c r="AM214" s="240" t="s">
        <v>491</v>
      </c>
      <c r="AN214" s="240" t="s">
        <v>231</v>
      </c>
      <c r="AO214" s="240" t="s">
        <v>231</v>
      </c>
      <c r="AP214" s="240" t="s">
        <v>231</v>
      </c>
      <c r="AQ214" s="240" t="s">
        <v>231</v>
      </c>
      <c r="AR214" s="240" t="s">
        <v>231</v>
      </c>
      <c r="AS214" s="240" t="s">
        <v>231</v>
      </c>
      <c r="AT214" s="240" t="s">
        <v>231</v>
      </c>
      <c r="AU214" s="240" t="s">
        <v>231</v>
      </c>
      <c r="AV214" s="240" t="s">
        <v>231</v>
      </c>
      <c r="AW214" s="240" t="s">
        <v>231</v>
      </c>
      <c r="AX214" s="240" t="s">
        <v>231</v>
      </c>
      <c r="AY214" s="240" t="s">
        <v>231</v>
      </c>
      <c r="AZ214" s="240" t="s">
        <v>231</v>
      </c>
      <c r="BA214" s="240" t="s">
        <v>231</v>
      </c>
      <c r="BB214" s="240" t="s">
        <v>231</v>
      </c>
      <c r="BC214" s="240" t="s">
        <v>231</v>
      </c>
      <c r="BD214" s="240" t="s">
        <v>492</v>
      </c>
      <c r="BE214" s="240" t="s">
        <v>231</v>
      </c>
      <c r="BF214" s="240" t="s">
        <v>231</v>
      </c>
      <c r="BG214" s="240" t="s">
        <v>231</v>
      </c>
      <c r="BH214" s="240" t="s">
        <v>231</v>
      </c>
      <c r="BI214" s="240" t="s">
        <v>231</v>
      </c>
      <c r="BJ214" s="240" t="s">
        <v>231</v>
      </c>
      <c r="BK214" s="240" t="s">
        <v>231</v>
      </c>
      <c r="BL214" s="240" t="s">
        <v>231</v>
      </c>
      <c r="BM214" s="240" t="s">
        <v>492</v>
      </c>
      <c r="BN214" s="240" t="s">
        <v>231</v>
      </c>
      <c r="BO214" s="240" t="s">
        <v>231</v>
      </c>
      <c r="BP214" s="240" t="s">
        <v>231</v>
      </c>
      <c r="BQ214" s="240" t="s">
        <v>231</v>
      </c>
      <c r="BR214" s="240" t="s">
        <v>231</v>
      </c>
      <c r="BS214" s="240" t="s">
        <v>231</v>
      </c>
      <c r="BT214" s="240" t="s">
        <v>231</v>
      </c>
      <c r="BU214" s="240" t="s">
        <v>231</v>
      </c>
      <c r="BV214" s="240" t="s">
        <v>231</v>
      </c>
      <c r="BW214" s="240" t="s">
        <v>231</v>
      </c>
      <c r="BX214" s="240" t="s">
        <v>231</v>
      </c>
      <c r="BY214" s="240" t="s">
        <v>231</v>
      </c>
      <c r="BZ214" s="240" t="s">
        <v>231</v>
      </c>
      <c r="CA214" s="240" t="s">
        <v>231</v>
      </c>
      <c r="CB214" s="240" t="s">
        <v>231</v>
      </c>
      <c r="CC214" s="240" t="s">
        <v>231</v>
      </c>
      <c r="CD214" s="240" t="s">
        <v>231</v>
      </c>
      <c r="CE214" s="240" t="s">
        <v>231</v>
      </c>
      <c r="CF214" s="240" t="s">
        <v>231</v>
      </c>
      <c r="CG214" s="240" t="s">
        <v>231</v>
      </c>
      <c r="CH214" s="240" t="s">
        <v>231</v>
      </c>
      <c r="CI214" s="240" t="s">
        <v>231</v>
      </c>
      <c r="CJ214" s="240" t="s">
        <v>231</v>
      </c>
      <c r="CK214" s="240" t="s">
        <v>231</v>
      </c>
      <c r="CL214" s="240" t="s">
        <v>231</v>
      </c>
      <c r="CM214" s="240" t="s">
        <v>231</v>
      </c>
      <c r="CN214" s="240" t="s">
        <v>231</v>
      </c>
      <c r="CO214" s="240" t="s">
        <v>231</v>
      </c>
      <c r="CP214" s="240" t="s">
        <v>231</v>
      </c>
      <c r="CQ214" s="240" t="s">
        <v>231</v>
      </c>
      <c r="CR214" s="240" t="s">
        <v>231</v>
      </c>
      <c r="CS214" s="240" t="s">
        <v>231</v>
      </c>
      <c r="CT214" s="240" t="s">
        <v>492</v>
      </c>
      <c r="CU214" s="240" t="s">
        <v>492</v>
      </c>
      <c r="CV214" s="240" t="s">
        <v>492</v>
      </c>
      <c r="CW214" s="240" t="s">
        <v>231</v>
      </c>
      <c r="CX214" s="240" t="s">
        <v>231</v>
      </c>
      <c r="CY214" s="240" t="s">
        <v>231</v>
      </c>
      <c r="CZ214" s="240" t="s">
        <v>231</v>
      </c>
      <c r="DA214" s="240" t="s">
        <v>231</v>
      </c>
      <c r="DB214" s="240" t="s">
        <v>231</v>
      </c>
      <c r="DC214" s="240" t="s">
        <v>231</v>
      </c>
      <c r="DD214" s="240" t="s">
        <v>231</v>
      </c>
      <c r="DE214" s="240" t="s">
        <v>231</v>
      </c>
      <c r="DF214" s="240" t="s">
        <v>231</v>
      </c>
      <c r="DG214" s="240" t="s">
        <v>231</v>
      </c>
      <c r="DH214" s="240" t="s">
        <v>231</v>
      </c>
      <c r="DI214" s="240" t="s">
        <v>231</v>
      </c>
      <c r="DJ214" s="240" t="s">
        <v>231</v>
      </c>
      <c r="DK214" s="240" t="s">
        <v>231</v>
      </c>
      <c r="DL214" s="240" t="s">
        <v>231</v>
      </c>
      <c r="DM214" s="240" t="s">
        <v>231</v>
      </c>
      <c r="DN214" s="240" t="s">
        <v>231</v>
      </c>
      <c r="DO214" s="240" t="s">
        <v>231</v>
      </c>
      <c r="DP214" s="240" t="s">
        <v>231</v>
      </c>
      <c r="DQ214" s="240" t="s">
        <v>231</v>
      </c>
      <c r="DR214" s="240" t="s">
        <v>231</v>
      </c>
      <c r="DS214" s="240" t="s">
        <v>231</v>
      </c>
      <c r="DT214" s="240" t="s">
        <v>492</v>
      </c>
      <c r="DU214" s="240" t="s">
        <v>231</v>
      </c>
      <c r="DV214" s="240" t="s">
        <v>492</v>
      </c>
      <c r="DW214" s="240" t="s">
        <v>492</v>
      </c>
      <c r="DX214" s="240" t="s">
        <v>492</v>
      </c>
      <c r="DY214" s="240" t="s">
        <v>492</v>
      </c>
      <c r="DZ214" s="240" t="s">
        <v>492</v>
      </c>
      <c r="EA214" s="240" t="s">
        <v>492</v>
      </c>
      <c r="EB214" s="240" t="s">
        <v>492</v>
      </c>
      <c r="EC214" s="240" t="s">
        <v>492</v>
      </c>
      <c r="ED214" s="240" t="s">
        <v>492</v>
      </c>
      <c r="EE214" s="240" t="s">
        <v>492</v>
      </c>
      <c r="EF214" s="240" t="s">
        <v>492</v>
      </c>
      <c r="EG214" s="240" t="s">
        <v>492</v>
      </c>
      <c r="EH214" s="240" t="s">
        <v>492</v>
      </c>
      <c r="EI214" s="240" t="s">
        <v>492</v>
      </c>
      <c r="EJ214" s="240" t="s">
        <v>231</v>
      </c>
      <c r="EK214" s="240" t="s">
        <v>231</v>
      </c>
      <c r="EL214" s="240" t="s">
        <v>231</v>
      </c>
      <c r="EM214" s="240" t="s">
        <v>231</v>
      </c>
      <c r="EN214" s="240" t="s">
        <v>231</v>
      </c>
      <c r="EO214" s="240" t="s">
        <v>231</v>
      </c>
      <c r="EP214" s="240" t="s">
        <v>231</v>
      </c>
      <c r="EQ214" s="240" t="s">
        <v>231</v>
      </c>
      <c r="ER214" s="240" t="s">
        <v>231</v>
      </c>
      <c r="ES214" s="240" t="s">
        <v>231</v>
      </c>
      <c r="ET214" s="240" t="s">
        <v>231</v>
      </c>
      <c r="EU214" s="240" t="s">
        <v>231</v>
      </c>
      <c r="EV214" s="240" t="s">
        <v>231</v>
      </c>
      <c r="EW214" s="240" t="s">
        <v>231</v>
      </c>
      <c r="EX214" s="240" t="s">
        <v>231</v>
      </c>
      <c r="EY214" s="240" t="s">
        <v>231</v>
      </c>
      <c r="EZ214" s="240" t="s">
        <v>231</v>
      </c>
      <c r="FA214" s="240" t="s">
        <v>231</v>
      </c>
      <c r="FB214" s="240" t="s">
        <v>231</v>
      </c>
      <c r="FC214" s="240" t="s">
        <v>231</v>
      </c>
      <c r="FD214" s="240" t="s">
        <v>231</v>
      </c>
      <c r="FE214" s="240" t="s">
        <v>231</v>
      </c>
      <c r="FF214" s="240" t="s">
        <v>231</v>
      </c>
      <c r="FG214" s="240" t="s">
        <v>492</v>
      </c>
      <c r="FH214" s="240" t="s">
        <v>492</v>
      </c>
      <c r="FI214" s="240" t="s">
        <v>492</v>
      </c>
      <c r="FJ214" s="240" t="s">
        <v>492</v>
      </c>
      <c r="FK214" s="240" t="s">
        <v>492</v>
      </c>
      <c r="FL214" s="240" t="s">
        <v>492</v>
      </c>
      <c r="FM214" s="240" t="s">
        <v>492</v>
      </c>
      <c r="FN214" s="240" t="s">
        <v>492</v>
      </c>
      <c r="FO214" s="240" t="s">
        <v>493</v>
      </c>
      <c r="FP214" s="240" t="s">
        <v>492</v>
      </c>
      <c r="FQ214" s="240" t="s">
        <v>231</v>
      </c>
      <c r="FR214" s="240" t="s">
        <v>231</v>
      </c>
      <c r="FS214" s="240" t="s">
        <v>231</v>
      </c>
      <c r="FT214" s="240" t="s">
        <v>231</v>
      </c>
      <c r="FU214" s="240" t="s">
        <v>231</v>
      </c>
      <c r="FV214" s="240" t="s">
        <v>231</v>
      </c>
      <c r="FW214" s="240" t="s">
        <v>231</v>
      </c>
      <c r="FX214" s="240" t="s">
        <v>231</v>
      </c>
      <c r="FY214" s="240" t="s">
        <v>231</v>
      </c>
      <c r="FZ214" s="240" t="s">
        <v>231</v>
      </c>
      <c r="GA214" s="240" t="s">
        <v>231</v>
      </c>
      <c r="GB214" s="240" t="s">
        <v>231</v>
      </c>
      <c r="GC214" s="240" t="s">
        <v>231</v>
      </c>
      <c r="GD214" s="240" t="s">
        <v>231</v>
      </c>
      <c r="GE214" s="240" t="s">
        <v>231</v>
      </c>
      <c r="GF214" s="240" t="s">
        <v>231</v>
      </c>
      <c r="GG214" s="240" t="s">
        <v>231</v>
      </c>
      <c r="GH214" s="240" t="s">
        <v>231</v>
      </c>
      <c r="GI214" s="240" t="s">
        <v>231</v>
      </c>
      <c r="GJ214" s="240" t="s">
        <v>231</v>
      </c>
      <c r="GK214" s="240" t="s">
        <v>231</v>
      </c>
      <c r="GL214" s="240" t="s">
        <v>231</v>
      </c>
      <c r="GM214" s="240" t="s">
        <v>231</v>
      </c>
      <c r="GN214" s="240" t="s">
        <v>231</v>
      </c>
      <c r="GO214" s="240" t="s">
        <v>231</v>
      </c>
      <c r="GP214" s="240" t="s">
        <v>492</v>
      </c>
      <c r="GQ214" s="240" t="s">
        <v>231</v>
      </c>
      <c r="GR214" s="240" t="s">
        <v>231</v>
      </c>
      <c r="GS214" s="240" t="s">
        <v>231</v>
      </c>
      <c r="GT214" s="240" t="s">
        <v>231</v>
      </c>
      <c r="GU214" s="240" t="s">
        <v>231</v>
      </c>
      <c r="GV214" s="240" t="s">
        <v>231</v>
      </c>
      <c r="GW214" s="240" t="s">
        <v>231</v>
      </c>
      <c r="GX214" s="240" t="s">
        <v>231</v>
      </c>
      <c r="GY214" s="240" t="s">
        <v>492</v>
      </c>
      <c r="GZ214" s="240" t="s">
        <v>492</v>
      </c>
      <c r="HA214" s="240" t="s">
        <v>231</v>
      </c>
      <c r="HB214" s="240" t="s">
        <v>231</v>
      </c>
      <c r="HC214" s="240" t="s">
        <v>231</v>
      </c>
      <c r="HD214" s="240" t="s">
        <v>231</v>
      </c>
      <c r="HE214" s="240" t="s">
        <v>492</v>
      </c>
      <c r="HF214" s="240" t="s">
        <v>231</v>
      </c>
      <c r="HG214" s="240" t="s">
        <v>231</v>
      </c>
      <c r="HH214" s="240" t="s">
        <v>231</v>
      </c>
      <c r="HI214" s="240" t="s">
        <v>231</v>
      </c>
      <c r="HJ214" s="240" t="s">
        <v>231</v>
      </c>
      <c r="HK214" s="240" t="s">
        <v>231</v>
      </c>
      <c r="HL214" s="240" t="s">
        <v>231</v>
      </c>
      <c r="HM214" s="240" t="s">
        <v>231</v>
      </c>
      <c r="HN214" s="240" t="s">
        <v>231</v>
      </c>
      <c r="HO214" s="240" t="s">
        <v>231</v>
      </c>
      <c r="HP214" s="240" t="s">
        <v>231</v>
      </c>
      <c r="HQ214" s="240" t="s">
        <v>492</v>
      </c>
      <c r="HR214" s="240" t="s">
        <v>492</v>
      </c>
      <c r="HS214" s="240" t="s">
        <v>492</v>
      </c>
      <c r="HT214" s="240" t="s">
        <v>492</v>
      </c>
      <c r="HU214" s="240" t="s">
        <v>231</v>
      </c>
      <c r="HV214" s="240" t="s">
        <v>231</v>
      </c>
      <c r="HW214" s="240" t="s">
        <v>231</v>
      </c>
      <c r="HX214" s="240" t="s">
        <v>231</v>
      </c>
      <c r="HY214" s="240" t="s">
        <v>231</v>
      </c>
      <c r="HZ214" s="240" t="s">
        <v>231</v>
      </c>
      <c r="IA214" s="240" t="s">
        <v>231</v>
      </c>
      <c r="IB214" s="240" t="s">
        <v>231</v>
      </c>
      <c r="IC214" s="240" t="s">
        <v>231</v>
      </c>
      <c r="ID214" s="240" t="s">
        <v>231</v>
      </c>
      <c r="IE214" s="240" t="s">
        <v>231</v>
      </c>
      <c r="IF214" s="240" t="s">
        <v>231</v>
      </c>
      <c r="IG214" s="240" t="s">
        <v>231</v>
      </c>
      <c r="IH214" s="240" t="s">
        <v>231</v>
      </c>
      <c r="II214" s="240" t="s">
        <v>231</v>
      </c>
      <c r="IJ214" s="240" t="s">
        <v>231</v>
      </c>
      <c r="IK214" s="240" t="s">
        <v>231</v>
      </c>
      <c r="IL214" s="240" t="s">
        <v>231</v>
      </c>
      <c r="IM214" s="240" t="s">
        <v>231</v>
      </c>
      <c r="IN214" s="240" t="s">
        <v>231</v>
      </c>
      <c r="IO214" s="240" t="s">
        <v>220</v>
      </c>
      <c r="IP214" s="240" t="s">
        <v>493</v>
      </c>
      <c r="IQ214" s="240" t="s">
        <v>219</v>
      </c>
      <c r="IR214" s="240" t="s">
        <v>490</v>
      </c>
      <c r="IS214" s="240" t="s">
        <v>231</v>
      </c>
      <c r="IT214" s="240" t="s">
        <v>231</v>
      </c>
    </row>
    <row r="215" spans="1:254" ht="15" x14ac:dyDescent="0.25">
      <c r="A215" s="258" t="str">
        <f>HYPERLINK("http://www.ofsted.gov.uk/inspection-reports/find-inspection-report/provider/ELS/107794 ","Ofsted School Webpage")</f>
        <v>Ofsted School Webpage</v>
      </c>
      <c r="B215" s="237">
        <v>107794</v>
      </c>
      <c r="C215" s="237">
        <v>3826017</v>
      </c>
      <c r="D215" s="237" t="s">
        <v>1023</v>
      </c>
      <c r="E215" s="237" t="s">
        <v>247</v>
      </c>
      <c r="F215" s="237" t="s">
        <v>482</v>
      </c>
      <c r="G215" s="237" t="s">
        <v>523</v>
      </c>
      <c r="H215" s="237" t="s">
        <v>524</v>
      </c>
      <c r="I215" s="237" t="s">
        <v>767</v>
      </c>
      <c r="J215" s="237" t="s">
        <v>1024</v>
      </c>
      <c r="K215" s="237" t="s">
        <v>93</v>
      </c>
      <c r="L215" s="237" t="s">
        <v>84</v>
      </c>
      <c r="M215" s="237" t="s">
        <v>84</v>
      </c>
      <c r="N215" s="237" t="s">
        <v>84</v>
      </c>
      <c r="O215" s="237" t="s">
        <v>486</v>
      </c>
      <c r="P215" s="237" t="s">
        <v>487</v>
      </c>
      <c r="Q215" s="238">
        <v>10061230</v>
      </c>
      <c r="R215" s="239">
        <v>43501</v>
      </c>
      <c r="S215" s="239">
        <v>43503</v>
      </c>
      <c r="T215" s="239">
        <v>43535</v>
      </c>
      <c r="U215" s="237" t="s">
        <v>488</v>
      </c>
      <c r="V215" s="237" t="s">
        <v>489</v>
      </c>
      <c r="W215" s="237">
        <v>2</v>
      </c>
      <c r="X215" s="237">
        <v>2</v>
      </c>
      <c r="Y215" s="237">
        <v>2</v>
      </c>
      <c r="Z215" s="237">
        <v>2</v>
      </c>
      <c r="AA215" s="237">
        <v>2</v>
      </c>
      <c r="AB215" s="237">
        <v>2</v>
      </c>
      <c r="AC215" s="237" t="s">
        <v>486</v>
      </c>
      <c r="AD215" s="237" t="s">
        <v>219</v>
      </c>
      <c r="AE215" s="237" t="s">
        <v>512</v>
      </c>
      <c r="AF215" s="237" t="s">
        <v>486</v>
      </c>
      <c r="AG215" s="237" t="s">
        <v>486</v>
      </c>
      <c r="AH215" s="237" t="s">
        <v>486</v>
      </c>
      <c r="AI215" s="237" t="s">
        <v>486</v>
      </c>
      <c r="AJ215" s="237" t="s">
        <v>486</v>
      </c>
      <c r="AK215" s="237" t="s">
        <v>486</v>
      </c>
      <c r="AL215" s="237" t="s">
        <v>486</v>
      </c>
      <c r="AM215" s="237" t="s">
        <v>491</v>
      </c>
      <c r="AN215" s="237" t="s">
        <v>231</v>
      </c>
      <c r="AO215" s="237" t="s">
        <v>231</v>
      </c>
      <c r="AP215" s="237" t="s">
        <v>231</v>
      </c>
      <c r="AQ215" s="237" t="s">
        <v>231</v>
      </c>
      <c r="AR215" s="237" t="s">
        <v>231</v>
      </c>
      <c r="AS215" s="237" t="s">
        <v>231</v>
      </c>
      <c r="AT215" s="237" t="s">
        <v>231</v>
      </c>
      <c r="AU215" s="237" t="s">
        <v>231</v>
      </c>
      <c r="AV215" s="237" t="s">
        <v>231</v>
      </c>
      <c r="AW215" s="237" t="s">
        <v>231</v>
      </c>
      <c r="AX215" s="237" t="s">
        <v>231</v>
      </c>
      <c r="AY215" s="237" t="s">
        <v>231</v>
      </c>
      <c r="AZ215" s="237" t="s">
        <v>231</v>
      </c>
      <c r="BA215" s="237" t="s">
        <v>231</v>
      </c>
      <c r="BB215" s="237" t="s">
        <v>231</v>
      </c>
      <c r="BC215" s="237" t="s">
        <v>231</v>
      </c>
      <c r="BD215" s="237" t="s">
        <v>492</v>
      </c>
      <c r="BE215" s="237" t="s">
        <v>231</v>
      </c>
      <c r="BF215" s="237" t="s">
        <v>231</v>
      </c>
      <c r="BG215" s="237" t="s">
        <v>231</v>
      </c>
      <c r="BH215" s="237" t="s">
        <v>231</v>
      </c>
      <c r="BI215" s="237" t="s">
        <v>231</v>
      </c>
      <c r="BJ215" s="237" t="s">
        <v>231</v>
      </c>
      <c r="BK215" s="237" t="s">
        <v>231</v>
      </c>
      <c r="BL215" s="237" t="s">
        <v>231</v>
      </c>
      <c r="BM215" s="237" t="s">
        <v>492</v>
      </c>
      <c r="BN215" s="237" t="s">
        <v>231</v>
      </c>
      <c r="BO215" s="237" t="s">
        <v>231</v>
      </c>
      <c r="BP215" s="237" t="s">
        <v>231</v>
      </c>
      <c r="BQ215" s="237" t="s">
        <v>231</v>
      </c>
      <c r="BR215" s="237" t="s">
        <v>231</v>
      </c>
      <c r="BS215" s="237" t="s">
        <v>231</v>
      </c>
      <c r="BT215" s="237" t="s">
        <v>231</v>
      </c>
      <c r="BU215" s="237" t="s">
        <v>231</v>
      </c>
      <c r="BV215" s="237" t="s">
        <v>231</v>
      </c>
      <c r="BW215" s="237" t="s">
        <v>231</v>
      </c>
      <c r="BX215" s="237" t="s">
        <v>231</v>
      </c>
      <c r="BY215" s="237" t="s">
        <v>231</v>
      </c>
      <c r="BZ215" s="237" t="s">
        <v>231</v>
      </c>
      <c r="CA215" s="237" t="s">
        <v>231</v>
      </c>
      <c r="CB215" s="237" t="s">
        <v>231</v>
      </c>
      <c r="CC215" s="237" t="s">
        <v>231</v>
      </c>
      <c r="CD215" s="237" t="s">
        <v>231</v>
      </c>
      <c r="CE215" s="237" t="s">
        <v>231</v>
      </c>
      <c r="CF215" s="237" t="s">
        <v>231</v>
      </c>
      <c r="CG215" s="237" t="s">
        <v>231</v>
      </c>
      <c r="CH215" s="237" t="s">
        <v>231</v>
      </c>
      <c r="CI215" s="237" t="s">
        <v>231</v>
      </c>
      <c r="CJ215" s="237" t="s">
        <v>231</v>
      </c>
      <c r="CK215" s="237" t="s">
        <v>231</v>
      </c>
      <c r="CL215" s="237" t="s">
        <v>231</v>
      </c>
      <c r="CM215" s="237" t="s">
        <v>231</v>
      </c>
      <c r="CN215" s="237" t="s">
        <v>231</v>
      </c>
      <c r="CO215" s="237" t="s">
        <v>231</v>
      </c>
      <c r="CP215" s="237" t="s">
        <v>231</v>
      </c>
      <c r="CQ215" s="237" t="s">
        <v>231</v>
      </c>
      <c r="CR215" s="237" t="s">
        <v>231</v>
      </c>
      <c r="CS215" s="237" t="s">
        <v>231</v>
      </c>
      <c r="CT215" s="237" t="s">
        <v>231</v>
      </c>
      <c r="CU215" s="237" t="s">
        <v>492</v>
      </c>
      <c r="CV215" s="237" t="s">
        <v>492</v>
      </c>
      <c r="CW215" s="237" t="s">
        <v>231</v>
      </c>
      <c r="CX215" s="237" t="s">
        <v>231</v>
      </c>
      <c r="CY215" s="237" t="s">
        <v>231</v>
      </c>
      <c r="CZ215" s="237" t="s">
        <v>231</v>
      </c>
      <c r="DA215" s="237" t="s">
        <v>231</v>
      </c>
      <c r="DB215" s="237" t="s">
        <v>231</v>
      </c>
      <c r="DC215" s="237" t="s">
        <v>231</v>
      </c>
      <c r="DD215" s="237" t="s">
        <v>231</v>
      </c>
      <c r="DE215" s="237" t="s">
        <v>231</v>
      </c>
      <c r="DF215" s="237" t="s">
        <v>231</v>
      </c>
      <c r="DG215" s="237" t="s">
        <v>231</v>
      </c>
      <c r="DH215" s="237" t="s">
        <v>231</v>
      </c>
      <c r="DI215" s="237" t="s">
        <v>231</v>
      </c>
      <c r="DJ215" s="237" t="s">
        <v>231</v>
      </c>
      <c r="DK215" s="237" t="s">
        <v>231</v>
      </c>
      <c r="DL215" s="237" t="s">
        <v>231</v>
      </c>
      <c r="DM215" s="237" t="s">
        <v>231</v>
      </c>
      <c r="DN215" s="237" t="s">
        <v>231</v>
      </c>
      <c r="DO215" s="237" t="s">
        <v>231</v>
      </c>
      <c r="DP215" s="237" t="s">
        <v>231</v>
      </c>
      <c r="DQ215" s="237" t="s">
        <v>231</v>
      </c>
      <c r="DR215" s="237" t="s">
        <v>231</v>
      </c>
      <c r="DS215" s="237" t="s">
        <v>492</v>
      </c>
      <c r="DT215" s="237" t="s">
        <v>492</v>
      </c>
      <c r="DU215" s="237" t="s">
        <v>231</v>
      </c>
      <c r="DV215" s="237" t="s">
        <v>492</v>
      </c>
      <c r="DW215" s="237" t="s">
        <v>492</v>
      </c>
      <c r="DX215" s="237" t="s">
        <v>492</v>
      </c>
      <c r="DY215" s="237" t="s">
        <v>492</v>
      </c>
      <c r="DZ215" s="237" t="s">
        <v>492</v>
      </c>
      <c r="EA215" s="237" t="s">
        <v>492</v>
      </c>
      <c r="EB215" s="237" t="s">
        <v>492</v>
      </c>
      <c r="EC215" s="237" t="s">
        <v>492</v>
      </c>
      <c r="ED215" s="237" t="s">
        <v>492</v>
      </c>
      <c r="EE215" s="237" t="s">
        <v>492</v>
      </c>
      <c r="EF215" s="237" t="s">
        <v>492</v>
      </c>
      <c r="EG215" s="237" t="s">
        <v>492</v>
      </c>
      <c r="EH215" s="237" t="s">
        <v>492</v>
      </c>
      <c r="EI215" s="237" t="s">
        <v>492</v>
      </c>
      <c r="EJ215" s="237" t="s">
        <v>231</v>
      </c>
      <c r="EK215" s="237" t="s">
        <v>231</v>
      </c>
      <c r="EL215" s="237" t="s">
        <v>231</v>
      </c>
      <c r="EM215" s="237" t="s">
        <v>231</v>
      </c>
      <c r="EN215" s="237" t="s">
        <v>231</v>
      </c>
      <c r="EO215" s="237" t="s">
        <v>231</v>
      </c>
      <c r="EP215" s="237" t="s">
        <v>231</v>
      </c>
      <c r="EQ215" s="237" t="s">
        <v>492</v>
      </c>
      <c r="ER215" s="237" t="s">
        <v>231</v>
      </c>
      <c r="ES215" s="237" t="s">
        <v>231</v>
      </c>
      <c r="ET215" s="237" t="s">
        <v>231</v>
      </c>
      <c r="EU215" s="237" t="s">
        <v>231</v>
      </c>
      <c r="EV215" s="237" t="s">
        <v>231</v>
      </c>
      <c r="EW215" s="237" t="s">
        <v>231</v>
      </c>
      <c r="EX215" s="237" t="s">
        <v>231</v>
      </c>
      <c r="EY215" s="237" t="s">
        <v>231</v>
      </c>
      <c r="EZ215" s="237" t="s">
        <v>231</v>
      </c>
      <c r="FA215" s="237" t="s">
        <v>231</v>
      </c>
      <c r="FB215" s="237" t="s">
        <v>231</v>
      </c>
      <c r="FC215" s="237" t="s">
        <v>231</v>
      </c>
      <c r="FD215" s="237" t="s">
        <v>231</v>
      </c>
      <c r="FE215" s="237" t="s">
        <v>231</v>
      </c>
      <c r="FF215" s="237" t="s">
        <v>231</v>
      </c>
      <c r="FG215" s="237" t="s">
        <v>231</v>
      </c>
      <c r="FH215" s="237" t="s">
        <v>231</v>
      </c>
      <c r="FI215" s="237" t="s">
        <v>492</v>
      </c>
      <c r="FJ215" s="237" t="s">
        <v>492</v>
      </c>
      <c r="FK215" s="237" t="s">
        <v>492</v>
      </c>
      <c r="FL215" s="237" t="s">
        <v>492</v>
      </c>
      <c r="FM215" s="237" t="s">
        <v>231</v>
      </c>
      <c r="FN215" s="237" t="s">
        <v>231</v>
      </c>
      <c r="FO215" s="237" t="s">
        <v>231</v>
      </c>
      <c r="FP215" s="237" t="s">
        <v>231</v>
      </c>
      <c r="FQ215" s="237" t="s">
        <v>231</v>
      </c>
      <c r="FR215" s="237" t="s">
        <v>231</v>
      </c>
      <c r="FS215" s="237" t="s">
        <v>231</v>
      </c>
      <c r="FT215" s="237" t="s">
        <v>231</v>
      </c>
      <c r="FU215" s="237" t="s">
        <v>231</v>
      </c>
      <c r="FV215" s="237" t="s">
        <v>231</v>
      </c>
      <c r="FW215" s="237" t="s">
        <v>231</v>
      </c>
      <c r="FX215" s="237" t="s">
        <v>492</v>
      </c>
      <c r="FY215" s="237" t="s">
        <v>231</v>
      </c>
      <c r="FZ215" s="237" t="s">
        <v>231</v>
      </c>
      <c r="GA215" s="237" t="s">
        <v>231</v>
      </c>
      <c r="GB215" s="237" t="s">
        <v>231</v>
      </c>
      <c r="GC215" s="237" t="s">
        <v>231</v>
      </c>
      <c r="GD215" s="237" t="s">
        <v>231</v>
      </c>
      <c r="GE215" s="237" t="s">
        <v>231</v>
      </c>
      <c r="GF215" s="237" t="s">
        <v>231</v>
      </c>
      <c r="GG215" s="237" t="s">
        <v>231</v>
      </c>
      <c r="GH215" s="237" t="s">
        <v>231</v>
      </c>
      <c r="GI215" s="237" t="s">
        <v>231</v>
      </c>
      <c r="GJ215" s="237" t="s">
        <v>231</v>
      </c>
      <c r="GK215" s="237" t="s">
        <v>231</v>
      </c>
      <c r="GL215" s="237" t="s">
        <v>231</v>
      </c>
      <c r="GM215" s="237" t="s">
        <v>231</v>
      </c>
      <c r="GN215" s="237" t="s">
        <v>231</v>
      </c>
      <c r="GO215" s="237" t="s">
        <v>231</v>
      </c>
      <c r="GP215" s="237" t="s">
        <v>492</v>
      </c>
      <c r="GQ215" s="237" t="s">
        <v>231</v>
      </c>
      <c r="GR215" s="237" t="s">
        <v>231</v>
      </c>
      <c r="GS215" s="237" t="s">
        <v>231</v>
      </c>
      <c r="GT215" s="237" t="s">
        <v>231</v>
      </c>
      <c r="GU215" s="237" t="s">
        <v>231</v>
      </c>
      <c r="GV215" s="237" t="s">
        <v>231</v>
      </c>
      <c r="GW215" s="237" t="s">
        <v>231</v>
      </c>
      <c r="GX215" s="237" t="s">
        <v>231</v>
      </c>
      <c r="GY215" s="237" t="s">
        <v>492</v>
      </c>
      <c r="GZ215" s="237" t="s">
        <v>492</v>
      </c>
      <c r="HA215" s="237" t="s">
        <v>231</v>
      </c>
      <c r="HB215" s="237" t="s">
        <v>231</v>
      </c>
      <c r="HC215" s="237" t="s">
        <v>231</v>
      </c>
      <c r="HD215" s="237" t="s">
        <v>231</v>
      </c>
      <c r="HE215" s="237" t="s">
        <v>492</v>
      </c>
      <c r="HF215" s="237" t="s">
        <v>231</v>
      </c>
      <c r="HG215" s="237" t="s">
        <v>231</v>
      </c>
      <c r="HH215" s="237" t="s">
        <v>231</v>
      </c>
      <c r="HI215" s="237" t="s">
        <v>231</v>
      </c>
      <c r="HJ215" s="237" t="s">
        <v>231</v>
      </c>
      <c r="HK215" s="237" t="s">
        <v>231</v>
      </c>
      <c r="HL215" s="237" t="s">
        <v>231</v>
      </c>
      <c r="HM215" s="237" t="s">
        <v>231</v>
      </c>
      <c r="HN215" s="237" t="s">
        <v>231</v>
      </c>
      <c r="HO215" s="237" t="s">
        <v>231</v>
      </c>
      <c r="HP215" s="237" t="s">
        <v>231</v>
      </c>
      <c r="HQ215" s="237" t="s">
        <v>231</v>
      </c>
      <c r="HR215" s="237" t="s">
        <v>492</v>
      </c>
      <c r="HS215" s="237" t="s">
        <v>492</v>
      </c>
      <c r="HT215" s="237" t="s">
        <v>492</v>
      </c>
      <c r="HU215" s="237" t="s">
        <v>231</v>
      </c>
      <c r="HV215" s="237" t="s">
        <v>231</v>
      </c>
      <c r="HW215" s="237" t="s">
        <v>231</v>
      </c>
      <c r="HX215" s="237" t="s">
        <v>231</v>
      </c>
      <c r="HY215" s="237" t="s">
        <v>231</v>
      </c>
      <c r="HZ215" s="237" t="s">
        <v>231</v>
      </c>
      <c r="IA215" s="237" t="s">
        <v>231</v>
      </c>
      <c r="IB215" s="237" t="s">
        <v>231</v>
      </c>
      <c r="IC215" s="237" t="s">
        <v>231</v>
      </c>
      <c r="ID215" s="237" t="s">
        <v>231</v>
      </c>
      <c r="IE215" s="237" t="s">
        <v>231</v>
      </c>
      <c r="IF215" s="237" t="s">
        <v>231</v>
      </c>
      <c r="IG215" s="237" t="s">
        <v>231</v>
      </c>
      <c r="IH215" s="237" t="s">
        <v>231</v>
      </c>
      <c r="II215" s="237" t="s">
        <v>231</v>
      </c>
      <c r="IJ215" s="237" t="s">
        <v>231</v>
      </c>
      <c r="IK215" s="237" t="s">
        <v>231</v>
      </c>
      <c r="IL215" s="237" t="s">
        <v>231</v>
      </c>
      <c r="IM215" s="237" t="s">
        <v>231</v>
      </c>
      <c r="IN215" s="237" t="s">
        <v>231</v>
      </c>
      <c r="IO215" s="237" t="s">
        <v>220</v>
      </c>
      <c r="IP215" s="237" t="s">
        <v>493</v>
      </c>
      <c r="IQ215" s="237" t="s">
        <v>219</v>
      </c>
      <c r="IR215" s="237" t="s">
        <v>490</v>
      </c>
      <c r="IS215" s="237" t="s">
        <v>231</v>
      </c>
      <c r="IT215" s="237" t="s">
        <v>231</v>
      </c>
    </row>
    <row r="216" spans="1:254" ht="15" x14ac:dyDescent="0.25">
      <c r="A216" s="259" t="str">
        <f>HYPERLINK("http://www.ofsted.gov.uk/inspection-reports/find-inspection-report/provider/ELS/134422 ","Ofsted School Webpage")</f>
        <v>Ofsted School Webpage</v>
      </c>
      <c r="B216" s="240">
        <v>134422</v>
      </c>
      <c r="C216" s="240">
        <v>3366024</v>
      </c>
      <c r="D216" s="240" t="s">
        <v>1025</v>
      </c>
      <c r="E216" s="240" t="s">
        <v>247</v>
      </c>
      <c r="F216" s="240" t="s">
        <v>482</v>
      </c>
      <c r="G216" s="240" t="s">
        <v>502</v>
      </c>
      <c r="H216" s="240" t="s">
        <v>502</v>
      </c>
      <c r="I216" s="240" t="s">
        <v>569</v>
      </c>
      <c r="J216" s="240" t="s">
        <v>1026</v>
      </c>
      <c r="K216" s="240" t="s">
        <v>84</v>
      </c>
      <c r="L216" s="240" t="s">
        <v>84</v>
      </c>
      <c r="M216" s="240" t="s">
        <v>84</v>
      </c>
      <c r="N216" s="240" t="s">
        <v>84</v>
      </c>
      <c r="O216" s="240" t="s">
        <v>486</v>
      </c>
      <c r="P216" s="240" t="s">
        <v>487</v>
      </c>
      <c r="Q216" s="241">
        <v>10056217</v>
      </c>
      <c r="R216" s="242">
        <v>43501</v>
      </c>
      <c r="S216" s="242">
        <v>43503</v>
      </c>
      <c r="T216" s="242">
        <v>43531</v>
      </c>
      <c r="U216" s="240" t="s">
        <v>488</v>
      </c>
      <c r="V216" s="240" t="s">
        <v>489</v>
      </c>
      <c r="W216" s="240">
        <v>4</v>
      </c>
      <c r="X216" s="240">
        <v>4</v>
      </c>
      <c r="Y216" s="240">
        <v>3</v>
      </c>
      <c r="Z216" s="240">
        <v>3</v>
      </c>
      <c r="AA216" s="240">
        <v>3</v>
      </c>
      <c r="AB216" s="240">
        <v>3</v>
      </c>
      <c r="AC216" s="240" t="s">
        <v>486</v>
      </c>
      <c r="AD216" s="240" t="s">
        <v>220</v>
      </c>
      <c r="AE216" s="240" t="s">
        <v>490</v>
      </c>
      <c r="AF216" s="240" t="s">
        <v>486</v>
      </c>
      <c r="AG216" s="240" t="s">
        <v>486</v>
      </c>
      <c r="AH216" s="240" t="s">
        <v>486</v>
      </c>
      <c r="AI216" s="240" t="s">
        <v>486</v>
      </c>
      <c r="AJ216" s="240" t="s">
        <v>486</v>
      </c>
      <c r="AK216" s="240" t="s">
        <v>486</v>
      </c>
      <c r="AL216" s="240" t="s">
        <v>486</v>
      </c>
      <c r="AM216" s="240" t="s">
        <v>545</v>
      </c>
      <c r="AN216" s="240" t="s">
        <v>546</v>
      </c>
      <c r="AO216" s="240" t="s">
        <v>231</v>
      </c>
      <c r="AP216" s="240" t="s">
        <v>546</v>
      </c>
      <c r="AQ216" s="240" t="s">
        <v>231</v>
      </c>
      <c r="AR216" s="240" t="s">
        <v>546</v>
      </c>
      <c r="AS216" s="240" t="s">
        <v>231</v>
      </c>
      <c r="AT216" s="240" t="s">
        <v>231</v>
      </c>
      <c r="AU216" s="240" t="s">
        <v>546</v>
      </c>
      <c r="AV216" s="240" t="s">
        <v>231</v>
      </c>
      <c r="AW216" s="240" t="s">
        <v>231</v>
      </c>
      <c r="AX216" s="240" t="s">
        <v>231</v>
      </c>
      <c r="AY216" s="240" t="s">
        <v>231</v>
      </c>
      <c r="AZ216" s="240" t="s">
        <v>231</v>
      </c>
      <c r="BA216" s="240" t="s">
        <v>231</v>
      </c>
      <c r="BB216" s="240" t="s">
        <v>231</v>
      </c>
      <c r="BC216" s="240" t="s">
        <v>231</v>
      </c>
      <c r="BD216" s="240" t="s">
        <v>492</v>
      </c>
      <c r="BE216" s="240" t="s">
        <v>231</v>
      </c>
      <c r="BF216" s="240" t="s">
        <v>231</v>
      </c>
      <c r="BG216" s="240" t="s">
        <v>231</v>
      </c>
      <c r="BH216" s="240" t="s">
        <v>492</v>
      </c>
      <c r="BI216" s="240" t="s">
        <v>492</v>
      </c>
      <c r="BJ216" s="240" t="s">
        <v>492</v>
      </c>
      <c r="BK216" s="240" t="s">
        <v>492</v>
      </c>
      <c r="BL216" s="240" t="s">
        <v>231</v>
      </c>
      <c r="BM216" s="240" t="s">
        <v>492</v>
      </c>
      <c r="BN216" s="240" t="s">
        <v>231</v>
      </c>
      <c r="BO216" s="240" t="s">
        <v>231</v>
      </c>
      <c r="BP216" s="240" t="s">
        <v>232</v>
      </c>
      <c r="BQ216" s="240" t="s">
        <v>232</v>
      </c>
      <c r="BR216" s="240" t="s">
        <v>231</v>
      </c>
      <c r="BS216" s="240" t="s">
        <v>231</v>
      </c>
      <c r="BT216" s="240" t="s">
        <v>232</v>
      </c>
      <c r="BU216" s="240" t="s">
        <v>231</v>
      </c>
      <c r="BV216" s="240" t="s">
        <v>231</v>
      </c>
      <c r="BW216" s="240" t="s">
        <v>231</v>
      </c>
      <c r="BX216" s="240" t="s">
        <v>231</v>
      </c>
      <c r="BY216" s="240" t="s">
        <v>231</v>
      </c>
      <c r="BZ216" s="240" t="s">
        <v>231</v>
      </c>
      <c r="CA216" s="240" t="s">
        <v>231</v>
      </c>
      <c r="CB216" s="240" t="s">
        <v>231</v>
      </c>
      <c r="CC216" s="240" t="s">
        <v>231</v>
      </c>
      <c r="CD216" s="240" t="s">
        <v>231</v>
      </c>
      <c r="CE216" s="240" t="s">
        <v>231</v>
      </c>
      <c r="CF216" s="240" t="s">
        <v>231</v>
      </c>
      <c r="CG216" s="240" t="s">
        <v>231</v>
      </c>
      <c r="CH216" s="240" t="s">
        <v>231</v>
      </c>
      <c r="CI216" s="240" t="s">
        <v>231</v>
      </c>
      <c r="CJ216" s="240" t="s">
        <v>231</v>
      </c>
      <c r="CK216" s="240" t="s">
        <v>231</v>
      </c>
      <c r="CL216" s="240" t="s">
        <v>231</v>
      </c>
      <c r="CM216" s="240" t="s">
        <v>231</v>
      </c>
      <c r="CN216" s="240" t="s">
        <v>231</v>
      </c>
      <c r="CO216" s="240" t="s">
        <v>231</v>
      </c>
      <c r="CP216" s="240" t="s">
        <v>231</v>
      </c>
      <c r="CQ216" s="240" t="s">
        <v>232</v>
      </c>
      <c r="CR216" s="240" t="s">
        <v>232</v>
      </c>
      <c r="CS216" s="240" t="s">
        <v>232</v>
      </c>
      <c r="CT216" s="240" t="s">
        <v>492</v>
      </c>
      <c r="CU216" s="240" t="s">
        <v>492</v>
      </c>
      <c r="CV216" s="240" t="s">
        <v>492</v>
      </c>
      <c r="CW216" s="240" t="s">
        <v>231</v>
      </c>
      <c r="CX216" s="240" t="s">
        <v>231</v>
      </c>
      <c r="CY216" s="240" t="s">
        <v>231</v>
      </c>
      <c r="CZ216" s="240" t="s">
        <v>231</v>
      </c>
      <c r="DA216" s="240" t="s">
        <v>231</v>
      </c>
      <c r="DB216" s="240" t="s">
        <v>232</v>
      </c>
      <c r="DC216" s="240" t="s">
        <v>231</v>
      </c>
      <c r="DD216" s="240" t="s">
        <v>231</v>
      </c>
      <c r="DE216" s="240" t="s">
        <v>231</v>
      </c>
      <c r="DF216" s="240" t="s">
        <v>232</v>
      </c>
      <c r="DG216" s="240" t="s">
        <v>231</v>
      </c>
      <c r="DH216" s="240" t="s">
        <v>231</v>
      </c>
      <c r="DI216" s="240" t="s">
        <v>231</v>
      </c>
      <c r="DJ216" s="240" t="s">
        <v>231</v>
      </c>
      <c r="DK216" s="240" t="s">
        <v>231</v>
      </c>
      <c r="DL216" s="240" t="s">
        <v>231</v>
      </c>
      <c r="DM216" s="240" t="s">
        <v>231</v>
      </c>
      <c r="DN216" s="240" t="s">
        <v>231</v>
      </c>
      <c r="DO216" s="240" t="s">
        <v>231</v>
      </c>
      <c r="DP216" s="240" t="s">
        <v>231</v>
      </c>
      <c r="DQ216" s="240" t="s">
        <v>231</v>
      </c>
      <c r="DR216" s="240" t="s">
        <v>231</v>
      </c>
      <c r="DS216" s="240" t="s">
        <v>231</v>
      </c>
      <c r="DT216" s="240" t="s">
        <v>492</v>
      </c>
      <c r="DU216" s="240" t="s">
        <v>231</v>
      </c>
      <c r="DV216" s="240" t="s">
        <v>492</v>
      </c>
      <c r="DW216" s="240" t="s">
        <v>492</v>
      </c>
      <c r="DX216" s="240" t="s">
        <v>492</v>
      </c>
      <c r="DY216" s="240" t="s">
        <v>492</v>
      </c>
      <c r="DZ216" s="240" t="s">
        <v>492</v>
      </c>
      <c r="EA216" s="240" t="s">
        <v>492</v>
      </c>
      <c r="EB216" s="240" t="s">
        <v>492</v>
      </c>
      <c r="EC216" s="240" t="s">
        <v>492</v>
      </c>
      <c r="ED216" s="240" t="s">
        <v>492</v>
      </c>
      <c r="EE216" s="240" t="s">
        <v>492</v>
      </c>
      <c r="EF216" s="240" t="s">
        <v>492</v>
      </c>
      <c r="EG216" s="240" t="s">
        <v>492</v>
      </c>
      <c r="EH216" s="240" t="s">
        <v>492</v>
      </c>
      <c r="EI216" s="240" t="s">
        <v>492</v>
      </c>
      <c r="EJ216" s="240" t="s">
        <v>492</v>
      </c>
      <c r="EK216" s="240" t="s">
        <v>492</v>
      </c>
      <c r="EL216" s="240" t="s">
        <v>492</v>
      </c>
      <c r="EM216" s="240" t="s">
        <v>492</v>
      </c>
      <c r="EN216" s="240" t="s">
        <v>492</v>
      </c>
      <c r="EO216" s="240" t="s">
        <v>492</v>
      </c>
      <c r="EP216" s="240" t="s">
        <v>492</v>
      </c>
      <c r="EQ216" s="240" t="s">
        <v>492</v>
      </c>
      <c r="ER216" s="240" t="s">
        <v>492</v>
      </c>
      <c r="ES216" s="240" t="s">
        <v>231</v>
      </c>
      <c r="ET216" s="240" t="s">
        <v>231</v>
      </c>
      <c r="EU216" s="240" t="s">
        <v>231</v>
      </c>
      <c r="EV216" s="240" t="s">
        <v>231</v>
      </c>
      <c r="EW216" s="240" t="s">
        <v>231</v>
      </c>
      <c r="EX216" s="240" t="s">
        <v>231</v>
      </c>
      <c r="EY216" s="240" t="s">
        <v>231</v>
      </c>
      <c r="EZ216" s="240" t="s">
        <v>231</v>
      </c>
      <c r="FA216" s="240" t="s">
        <v>231</v>
      </c>
      <c r="FB216" s="240" t="s">
        <v>231</v>
      </c>
      <c r="FC216" s="240" t="s">
        <v>231</v>
      </c>
      <c r="FD216" s="240" t="s">
        <v>231</v>
      </c>
      <c r="FE216" s="240" t="s">
        <v>231</v>
      </c>
      <c r="FF216" s="240" t="s">
        <v>231</v>
      </c>
      <c r="FG216" s="240" t="s">
        <v>492</v>
      </c>
      <c r="FH216" s="240" t="s">
        <v>492</v>
      </c>
      <c r="FI216" s="240" t="s">
        <v>492</v>
      </c>
      <c r="FJ216" s="240" t="s">
        <v>492</v>
      </c>
      <c r="FK216" s="240" t="s">
        <v>492</v>
      </c>
      <c r="FL216" s="240" t="s">
        <v>492</v>
      </c>
      <c r="FM216" s="240" t="s">
        <v>492</v>
      </c>
      <c r="FN216" s="240" t="s">
        <v>231</v>
      </c>
      <c r="FO216" s="240" t="s">
        <v>231</v>
      </c>
      <c r="FP216" s="240" t="s">
        <v>231</v>
      </c>
      <c r="FQ216" s="240" t="s">
        <v>231</v>
      </c>
      <c r="FR216" s="240" t="s">
        <v>231</v>
      </c>
      <c r="FS216" s="240" t="s">
        <v>231</v>
      </c>
      <c r="FT216" s="240" t="s">
        <v>492</v>
      </c>
      <c r="FU216" s="240" t="s">
        <v>231</v>
      </c>
      <c r="FV216" s="240" t="s">
        <v>231</v>
      </c>
      <c r="FW216" s="240" t="s">
        <v>231</v>
      </c>
      <c r="FX216" s="240" t="s">
        <v>492</v>
      </c>
      <c r="FY216" s="240" t="s">
        <v>231</v>
      </c>
      <c r="FZ216" s="240" t="s">
        <v>232</v>
      </c>
      <c r="GA216" s="240" t="s">
        <v>231</v>
      </c>
      <c r="GB216" s="240" t="s">
        <v>231</v>
      </c>
      <c r="GC216" s="240" t="s">
        <v>231</v>
      </c>
      <c r="GD216" s="240" t="s">
        <v>231</v>
      </c>
      <c r="GE216" s="240" t="s">
        <v>231</v>
      </c>
      <c r="GF216" s="240" t="s">
        <v>231</v>
      </c>
      <c r="GG216" s="240" t="s">
        <v>231</v>
      </c>
      <c r="GH216" s="240" t="s">
        <v>231</v>
      </c>
      <c r="GI216" s="240" t="s">
        <v>231</v>
      </c>
      <c r="GJ216" s="240" t="s">
        <v>231</v>
      </c>
      <c r="GK216" s="240" t="s">
        <v>231</v>
      </c>
      <c r="GL216" s="240" t="s">
        <v>231</v>
      </c>
      <c r="GM216" s="240" t="s">
        <v>231</v>
      </c>
      <c r="GN216" s="240" t="s">
        <v>231</v>
      </c>
      <c r="GO216" s="240" t="s">
        <v>231</v>
      </c>
      <c r="GP216" s="240" t="s">
        <v>492</v>
      </c>
      <c r="GQ216" s="240" t="s">
        <v>231</v>
      </c>
      <c r="GR216" s="240" t="s">
        <v>231</v>
      </c>
      <c r="GS216" s="240" t="s">
        <v>231</v>
      </c>
      <c r="GT216" s="240" t="s">
        <v>231</v>
      </c>
      <c r="GU216" s="240" t="s">
        <v>231</v>
      </c>
      <c r="GV216" s="240" t="s">
        <v>492</v>
      </c>
      <c r="GW216" s="240" t="s">
        <v>231</v>
      </c>
      <c r="GX216" s="240" t="s">
        <v>231</v>
      </c>
      <c r="GY216" s="240" t="s">
        <v>492</v>
      </c>
      <c r="GZ216" s="240" t="s">
        <v>492</v>
      </c>
      <c r="HA216" s="240" t="s">
        <v>231</v>
      </c>
      <c r="HB216" s="240" t="s">
        <v>231</v>
      </c>
      <c r="HC216" s="240" t="s">
        <v>231</v>
      </c>
      <c r="HD216" s="240" t="s">
        <v>231</v>
      </c>
      <c r="HE216" s="240" t="s">
        <v>231</v>
      </c>
      <c r="HF216" s="240" t="s">
        <v>492</v>
      </c>
      <c r="HG216" s="240" t="s">
        <v>492</v>
      </c>
      <c r="HH216" s="240" t="s">
        <v>231</v>
      </c>
      <c r="HI216" s="240" t="s">
        <v>231</v>
      </c>
      <c r="HJ216" s="240" t="s">
        <v>231</v>
      </c>
      <c r="HK216" s="240" t="s">
        <v>231</v>
      </c>
      <c r="HL216" s="240" t="s">
        <v>231</v>
      </c>
      <c r="HM216" s="240" t="s">
        <v>231</v>
      </c>
      <c r="HN216" s="240" t="s">
        <v>231</v>
      </c>
      <c r="HO216" s="240" t="s">
        <v>231</v>
      </c>
      <c r="HP216" s="240" t="s">
        <v>231</v>
      </c>
      <c r="HQ216" s="240" t="s">
        <v>492</v>
      </c>
      <c r="HR216" s="240" t="s">
        <v>492</v>
      </c>
      <c r="HS216" s="240" t="s">
        <v>492</v>
      </c>
      <c r="HT216" s="240" t="s">
        <v>492</v>
      </c>
      <c r="HU216" s="240" t="s">
        <v>231</v>
      </c>
      <c r="HV216" s="240" t="s">
        <v>231</v>
      </c>
      <c r="HW216" s="240" t="s">
        <v>231</v>
      </c>
      <c r="HX216" s="240" t="s">
        <v>231</v>
      </c>
      <c r="HY216" s="240" t="s">
        <v>231</v>
      </c>
      <c r="HZ216" s="240" t="s">
        <v>231</v>
      </c>
      <c r="IA216" s="240" t="s">
        <v>231</v>
      </c>
      <c r="IB216" s="240" t="s">
        <v>231</v>
      </c>
      <c r="IC216" s="240" t="s">
        <v>231</v>
      </c>
      <c r="ID216" s="240" t="s">
        <v>231</v>
      </c>
      <c r="IE216" s="240" t="s">
        <v>231</v>
      </c>
      <c r="IF216" s="240" t="s">
        <v>231</v>
      </c>
      <c r="IG216" s="240" t="s">
        <v>231</v>
      </c>
      <c r="IH216" s="240" t="s">
        <v>231</v>
      </c>
      <c r="II216" s="240" t="s">
        <v>231</v>
      </c>
      <c r="IJ216" s="240" t="s">
        <v>231</v>
      </c>
      <c r="IK216" s="240" t="s">
        <v>232</v>
      </c>
      <c r="IL216" s="240" t="s">
        <v>232</v>
      </c>
      <c r="IM216" s="240" t="s">
        <v>232</v>
      </c>
      <c r="IN216" s="240" t="s">
        <v>232</v>
      </c>
      <c r="IO216" s="240" t="s">
        <v>220</v>
      </c>
      <c r="IP216" s="240" t="s">
        <v>493</v>
      </c>
      <c r="IQ216" s="240" t="s">
        <v>219</v>
      </c>
      <c r="IR216" s="240" t="s">
        <v>490</v>
      </c>
      <c r="IS216" s="240" t="s">
        <v>232</v>
      </c>
      <c r="IT216" s="240" t="s">
        <v>231</v>
      </c>
    </row>
    <row r="217" spans="1:254" ht="15" x14ac:dyDescent="0.25">
      <c r="A217" s="258" t="str">
        <f>HYPERLINK("http://www.ofsted.gov.uk/inspection-reports/find-inspection-report/provider/ELS/133989 ","Ofsted School Webpage")</f>
        <v>Ofsted School Webpage</v>
      </c>
      <c r="B217" s="237">
        <v>133989</v>
      </c>
      <c r="C217" s="237">
        <v>8606026</v>
      </c>
      <c r="D217" s="237" t="s">
        <v>1027</v>
      </c>
      <c r="E217" s="237" t="s">
        <v>248</v>
      </c>
      <c r="F217" s="237" t="s">
        <v>501</v>
      </c>
      <c r="G217" s="237" t="s">
        <v>502</v>
      </c>
      <c r="H217" s="237" t="s">
        <v>502</v>
      </c>
      <c r="I217" s="237" t="s">
        <v>652</v>
      </c>
      <c r="J217" s="237" t="s">
        <v>1028</v>
      </c>
      <c r="K217" s="237" t="s">
        <v>93</v>
      </c>
      <c r="L217" s="237" t="s">
        <v>93</v>
      </c>
      <c r="M217" s="237" t="s">
        <v>93</v>
      </c>
      <c r="N217" s="237" t="s">
        <v>90</v>
      </c>
      <c r="O217" s="237" t="s">
        <v>486</v>
      </c>
      <c r="P217" s="237" t="s">
        <v>487</v>
      </c>
      <c r="Q217" s="238">
        <v>10056215</v>
      </c>
      <c r="R217" s="239">
        <v>43501</v>
      </c>
      <c r="S217" s="239">
        <v>43503</v>
      </c>
      <c r="T217" s="239">
        <v>43534</v>
      </c>
      <c r="U217" s="237" t="s">
        <v>488</v>
      </c>
      <c r="V217" s="237" t="s">
        <v>489</v>
      </c>
      <c r="W217" s="237">
        <v>2</v>
      </c>
      <c r="X217" s="237">
        <v>2</v>
      </c>
      <c r="Y217" s="237">
        <v>2</v>
      </c>
      <c r="Z217" s="237">
        <v>2</v>
      </c>
      <c r="AA217" s="237">
        <v>2</v>
      </c>
      <c r="AB217" s="237" t="s">
        <v>486</v>
      </c>
      <c r="AC217" s="237" t="s">
        <v>486</v>
      </c>
      <c r="AD217" s="237" t="s">
        <v>219</v>
      </c>
      <c r="AE217" s="237" t="s">
        <v>490</v>
      </c>
      <c r="AF217" s="237" t="s">
        <v>486</v>
      </c>
      <c r="AG217" s="237" t="s">
        <v>486</v>
      </c>
      <c r="AH217" s="237" t="s">
        <v>486</v>
      </c>
      <c r="AI217" s="237" t="s">
        <v>486</v>
      </c>
      <c r="AJ217" s="237" t="s">
        <v>486</v>
      </c>
      <c r="AK217" s="237" t="s">
        <v>486</v>
      </c>
      <c r="AL217" s="237" t="s">
        <v>486</v>
      </c>
      <c r="AM217" s="237" t="s">
        <v>491</v>
      </c>
      <c r="AN217" s="237" t="s">
        <v>231</v>
      </c>
      <c r="AO217" s="237" t="s">
        <v>231</v>
      </c>
      <c r="AP217" s="237" t="s">
        <v>231</v>
      </c>
      <c r="AQ217" s="237" t="s">
        <v>231</v>
      </c>
      <c r="AR217" s="237" t="s">
        <v>231</v>
      </c>
      <c r="AS217" s="237" t="s">
        <v>231</v>
      </c>
      <c r="AT217" s="237" t="s">
        <v>231</v>
      </c>
      <c r="AU217" s="237" t="s">
        <v>231</v>
      </c>
      <c r="AV217" s="237" t="s">
        <v>231</v>
      </c>
      <c r="AW217" s="237" t="s">
        <v>231</v>
      </c>
      <c r="AX217" s="237" t="s">
        <v>231</v>
      </c>
      <c r="AY217" s="237" t="s">
        <v>231</v>
      </c>
      <c r="AZ217" s="237" t="s">
        <v>231</v>
      </c>
      <c r="BA217" s="237" t="s">
        <v>231</v>
      </c>
      <c r="BB217" s="237" t="s">
        <v>231</v>
      </c>
      <c r="BC217" s="237" t="s">
        <v>231</v>
      </c>
      <c r="BD217" s="237" t="s">
        <v>492</v>
      </c>
      <c r="BE217" s="237" t="s">
        <v>231</v>
      </c>
      <c r="BF217" s="237" t="s">
        <v>231</v>
      </c>
      <c r="BG217" s="237" t="s">
        <v>231</v>
      </c>
      <c r="BH217" s="237" t="s">
        <v>231</v>
      </c>
      <c r="BI217" s="237" t="s">
        <v>231</v>
      </c>
      <c r="BJ217" s="237" t="s">
        <v>231</v>
      </c>
      <c r="BK217" s="237" t="s">
        <v>231</v>
      </c>
      <c r="BL217" s="237" t="s">
        <v>492</v>
      </c>
      <c r="BM217" s="237" t="s">
        <v>492</v>
      </c>
      <c r="BN217" s="237" t="s">
        <v>231</v>
      </c>
      <c r="BO217" s="237" t="s">
        <v>231</v>
      </c>
      <c r="BP217" s="237" t="s">
        <v>231</v>
      </c>
      <c r="BQ217" s="237" t="s">
        <v>231</v>
      </c>
      <c r="BR217" s="237" t="s">
        <v>231</v>
      </c>
      <c r="BS217" s="237" t="s">
        <v>231</v>
      </c>
      <c r="BT217" s="237" t="s">
        <v>231</v>
      </c>
      <c r="BU217" s="237" t="s">
        <v>231</v>
      </c>
      <c r="BV217" s="237" t="s">
        <v>231</v>
      </c>
      <c r="BW217" s="237" t="s">
        <v>231</v>
      </c>
      <c r="BX217" s="237" t="s">
        <v>231</v>
      </c>
      <c r="BY217" s="237" t="s">
        <v>231</v>
      </c>
      <c r="BZ217" s="237" t="s">
        <v>231</v>
      </c>
      <c r="CA217" s="237" t="s">
        <v>231</v>
      </c>
      <c r="CB217" s="237" t="s">
        <v>231</v>
      </c>
      <c r="CC217" s="237" t="s">
        <v>231</v>
      </c>
      <c r="CD217" s="237" t="s">
        <v>231</v>
      </c>
      <c r="CE217" s="237" t="s">
        <v>231</v>
      </c>
      <c r="CF217" s="237" t="s">
        <v>231</v>
      </c>
      <c r="CG217" s="237" t="s">
        <v>231</v>
      </c>
      <c r="CH217" s="237" t="s">
        <v>231</v>
      </c>
      <c r="CI217" s="237" t="s">
        <v>231</v>
      </c>
      <c r="CJ217" s="237" t="s">
        <v>231</v>
      </c>
      <c r="CK217" s="237" t="s">
        <v>231</v>
      </c>
      <c r="CL217" s="237" t="s">
        <v>231</v>
      </c>
      <c r="CM217" s="237" t="s">
        <v>231</v>
      </c>
      <c r="CN217" s="237" t="s">
        <v>231</v>
      </c>
      <c r="CO217" s="237" t="s">
        <v>231</v>
      </c>
      <c r="CP217" s="237" t="s">
        <v>231</v>
      </c>
      <c r="CQ217" s="237" t="s">
        <v>231</v>
      </c>
      <c r="CR217" s="237" t="s">
        <v>231</v>
      </c>
      <c r="CS217" s="237" t="s">
        <v>231</v>
      </c>
      <c r="CT217" s="237" t="s">
        <v>492</v>
      </c>
      <c r="CU217" s="237" t="s">
        <v>492</v>
      </c>
      <c r="CV217" s="237" t="s">
        <v>492</v>
      </c>
      <c r="CW217" s="237" t="s">
        <v>231</v>
      </c>
      <c r="CX217" s="237" t="s">
        <v>231</v>
      </c>
      <c r="CY217" s="237" t="s">
        <v>231</v>
      </c>
      <c r="CZ217" s="237" t="s">
        <v>231</v>
      </c>
      <c r="DA217" s="237" t="s">
        <v>231</v>
      </c>
      <c r="DB217" s="237" t="s">
        <v>231</v>
      </c>
      <c r="DC217" s="237" t="s">
        <v>231</v>
      </c>
      <c r="DD217" s="237" t="s">
        <v>231</v>
      </c>
      <c r="DE217" s="237" t="s">
        <v>231</v>
      </c>
      <c r="DF217" s="237" t="s">
        <v>231</v>
      </c>
      <c r="DG217" s="237" t="s">
        <v>231</v>
      </c>
      <c r="DH217" s="237" t="s">
        <v>231</v>
      </c>
      <c r="DI217" s="237" t="s">
        <v>231</v>
      </c>
      <c r="DJ217" s="237" t="s">
        <v>231</v>
      </c>
      <c r="DK217" s="237" t="s">
        <v>231</v>
      </c>
      <c r="DL217" s="237" t="s">
        <v>231</v>
      </c>
      <c r="DM217" s="237" t="s">
        <v>231</v>
      </c>
      <c r="DN217" s="237" t="s">
        <v>231</v>
      </c>
      <c r="DO217" s="237" t="s">
        <v>231</v>
      </c>
      <c r="DP217" s="237" t="s">
        <v>231</v>
      </c>
      <c r="DQ217" s="237" t="s">
        <v>231</v>
      </c>
      <c r="DR217" s="237" t="s">
        <v>231</v>
      </c>
      <c r="DS217" s="237" t="s">
        <v>231</v>
      </c>
      <c r="DT217" s="237" t="s">
        <v>492</v>
      </c>
      <c r="DU217" s="237" t="s">
        <v>231</v>
      </c>
      <c r="DV217" s="237" t="s">
        <v>231</v>
      </c>
      <c r="DW217" s="237" t="s">
        <v>231</v>
      </c>
      <c r="DX217" s="237" t="s">
        <v>231</v>
      </c>
      <c r="DY217" s="237" t="s">
        <v>231</v>
      </c>
      <c r="DZ217" s="237" t="s">
        <v>231</v>
      </c>
      <c r="EA217" s="237" t="s">
        <v>231</v>
      </c>
      <c r="EB217" s="237" t="s">
        <v>231</v>
      </c>
      <c r="EC217" s="237" t="s">
        <v>231</v>
      </c>
      <c r="ED217" s="237" t="s">
        <v>231</v>
      </c>
      <c r="EE217" s="237" t="s">
        <v>231</v>
      </c>
      <c r="EF217" s="237" t="s">
        <v>231</v>
      </c>
      <c r="EG217" s="237" t="s">
        <v>231</v>
      </c>
      <c r="EH217" s="237" t="s">
        <v>492</v>
      </c>
      <c r="EI217" s="237" t="s">
        <v>231</v>
      </c>
      <c r="EJ217" s="237" t="s">
        <v>231</v>
      </c>
      <c r="EK217" s="237" t="s">
        <v>231</v>
      </c>
      <c r="EL217" s="237" t="s">
        <v>231</v>
      </c>
      <c r="EM217" s="237" t="s">
        <v>231</v>
      </c>
      <c r="EN217" s="237" t="s">
        <v>231</v>
      </c>
      <c r="EO217" s="237" t="s">
        <v>231</v>
      </c>
      <c r="EP217" s="237" t="s">
        <v>231</v>
      </c>
      <c r="EQ217" s="237" t="s">
        <v>231</v>
      </c>
      <c r="ER217" s="237" t="s">
        <v>231</v>
      </c>
      <c r="ES217" s="237" t="s">
        <v>231</v>
      </c>
      <c r="ET217" s="237" t="s">
        <v>231</v>
      </c>
      <c r="EU217" s="237" t="s">
        <v>231</v>
      </c>
      <c r="EV217" s="237" t="s">
        <v>231</v>
      </c>
      <c r="EW217" s="237" t="s">
        <v>231</v>
      </c>
      <c r="EX217" s="237" t="s">
        <v>231</v>
      </c>
      <c r="EY217" s="237" t="s">
        <v>231</v>
      </c>
      <c r="EZ217" s="237" t="s">
        <v>231</v>
      </c>
      <c r="FA217" s="237" t="s">
        <v>231</v>
      </c>
      <c r="FB217" s="237" t="s">
        <v>231</v>
      </c>
      <c r="FC217" s="237" t="s">
        <v>231</v>
      </c>
      <c r="FD217" s="237" t="s">
        <v>231</v>
      </c>
      <c r="FE217" s="237" t="s">
        <v>231</v>
      </c>
      <c r="FF217" s="237" t="s">
        <v>231</v>
      </c>
      <c r="FG217" s="237" t="s">
        <v>231</v>
      </c>
      <c r="FH217" s="237" t="s">
        <v>231</v>
      </c>
      <c r="FI217" s="237" t="s">
        <v>231</v>
      </c>
      <c r="FJ217" s="237" t="s">
        <v>231</v>
      </c>
      <c r="FK217" s="237" t="s">
        <v>231</v>
      </c>
      <c r="FL217" s="237" t="s">
        <v>231</v>
      </c>
      <c r="FM217" s="237" t="s">
        <v>231</v>
      </c>
      <c r="FN217" s="237" t="s">
        <v>492</v>
      </c>
      <c r="FO217" s="237" t="s">
        <v>493</v>
      </c>
      <c r="FP217" s="237" t="s">
        <v>492</v>
      </c>
      <c r="FQ217" s="237" t="s">
        <v>231</v>
      </c>
      <c r="FR217" s="237" t="s">
        <v>231</v>
      </c>
      <c r="FS217" s="237" t="s">
        <v>231</v>
      </c>
      <c r="FT217" s="237" t="s">
        <v>231</v>
      </c>
      <c r="FU217" s="237" t="s">
        <v>231</v>
      </c>
      <c r="FV217" s="237" t="s">
        <v>231</v>
      </c>
      <c r="FW217" s="237" t="s">
        <v>231</v>
      </c>
      <c r="FX217" s="237" t="s">
        <v>492</v>
      </c>
      <c r="FY217" s="237" t="s">
        <v>492</v>
      </c>
      <c r="FZ217" s="237" t="s">
        <v>231</v>
      </c>
      <c r="GA217" s="237" t="s">
        <v>231</v>
      </c>
      <c r="GB217" s="237" t="s">
        <v>231</v>
      </c>
      <c r="GC217" s="237" t="s">
        <v>231</v>
      </c>
      <c r="GD217" s="237" t="s">
        <v>231</v>
      </c>
      <c r="GE217" s="237" t="s">
        <v>231</v>
      </c>
      <c r="GF217" s="237" t="s">
        <v>231</v>
      </c>
      <c r="GG217" s="237" t="s">
        <v>231</v>
      </c>
      <c r="GH217" s="237" t="s">
        <v>231</v>
      </c>
      <c r="GI217" s="237" t="s">
        <v>231</v>
      </c>
      <c r="GJ217" s="237" t="s">
        <v>231</v>
      </c>
      <c r="GK217" s="237" t="s">
        <v>231</v>
      </c>
      <c r="GL217" s="237" t="s">
        <v>231</v>
      </c>
      <c r="GM217" s="237" t="s">
        <v>231</v>
      </c>
      <c r="GN217" s="237" t="s">
        <v>231</v>
      </c>
      <c r="GO217" s="237" t="s">
        <v>231</v>
      </c>
      <c r="GP217" s="237" t="s">
        <v>492</v>
      </c>
      <c r="GQ217" s="237" t="s">
        <v>231</v>
      </c>
      <c r="GR217" s="237" t="s">
        <v>231</v>
      </c>
      <c r="GS217" s="237" t="s">
        <v>231</v>
      </c>
      <c r="GT217" s="237" t="s">
        <v>231</v>
      </c>
      <c r="GU217" s="237" t="s">
        <v>231</v>
      </c>
      <c r="GV217" s="237" t="s">
        <v>231</v>
      </c>
      <c r="GW217" s="237" t="s">
        <v>231</v>
      </c>
      <c r="GX217" s="237" t="s">
        <v>231</v>
      </c>
      <c r="GY217" s="237" t="s">
        <v>231</v>
      </c>
      <c r="GZ217" s="237" t="s">
        <v>231</v>
      </c>
      <c r="HA217" s="237" t="s">
        <v>231</v>
      </c>
      <c r="HB217" s="237" t="s">
        <v>231</v>
      </c>
      <c r="HC217" s="237" t="s">
        <v>231</v>
      </c>
      <c r="HD217" s="237" t="s">
        <v>231</v>
      </c>
      <c r="HE217" s="237" t="s">
        <v>231</v>
      </c>
      <c r="HF217" s="237" t="s">
        <v>492</v>
      </c>
      <c r="HG217" s="237" t="s">
        <v>492</v>
      </c>
      <c r="HH217" s="237" t="s">
        <v>231</v>
      </c>
      <c r="HI217" s="237" t="s">
        <v>231</v>
      </c>
      <c r="HJ217" s="237" t="s">
        <v>231</v>
      </c>
      <c r="HK217" s="237" t="s">
        <v>231</v>
      </c>
      <c r="HL217" s="237" t="s">
        <v>231</v>
      </c>
      <c r="HM217" s="237" t="s">
        <v>231</v>
      </c>
      <c r="HN217" s="237" t="s">
        <v>231</v>
      </c>
      <c r="HO217" s="237" t="s">
        <v>231</v>
      </c>
      <c r="HP217" s="237" t="s">
        <v>231</v>
      </c>
      <c r="HQ217" s="237" t="s">
        <v>492</v>
      </c>
      <c r="HR217" s="237" t="s">
        <v>492</v>
      </c>
      <c r="HS217" s="237" t="s">
        <v>492</v>
      </c>
      <c r="HT217" s="237" t="s">
        <v>492</v>
      </c>
      <c r="HU217" s="237" t="s">
        <v>231</v>
      </c>
      <c r="HV217" s="237" t="s">
        <v>231</v>
      </c>
      <c r="HW217" s="237" t="s">
        <v>231</v>
      </c>
      <c r="HX217" s="237" t="s">
        <v>231</v>
      </c>
      <c r="HY217" s="237" t="s">
        <v>231</v>
      </c>
      <c r="HZ217" s="237" t="s">
        <v>231</v>
      </c>
      <c r="IA217" s="237" t="s">
        <v>231</v>
      </c>
      <c r="IB217" s="237" t="s">
        <v>231</v>
      </c>
      <c r="IC217" s="237" t="s">
        <v>231</v>
      </c>
      <c r="ID217" s="237" t="s">
        <v>231</v>
      </c>
      <c r="IE217" s="237" t="s">
        <v>231</v>
      </c>
      <c r="IF217" s="237" t="s">
        <v>231</v>
      </c>
      <c r="IG217" s="237" t="s">
        <v>231</v>
      </c>
      <c r="IH217" s="237" t="s">
        <v>231</v>
      </c>
      <c r="II217" s="237" t="s">
        <v>231</v>
      </c>
      <c r="IJ217" s="237" t="s">
        <v>231</v>
      </c>
      <c r="IK217" s="237" t="s">
        <v>231</v>
      </c>
      <c r="IL217" s="237" t="s">
        <v>231</v>
      </c>
      <c r="IM217" s="237" t="s">
        <v>231</v>
      </c>
      <c r="IN217" s="237" t="s">
        <v>231</v>
      </c>
      <c r="IO217" s="237" t="s">
        <v>220</v>
      </c>
      <c r="IP217" s="237" t="s">
        <v>493</v>
      </c>
      <c r="IQ217" s="237" t="s">
        <v>219</v>
      </c>
      <c r="IR217" s="237" t="s">
        <v>490</v>
      </c>
      <c r="IS217" s="237" t="s">
        <v>492</v>
      </c>
      <c r="IT217" s="237" t="s">
        <v>492</v>
      </c>
    </row>
    <row r="218" spans="1:254" ht="15" x14ac:dyDescent="0.25">
      <c r="A218" s="259" t="str">
        <f>HYPERLINK("http://www.ofsted.gov.uk/inspection-reports/find-inspection-report/provider/ELS/135683 ","Ofsted School Webpage")</f>
        <v>Ofsted School Webpage</v>
      </c>
      <c r="B218" s="240">
        <v>135683</v>
      </c>
      <c r="C218" s="240">
        <v>3096002</v>
      </c>
      <c r="D218" s="240" t="s">
        <v>1029</v>
      </c>
      <c r="E218" s="240" t="s">
        <v>248</v>
      </c>
      <c r="F218" s="240" t="s">
        <v>501</v>
      </c>
      <c r="G218" s="240" t="s">
        <v>506</v>
      </c>
      <c r="H218" s="240" t="s">
        <v>506</v>
      </c>
      <c r="I218" s="240" t="s">
        <v>595</v>
      </c>
      <c r="J218" s="240" t="s">
        <v>1030</v>
      </c>
      <c r="K218" s="240" t="s">
        <v>93</v>
      </c>
      <c r="L218" s="240" t="s">
        <v>93</v>
      </c>
      <c r="M218" s="240" t="s">
        <v>93</v>
      </c>
      <c r="N218" s="240" t="s">
        <v>90</v>
      </c>
      <c r="O218" s="240" t="s">
        <v>486</v>
      </c>
      <c r="P218" s="240" t="s">
        <v>487</v>
      </c>
      <c r="Q218" s="241">
        <v>10067177</v>
      </c>
      <c r="R218" s="242">
        <v>43501</v>
      </c>
      <c r="S218" s="242">
        <v>43503</v>
      </c>
      <c r="T218" s="242">
        <v>43530</v>
      </c>
      <c r="U218" s="240" t="s">
        <v>488</v>
      </c>
      <c r="V218" s="240" t="s">
        <v>489</v>
      </c>
      <c r="W218" s="240">
        <v>2</v>
      </c>
      <c r="X218" s="240">
        <v>2</v>
      </c>
      <c r="Y218" s="240">
        <v>2</v>
      </c>
      <c r="Z218" s="240">
        <v>2</v>
      </c>
      <c r="AA218" s="240">
        <v>2</v>
      </c>
      <c r="AB218" s="240" t="s">
        <v>486</v>
      </c>
      <c r="AC218" s="240" t="s">
        <v>486</v>
      </c>
      <c r="AD218" s="240" t="s">
        <v>219</v>
      </c>
      <c r="AE218" s="240" t="s">
        <v>490</v>
      </c>
      <c r="AF218" s="240" t="s">
        <v>486</v>
      </c>
      <c r="AG218" s="240" t="s">
        <v>486</v>
      </c>
      <c r="AH218" s="240" t="s">
        <v>486</v>
      </c>
      <c r="AI218" s="240" t="s">
        <v>486</v>
      </c>
      <c r="AJ218" s="240" t="s">
        <v>486</v>
      </c>
      <c r="AK218" s="240" t="s">
        <v>486</v>
      </c>
      <c r="AL218" s="240" t="s">
        <v>486</v>
      </c>
      <c r="AM218" s="240" t="s">
        <v>491</v>
      </c>
      <c r="AN218" s="240" t="s">
        <v>231</v>
      </c>
      <c r="AO218" s="240" t="s">
        <v>231</v>
      </c>
      <c r="AP218" s="240" t="s">
        <v>231</v>
      </c>
      <c r="AQ218" s="240" t="s">
        <v>231</v>
      </c>
      <c r="AR218" s="240" t="s">
        <v>231</v>
      </c>
      <c r="AS218" s="240" t="s">
        <v>231</v>
      </c>
      <c r="AT218" s="240" t="s">
        <v>231</v>
      </c>
      <c r="AU218" s="240" t="s">
        <v>231</v>
      </c>
      <c r="AV218" s="240" t="s">
        <v>231</v>
      </c>
      <c r="AW218" s="240" t="s">
        <v>231</v>
      </c>
      <c r="AX218" s="240" t="s">
        <v>231</v>
      </c>
      <c r="AY218" s="240" t="s">
        <v>231</v>
      </c>
      <c r="AZ218" s="240" t="s">
        <v>231</v>
      </c>
      <c r="BA218" s="240" t="s">
        <v>231</v>
      </c>
      <c r="BB218" s="240" t="s">
        <v>231</v>
      </c>
      <c r="BC218" s="240" t="s">
        <v>231</v>
      </c>
      <c r="BD218" s="240" t="s">
        <v>492</v>
      </c>
      <c r="BE218" s="240" t="s">
        <v>231</v>
      </c>
      <c r="BF218" s="240" t="s">
        <v>231</v>
      </c>
      <c r="BG218" s="240" t="s">
        <v>231</v>
      </c>
      <c r="BH218" s="240" t="s">
        <v>231</v>
      </c>
      <c r="BI218" s="240" t="s">
        <v>231</v>
      </c>
      <c r="BJ218" s="240" t="s">
        <v>231</v>
      </c>
      <c r="BK218" s="240" t="s">
        <v>231</v>
      </c>
      <c r="BL218" s="240" t="s">
        <v>492</v>
      </c>
      <c r="BM218" s="240" t="s">
        <v>492</v>
      </c>
      <c r="BN218" s="240" t="s">
        <v>231</v>
      </c>
      <c r="BO218" s="240" t="s">
        <v>231</v>
      </c>
      <c r="BP218" s="240" t="s">
        <v>231</v>
      </c>
      <c r="BQ218" s="240" t="s">
        <v>231</v>
      </c>
      <c r="BR218" s="240" t="s">
        <v>231</v>
      </c>
      <c r="BS218" s="240" t="s">
        <v>231</v>
      </c>
      <c r="BT218" s="240" t="s">
        <v>231</v>
      </c>
      <c r="BU218" s="240" t="s">
        <v>231</v>
      </c>
      <c r="BV218" s="240" t="s">
        <v>231</v>
      </c>
      <c r="BW218" s="240" t="s">
        <v>231</v>
      </c>
      <c r="BX218" s="240" t="s">
        <v>231</v>
      </c>
      <c r="BY218" s="240" t="s">
        <v>231</v>
      </c>
      <c r="BZ218" s="240" t="s">
        <v>231</v>
      </c>
      <c r="CA218" s="240" t="s">
        <v>231</v>
      </c>
      <c r="CB218" s="240" t="s">
        <v>231</v>
      </c>
      <c r="CC218" s="240" t="s">
        <v>231</v>
      </c>
      <c r="CD218" s="240" t="s">
        <v>231</v>
      </c>
      <c r="CE218" s="240" t="s">
        <v>231</v>
      </c>
      <c r="CF218" s="240" t="s">
        <v>231</v>
      </c>
      <c r="CG218" s="240" t="s">
        <v>231</v>
      </c>
      <c r="CH218" s="240" t="s">
        <v>231</v>
      </c>
      <c r="CI218" s="240" t="s">
        <v>231</v>
      </c>
      <c r="CJ218" s="240" t="s">
        <v>231</v>
      </c>
      <c r="CK218" s="240" t="s">
        <v>231</v>
      </c>
      <c r="CL218" s="240" t="s">
        <v>231</v>
      </c>
      <c r="CM218" s="240" t="s">
        <v>231</v>
      </c>
      <c r="CN218" s="240" t="s">
        <v>231</v>
      </c>
      <c r="CO218" s="240" t="s">
        <v>231</v>
      </c>
      <c r="CP218" s="240" t="s">
        <v>231</v>
      </c>
      <c r="CQ218" s="240" t="s">
        <v>231</v>
      </c>
      <c r="CR218" s="240" t="s">
        <v>231</v>
      </c>
      <c r="CS218" s="240" t="s">
        <v>231</v>
      </c>
      <c r="CT218" s="240" t="s">
        <v>492</v>
      </c>
      <c r="CU218" s="240" t="s">
        <v>492</v>
      </c>
      <c r="CV218" s="240" t="s">
        <v>492</v>
      </c>
      <c r="CW218" s="240" t="s">
        <v>231</v>
      </c>
      <c r="CX218" s="240" t="s">
        <v>231</v>
      </c>
      <c r="CY218" s="240" t="s">
        <v>231</v>
      </c>
      <c r="CZ218" s="240" t="s">
        <v>231</v>
      </c>
      <c r="DA218" s="240" t="s">
        <v>231</v>
      </c>
      <c r="DB218" s="240" t="s">
        <v>231</v>
      </c>
      <c r="DC218" s="240" t="s">
        <v>231</v>
      </c>
      <c r="DD218" s="240" t="s">
        <v>231</v>
      </c>
      <c r="DE218" s="240" t="s">
        <v>231</v>
      </c>
      <c r="DF218" s="240" t="s">
        <v>231</v>
      </c>
      <c r="DG218" s="240" t="s">
        <v>231</v>
      </c>
      <c r="DH218" s="240" t="s">
        <v>231</v>
      </c>
      <c r="DI218" s="240" t="s">
        <v>231</v>
      </c>
      <c r="DJ218" s="240" t="s">
        <v>231</v>
      </c>
      <c r="DK218" s="240" t="s">
        <v>231</v>
      </c>
      <c r="DL218" s="240" t="s">
        <v>231</v>
      </c>
      <c r="DM218" s="240" t="s">
        <v>231</v>
      </c>
      <c r="DN218" s="240" t="s">
        <v>231</v>
      </c>
      <c r="DO218" s="240" t="s">
        <v>231</v>
      </c>
      <c r="DP218" s="240" t="s">
        <v>231</v>
      </c>
      <c r="DQ218" s="240" t="s">
        <v>231</v>
      </c>
      <c r="DR218" s="240" t="s">
        <v>231</v>
      </c>
      <c r="DS218" s="240" t="s">
        <v>231</v>
      </c>
      <c r="DT218" s="240" t="s">
        <v>492</v>
      </c>
      <c r="DU218" s="240" t="s">
        <v>231</v>
      </c>
      <c r="DV218" s="240" t="s">
        <v>231</v>
      </c>
      <c r="DW218" s="240" t="s">
        <v>231</v>
      </c>
      <c r="DX218" s="240" t="s">
        <v>231</v>
      </c>
      <c r="DY218" s="240" t="s">
        <v>231</v>
      </c>
      <c r="DZ218" s="240" t="s">
        <v>231</v>
      </c>
      <c r="EA218" s="240" t="s">
        <v>231</v>
      </c>
      <c r="EB218" s="240" t="s">
        <v>231</v>
      </c>
      <c r="EC218" s="240" t="s">
        <v>231</v>
      </c>
      <c r="ED218" s="240" t="s">
        <v>231</v>
      </c>
      <c r="EE218" s="240" t="s">
        <v>231</v>
      </c>
      <c r="EF218" s="240" t="s">
        <v>231</v>
      </c>
      <c r="EG218" s="240" t="s">
        <v>231</v>
      </c>
      <c r="EH218" s="240" t="s">
        <v>492</v>
      </c>
      <c r="EI218" s="240" t="s">
        <v>231</v>
      </c>
      <c r="EJ218" s="240" t="s">
        <v>231</v>
      </c>
      <c r="EK218" s="240" t="s">
        <v>231</v>
      </c>
      <c r="EL218" s="240" t="s">
        <v>231</v>
      </c>
      <c r="EM218" s="240" t="s">
        <v>231</v>
      </c>
      <c r="EN218" s="240" t="s">
        <v>231</v>
      </c>
      <c r="EO218" s="240" t="s">
        <v>231</v>
      </c>
      <c r="EP218" s="240" t="s">
        <v>231</v>
      </c>
      <c r="EQ218" s="240" t="s">
        <v>231</v>
      </c>
      <c r="ER218" s="240" t="s">
        <v>231</v>
      </c>
      <c r="ES218" s="240" t="s">
        <v>231</v>
      </c>
      <c r="ET218" s="240" t="s">
        <v>231</v>
      </c>
      <c r="EU218" s="240" t="s">
        <v>231</v>
      </c>
      <c r="EV218" s="240" t="s">
        <v>231</v>
      </c>
      <c r="EW218" s="240" t="s">
        <v>231</v>
      </c>
      <c r="EX218" s="240" t="s">
        <v>231</v>
      </c>
      <c r="EY218" s="240" t="s">
        <v>231</v>
      </c>
      <c r="EZ218" s="240" t="s">
        <v>231</v>
      </c>
      <c r="FA218" s="240" t="s">
        <v>231</v>
      </c>
      <c r="FB218" s="240" t="s">
        <v>231</v>
      </c>
      <c r="FC218" s="240" t="s">
        <v>231</v>
      </c>
      <c r="FD218" s="240" t="s">
        <v>231</v>
      </c>
      <c r="FE218" s="240" t="s">
        <v>231</v>
      </c>
      <c r="FF218" s="240" t="s">
        <v>231</v>
      </c>
      <c r="FG218" s="240" t="s">
        <v>231</v>
      </c>
      <c r="FH218" s="240" t="s">
        <v>231</v>
      </c>
      <c r="FI218" s="240" t="s">
        <v>231</v>
      </c>
      <c r="FJ218" s="240" t="s">
        <v>231</v>
      </c>
      <c r="FK218" s="240" t="s">
        <v>231</v>
      </c>
      <c r="FL218" s="240" t="s">
        <v>231</v>
      </c>
      <c r="FM218" s="240" t="s">
        <v>231</v>
      </c>
      <c r="FN218" s="240" t="s">
        <v>231</v>
      </c>
      <c r="FO218" s="240" t="s">
        <v>231</v>
      </c>
      <c r="FP218" s="240" t="s">
        <v>231</v>
      </c>
      <c r="FQ218" s="240" t="s">
        <v>231</v>
      </c>
      <c r="FR218" s="240" t="s">
        <v>231</v>
      </c>
      <c r="FS218" s="240" t="s">
        <v>231</v>
      </c>
      <c r="FT218" s="240" t="s">
        <v>231</v>
      </c>
      <c r="FU218" s="240" t="s">
        <v>231</v>
      </c>
      <c r="FV218" s="240" t="s">
        <v>231</v>
      </c>
      <c r="FW218" s="240" t="s">
        <v>231</v>
      </c>
      <c r="FX218" s="240" t="s">
        <v>231</v>
      </c>
      <c r="FY218" s="240" t="s">
        <v>231</v>
      </c>
      <c r="FZ218" s="240" t="s">
        <v>231</v>
      </c>
      <c r="GA218" s="240" t="s">
        <v>231</v>
      </c>
      <c r="GB218" s="240" t="s">
        <v>231</v>
      </c>
      <c r="GC218" s="240" t="s">
        <v>231</v>
      </c>
      <c r="GD218" s="240" t="s">
        <v>231</v>
      </c>
      <c r="GE218" s="240" t="s">
        <v>231</v>
      </c>
      <c r="GF218" s="240" t="s">
        <v>231</v>
      </c>
      <c r="GG218" s="240" t="s">
        <v>231</v>
      </c>
      <c r="GH218" s="240" t="s">
        <v>231</v>
      </c>
      <c r="GI218" s="240" t="s">
        <v>231</v>
      </c>
      <c r="GJ218" s="240" t="s">
        <v>231</v>
      </c>
      <c r="GK218" s="240" t="s">
        <v>231</v>
      </c>
      <c r="GL218" s="240" t="s">
        <v>231</v>
      </c>
      <c r="GM218" s="240" t="s">
        <v>231</v>
      </c>
      <c r="GN218" s="240" t="s">
        <v>231</v>
      </c>
      <c r="GO218" s="240" t="s">
        <v>231</v>
      </c>
      <c r="GP218" s="240" t="s">
        <v>492</v>
      </c>
      <c r="GQ218" s="240" t="s">
        <v>231</v>
      </c>
      <c r="GR218" s="240" t="s">
        <v>231</v>
      </c>
      <c r="GS218" s="240" t="s">
        <v>231</v>
      </c>
      <c r="GT218" s="240" t="s">
        <v>231</v>
      </c>
      <c r="GU218" s="240" t="s">
        <v>231</v>
      </c>
      <c r="GV218" s="240" t="s">
        <v>492</v>
      </c>
      <c r="GW218" s="240" t="s">
        <v>231</v>
      </c>
      <c r="GX218" s="240" t="s">
        <v>231</v>
      </c>
      <c r="GY218" s="240" t="s">
        <v>231</v>
      </c>
      <c r="GZ218" s="240" t="s">
        <v>231</v>
      </c>
      <c r="HA218" s="240" t="s">
        <v>231</v>
      </c>
      <c r="HB218" s="240" t="s">
        <v>231</v>
      </c>
      <c r="HC218" s="240" t="s">
        <v>231</v>
      </c>
      <c r="HD218" s="240" t="s">
        <v>231</v>
      </c>
      <c r="HE218" s="240" t="s">
        <v>492</v>
      </c>
      <c r="HF218" s="240" t="s">
        <v>231</v>
      </c>
      <c r="HG218" s="240" t="s">
        <v>231</v>
      </c>
      <c r="HH218" s="240" t="s">
        <v>231</v>
      </c>
      <c r="HI218" s="240" t="s">
        <v>231</v>
      </c>
      <c r="HJ218" s="240" t="s">
        <v>231</v>
      </c>
      <c r="HK218" s="240" t="s">
        <v>231</v>
      </c>
      <c r="HL218" s="240" t="s">
        <v>231</v>
      </c>
      <c r="HM218" s="240" t="s">
        <v>231</v>
      </c>
      <c r="HN218" s="240" t="s">
        <v>492</v>
      </c>
      <c r="HO218" s="240" t="s">
        <v>231</v>
      </c>
      <c r="HP218" s="240" t="s">
        <v>231</v>
      </c>
      <c r="HQ218" s="240" t="s">
        <v>492</v>
      </c>
      <c r="HR218" s="240" t="s">
        <v>492</v>
      </c>
      <c r="HS218" s="240" t="s">
        <v>492</v>
      </c>
      <c r="HT218" s="240" t="s">
        <v>492</v>
      </c>
      <c r="HU218" s="240" t="s">
        <v>231</v>
      </c>
      <c r="HV218" s="240" t="s">
        <v>231</v>
      </c>
      <c r="HW218" s="240" t="s">
        <v>231</v>
      </c>
      <c r="HX218" s="240" t="s">
        <v>231</v>
      </c>
      <c r="HY218" s="240" t="s">
        <v>231</v>
      </c>
      <c r="HZ218" s="240" t="s">
        <v>231</v>
      </c>
      <c r="IA218" s="240" t="s">
        <v>231</v>
      </c>
      <c r="IB218" s="240" t="s">
        <v>231</v>
      </c>
      <c r="IC218" s="240" t="s">
        <v>231</v>
      </c>
      <c r="ID218" s="240" t="s">
        <v>231</v>
      </c>
      <c r="IE218" s="240" t="s">
        <v>231</v>
      </c>
      <c r="IF218" s="240" t="s">
        <v>231</v>
      </c>
      <c r="IG218" s="240" t="s">
        <v>231</v>
      </c>
      <c r="IH218" s="240" t="s">
        <v>231</v>
      </c>
      <c r="II218" s="240" t="s">
        <v>231</v>
      </c>
      <c r="IJ218" s="240" t="s">
        <v>231</v>
      </c>
      <c r="IK218" s="240" t="s">
        <v>231</v>
      </c>
      <c r="IL218" s="240" t="s">
        <v>231</v>
      </c>
      <c r="IM218" s="240" t="s">
        <v>231</v>
      </c>
      <c r="IN218" s="240" t="s">
        <v>231</v>
      </c>
      <c r="IO218" s="240" t="s">
        <v>220</v>
      </c>
      <c r="IP218" s="240" t="s">
        <v>493</v>
      </c>
      <c r="IQ218" s="240" t="s">
        <v>219</v>
      </c>
      <c r="IR218" s="240" t="s">
        <v>490</v>
      </c>
      <c r="IS218" s="240" t="s">
        <v>492</v>
      </c>
      <c r="IT218" s="240" t="s">
        <v>492</v>
      </c>
    </row>
    <row r="219" spans="1:254" ht="15" x14ac:dyDescent="0.25">
      <c r="A219" s="258" t="str">
        <f>HYPERLINK("http://www.ofsted.gov.uk/inspection-reports/find-inspection-report/provider/ELS/131127 ","Ofsted School Webpage")</f>
        <v>Ofsted School Webpage</v>
      </c>
      <c r="B219" s="237">
        <v>131127</v>
      </c>
      <c r="C219" s="237">
        <v>8466020</v>
      </c>
      <c r="D219" s="237" t="s">
        <v>1031</v>
      </c>
      <c r="E219" s="237" t="s">
        <v>247</v>
      </c>
      <c r="F219" s="237" t="s">
        <v>482</v>
      </c>
      <c r="G219" s="237" t="s">
        <v>581</v>
      </c>
      <c r="H219" s="237" t="s">
        <v>581</v>
      </c>
      <c r="I219" s="237" t="s">
        <v>924</v>
      </c>
      <c r="J219" s="237" t="s">
        <v>1032</v>
      </c>
      <c r="K219" s="237" t="s">
        <v>93</v>
      </c>
      <c r="L219" s="237" t="s">
        <v>93</v>
      </c>
      <c r="M219" s="237" t="s">
        <v>93</v>
      </c>
      <c r="N219" s="237" t="s">
        <v>90</v>
      </c>
      <c r="O219" s="237" t="s">
        <v>486</v>
      </c>
      <c r="P219" s="237" t="s">
        <v>487</v>
      </c>
      <c r="Q219" s="238">
        <v>10056674</v>
      </c>
      <c r="R219" s="239">
        <v>43502</v>
      </c>
      <c r="S219" s="239">
        <v>43504</v>
      </c>
      <c r="T219" s="239">
        <v>43528</v>
      </c>
      <c r="U219" s="237" t="s">
        <v>488</v>
      </c>
      <c r="V219" s="237" t="s">
        <v>489</v>
      </c>
      <c r="W219" s="237">
        <v>2</v>
      </c>
      <c r="X219" s="237">
        <v>2</v>
      </c>
      <c r="Y219" s="237">
        <v>2</v>
      </c>
      <c r="Z219" s="237">
        <v>2</v>
      </c>
      <c r="AA219" s="237">
        <v>2</v>
      </c>
      <c r="AB219" s="237" t="s">
        <v>486</v>
      </c>
      <c r="AC219" s="237" t="s">
        <v>486</v>
      </c>
      <c r="AD219" s="237" t="s">
        <v>219</v>
      </c>
      <c r="AE219" s="237" t="s">
        <v>490</v>
      </c>
      <c r="AF219" s="237" t="s">
        <v>486</v>
      </c>
      <c r="AG219" s="237" t="s">
        <v>486</v>
      </c>
      <c r="AH219" s="237" t="s">
        <v>486</v>
      </c>
      <c r="AI219" s="237" t="s">
        <v>486</v>
      </c>
      <c r="AJ219" s="237" t="s">
        <v>486</v>
      </c>
      <c r="AK219" s="237" t="s">
        <v>486</v>
      </c>
      <c r="AL219" s="237" t="s">
        <v>486</v>
      </c>
      <c r="AM219" s="237" t="s">
        <v>491</v>
      </c>
      <c r="AN219" s="237" t="s">
        <v>231</v>
      </c>
      <c r="AO219" s="237" t="s">
        <v>231</v>
      </c>
      <c r="AP219" s="237" t="s">
        <v>231</v>
      </c>
      <c r="AQ219" s="237" t="s">
        <v>231</v>
      </c>
      <c r="AR219" s="237" t="s">
        <v>231</v>
      </c>
      <c r="AS219" s="237" t="s">
        <v>231</v>
      </c>
      <c r="AT219" s="237" t="s">
        <v>231</v>
      </c>
      <c r="AU219" s="237" t="s">
        <v>231</v>
      </c>
      <c r="AV219" s="237" t="s">
        <v>231</v>
      </c>
      <c r="AW219" s="237" t="s">
        <v>231</v>
      </c>
      <c r="AX219" s="237" t="s">
        <v>231</v>
      </c>
      <c r="AY219" s="237" t="s">
        <v>231</v>
      </c>
      <c r="AZ219" s="237" t="s">
        <v>231</v>
      </c>
      <c r="BA219" s="237" t="s">
        <v>231</v>
      </c>
      <c r="BB219" s="237" t="s">
        <v>231</v>
      </c>
      <c r="BC219" s="237" t="s">
        <v>231</v>
      </c>
      <c r="BD219" s="237" t="s">
        <v>492</v>
      </c>
      <c r="BE219" s="237" t="s">
        <v>231</v>
      </c>
      <c r="BF219" s="237" t="s">
        <v>231</v>
      </c>
      <c r="BG219" s="237" t="s">
        <v>231</v>
      </c>
      <c r="BH219" s="237" t="s">
        <v>231</v>
      </c>
      <c r="BI219" s="237" t="s">
        <v>231</v>
      </c>
      <c r="BJ219" s="237" t="s">
        <v>231</v>
      </c>
      <c r="BK219" s="237" t="s">
        <v>231</v>
      </c>
      <c r="BL219" s="237" t="s">
        <v>492</v>
      </c>
      <c r="BM219" s="237" t="s">
        <v>492</v>
      </c>
      <c r="BN219" s="237" t="s">
        <v>231</v>
      </c>
      <c r="BO219" s="237" t="s">
        <v>231</v>
      </c>
      <c r="BP219" s="237" t="s">
        <v>231</v>
      </c>
      <c r="BQ219" s="237" t="s">
        <v>231</v>
      </c>
      <c r="BR219" s="237" t="s">
        <v>231</v>
      </c>
      <c r="BS219" s="237" t="s">
        <v>231</v>
      </c>
      <c r="BT219" s="237" t="s">
        <v>231</v>
      </c>
      <c r="BU219" s="237" t="s">
        <v>231</v>
      </c>
      <c r="BV219" s="237" t="s">
        <v>231</v>
      </c>
      <c r="BW219" s="237" t="s">
        <v>231</v>
      </c>
      <c r="BX219" s="237" t="s">
        <v>231</v>
      </c>
      <c r="BY219" s="237" t="s">
        <v>231</v>
      </c>
      <c r="BZ219" s="237" t="s">
        <v>231</v>
      </c>
      <c r="CA219" s="237" t="s">
        <v>231</v>
      </c>
      <c r="CB219" s="237" t="s">
        <v>231</v>
      </c>
      <c r="CC219" s="237" t="s">
        <v>231</v>
      </c>
      <c r="CD219" s="237" t="s">
        <v>231</v>
      </c>
      <c r="CE219" s="237" t="s">
        <v>231</v>
      </c>
      <c r="CF219" s="237" t="s">
        <v>231</v>
      </c>
      <c r="CG219" s="237" t="s">
        <v>231</v>
      </c>
      <c r="CH219" s="237" t="s">
        <v>231</v>
      </c>
      <c r="CI219" s="237" t="s">
        <v>231</v>
      </c>
      <c r="CJ219" s="237" t="s">
        <v>231</v>
      </c>
      <c r="CK219" s="237" t="s">
        <v>231</v>
      </c>
      <c r="CL219" s="237" t="s">
        <v>231</v>
      </c>
      <c r="CM219" s="237" t="s">
        <v>231</v>
      </c>
      <c r="CN219" s="237" t="s">
        <v>231</v>
      </c>
      <c r="CO219" s="237" t="s">
        <v>231</v>
      </c>
      <c r="CP219" s="237" t="s">
        <v>231</v>
      </c>
      <c r="CQ219" s="237" t="s">
        <v>231</v>
      </c>
      <c r="CR219" s="237" t="s">
        <v>231</v>
      </c>
      <c r="CS219" s="237" t="s">
        <v>231</v>
      </c>
      <c r="CT219" s="237" t="s">
        <v>492</v>
      </c>
      <c r="CU219" s="237" t="s">
        <v>492</v>
      </c>
      <c r="CV219" s="237" t="s">
        <v>492</v>
      </c>
      <c r="CW219" s="237" t="s">
        <v>231</v>
      </c>
      <c r="CX219" s="237" t="s">
        <v>231</v>
      </c>
      <c r="CY219" s="237" t="s">
        <v>231</v>
      </c>
      <c r="CZ219" s="237" t="s">
        <v>231</v>
      </c>
      <c r="DA219" s="237" t="s">
        <v>231</v>
      </c>
      <c r="DB219" s="237" t="s">
        <v>231</v>
      </c>
      <c r="DC219" s="237" t="s">
        <v>231</v>
      </c>
      <c r="DD219" s="237" t="s">
        <v>231</v>
      </c>
      <c r="DE219" s="237" t="s">
        <v>231</v>
      </c>
      <c r="DF219" s="237" t="s">
        <v>231</v>
      </c>
      <c r="DG219" s="237" t="s">
        <v>231</v>
      </c>
      <c r="DH219" s="237" t="s">
        <v>231</v>
      </c>
      <c r="DI219" s="237" t="s">
        <v>231</v>
      </c>
      <c r="DJ219" s="237" t="s">
        <v>231</v>
      </c>
      <c r="DK219" s="237" t="s">
        <v>231</v>
      </c>
      <c r="DL219" s="237" t="s">
        <v>231</v>
      </c>
      <c r="DM219" s="237" t="s">
        <v>231</v>
      </c>
      <c r="DN219" s="237" t="s">
        <v>231</v>
      </c>
      <c r="DO219" s="237" t="s">
        <v>231</v>
      </c>
      <c r="DP219" s="237" t="s">
        <v>231</v>
      </c>
      <c r="DQ219" s="237" t="s">
        <v>231</v>
      </c>
      <c r="DR219" s="237" t="s">
        <v>231</v>
      </c>
      <c r="DS219" s="237" t="s">
        <v>231</v>
      </c>
      <c r="DT219" s="237" t="s">
        <v>492</v>
      </c>
      <c r="DU219" s="237" t="s">
        <v>231</v>
      </c>
      <c r="DV219" s="237" t="s">
        <v>231</v>
      </c>
      <c r="DW219" s="237" t="s">
        <v>231</v>
      </c>
      <c r="DX219" s="237" t="s">
        <v>231</v>
      </c>
      <c r="DY219" s="237" t="s">
        <v>231</v>
      </c>
      <c r="DZ219" s="237" t="s">
        <v>231</v>
      </c>
      <c r="EA219" s="237" t="s">
        <v>231</v>
      </c>
      <c r="EB219" s="237" t="s">
        <v>231</v>
      </c>
      <c r="EC219" s="237" t="s">
        <v>231</v>
      </c>
      <c r="ED219" s="237" t="s">
        <v>231</v>
      </c>
      <c r="EE219" s="237" t="s">
        <v>231</v>
      </c>
      <c r="EF219" s="237" t="s">
        <v>231</v>
      </c>
      <c r="EG219" s="237" t="s">
        <v>231</v>
      </c>
      <c r="EH219" s="237" t="s">
        <v>492</v>
      </c>
      <c r="EI219" s="237" t="s">
        <v>492</v>
      </c>
      <c r="EJ219" s="237" t="s">
        <v>231</v>
      </c>
      <c r="EK219" s="237" t="s">
        <v>231</v>
      </c>
      <c r="EL219" s="237" t="s">
        <v>231</v>
      </c>
      <c r="EM219" s="237" t="s">
        <v>231</v>
      </c>
      <c r="EN219" s="237" t="s">
        <v>231</v>
      </c>
      <c r="EO219" s="237" t="s">
        <v>231</v>
      </c>
      <c r="EP219" s="237" t="s">
        <v>231</v>
      </c>
      <c r="EQ219" s="237" t="s">
        <v>231</v>
      </c>
      <c r="ER219" s="237" t="s">
        <v>231</v>
      </c>
      <c r="ES219" s="237" t="s">
        <v>231</v>
      </c>
      <c r="ET219" s="237" t="s">
        <v>231</v>
      </c>
      <c r="EU219" s="237" t="s">
        <v>231</v>
      </c>
      <c r="EV219" s="237" t="s">
        <v>231</v>
      </c>
      <c r="EW219" s="237" t="s">
        <v>231</v>
      </c>
      <c r="EX219" s="237" t="s">
        <v>231</v>
      </c>
      <c r="EY219" s="237" t="s">
        <v>231</v>
      </c>
      <c r="EZ219" s="237" t="s">
        <v>231</v>
      </c>
      <c r="FA219" s="237" t="s">
        <v>231</v>
      </c>
      <c r="FB219" s="237" t="s">
        <v>231</v>
      </c>
      <c r="FC219" s="237" t="s">
        <v>231</v>
      </c>
      <c r="FD219" s="237" t="s">
        <v>231</v>
      </c>
      <c r="FE219" s="237" t="s">
        <v>231</v>
      </c>
      <c r="FF219" s="237" t="s">
        <v>231</v>
      </c>
      <c r="FG219" s="237" t="s">
        <v>231</v>
      </c>
      <c r="FH219" s="237" t="s">
        <v>231</v>
      </c>
      <c r="FI219" s="237" t="s">
        <v>231</v>
      </c>
      <c r="FJ219" s="237" t="s">
        <v>231</v>
      </c>
      <c r="FK219" s="237" t="s">
        <v>231</v>
      </c>
      <c r="FL219" s="237" t="s">
        <v>231</v>
      </c>
      <c r="FM219" s="237" t="s">
        <v>492</v>
      </c>
      <c r="FN219" s="237" t="s">
        <v>492</v>
      </c>
      <c r="FO219" s="237" t="s">
        <v>493</v>
      </c>
      <c r="FP219" s="237" t="s">
        <v>492</v>
      </c>
      <c r="FQ219" s="237" t="s">
        <v>231</v>
      </c>
      <c r="FR219" s="237" t="s">
        <v>231</v>
      </c>
      <c r="FS219" s="237" t="s">
        <v>231</v>
      </c>
      <c r="FT219" s="237" t="s">
        <v>231</v>
      </c>
      <c r="FU219" s="237" t="s">
        <v>231</v>
      </c>
      <c r="FV219" s="237" t="s">
        <v>231</v>
      </c>
      <c r="FW219" s="237" t="s">
        <v>231</v>
      </c>
      <c r="FX219" s="237" t="s">
        <v>231</v>
      </c>
      <c r="FY219" s="237" t="s">
        <v>231</v>
      </c>
      <c r="FZ219" s="237" t="s">
        <v>231</v>
      </c>
      <c r="GA219" s="237" t="s">
        <v>231</v>
      </c>
      <c r="GB219" s="237" t="s">
        <v>231</v>
      </c>
      <c r="GC219" s="237" t="s">
        <v>231</v>
      </c>
      <c r="GD219" s="237" t="s">
        <v>231</v>
      </c>
      <c r="GE219" s="237" t="s">
        <v>231</v>
      </c>
      <c r="GF219" s="237" t="s">
        <v>231</v>
      </c>
      <c r="GG219" s="237" t="s">
        <v>231</v>
      </c>
      <c r="GH219" s="237" t="s">
        <v>231</v>
      </c>
      <c r="GI219" s="237" t="s">
        <v>231</v>
      </c>
      <c r="GJ219" s="237" t="s">
        <v>231</v>
      </c>
      <c r="GK219" s="237" t="s">
        <v>231</v>
      </c>
      <c r="GL219" s="237" t="s">
        <v>231</v>
      </c>
      <c r="GM219" s="237" t="s">
        <v>231</v>
      </c>
      <c r="GN219" s="237" t="s">
        <v>231</v>
      </c>
      <c r="GO219" s="237" t="s">
        <v>231</v>
      </c>
      <c r="GP219" s="237" t="s">
        <v>492</v>
      </c>
      <c r="GQ219" s="237" t="s">
        <v>231</v>
      </c>
      <c r="GR219" s="237" t="s">
        <v>231</v>
      </c>
      <c r="GS219" s="237" t="s">
        <v>231</v>
      </c>
      <c r="GT219" s="237" t="s">
        <v>231</v>
      </c>
      <c r="GU219" s="237" t="s">
        <v>231</v>
      </c>
      <c r="GV219" s="237" t="s">
        <v>492</v>
      </c>
      <c r="GW219" s="237" t="s">
        <v>231</v>
      </c>
      <c r="GX219" s="237" t="s">
        <v>231</v>
      </c>
      <c r="GY219" s="237" t="s">
        <v>231</v>
      </c>
      <c r="GZ219" s="237" t="s">
        <v>231</v>
      </c>
      <c r="HA219" s="237" t="s">
        <v>231</v>
      </c>
      <c r="HB219" s="237" t="s">
        <v>231</v>
      </c>
      <c r="HC219" s="237" t="s">
        <v>231</v>
      </c>
      <c r="HD219" s="237" t="s">
        <v>231</v>
      </c>
      <c r="HE219" s="237" t="s">
        <v>231</v>
      </c>
      <c r="HF219" s="237" t="s">
        <v>231</v>
      </c>
      <c r="HG219" s="237" t="s">
        <v>492</v>
      </c>
      <c r="HH219" s="237" t="s">
        <v>231</v>
      </c>
      <c r="HI219" s="237" t="s">
        <v>231</v>
      </c>
      <c r="HJ219" s="237" t="s">
        <v>231</v>
      </c>
      <c r="HK219" s="237" t="s">
        <v>231</v>
      </c>
      <c r="HL219" s="237" t="s">
        <v>231</v>
      </c>
      <c r="HM219" s="237" t="s">
        <v>231</v>
      </c>
      <c r="HN219" s="237" t="s">
        <v>231</v>
      </c>
      <c r="HO219" s="237" t="s">
        <v>231</v>
      </c>
      <c r="HP219" s="237" t="s">
        <v>231</v>
      </c>
      <c r="HQ219" s="237" t="s">
        <v>231</v>
      </c>
      <c r="HR219" s="237" t="s">
        <v>492</v>
      </c>
      <c r="HS219" s="237" t="s">
        <v>492</v>
      </c>
      <c r="HT219" s="237" t="s">
        <v>492</v>
      </c>
      <c r="HU219" s="237" t="s">
        <v>231</v>
      </c>
      <c r="HV219" s="237" t="s">
        <v>231</v>
      </c>
      <c r="HW219" s="237" t="s">
        <v>231</v>
      </c>
      <c r="HX219" s="237" t="s">
        <v>231</v>
      </c>
      <c r="HY219" s="237" t="s">
        <v>231</v>
      </c>
      <c r="HZ219" s="237" t="s">
        <v>231</v>
      </c>
      <c r="IA219" s="237" t="s">
        <v>231</v>
      </c>
      <c r="IB219" s="237" t="s">
        <v>231</v>
      </c>
      <c r="IC219" s="237" t="s">
        <v>231</v>
      </c>
      <c r="ID219" s="237" t="s">
        <v>231</v>
      </c>
      <c r="IE219" s="237" t="s">
        <v>231</v>
      </c>
      <c r="IF219" s="237" t="s">
        <v>231</v>
      </c>
      <c r="IG219" s="237" t="s">
        <v>231</v>
      </c>
      <c r="IH219" s="237" t="s">
        <v>231</v>
      </c>
      <c r="II219" s="237" t="s">
        <v>231</v>
      </c>
      <c r="IJ219" s="237" t="s">
        <v>231</v>
      </c>
      <c r="IK219" s="237" t="s">
        <v>231</v>
      </c>
      <c r="IL219" s="237" t="s">
        <v>231</v>
      </c>
      <c r="IM219" s="237" t="s">
        <v>231</v>
      </c>
      <c r="IN219" s="237" t="s">
        <v>231</v>
      </c>
      <c r="IO219" s="237" t="s">
        <v>220</v>
      </c>
      <c r="IP219" s="237" t="s">
        <v>493</v>
      </c>
      <c r="IQ219" s="237" t="s">
        <v>219</v>
      </c>
      <c r="IR219" s="237" t="s">
        <v>490</v>
      </c>
      <c r="IS219" s="237" t="s">
        <v>492</v>
      </c>
      <c r="IT219" s="237" t="s">
        <v>492</v>
      </c>
    </row>
    <row r="220" spans="1:254" ht="15" x14ac:dyDescent="0.25">
      <c r="A220" s="259" t="str">
        <f>HYPERLINK("http://www.ofsted.gov.uk/inspection-reports/find-inspection-report/provider/ELS/135616 ","Ofsted School Webpage")</f>
        <v>Ofsted School Webpage</v>
      </c>
      <c r="B220" s="240">
        <v>135616</v>
      </c>
      <c r="C220" s="240">
        <v>2076408</v>
      </c>
      <c r="D220" s="240" t="s">
        <v>1033</v>
      </c>
      <c r="E220" s="240" t="s">
        <v>248</v>
      </c>
      <c r="F220" s="240" t="s">
        <v>501</v>
      </c>
      <c r="G220" s="240" t="s">
        <v>506</v>
      </c>
      <c r="H220" s="240" t="s">
        <v>506</v>
      </c>
      <c r="I220" s="240" t="s">
        <v>640</v>
      </c>
      <c r="J220" s="240" t="s">
        <v>1034</v>
      </c>
      <c r="K220" s="240" t="s">
        <v>93</v>
      </c>
      <c r="L220" s="240" t="s">
        <v>93</v>
      </c>
      <c r="M220" s="240" t="s">
        <v>93</v>
      </c>
      <c r="N220" s="240" t="s">
        <v>90</v>
      </c>
      <c r="O220" s="240" t="s">
        <v>486</v>
      </c>
      <c r="P220" s="240" t="s">
        <v>487</v>
      </c>
      <c r="Q220" s="241">
        <v>10067176</v>
      </c>
      <c r="R220" s="242">
        <v>43508</v>
      </c>
      <c r="S220" s="242">
        <v>43510</v>
      </c>
      <c r="T220" s="242">
        <v>43529</v>
      </c>
      <c r="U220" s="240" t="s">
        <v>488</v>
      </c>
      <c r="V220" s="240" t="s">
        <v>489</v>
      </c>
      <c r="W220" s="240">
        <v>1</v>
      </c>
      <c r="X220" s="240">
        <v>1</v>
      </c>
      <c r="Y220" s="240">
        <v>1</v>
      </c>
      <c r="Z220" s="240">
        <v>1</v>
      </c>
      <c r="AA220" s="240">
        <v>1</v>
      </c>
      <c r="AB220" s="240" t="s">
        <v>486</v>
      </c>
      <c r="AC220" s="240" t="s">
        <v>486</v>
      </c>
      <c r="AD220" s="240" t="s">
        <v>219</v>
      </c>
      <c r="AE220" s="240" t="s">
        <v>490</v>
      </c>
      <c r="AF220" s="240" t="s">
        <v>486</v>
      </c>
      <c r="AG220" s="240" t="s">
        <v>486</v>
      </c>
      <c r="AH220" s="240" t="s">
        <v>486</v>
      </c>
      <c r="AI220" s="240" t="s">
        <v>486</v>
      </c>
      <c r="AJ220" s="240" t="s">
        <v>486</v>
      </c>
      <c r="AK220" s="240" t="s">
        <v>486</v>
      </c>
      <c r="AL220" s="240" t="s">
        <v>486</v>
      </c>
      <c r="AM220" s="240" t="s">
        <v>491</v>
      </c>
      <c r="AN220" s="240" t="s">
        <v>231</v>
      </c>
      <c r="AO220" s="240" t="s">
        <v>231</v>
      </c>
      <c r="AP220" s="240" t="s">
        <v>231</v>
      </c>
      <c r="AQ220" s="240" t="s">
        <v>231</v>
      </c>
      <c r="AR220" s="240" t="s">
        <v>231</v>
      </c>
      <c r="AS220" s="240" t="s">
        <v>231</v>
      </c>
      <c r="AT220" s="240" t="s">
        <v>231</v>
      </c>
      <c r="AU220" s="240" t="s">
        <v>231</v>
      </c>
      <c r="AV220" s="240" t="s">
        <v>231</v>
      </c>
      <c r="AW220" s="240" t="s">
        <v>231</v>
      </c>
      <c r="AX220" s="240" t="s">
        <v>231</v>
      </c>
      <c r="AY220" s="240" t="s">
        <v>231</v>
      </c>
      <c r="AZ220" s="240" t="s">
        <v>231</v>
      </c>
      <c r="BA220" s="240" t="s">
        <v>231</v>
      </c>
      <c r="BB220" s="240" t="s">
        <v>231</v>
      </c>
      <c r="BC220" s="240" t="s">
        <v>231</v>
      </c>
      <c r="BD220" s="240" t="s">
        <v>492</v>
      </c>
      <c r="BE220" s="240" t="s">
        <v>231</v>
      </c>
      <c r="BF220" s="240" t="s">
        <v>231</v>
      </c>
      <c r="BG220" s="240" t="s">
        <v>231</v>
      </c>
      <c r="BH220" s="240" t="s">
        <v>231</v>
      </c>
      <c r="BI220" s="240" t="s">
        <v>231</v>
      </c>
      <c r="BJ220" s="240" t="s">
        <v>231</v>
      </c>
      <c r="BK220" s="240" t="s">
        <v>231</v>
      </c>
      <c r="BL220" s="240" t="s">
        <v>492</v>
      </c>
      <c r="BM220" s="240" t="s">
        <v>492</v>
      </c>
      <c r="BN220" s="240" t="s">
        <v>231</v>
      </c>
      <c r="BO220" s="240" t="s">
        <v>231</v>
      </c>
      <c r="BP220" s="240" t="s">
        <v>231</v>
      </c>
      <c r="BQ220" s="240" t="s">
        <v>231</v>
      </c>
      <c r="BR220" s="240" t="s">
        <v>231</v>
      </c>
      <c r="BS220" s="240" t="s">
        <v>231</v>
      </c>
      <c r="BT220" s="240" t="s">
        <v>231</v>
      </c>
      <c r="BU220" s="240" t="s">
        <v>231</v>
      </c>
      <c r="BV220" s="240" t="s">
        <v>231</v>
      </c>
      <c r="BW220" s="240" t="s">
        <v>231</v>
      </c>
      <c r="BX220" s="240" t="s">
        <v>231</v>
      </c>
      <c r="BY220" s="240" t="s">
        <v>231</v>
      </c>
      <c r="BZ220" s="240" t="s">
        <v>231</v>
      </c>
      <c r="CA220" s="240" t="s">
        <v>231</v>
      </c>
      <c r="CB220" s="240" t="s">
        <v>231</v>
      </c>
      <c r="CC220" s="240" t="s">
        <v>231</v>
      </c>
      <c r="CD220" s="240" t="s">
        <v>231</v>
      </c>
      <c r="CE220" s="240" t="s">
        <v>231</v>
      </c>
      <c r="CF220" s="240" t="s">
        <v>231</v>
      </c>
      <c r="CG220" s="240" t="s">
        <v>231</v>
      </c>
      <c r="CH220" s="240" t="s">
        <v>231</v>
      </c>
      <c r="CI220" s="240" t="s">
        <v>231</v>
      </c>
      <c r="CJ220" s="240" t="s">
        <v>231</v>
      </c>
      <c r="CK220" s="240" t="s">
        <v>231</v>
      </c>
      <c r="CL220" s="240" t="s">
        <v>231</v>
      </c>
      <c r="CM220" s="240" t="s">
        <v>231</v>
      </c>
      <c r="CN220" s="240" t="s">
        <v>231</v>
      </c>
      <c r="CO220" s="240" t="s">
        <v>231</v>
      </c>
      <c r="CP220" s="240" t="s">
        <v>231</v>
      </c>
      <c r="CQ220" s="240" t="s">
        <v>231</v>
      </c>
      <c r="CR220" s="240" t="s">
        <v>231</v>
      </c>
      <c r="CS220" s="240" t="s">
        <v>231</v>
      </c>
      <c r="CT220" s="240" t="s">
        <v>492</v>
      </c>
      <c r="CU220" s="240" t="s">
        <v>492</v>
      </c>
      <c r="CV220" s="240" t="s">
        <v>492</v>
      </c>
      <c r="CW220" s="240" t="s">
        <v>231</v>
      </c>
      <c r="CX220" s="240" t="s">
        <v>231</v>
      </c>
      <c r="CY220" s="240" t="s">
        <v>231</v>
      </c>
      <c r="CZ220" s="240" t="s">
        <v>231</v>
      </c>
      <c r="DA220" s="240" t="s">
        <v>231</v>
      </c>
      <c r="DB220" s="240" t="s">
        <v>231</v>
      </c>
      <c r="DC220" s="240" t="s">
        <v>231</v>
      </c>
      <c r="DD220" s="240" t="s">
        <v>231</v>
      </c>
      <c r="DE220" s="240" t="s">
        <v>231</v>
      </c>
      <c r="DF220" s="240" t="s">
        <v>231</v>
      </c>
      <c r="DG220" s="240" t="s">
        <v>231</v>
      </c>
      <c r="DH220" s="240" t="s">
        <v>231</v>
      </c>
      <c r="DI220" s="240" t="s">
        <v>231</v>
      </c>
      <c r="DJ220" s="240" t="s">
        <v>231</v>
      </c>
      <c r="DK220" s="240" t="s">
        <v>231</v>
      </c>
      <c r="DL220" s="240" t="s">
        <v>231</v>
      </c>
      <c r="DM220" s="240" t="s">
        <v>231</v>
      </c>
      <c r="DN220" s="240" t="s">
        <v>231</v>
      </c>
      <c r="DO220" s="240" t="s">
        <v>231</v>
      </c>
      <c r="DP220" s="240" t="s">
        <v>231</v>
      </c>
      <c r="DQ220" s="240" t="s">
        <v>231</v>
      </c>
      <c r="DR220" s="240" t="s">
        <v>231</v>
      </c>
      <c r="DS220" s="240" t="s">
        <v>231</v>
      </c>
      <c r="DT220" s="240" t="s">
        <v>492</v>
      </c>
      <c r="DU220" s="240" t="s">
        <v>231</v>
      </c>
      <c r="DV220" s="240" t="s">
        <v>492</v>
      </c>
      <c r="DW220" s="240" t="s">
        <v>492</v>
      </c>
      <c r="DX220" s="240" t="s">
        <v>492</v>
      </c>
      <c r="DY220" s="240" t="s">
        <v>492</v>
      </c>
      <c r="DZ220" s="240" t="s">
        <v>492</v>
      </c>
      <c r="EA220" s="240" t="s">
        <v>492</v>
      </c>
      <c r="EB220" s="240" t="s">
        <v>492</v>
      </c>
      <c r="EC220" s="240" t="s">
        <v>492</v>
      </c>
      <c r="ED220" s="240" t="s">
        <v>492</v>
      </c>
      <c r="EE220" s="240" t="s">
        <v>492</v>
      </c>
      <c r="EF220" s="240" t="s">
        <v>492</v>
      </c>
      <c r="EG220" s="240" t="s">
        <v>492</v>
      </c>
      <c r="EH220" s="240" t="s">
        <v>492</v>
      </c>
      <c r="EI220" s="240" t="s">
        <v>231</v>
      </c>
      <c r="EJ220" s="240" t="s">
        <v>231</v>
      </c>
      <c r="EK220" s="240" t="s">
        <v>231</v>
      </c>
      <c r="EL220" s="240" t="s">
        <v>231</v>
      </c>
      <c r="EM220" s="240" t="s">
        <v>231</v>
      </c>
      <c r="EN220" s="240" t="s">
        <v>231</v>
      </c>
      <c r="EO220" s="240" t="s">
        <v>231</v>
      </c>
      <c r="EP220" s="240" t="s">
        <v>231</v>
      </c>
      <c r="EQ220" s="240" t="s">
        <v>231</v>
      </c>
      <c r="ER220" s="240" t="s">
        <v>231</v>
      </c>
      <c r="ES220" s="240" t="s">
        <v>231</v>
      </c>
      <c r="ET220" s="240" t="s">
        <v>231</v>
      </c>
      <c r="EU220" s="240" t="s">
        <v>231</v>
      </c>
      <c r="EV220" s="240" t="s">
        <v>231</v>
      </c>
      <c r="EW220" s="240" t="s">
        <v>231</v>
      </c>
      <c r="EX220" s="240" t="s">
        <v>231</v>
      </c>
      <c r="EY220" s="240" t="s">
        <v>231</v>
      </c>
      <c r="EZ220" s="240" t="s">
        <v>231</v>
      </c>
      <c r="FA220" s="240" t="s">
        <v>231</v>
      </c>
      <c r="FB220" s="240" t="s">
        <v>231</v>
      </c>
      <c r="FC220" s="240" t="s">
        <v>231</v>
      </c>
      <c r="FD220" s="240" t="s">
        <v>231</v>
      </c>
      <c r="FE220" s="240" t="s">
        <v>231</v>
      </c>
      <c r="FF220" s="240" t="s">
        <v>231</v>
      </c>
      <c r="FG220" s="240" t="s">
        <v>492</v>
      </c>
      <c r="FH220" s="240" t="s">
        <v>492</v>
      </c>
      <c r="FI220" s="240" t="s">
        <v>492</v>
      </c>
      <c r="FJ220" s="240" t="s">
        <v>492</v>
      </c>
      <c r="FK220" s="240" t="s">
        <v>492</v>
      </c>
      <c r="FL220" s="240" t="s">
        <v>492</v>
      </c>
      <c r="FM220" s="240" t="s">
        <v>231</v>
      </c>
      <c r="FN220" s="240" t="s">
        <v>231</v>
      </c>
      <c r="FO220" s="240" t="s">
        <v>231</v>
      </c>
      <c r="FP220" s="240" t="s">
        <v>231</v>
      </c>
      <c r="FQ220" s="240" t="s">
        <v>231</v>
      </c>
      <c r="FR220" s="240" t="s">
        <v>231</v>
      </c>
      <c r="FS220" s="240" t="s">
        <v>231</v>
      </c>
      <c r="FT220" s="240" t="s">
        <v>231</v>
      </c>
      <c r="FU220" s="240" t="s">
        <v>231</v>
      </c>
      <c r="FV220" s="240" t="s">
        <v>231</v>
      </c>
      <c r="FW220" s="240" t="s">
        <v>231</v>
      </c>
      <c r="FX220" s="240" t="s">
        <v>231</v>
      </c>
      <c r="FY220" s="240" t="s">
        <v>231</v>
      </c>
      <c r="FZ220" s="240" t="s">
        <v>231</v>
      </c>
      <c r="GA220" s="240" t="s">
        <v>231</v>
      </c>
      <c r="GB220" s="240" t="s">
        <v>231</v>
      </c>
      <c r="GC220" s="240" t="s">
        <v>231</v>
      </c>
      <c r="GD220" s="240" t="s">
        <v>231</v>
      </c>
      <c r="GE220" s="240" t="s">
        <v>231</v>
      </c>
      <c r="GF220" s="240" t="s">
        <v>231</v>
      </c>
      <c r="GG220" s="240" t="s">
        <v>231</v>
      </c>
      <c r="GH220" s="240" t="s">
        <v>231</v>
      </c>
      <c r="GI220" s="240" t="s">
        <v>231</v>
      </c>
      <c r="GJ220" s="240" t="s">
        <v>231</v>
      </c>
      <c r="GK220" s="240" t="s">
        <v>231</v>
      </c>
      <c r="GL220" s="240" t="s">
        <v>231</v>
      </c>
      <c r="GM220" s="240" t="s">
        <v>231</v>
      </c>
      <c r="GN220" s="240" t="s">
        <v>231</v>
      </c>
      <c r="GO220" s="240" t="s">
        <v>231</v>
      </c>
      <c r="GP220" s="240" t="s">
        <v>492</v>
      </c>
      <c r="GQ220" s="240" t="s">
        <v>231</v>
      </c>
      <c r="GR220" s="240" t="s">
        <v>231</v>
      </c>
      <c r="GS220" s="240" t="s">
        <v>231</v>
      </c>
      <c r="GT220" s="240" t="s">
        <v>231</v>
      </c>
      <c r="GU220" s="240" t="s">
        <v>231</v>
      </c>
      <c r="GV220" s="240" t="s">
        <v>492</v>
      </c>
      <c r="GW220" s="240" t="s">
        <v>231</v>
      </c>
      <c r="GX220" s="240" t="s">
        <v>231</v>
      </c>
      <c r="GY220" s="240" t="s">
        <v>231</v>
      </c>
      <c r="GZ220" s="240" t="s">
        <v>231</v>
      </c>
      <c r="HA220" s="240" t="s">
        <v>231</v>
      </c>
      <c r="HB220" s="240" t="s">
        <v>231</v>
      </c>
      <c r="HC220" s="240" t="s">
        <v>231</v>
      </c>
      <c r="HD220" s="240" t="s">
        <v>231</v>
      </c>
      <c r="HE220" s="240" t="s">
        <v>492</v>
      </c>
      <c r="HF220" s="240" t="s">
        <v>231</v>
      </c>
      <c r="HG220" s="240" t="s">
        <v>492</v>
      </c>
      <c r="HH220" s="240" t="s">
        <v>231</v>
      </c>
      <c r="HI220" s="240" t="s">
        <v>231</v>
      </c>
      <c r="HJ220" s="240" t="s">
        <v>231</v>
      </c>
      <c r="HK220" s="240" t="s">
        <v>231</v>
      </c>
      <c r="HL220" s="240" t="s">
        <v>231</v>
      </c>
      <c r="HM220" s="240" t="s">
        <v>231</v>
      </c>
      <c r="HN220" s="240" t="s">
        <v>231</v>
      </c>
      <c r="HO220" s="240" t="s">
        <v>231</v>
      </c>
      <c r="HP220" s="240" t="s">
        <v>231</v>
      </c>
      <c r="HQ220" s="240" t="s">
        <v>492</v>
      </c>
      <c r="HR220" s="240" t="s">
        <v>492</v>
      </c>
      <c r="HS220" s="240" t="s">
        <v>492</v>
      </c>
      <c r="HT220" s="240" t="s">
        <v>492</v>
      </c>
      <c r="HU220" s="240" t="s">
        <v>231</v>
      </c>
      <c r="HV220" s="240" t="s">
        <v>231</v>
      </c>
      <c r="HW220" s="240" t="s">
        <v>231</v>
      </c>
      <c r="HX220" s="240" t="s">
        <v>231</v>
      </c>
      <c r="HY220" s="240" t="s">
        <v>231</v>
      </c>
      <c r="HZ220" s="240" t="s">
        <v>231</v>
      </c>
      <c r="IA220" s="240" t="s">
        <v>231</v>
      </c>
      <c r="IB220" s="240" t="s">
        <v>231</v>
      </c>
      <c r="IC220" s="240" t="s">
        <v>231</v>
      </c>
      <c r="ID220" s="240" t="s">
        <v>231</v>
      </c>
      <c r="IE220" s="240" t="s">
        <v>231</v>
      </c>
      <c r="IF220" s="240" t="s">
        <v>231</v>
      </c>
      <c r="IG220" s="240" t="s">
        <v>231</v>
      </c>
      <c r="IH220" s="240" t="s">
        <v>231</v>
      </c>
      <c r="II220" s="240" t="s">
        <v>231</v>
      </c>
      <c r="IJ220" s="240" t="s">
        <v>231</v>
      </c>
      <c r="IK220" s="240" t="s">
        <v>231</v>
      </c>
      <c r="IL220" s="240" t="s">
        <v>231</v>
      </c>
      <c r="IM220" s="240" t="s">
        <v>231</v>
      </c>
      <c r="IN220" s="240" t="s">
        <v>231</v>
      </c>
      <c r="IO220" s="240" t="s">
        <v>220</v>
      </c>
      <c r="IP220" s="240" t="s">
        <v>493</v>
      </c>
      <c r="IQ220" s="240" t="s">
        <v>219</v>
      </c>
      <c r="IR220" s="240" t="s">
        <v>490</v>
      </c>
      <c r="IS220" s="240" t="s">
        <v>492</v>
      </c>
      <c r="IT220" s="240" t="s">
        <v>492</v>
      </c>
    </row>
    <row r="221" spans="1:254" ht="15" x14ac:dyDescent="0.25">
      <c r="A221" s="258" t="str">
        <f>HYPERLINK("http://www.ofsted.gov.uk/inspection-reports/find-inspection-report/provider/ELS/114660 ","Ofsted School Webpage")</f>
        <v>Ofsted School Webpage</v>
      </c>
      <c r="B221" s="237">
        <v>114660</v>
      </c>
      <c r="C221" s="237">
        <v>8456007</v>
      </c>
      <c r="D221" s="237" t="s">
        <v>1035</v>
      </c>
      <c r="E221" s="237" t="s">
        <v>248</v>
      </c>
      <c r="F221" s="237" t="s">
        <v>501</v>
      </c>
      <c r="G221" s="237" t="s">
        <v>581</v>
      </c>
      <c r="H221" s="237" t="s">
        <v>581</v>
      </c>
      <c r="I221" s="237" t="s">
        <v>761</v>
      </c>
      <c r="J221" s="237" t="s">
        <v>1036</v>
      </c>
      <c r="K221" s="237" t="s">
        <v>71</v>
      </c>
      <c r="L221" s="237" t="s">
        <v>75</v>
      </c>
      <c r="M221" s="237" t="s">
        <v>71</v>
      </c>
      <c r="N221" s="237" t="s">
        <v>71</v>
      </c>
      <c r="O221" s="237" t="s">
        <v>486</v>
      </c>
      <c r="P221" s="237" t="s">
        <v>487</v>
      </c>
      <c r="Q221" s="238">
        <v>10056669</v>
      </c>
      <c r="R221" s="239">
        <v>43508</v>
      </c>
      <c r="S221" s="239">
        <v>43510</v>
      </c>
      <c r="T221" s="239">
        <v>43534</v>
      </c>
      <c r="U221" s="237" t="s">
        <v>488</v>
      </c>
      <c r="V221" s="237" t="s">
        <v>489</v>
      </c>
      <c r="W221" s="237">
        <v>3</v>
      </c>
      <c r="X221" s="237">
        <v>3</v>
      </c>
      <c r="Y221" s="237">
        <v>3</v>
      </c>
      <c r="Z221" s="237">
        <v>3</v>
      </c>
      <c r="AA221" s="237">
        <v>3</v>
      </c>
      <c r="AB221" s="237" t="s">
        <v>486</v>
      </c>
      <c r="AC221" s="237" t="s">
        <v>486</v>
      </c>
      <c r="AD221" s="237" t="s">
        <v>219</v>
      </c>
      <c r="AE221" s="237" t="s">
        <v>490</v>
      </c>
      <c r="AF221" s="237" t="s">
        <v>486</v>
      </c>
      <c r="AG221" s="237" t="s">
        <v>486</v>
      </c>
      <c r="AH221" s="237" t="s">
        <v>486</v>
      </c>
      <c r="AI221" s="237" t="s">
        <v>486</v>
      </c>
      <c r="AJ221" s="237" t="s">
        <v>486</v>
      </c>
      <c r="AK221" s="237" t="s">
        <v>486</v>
      </c>
      <c r="AL221" s="237" t="s">
        <v>486</v>
      </c>
      <c r="AM221" s="237" t="s">
        <v>545</v>
      </c>
      <c r="AN221" s="237" t="s">
        <v>546</v>
      </c>
      <c r="AO221" s="237" t="s">
        <v>231</v>
      </c>
      <c r="AP221" s="237" t="s">
        <v>231</v>
      </c>
      <c r="AQ221" s="237" t="s">
        <v>231</v>
      </c>
      <c r="AR221" s="237" t="s">
        <v>546</v>
      </c>
      <c r="AS221" s="237" t="s">
        <v>546</v>
      </c>
      <c r="AT221" s="237" t="s">
        <v>231</v>
      </c>
      <c r="AU221" s="237" t="s">
        <v>546</v>
      </c>
      <c r="AV221" s="237" t="s">
        <v>232</v>
      </c>
      <c r="AW221" s="237" t="s">
        <v>232</v>
      </c>
      <c r="AX221" s="237" t="s">
        <v>232</v>
      </c>
      <c r="AY221" s="237" t="s">
        <v>232</v>
      </c>
      <c r="AZ221" s="237" t="s">
        <v>232</v>
      </c>
      <c r="BA221" s="237" t="s">
        <v>231</v>
      </c>
      <c r="BB221" s="237" t="s">
        <v>231</v>
      </c>
      <c r="BC221" s="237" t="s">
        <v>231</v>
      </c>
      <c r="BD221" s="237" t="s">
        <v>492</v>
      </c>
      <c r="BE221" s="237" t="s">
        <v>231</v>
      </c>
      <c r="BF221" s="237" t="s">
        <v>231</v>
      </c>
      <c r="BG221" s="237" t="s">
        <v>231</v>
      </c>
      <c r="BH221" s="237" t="s">
        <v>231</v>
      </c>
      <c r="BI221" s="237" t="s">
        <v>231</v>
      </c>
      <c r="BJ221" s="237" t="s">
        <v>231</v>
      </c>
      <c r="BK221" s="237" t="s">
        <v>231</v>
      </c>
      <c r="BL221" s="237" t="s">
        <v>231</v>
      </c>
      <c r="BM221" s="237" t="s">
        <v>231</v>
      </c>
      <c r="BN221" s="237" t="s">
        <v>231</v>
      </c>
      <c r="BO221" s="237" t="s">
        <v>231</v>
      </c>
      <c r="BP221" s="237" t="s">
        <v>232</v>
      </c>
      <c r="BQ221" s="237" t="s">
        <v>231</v>
      </c>
      <c r="BR221" s="237" t="s">
        <v>231</v>
      </c>
      <c r="BS221" s="237" t="s">
        <v>231</v>
      </c>
      <c r="BT221" s="237" t="s">
        <v>231</v>
      </c>
      <c r="BU221" s="237" t="s">
        <v>231</v>
      </c>
      <c r="BV221" s="237" t="s">
        <v>231</v>
      </c>
      <c r="BW221" s="237" t="s">
        <v>232</v>
      </c>
      <c r="BX221" s="237" t="s">
        <v>231</v>
      </c>
      <c r="BY221" s="237" t="s">
        <v>231</v>
      </c>
      <c r="BZ221" s="237" t="s">
        <v>231</v>
      </c>
      <c r="CA221" s="237" t="s">
        <v>232</v>
      </c>
      <c r="CB221" s="237" t="s">
        <v>231</v>
      </c>
      <c r="CC221" s="237" t="s">
        <v>231</v>
      </c>
      <c r="CD221" s="237" t="s">
        <v>231</v>
      </c>
      <c r="CE221" s="237" t="s">
        <v>231</v>
      </c>
      <c r="CF221" s="237" t="s">
        <v>231</v>
      </c>
      <c r="CG221" s="237" t="s">
        <v>231</v>
      </c>
      <c r="CH221" s="237" t="s">
        <v>231</v>
      </c>
      <c r="CI221" s="237" t="s">
        <v>231</v>
      </c>
      <c r="CJ221" s="237" t="s">
        <v>231</v>
      </c>
      <c r="CK221" s="237" t="s">
        <v>231</v>
      </c>
      <c r="CL221" s="237" t="s">
        <v>231</v>
      </c>
      <c r="CM221" s="237" t="s">
        <v>231</v>
      </c>
      <c r="CN221" s="237" t="s">
        <v>231</v>
      </c>
      <c r="CO221" s="237" t="s">
        <v>231</v>
      </c>
      <c r="CP221" s="237" t="s">
        <v>231</v>
      </c>
      <c r="CQ221" s="237" t="s">
        <v>231</v>
      </c>
      <c r="CR221" s="237" t="s">
        <v>231</v>
      </c>
      <c r="CS221" s="237" t="s">
        <v>231</v>
      </c>
      <c r="CT221" s="237" t="s">
        <v>231</v>
      </c>
      <c r="CU221" s="237" t="s">
        <v>492</v>
      </c>
      <c r="CV221" s="237" t="s">
        <v>492</v>
      </c>
      <c r="CW221" s="237" t="s">
        <v>231</v>
      </c>
      <c r="CX221" s="237" t="s">
        <v>231</v>
      </c>
      <c r="CY221" s="237" t="s">
        <v>231</v>
      </c>
      <c r="CZ221" s="237" t="s">
        <v>231</v>
      </c>
      <c r="DA221" s="237" t="s">
        <v>231</v>
      </c>
      <c r="DB221" s="237" t="s">
        <v>231</v>
      </c>
      <c r="DC221" s="237" t="s">
        <v>231</v>
      </c>
      <c r="DD221" s="237" t="s">
        <v>231</v>
      </c>
      <c r="DE221" s="237" t="s">
        <v>231</v>
      </c>
      <c r="DF221" s="237" t="s">
        <v>231</v>
      </c>
      <c r="DG221" s="237" t="s">
        <v>231</v>
      </c>
      <c r="DH221" s="237" t="s">
        <v>231</v>
      </c>
      <c r="DI221" s="237" t="s">
        <v>231</v>
      </c>
      <c r="DJ221" s="237" t="s">
        <v>231</v>
      </c>
      <c r="DK221" s="237" t="s">
        <v>231</v>
      </c>
      <c r="DL221" s="237" t="s">
        <v>231</v>
      </c>
      <c r="DM221" s="237" t="s">
        <v>231</v>
      </c>
      <c r="DN221" s="237" t="s">
        <v>231</v>
      </c>
      <c r="DO221" s="237" t="s">
        <v>231</v>
      </c>
      <c r="DP221" s="237" t="s">
        <v>231</v>
      </c>
      <c r="DQ221" s="237" t="s">
        <v>231</v>
      </c>
      <c r="DR221" s="237" t="s">
        <v>231</v>
      </c>
      <c r="DS221" s="237" t="s">
        <v>231</v>
      </c>
      <c r="DT221" s="237" t="s">
        <v>231</v>
      </c>
      <c r="DU221" s="237" t="s">
        <v>231</v>
      </c>
      <c r="DV221" s="237" t="s">
        <v>231</v>
      </c>
      <c r="DW221" s="237" t="s">
        <v>231</v>
      </c>
      <c r="DX221" s="237" t="s">
        <v>231</v>
      </c>
      <c r="DY221" s="237" t="s">
        <v>231</v>
      </c>
      <c r="DZ221" s="237" t="s">
        <v>231</v>
      </c>
      <c r="EA221" s="237" t="s">
        <v>231</v>
      </c>
      <c r="EB221" s="237" t="s">
        <v>231</v>
      </c>
      <c r="EC221" s="237" t="s">
        <v>231</v>
      </c>
      <c r="ED221" s="237" t="s">
        <v>231</v>
      </c>
      <c r="EE221" s="237" t="s">
        <v>231</v>
      </c>
      <c r="EF221" s="237" t="s">
        <v>231</v>
      </c>
      <c r="EG221" s="237" t="s">
        <v>231</v>
      </c>
      <c r="EH221" s="237" t="s">
        <v>492</v>
      </c>
      <c r="EI221" s="237" t="s">
        <v>231</v>
      </c>
      <c r="EJ221" s="237" t="s">
        <v>231</v>
      </c>
      <c r="EK221" s="237" t="s">
        <v>231</v>
      </c>
      <c r="EL221" s="237" t="s">
        <v>231</v>
      </c>
      <c r="EM221" s="237" t="s">
        <v>231</v>
      </c>
      <c r="EN221" s="237" t="s">
        <v>231</v>
      </c>
      <c r="EO221" s="237" t="s">
        <v>231</v>
      </c>
      <c r="EP221" s="237" t="s">
        <v>231</v>
      </c>
      <c r="EQ221" s="237" t="s">
        <v>231</v>
      </c>
      <c r="ER221" s="237" t="s">
        <v>231</v>
      </c>
      <c r="ES221" s="237" t="s">
        <v>231</v>
      </c>
      <c r="ET221" s="237" t="s">
        <v>231</v>
      </c>
      <c r="EU221" s="237" t="s">
        <v>231</v>
      </c>
      <c r="EV221" s="237" t="s">
        <v>231</v>
      </c>
      <c r="EW221" s="237" t="s">
        <v>231</v>
      </c>
      <c r="EX221" s="237" t="s">
        <v>231</v>
      </c>
      <c r="EY221" s="237" t="s">
        <v>231</v>
      </c>
      <c r="EZ221" s="237" t="s">
        <v>231</v>
      </c>
      <c r="FA221" s="237" t="s">
        <v>231</v>
      </c>
      <c r="FB221" s="237" t="s">
        <v>231</v>
      </c>
      <c r="FC221" s="237" t="s">
        <v>231</v>
      </c>
      <c r="FD221" s="237" t="s">
        <v>231</v>
      </c>
      <c r="FE221" s="237" t="s">
        <v>231</v>
      </c>
      <c r="FF221" s="237" t="s">
        <v>231</v>
      </c>
      <c r="FG221" s="237" t="s">
        <v>231</v>
      </c>
      <c r="FH221" s="237" t="s">
        <v>231</v>
      </c>
      <c r="FI221" s="237" t="s">
        <v>231</v>
      </c>
      <c r="FJ221" s="237" t="s">
        <v>231</v>
      </c>
      <c r="FK221" s="237" t="s">
        <v>231</v>
      </c>
      <c r="FL221" s="237" t="s">
        <v>231</v>
      </c>
      <c r="FM221" s="237" t="s">
        <v>231</v>
      </c>
      <c r="FN221" s="237" t="s">
        <v>231</v>
      </c>
      <c r="FO221" s="237" t="s">
        <v>231</v>
      </c>
      <c r="FP221" s="237" t="s">
        <v>231</v>
      </c>
      <c r="FQ221" s="237" t="s">
        <v>231</v>
      </c>
      <c r="FR221" s="237" t="s">
        <v>231</v>
      </c>
      <c r="FS221" s="237" t="s">
        <v>231</v>
      </c>
      <c r="FT221" s="237" t="s">
        <v>231</v>
      </c>
      <c r="FU221" s="237" t="s">
        <v>232</v>
      </c>
      <c r="FV221" s="237" t="s">
        <v>231</v>
      </c>
      <c r="FW221" s="237" t="s">
        <v>232</v>
      </c>
      <c r="FX221" s="237" t="s">
        <v>492</v>
      </c>
      <c r="FY221" s="237" t="s">
        <v>231</v>
      </c>
      <c r="FZ221" s="237" t="s">
        <v>231</v>
      </c>
      <c r="GA221" s="237" t="s">
        <v>231</v>
      </c>
      <c r="GB221" s="237" t="s">
        <v>231</v>
      </c>
      <c r="GC221" s="237" t="s">
        <v>231</v>
      </c>
      <c r="GD221" s="237" t="s">
        <v>231</v>
      </c>
      <c r="GE221" s="237" t="s">
        <v>231</v>
      </c>
      <c r="GF221" s="237" t="s">
        <v>231</v>
      </c>
      <c r="GG221" s="237" t="s">
        <v>231</v>
      </c>
      <c r="GH221" s="237" t="s">
        <v>231</v>
      </c>
      <c r="GI221" s="237" t="s">
        <v>231</v>
      </c>
      <c r="GJ221" s="237" t="s">
        <v>231</v>
      </c>
      <c r="GK221" s="237" t="s">
        <v>231</v>
      </c>
      <c r="GL221" s="237" t="s">
        <v>231</v>
      </c>
      <c r="GM221" s="237" t="s">
        <v>231</v>
      </c>
      <c r="GN221" s="237" t="s">
        <v>231</v>
      </c>
      <c r="GO221" s="237" t="s">
        <v>231</v>
      </c>
      <c r="GP221" s="237" t="s">
        <v>492</v>
      </c>
      <c r="GQ221" s="237" t="s">
        <v>232</v>
      </c>
      <c r="GR221" s="237" t="s">
        <v>231</v>
      </c>
      <c r="GS221" s="237" t="s">
        <v>232</v>
      </c>
      <c r="GT221" s="237" t="s">
        <v>231</v>
      </c>
      <c r="GU221" s="237" t="s">
        <v>231</v>
      </c>
      <c r="GV221" s="237" t="s">
        <v>231</v>
      </c>
      <c r="GW221" s="237" t="s">
        <v>231</v>
      </c>
      <c r="GX221" s="237" t="s">
        <v>231</v>
      </c>
      <c r="GY221" s="237" t="s">
        <v>231</v>
      </c>
      <c r="GZ221" s="237" t="s">
        <v>231</v>
      </c>
      <c r="HA221" s="237" t="s">
        <v>231</v>
      </c>
      <c r="HB221" s="237" t="s">
        <v>231</v>
      </c>
      <c r="HC221" s="237" t="s">
        <v>231</v>
      </c>
      <c r="HD221" s="237" t="s">
        <v>231</v>
      </c>
      <c r="HE221" s="237" t="s">
        <v>492</v>
      </c>
      <c r="HF221" s="237" t="s">
        <v>231</v>
      </c>
      <c r="HG221" s="237" t="s">
        <v>231</v>
      </c>
      <c r="HH221" s="237" t="s">
        <v>231</v>
      </c>
      <c r="HI221" s="237" t="s">
        <v>232</v>
      </c>
      <c r="HJ221" s="237" t="s">
        <v>231</v>
      </c>
      <c r="HK221" s="237" t="s">
        <v>231</v>
      </c>
      <c r="HL221" s="237" t="s">
        <v>232</v>
      </c>
      <c r="HM221" s="237" t="s">
        <v>231</v>
      </c>
      <c r="HN221" s="237" t="s">
        <v>231</v>
      </c>
      <c r="HO221" s="237" t="s">
        <v>231</v>
      </c>
      <c r="HP221" s="237" t="s">
        <v>231</v>
      </c>
      <c r="HQ221" s="237" t="s">
        <v>231</v>
      </c>
      <c r="HR221" s="237" t="s">
        <v>231</v>
      </c>
      <c r="HS221" s="237" t="s">
        <v>231</v>
      </c>
      <c r="HT221" s="237" t="s">
        <v>231</v>
      </c>
      <c r="HU221" s="237" t="s">
        <v>231</v>
      </c>
      <c r="HV221" s="237" t="s">
        <v>231</v>
      </c>
      <c r="HW221" s="237" t="s">
        <v>231</v>
      </c>
      <c r="HX221" s="237" t="s">
        <v>231</v>
      </c>
      <c r="HY221" s="237" t="s">
        <v>231</v>
      </c>
      <c r="HZ221" s="237" t="s">
        <v>231</v>
      </c>
      <c r="IA221" s="237" t="s">
        <v>231</v>
      </c>
      <c r="IB221" s="237" t="s">
        <v>231</v>
      </c>
      <c r="IC221" s="237" t="s">
        <v>231</v>
      </c>
      <c r="ID221" s="237" t="s">
        <v>231</v>
      </c>
      <c r="IE221" s="237" t="s">
        <v>231</v>
      </c>
      <c r="IF221" s="237" t="s">
        <v>231</v>
      </c>
      <c r="IG221" s="237" t="s">
        <v>231</v>
      </c>
      <c r="IH221" s="237" t="s">
        <v>231</v>
      </c>
      <c r="II221" s="237" t="s">
        <v>231</v>
      </c>
      <c r="IJ221" s="237" t="s">
        <v>231</v>
      </c>
      <c r="IK221" s="237" t="s">
        <v>232</v>
      </c>
      <c r="IL221" s="237" t="s">
        <v>232</v>
      </c>
      <c r="IM221" s="237" t="s">
        <v>232</v>
      </c>
      <c r="IN221" s="237" t="s">
        <v>231</v>
      </c>
      <c r="IO221" s="237" t="s">
        <v>220</v>
      </c>
      <c r="IP221" s="237" t="s">
        <v>486</v>
      </c>
      <c r="IQ221" s="237" t="s">
        <v>486</v>
      </c>
      <c r="IR221" s="237" t="s">
        <v>490</v>
      </c>
      <c r="IS221" s="237" t="s">
        <v>492</v>
      </c>
      <c r="IT221" s="237" t="s">
        <v>492</v>
      </c>
    </row>
    <row r="222" spans="1:254" ht="15" x14ac:dyDescent="0.25">
      <c r="A222" s="259" t="str">
        <f>HYPERLINK("http://www.ofsted.gov.uk/inspection-reports/find-inspection-report/provider/ELS/139657 ","Ofsted School Webpage")</f>
        <v>Ofsted School Webpage</v>
      </c>
      <c r="B222" s="240">
        <v>139657</v>
      </c>
      <c r="C222" s="240">
        <v>8456019</v>
      </c>
      <c r="D222" s="240" t="s">
        <v>1037</v>
      </c>
      <c r="E222" s="240" t="s">
        <v>248</v>
      </c>
      <c r="F222" s="240" t="s">
        <v>501</v>
      </c>
      <c r="G222" s="240" t="s">
        <v>581</v>
      </c>
      <c r="H222" s="240" t="s">
        <v>581</v>
      </c>
      <c r="I222" s="240" t="s">
        <v>761</v>
      </c>
      <c r="J222" s="240" t="s">
        <v>1038</v>
      </c>
      <c r="K222" s="240" t="s">
        <v>93</v>
      </c>
      <c r="L222" s="240" t="s">
        <v>93</v>
      </c>
      <c r="M222" s="240" t="s">
        <v>93</v>
      </c>
      <c r="N222" s="240" t="s">
        <v>90</v>
      </c>
      <c r="O222" s="240" t="s">
        <v>486</v>
      </c>
      <c r="P222" s="240" t="s">
        <v>487</v>
      </c>
      <c r="Q222" s="241">
        <v>10056680</v>
      </c>
      <c r="R222" s="242">
        <v>43508</v>
      </c>
      <c r="S222" s="242">
        <v>43510</v>
      </c>
      <c r="T222" s="242">
        <v>43534</v>
      </c>
      <c r="U222" s="240" t="s">
        <v>488</v>
      </c>
      <c r="V222" s="240" t="s">
        <v>489</v>
      </c>
      <c r="W222" s="240">
        <v>2</v>
      </c>
      <c r="X222" s="240">
        <v>2</v>
      </c>
      <c r="Y222" s="240">
        <v>2</v>
      </c>
      <c r="Z222" s="240">
        <v>2</v>
      </c>
      <c r="AA222" s="240">
        <v>2</v>
      </c>
      <c r="AB222" s="240" t="s">
        <v>486</v>
      </c>
      <c r="AC222" s="240" t="s">
        <v>486</v>
      </c>
      <c r="AD222" s="240" t="s">
        <v>219</v>
      </c>
      <c r="AE222" s="240" t="s">
        <v>490</v>
      </c>
      <c r="AF222" s="240" t="s">
        <v>486</v>
      </c>
      <c r="AG222" s="240" t="s">
        <v>486</v>
      </c>
      <c r="AH222" s="240" t="s">
        <v>486</v>
      </c>
      <c r="AI222" s="240" t="s">
        <v>486</v>
      </c>
      <c r="AJ222" s="240" t="s">
        <v>486</v>
      </c>
      <c r="AK222" s="240" t="s">
        <v>486</v>
      </c>
      <c r="AL222" s="240" t="s">
        <v>486</v>
      </c>
      <c r="AM222" s="240" t="s">
        <v>491</v>
      </c>
      <c r="AN222" s="240" t="s">
        <v>231</v>
      </c>
      <c r="AO222" s="240" t="s">
        <v>231</v>
      </c>
      <c r="AP222" s="240" t="s">
        <v>231</v>
      </c>
      <c r="AQ222" s="240" t="s">
        <v>231</v>
      </c>
      <c r="AR222" s="240" t="s">
        <v>231</v>
      </c>
      <c r="AS222" s="240" t="s">
        <v>231</v>
      </c>
      <c r="AT222" s="240" t="s">
        <v>231</v>
      </c>
      <c r="AU222" s="240" t="s">
        <v>231</v>
      </c>
      <c r="AV222" s="240" t="s">
        <v>231</v>
      </c>
      <c r="AW222" s="240" t="s">
        <v>231</v>
      </c>
      <c r="AX222" s="240" t="s">
        <v>231</v>
      </c>
      <c r="AY222" s="240" t="s">
        <v>231</v>
      </c>
      <c r="AZ222" s="240" t="s">
        <v>231</v>
      </c>
      <c r="BA222" s="240" t="s">
        <v>231</v>
      </c>
      <c r="BB222" s="240" t="s">
        <v>231</v>
      </c>
      <c r="BC222" s="240" t="s">
        <v>231</v>
      </c>
      <c r="BD222" s="240" t="s">
        <v>492</v>
      </c>
      <c r="BE222" s="240" t="s">
        <v>231</v>
      </c>
      <c r="BF222" s="240" t="s">
        <v>231</v>
      </c>
      <c r="BG222" s="240" t="s">
        <v>231</v>
      </c>
      <c r="BH222" s="240" t="s">
        <v>231</v>
      </c>
      <c r="BI222" s="240" t="s">
        <v>231</v>
      </c>
      <c r="BJ222" s="240" t="s">
        <v>231</v>
      </c>
      <c r="BK222" s="240" t="s">
        <v>231</v>
      </c>
      <c r="BL222" s="240" t="s">
        <v>492</v>
      </c>
      <c r="BM222" s="240" t="s">
        <v>492</v>
      </c>
      <c r="BN222" s="240" t="s">
        <v>231</v>
      </c>
      <c r="BO222" s="240" t="s">
        <v>231</v>
      </c>
      <c r="BP222" s="240" t="s">
        <v>231</v>
      </c>
      <c r="BQ222" s="240" t="s">
        <v>231</v>
      </c>
      <c r="BR222" s="240" t="s">
        <v>231</v>
      </c>
      <c r="BS222" s="240" t="s">
        <v>231</v>
      </c>
      <c r="BT222" s="240" t="s">
        <v>231</v>
      </c>
      <c r="BU222" s="240" t="s">
        <v>231</v>
      </c>
      <c r="BV222" s="240" t="s">
        <v>231</v>
      </c>
      <c r="BW222" s="240" t="s">
        <v>231</v>
      </c>
      <c r="BX222" s="240" t="s">
        <v>231</v>
      </c>
      <c r="BY222" s="240" t="s">
        <v>231</v>
      </c>
      <c r="BZ222" s="240" t="s">
        <v>231</v>
      </c>
      <c r="CA222" s="240" t="s">
        <v>231</v>
      </c>
      <c r="CB222" s="240" t="s">
        <v>231</v>
      </c>
      <c r="CC222" s="240" t="s">
        <v>231</v>
      </c>
      <c r="CD222" s="240" t="s">
        <v>231</v>
      </c>
      <c r="CE222" s="240" t="s">
        <v>231</v>
      </c>
      <c r="CF222" s="240" t="s">
        <v>231</v>
      </c>
      <c r="CG222" s="240" t="s">
        <v>231</v>
      </c>
      <c r="CH222" s="240" t="s">
        <v>231</v>
      </c>
      <c r="CI222" s="240" t="s">
        <v>231</v>
      </c>
      <c r="CJ222" s="240" t="s">
        <v>231</v>
      </c>
      <c r="CK222" s="240" t="s">
        <v>231</v>
      </c>
      <c r="CL222" s="240" t="s">
        <v>231</v>
      </c>
      <c r="CM222" s="240" t="s">
        <v>231</v>
      </c>
      <c r="CN222" s="240" t="s">
        <v>231</v>
      </c>
      <c r="CO222" s="240" t="s">
        <v>231</v>
      </c>
      <c r="CP222" s="240" t="s">
        <v>231</v>
      </c>
      <c r="CQ222" s="240" t="s">
        <v>231</v>
      </c>
      <c r="CR222" s="240" t="s">
        <v>231</v>
      </c>
      <c r="CS222" s="240" t="s">
        <v>231</v>
      </c>
      <c r="CT222" s="240" t="s">
        <v>492</v>
      </c>
      <c r="CU222" s="240" t="s">
        <v>492</v>
      </c>
      <c r="CV222" s="240" t="s">
        <v>492</v>
      </c>
      <c r="CW222" s="240" t="s">
        <v>231</v>
      </c>
      <c r="CX222" s="240" t="s">
        <v>231</v>
      </c>
      <c r="CY222" s="240" t="s">
        <v>231</v>
      </c>
      <c r="CZ222" s="240" t="s">
        <v>231</v>
      </c>
      <c r="DA222" s="240" t="s">
        <v>231</v>
      </c>
      <c r="DB222" s="240" t="s">
        <v>231</v>
      </c>
      <c r="DC222" s="240" t="s">
        <v>231</v>
      </c>
      <c r="DD222" s="240" t="s">
        <v>231</v>
      </c>
      <c r="DE222" s="240" t="s">
        <v>231</v>
      </c>
      <c r="DF222" s="240" t="s">
        <v>231</v>
      </c>
      <c r="DG222" s="240" t="s">
        <v>231</v>
      </c>
      <c r="DH222" s="240" t="s">
        <v>231</v>
      </c>
      <c r="DI222" s="240" t="s">
        <v>231</v>
      </c>
      <c r="DJ222" s="240" t="s">
        <v>231</v>
      </c>
      <c r="DK222" s="240" t="s">
        <v>231</v>
      </c>
      <c r="DL222" s="240" t="s">
        <v>231</v>
      </c>
      <c r="DM222" s="240" t="s">
        <v>231</v>
      </c>
      <c r="DN222" s="240" t="s">
        <v>231</v>
      </c>
      <c r="DO222" s="240" t="s">
        <v>231</v>
      </c>
      <c r="DP222" s="240" t="s">
        <v>231</v>
      </c>
      <c r="DQ222" s="240" t="s">
        <v>231</v>
      </c>
      <c r="DR222" s="240" t="s">
        <v>231</v>
      </c>
      <c r="DS222" s="240" t="s">
        <v>231</v>
      </c>
      <c r="DT222" s="240" t="s">
        <v>492</v>
      </c>
      <c r="DU222" s="240" t="s">
        <v>231</v>
      </c>
      <c r="DV222" s="240" t="s">
        <v>231</v>
      </c>
      <c r="DW222" s="240" t="s">
        <v>231</v>
      </c>
      <c r="DX222" s="240" t="s">
        <v>231</v>
      </c>
      <c r="DY222" s="240" t="s">
        <v>231</v>
      </c>
      <c r="DZ222" s="240" t="s">
        <v>231</v>
      </c>
      <c r="EA222" s="240" t="s">
        <v>231</v>
      </c>
      <c r="EB222" s="240" t="s">
        <v>231</v>
      </c>
      <c r="EC222" s="240" t="s">
        <v>231</v>
      </c>
      <c r="ED222" s="240" t="s">
        <v>231</v>
      </c>
      <c r="EE222" s="240" t="s">
        <v>231</v>
      </c>
      <c r="EF222" s="240" t="s">
        <v>231</v>
      </c>
      <c r="EG222" s="240" t="s">
        <v>231</v>
      </c>
      <c r="EH222" s="240" t="s">
        <v>492</v>
      </c>
      <c r="EI222" s="240" t="s">
        <v>231</v>
      </c>
      <c r="EJ222" s="240" t="s">
        <v>231</v>
      </c>
      <c r="EK222" s="240" t="s">
        <v>231</v>
      </c>
      <c r="EL222" s="240" t="s">
        <v>231</v>
      </c>
      <c r="EM222" s="240" t="s">
        <v>231</v>
      </c>
      <c r="EN222" s="240" t="s">
        <v>231</v>
      </c>
      <c r="EO222" s="240" t="s">
        <v>231</v>
      </c>
      <c r="EP222" s="240" t="s">
        <v>231</v>
      </c>
      <c r="EQ222" s="240" t="s">
        <v>231</v>
      </c>
      <c r="ER222" s="240" t="s">
        <v>231</v>
      </c>
      <c r="ES222" s="240" t="s">
        <v>231</v>
      </c>
      <c r="ET222" s="240" t="s">
        <v>231</v>
      </c>
      <c r="EU222" s="240" t="s">
        <v>231</v>
      </c>
      <c r="EV222" s="240" t="s">
        <v>231</v>
      </c>
      <c r="EW222" s="240" t="s">
        <v>231</v>
      </c>
      <c r="EX222" s="240" t="s">
        <v>231</v>
      </c>
      <c r="EY222" s="240" t="s">
        <v>231</v>
      </c>
      <c r="EZ222" s="240" t="s">
        <v>231</v>
      </c>
      <c r="FA222" s="240" t="s">
        <v>231</v>
      </c>
      <c r="FB222" s="240" t="s">
        <v>231</v>
      </c>
      <c r="FC222" s="240" t="s">
        <v>231</v>
      </c>
      <c r="FD222" s="240" t="s">
        <v>231</v>
      </c>
      <c r="FE222" s="240" t="s">
        <v>231</v>
      </c>
      <c r="FF222" s="240" t="s">
        <v>231</v>
      </c>
      <c r="FG222" s="240" t="s">
        <v>231</v>
      </c>
      <c r="FH222" s="240" t="s">
        <v>231</v>
      </c>
      <c r="FI222" s="240" t="s">
        <v>231</v>
      </c>
      <c r="FJ222" s="240" t="s">
        <v>231</v>
      </c>
      <c r="FK222" s="240" t="s">
        <v>231</v>
      </c>
      <c r="FL222" s="240" t="s">
        <v>231</v>
      </c>
      <c r="FM222" s="240" t="s">
        <v>231</v>
      </c>
      <c r="FN222" s="240" t="s">
        <v>231</v>
      </c>
      <c r="FO222" s="240" t="s">
        <v>231</v>
      </c>
      <c r="FP222" s="240" t="s">
        <v>231</v>
      </c>
      <c r="FQ222" s="240" t="s">
        <v>231</v>
      </c>
      <c r="FR222" s="240" t="s">
        <v>231</v>
      </c>
      <c r="FS222" s="240" t="s">
        <v>231</v>
      </c>
      <c r="FT222" s="240" t="s">
        <v>231</v>
      </c>
      <c r="FU222" s="240" t="s">
        <v>231</v>
      </c>
      <c r="FV222" s="240" t="s">
        <v>231</v>
      </c>
      <c r="FW222" s="240" t="s">
        <v>231</v>
      </c>
      <c r="FX222" s="240" t="s">
        <v>492</v>
      </c>
      <c r="FY222" s="240" t="s">
        <v>231</v>
      </c>
      <c r="FZ222" s="240" t="s">
        <v>231</v>
      </c>
      <c r="GA222" s="240" t="s">
        <v>231</v>
      </c>
      <c r="GB222" s="240" t="s">
        <v>231</v>
      </c>
      <c r="GC222" s="240" t="s">
        <v>231</v>
      </c>
      <c r="GD222" s="240" t="s">
        <v>231</v>
      </c>
      <c r="GE222" s="240" t="s">
        <v>231</v>
      </c>
      <c r="GF222" s="240" t="s">
        <v>231</v>
      </c>
      <c r="GG222" s="240" t="s">
        <v>231</v>
      </c>
      <c r="GH222" s="240" t="s">
        <v>231</v>
      </c>
      <c r="GI222" s="240" t="s">
        <v>231</v>
      </c>
      <c r="GJ222" s="240" t="s">
        <v>231</v>
      </c>
      <c r="GK222" s="240" t="s">
        <v>231</v>
      </c>
      <c r="GL222" s="240" t="s">
        <v>231</v>
      </c>
      <c r="GM222" s="240" t="s">
        <v>231</v>
      </c>
      <c r="GN222" s="240" t="s">
        <v>231</v>
      </c>
      <c r="GO222" s="240" t="s">
        <v>231</v>
      </c>
      <c r="GP222" s="240" t="s">
        <v>492</v>
      </c>
      <c r="GQ222" s="240" t="s">
        <v>231</v>
      </c>
      <c r="GR222" s="240" t="s">
        <v>231</v>
      </c>
      <c r="GS222" s="240" t="s">
        <v>231</v>
      </c>
      <c r="GT222" s="240" t="s">
        <v>231</v>
      </c>
      <c r="GU222" s="240" t="s">
        <v>231</v>
      </c>
      <c r="GV222" s="240" t="s">
        <v>231</v>
      </c>
      <c r="GW222" s="240" t="s">
        <v>231</v>
      </c>
      <c r="GX222" s="240" t="s">
        <v>231</v>
      </c>
      <c r="GY222" s="240" t="s">
        <v>231</v>
      </c>
      <c r="GZ222" s="240" t="s">
        <v>231</v>
      </c>
      <c r="HA222" s="240" t="s">
        <v>231</v>
      </c>
      <c r="HB222" s="240" t="s">
        <v>231</v>
      </c>
      <c r="HC222" s="240" t="s">
        <v>231</v>
      </c>
      <c r="HD222" s="240" t="s">
        <v>231</v>
      </c>
      <c r="HE222" s="240" t="s">
        <v>231</v>
      </c>
      <c r="HF222" s="240" t="s">
        <v>492</v>
      </c>
      <c r="HG222" s="240" t="s">
        <v>231</v>
      </c>
      <c r="HH222" s="240" t="s">
        <v>231</v>
      </c>
      <c r="HI222" s="240" t="s">
        <v>231</v>
      </c>
      <c r="HJ222" s="240" t="s">
        <v>231</v>
      </c>
      <c r="HK222" s="240" t="s">
        <v>231</v>
      </c>
      <c r="HL222" s="240" t="s">
        <v>231</v>
      </c>
      <c r="HM222" s="240" t="s">
        <v>231</v>
      </c>
      <c r="HN222" s="240" t="s">
        <v>231</v>
      </c>
      <c r="HO222" s="240" t="s">
        <v>231</v>
      </c>
      <c r="HP222" s="240" t="s">
        <v>231</v>
      </c>
      <c r="HQ222" s="240" t="s">
        <v>231</v>
      </c>
      <c r="HR222" s="240" t="s">
        <v>231</v>
      </c>
      <c r="HS222" s="240" t="s">
        <v>231</v>
      </c>
      <c r="HT222" s="240" t="s">
        <v>231</v>
      </c>
      <c r="HU222" s="240" t="s">
        <v>231</v>
      </c>
      <c r="HV222" s="240" t="s">
        <v>231</v>
      </c>
      <c r="HW222" s="240" t="s">
        <v>231</v>
      </c>
      <c r="HX222" s="240" t="s">
        <v>231</v>
      </c>
      <c r="HY222" s="240" t="s">
        <v>231</v>
      </c>
      <c r="HZ222" s="240" t="s">
        <v>231</v>
      </c>
      <c r="IA222" s="240" t="s">
        <v>231</v>
      </c>
      <c r="IB222" s="240" t="s">
        <v>231</v>
      </c>
      <c r="IC222" s="240" t="s">
        <v>231</v>
      </c>
      <c r="ID222" s="240" t="s">
        <v>231</v>
      </c>
      <c r="IE222" s="240" t="s">
        <v>231</v>
      </c>
      <c r="IF222" s="240" t="s">
        <v>231</v>
      </c>
      <c r="IG222" s="240" t="s">
        <v>231</v>
      </c>
      <c r="IH222" s="240" t="s">
        <v>231</v>
      </c>
      <c r="II222" s="240" t="s">
        <v>231</v>
      </c>
      <c r="IJ222" s="240" t="s">
        <v>231</v>
      </c>
      <c r="IK222" s="240" t="s">
        <v>231</v>
      </c>
      <c r="IL222" s="240" t="s">
        <v>231</v>
      </c>
      <c r="IM222" s="240" t="s">
        <v>231</v>
      </c>
      <c r="IN222" s="240" t="s">
        <v>231</v>
      </c>
      <c r="IO222" s="240" t="s">
        <v>220</v>
      </c>
      <c r="IP222" s="240" t="s">
        <v>493</v>
      </c>
      <c r="IQ222" s="240" t="s">
        <v>219</v>
      </c>
      <c r="IR222" s="240" t="s">
        <v>490</v>
      </c>
      <c r="IS222" s="240" t="s">
        <v>492</v>
      </c>
      <c r="IT222" s="240" t="s">
        <v>492</v>
      </c>
    </row>
    <row r="223" spans="1:254" ht="15" x14ac:dyDescent="0.25">
      <c r="A223" s="258" t="str">
        <f>HYPERLINK("http://www.ofsted.gov.uk/inspection-reports/find-inspection-report/provider/ELS/102948 ","Ofsted School Webpage")</f>
        <v>Ofsted School Webpage</v>
      </c>
      <c r="B223" s="237">
        <v>102948</v>
      </c>
      <c r="C223" s="237">
        <v>3186076</v>
      </c>
      <c r="D223" s="237" t="s">
        <v>1039</v>
      </c>
      <c r="E223" s="237" t="s">
        <v>247</v>
      </c>
      <c r="F223" s="237" t="s">
        <v>482</v>
      </c>
      <c r="G223" s="237" t="s">
        <v>506</v>
      </c>
      <c r="H223" s="237" t="s">
        <v>506</v>
      </c>
      <c r="I223" s="237" t="s">
        <v>1040</v>
      </c>
      <c r="J223" s="237" t="s">
        <v>1041</v>
      </c>
      <c r="K223" s="237" t="s">
        <v>93</v>
      </c>
      <c r="L223" s="237" t="s">
        <v>93</v>
      </c>
      <c r="M223" s="237" t="s">
        <v>93</v>
      </c>
      <c r="N223" s="237" t="s">
        <v>90</v>
      </c>
      <c r="O223" s="237" t="s">
        <v>486</v>
      </c>
      <c r="P223" s="237" t="s">
        <v>487</v>
      </c>
      <c r="Q223" s="238">
        <v>10067123</v>
      </c>
      <c r="R223" s="239">
        <v>43508</v>
      </c>
      <c r="S223" s="239">
        <v>43510</v>
      </c>
      <c r="T223" s="239">
        <v>43534</v>
      </c>
      <c r="U223" s="237" t="s">
        <v>488</v>
      </c>
      <c r="V223" s="237" t="s">
        <v>489</v>
      </c>
      <c r="W223" s="237">
        <v>1</v>
      </c>
      <c r="X223" s="237">
        <v>1</v>
      </c>
      <c r="Y223" s="237">
        <v>1</v>
      </c>
      <c r="Z223" s="237">
        <v>1</v>
      </c>
      <c r="AA223" s="237">
        <v>1</v>
      </c>
      <c r="AB223" s="237">
        <v>1</v>
      </c>
      <c r="AC223" s="237">
        <v>1</v>
      </c>
      <c r="AD223" s="237" t="s">
        <v>219</v>
      </c>
      <c r="AE223" s="237" t="s">
        <v>490</v>
      </c>
      <c r="AF223" s="237" t="s">
        <v>486</v>
      </c>
      <c r="AG223" s="237" t="s">
        <v>486</v>
      </c>
      <c r="AH223" s="237" t="s">
        <v>486</v>
      </c>
      <c r="AI223" s="237" t="s">
        <v>486</v>
      </c>
      <c r="AJ223" s="237" t="s">
        <v>486</v>
      </c>
      <c r="AK223" s="237" t="s">
        <v>486</v>
      </c>
      <c r="AL223" s="237" t="s">
        <v>486</v>
      </c>
      <c r="AM223" s="237" t="s">
        <v>491</v>
      </c>
      <c r="AN223" s="237" t="s">
        <v>231</v>
      </c>
      <c r="AO223" s="237" t="s">
        <v>231</v>
      </c>
      <c r="AP223" s="237" t="s">
        <v>231</v>
      </c>
      <c r="AQ223" s="237" t="s">
        <v>231</v>
      </c>
      <c r="AR223" s="237" t="s">
        <v>231</v>
      </c>
      <c r="AS223" s="237" t="s">
        <v>231</v>
      </c>
      <c r="AT223" s="237" t="s">
        <v>231</v>
      </c>
      <c r="AU223" s="237" t="s">
        <v>231</v>
      </c>
      <c r="AV223" s="237" t="s">
        <v>231</v>
      </c>
      <c r="AW223" s="237" t="s">
        <v>231</v>
      </c>
      <c r="AX223" s="237" t="s">
        <v>231</v>
      </c>
      <c r="AY223" s="237" t="s">
        <v>231</v>
      </c>
      <c r="AZ223" s="237" t="s">
        <v>231</v>
      </c>
      <c r="BA223" s="237" t="s">
        <v>231</v>
      </c>
      <c r="BB223" s="237" t="s">
        <v>231</v>
      </c>
      <c r="BC223" s="237" t="s">
        <v>231</v>
      </c>
      <c r="BD223" s="237" t="s">
        <v>231</v>
      </c>
      <c r="BE223" s="237" t="s">
        <v>231</v>
      </c>
      <c r="BF223" s="237" t="s">
        <v>231</v>
      </c>
      <c r="BG223" s="237" t="s">
        <v>231</v>
      </c>
      <c r="BH223" s="237" t="s">
        <v>231</v>
      </c>
      <c r="BI223" s="237" t="s">
        <v>231</v>
      </c>
      <c r="BJ223" s="237" t="s">
        <v>231</v>
      </c>
      <c r="BK223" s="237" t="s">
        <v>231</v>
      </c>
      <c r="BL223" s="237" t="s">
        <v>231</v>
      </c>
      <c r="BM223" s="237" t="s">
        <v>231</v>
      </c>
      <c r="BN223" s="237" t="s">
        <v>231</v>
      </c>
      <c r="BO223" s="237" t="s">
        <v>231</v>
      </c>
      <c r="BP223" s="237" t="s">
        <v>231</v>
      </c>
      <c r="BQ223" s="237" t="s">
        <v>231</v>
      </c>
      <c r="BR223" s="237" t="s">
        <v>231</v>
      </c>
      <c r="BS223" s="237" t="s">
        <v>231</v>
      </c>
      <c r="BT223" s="237" t="s">
        <v>231</v>
      </c>
      <c r="BU223" s="237" t="s">
        <v>231</v>
      </c>
      <c r="BV223" s="237" t="s">
        <v>231</v>
      </c>
      <c r="BW223" s="237" t="s">
        <v>231</v>
      </c>
      <c r="BX223" s="237" t="s">
        <v>231</v>
      </c>
      <c r="BY223" s="237" t="s">
        <v>231</v>
      </c>
      <c r="BZ223" s="237" t="s">
        <v>231</v>
      </c>
      <c r="CA223" s="237" t="s">
        <v>231</v>
      </c>
      <c r="CB223" s="237" t="s">
        <v>231</v>
      </c>
      <c r="CC223" s="237" t="s">
        <v>231</v>
      </c>
      <c r="CD223" s="237" t="s">
        <v>231</v>
      </c>
      <c r="CE223" s="237" t="s">
        <v>231</v>
      </c>
      <c r="CF223" s="237" t="s">
        <v>231</v>
      </c>
      <c r="CG223" s="237" t="s">
        <v>231</v>
      </c>
      <c r="CH223" s="237" t="s">
        <v>231</v>
      </c>
      <c r="CI223" s="237" t="s">
        <v>231</v>
      </c>
      <c r="CJ223" s="237" t="s">
        <v>231</v>
      </c>
      <c r="CK223" s="237" t="s">
        <v>231</v>
      </c>
      <c r="CL223" s="237" t="s">
        <v>231</v>
      </c>
      <c r="CM223" s="237" t="s">
        <v>231</v>
      </c>
      <c r="CN223" s="237" t="s">
        <v>231</v>
      </c>
      <c r="CO223" s="237" t="s">
        <v>231</v>
      </c>
      <c r="CP223" s="237" t="s">
        <v>231</v>
      </c>
      <c r="CQ223" s="237" t="s">
        <v>231</v>
      </c>
      <c r="CR223" s="237" t="s">
        <v>231</v>
      </c>
      <c r="CS223" s="237" t="s">
        <v>231</v>
      </c>
      <c r="CT223" s="237" t="s">
        <v>492</v>
      </c>
      <c r="CU223" s="237" t="s">
        <v>492</v>
      </c>
      <c r="CV223" s="237" t="s">
        <v>492</v>
      </c>
      <c r="CW223" s="237" t="s">
        <v>231</v>
      </c>
      <c r="CX223" s="237" t="s">
        <v>231</v>
      </c>
      <c r="CY223" s="237" t="s">
        <v>231</v>
      </c>
      <c r="CZ223" s="237" t="s">
        <v>231</v>
      </c>
      <c r="DA223" s="237" t="s">
        <v>231</v>
      </c>
      <c r="DB223" s="237" t="s">
        <v>231</v>
      </c>
      <c r="DC223" s="237" t="s">
        <v>231</v>
      </c>
      <c r="DD223" s="237" t="s">
        <v>231</v>
      </c>
      <c r="DE223" s="237" t="s">
        <v>231</v>
      </c>
      <c r="DF223" s="237" t="s">
        <v>231</v>
      </c>
      <c r="DG223" s="237" t="s">
        <v>231</v>
      </c>
      <c r="DH223" s="237" t="s">
        <v>231</v>
      </c>
      <c r="DI223" s="237" t="s">
        <v>231</v>
      </c>
      <c r="DJ223" s="237" t="s">
        <v>231</v>
      </c>
      <c r="DK223" s="237" t="s">
        <v>231</v>
      </c>
      <c r="DL223" s="237" t="s">
        <v>231</v>
      </c>
      <c r="DM223" s="237" t="s">
        <v>231</v>
      </c>
      <c r="DN223" s="237" t="s">
        <v>231</v>
      </c>
      <c r="DO223" s="237" t="s">
        <v>231</v>
      </c>
      <c r="DP223" s="237" t="s">
        <v>231</v>
      </c>
      <c r="DQ223" s="237" t="s">
        <v>231</v>
      </c>
      <c r="DR223" s="237" t="s">
        <v>231</v>
      </c>
      <c r="DS223" s="237" t="s">
        <v>231</v>
      </c>
      <c r="DT223" s="237" t="s">
        <v>492</v>
      </c>
      <c r="DU223" s="237" t="s">
        <v>231</v>
      </c>
      <c r="DV223" s="237" t="s">
        <v>492</v>
      </c>
      <c r="DW223" s="237" t="s">
        <v>492</v>
      </c>
      <c r="DX223" s="237" t="s">
        <v>492</v>
      </c>
      <c r="DY223" s="237" t="s">
        <v>492</v>
      </c>
      <c r="DZ223" s="237" t="s">
        <v>492</v>
      </c>
      <c r="EA223" s="237" t="s">
        <v>492</v>
      </c>
      <c r="EB223" s="237" t="s">
        <v>492</v>
      </c>
      <c r="EC223" s="237" t="s">
        <v>492</v>
      </c>
      <c r="ED223" s="237" t="s">
        <v>492</v>
      </c>
      <c r="EE223" s="237" t="s">
        <v>492</v>
      </c>
      <c r="EF223" s="237" t="s">
        <v>492</v>
      </c>
      <c r="EG223" s="237" t="s">
        <v>492</v>
      </c>
      <c r="EH223" s="237" t="s">
        <v>492</v>
      </c>
      <c r="EI223" s="237" t="s">
        <v>492</v>
      </c>
      <c r="EJ223" s="237" t="s">
        <v>231</v>
      </c>
      <c r="EK223" s="237" t="s">
        <v>231</v>
      </c>
      <c r="EL223" s="237" t="s">
        <v>231</v>
      </c>
      <c r="EM223" s="237" t="s">
        <v>231</v>
      </c>
      <c r="EN223" s="237" t="s">
        <v>231</v>
      </c>
      <c r="EO223" s="237" t="s">
        <v>231</v>
      </c>
      <c r="EP223" s="237" t="s">
        <v>231</v>
      </c>
      <c r="EQ223" s="237" t="s">
        <v>231</v>
      </c>
      <c r="ER223" s="237" t="s">
        <v>231</v>
      </c>
      <c r="ES223" s="237" t="s">
        <v>231</v>
      </c>
      <c r="ET223" s="237" t="s">
        <v>231</v>
      </c>
      <c r="EU223" s="237" t="s">
        <v>231</v>
      </c>
      <c r="EV223" s="237" t="s">
        <v>231</v>
      </c>
      <c r="EW223" s="237" t="s">
        <v>231</v>
      </c>
      <c r="EX223" s="237" t="s">
        <v>231</v>
      </c>
      <c r="EY223" s="237" t="s">
        <v>231</v>
      </c>
      <c r="EZ223" s="237" t="s">
        <v>231</v>
      </c>
      <c r="FA223" s="237" t="s">
        <v>231</v>
      </c>
      <c r="FB223" s="237" t="s">
        <v>231</v>
      </c>
      <c r="FC223" s="237" t="s">
        <v>231</v>
      </c>
      <c r="FD223" s="237" t="s">
        <v>231</v>
      </c>
      <c r="FE223" s="237" t="s">
        <v>231</v>
      </c>
      <c r="FF223" s="237" t="s">
        <v>231</v>
      </c>
      <c r="FG223" s="237" t="s">
        <v>492</v>
      </c>
      <c r="FH223" s="237" t="s">
        <v>492</v>
      </c>
      <c r="FI223" s="237" t="s">
        <v>492</v>
      </c>
      <c r="FJ223" s="237" t="s">
        <v>492</v>
      </c>
      <c r="FK223" s="237" t="s">
        <v>492</v>
      </c>
      <c r="FL223" s="237" t="s">
        <v>492</v>
      </c>
      <c r="FM223" s="237" t="s">
        <v>492</v>
      </c>
      <c r="FN223" s="237" t="s">
        <v>492</v>
      </c>
      <c r="FO223" s="237" t="s">
        <v>493</v>
      </c>
      <c r="FP223" s="237" t="s">
        <v>492</v>
      </c>
      <c r="FQ223" s="237" t="s">
        <v>231</v>
      </c>
      <c r="FR223" s="237" t="s">
        <v>231</v>
      </c>
      <c r="FS223" s="237" t="s">
        <v>231</v>
      </c>
      <c r="FT223" s="237" t="s">
        <v>231</v>
      </c>
      <c r="FU223" s="237" t="s">
        <v>231</v>
      </c>
      <c r="FV223" s="237" t="s">
        <v>231</v>
      </c>
      <c r="FW223" s="237" t="s">
        <v>231</v>
      </c>
      <c r="FX223" s="237" t="s">
        <v>492</v>
      </c>
      <c r="FY223" s="237" t="s">
        <v>231</v>
      </c>
      <c r="FZ223" s="237" t="s">
        <v>231</v>
      </c>
      <c r="GA223" s="237" t="s">
        <v>231</v>
      </c>
      <c r="GB223" s="237" t="s">
        <v>231</v>
      </c>
      <c r="GC223" s="237" t="s">
        <v>231</v>
      </c>
      <c r="GD223" s="237" t="s">
        <v>231</v>
      </c>
      <c r="GE223" s="237" t="s">
        <v>231</v>
      </c>
      <c r="GF223" s="237" t="s">
        <v>231</v>
      </c>
      <c r="GG223" s="237" t="s">
        <v>231</v>
      </c>
      <c r="GH223" s="237" t="s">
        <v>231</v>
      </c>
      <c r="GI223" s="237" t="s">
        <v>231</v>
      </c>
      <c r="GJ223" s="237" t="s">
        <v>231</v>
      </c>
      <c r="GK223" s="237" t="s">
        <v>231</v>
      </c>
      <c r="GL223" s="237" t="s">
        <v>231</v>
      </c>
      <c r="GM223" s="237" t="s">
        <v>231</v>
      </c>
      <c r="GN223" s="237" t="s">
        <v>231</v>
      </c>
      <c r="GO223" s="237" t="s">
        <v>231</v>
      </c>
      <c r="GP223" s="237" t="s">
        <v>492</v>
      </c>
      <c r="GQ223" s="237" t="s">
        <v>231</v>
      </c>
      <c r="GR223" s="237" t="s">
        <v>231</v>
      </c>
      <c r="GS223" s="237" t="s">
        <v>231</v>
      </c>
      <c r="GT223" s="237" t="s">
        <v>231</v>
      </c>
      <c r="GU223" s="237" t="s">
        <v>231</v>
      </c>
      <c r="GV223" s="237" t="s">
        <v>492</v>
      </c>
      <c r="GW223" s="237" t="s">
        <v>231</v>
      </c>
      <c r="GX223" s="237" t="s">
        <v>231</v>
      </c>
      <c r="GY223" s="237" t="s">
        <v>492</v>
      </c>
      <c r="GZ223" s="237" t="s">
        <v>492</v>
      </c>
      <c r="HA223" s="237" t="s">
        <v>492</v>
      </c>
      <c r="HB223" s="237" t="s">
        <v>231</v>
      </c>
      <c r="HC223" s="237" t="s">
        <v>231</v>
      </c>
      <c r="HD223" s="237" t="s">
        <v>231</v>
      </c>
      <c r="HE223" s="237" t="s">
        <v>492</v>
      </c>
      <c r="HF223" s="237" t="s">
        <v>231</v>
      </c>
      <c r="HG223" s="237" t="s">
        <v>231</v>
      </c>
      <c r="HH223" s="237" t="s">
        <v>231</v>
      </c>
      <c r="HI223" s="237" t="s">
        <v>231</v>
      </c>
      <c r="HJ223" s="237" t="s">
        <v>231</v>
      </c>
      <c r="HK223" s="237" t="s">
        <v>492</v>
      </c>
      <c r="HL223" s="237" t="s">
        <v>231</v>
      </c>
      <c r="HM223" s="237" t="s">
        <v>231</v>
      </c>
      <c r="HN223" s="237" t="s">
        <v>231</v>
      </c>
      <c r="HO223" s="237" t="s">
        <v>231</v>
      </c>
      <c r="HP223" s="237" t="s">
        <v>231</v>
      </c>
      <c r="HQ223" s="237" t="s">
        <v>492</v>
      </c>
      <c r="HR223" s="237" t="s">
        <v>492</v>
      </c>
      <c r="HS223" s="237" t="s">
        <v>492</v>
      </c>
      <c r="HT223" s="237" t="s">
        <v>492</v>
      </c>
      <c r="HU223" s="237" t="s">
        <v>231</v>
      </c>
      <c r="HV223" s="237" t="s">
        <v>231</v>
      </c>
      <c r="HW223" s="237" t="s">
        <v>231</v>
      </c>
      <c r="HX223" s="237" t="s">
        <v>231</v>
      </c>
      <c r="HY223" s="237" t="s">
        <v>231</v>
      </c>
      <c r="HZ223" s="237" t="s">
        <v>231</v>
      </c>
      <c r="IA223" s="237" t="s">
        <v>231</v>
      </c>
      <c r="IB223" s="237" t="s">
        <v>231</v>
      </c>
      <c r="IC223" s="237" t="s">
        <v>231</v>
      </c>
      <c r="ID223" s="237" t="s">
        <v>231</v>
      </c>
      <c r="IE223" s="237" t="s">
        <v>231</v>
      </c>
      <c r="IF223" s="237" t="s">
        <v>231</v>
      </c>
      <c r="IG223" s="237" t="s">
        <v>231</v>
      </c>
      <c r="IH223" s="237" t="s">
        <v>231</v>
      </c>
      <c r="II223" s="237" t="s">
        <v>231</v>
      </c>
      <c r="IJ223" s="237" t="s">
        <v>231</v>
      </c>
      <c r="IK223" s="237" t="s">
        <v>231</v>
      </c>
      <c r="IL223" s="237" t="s">
        <v>231</v>
      </c>
      <c r="IM223" s="237" t="s">
        <v>231</v>
      </c>
      <c r="IN223" s="237" t="s">
        <v>231</v>
      </c>
      <c r="IO223" s="237" t="s">
        <v>220</v>
      </c>
      <c r="IP223" s="237" t="s">
        <v>493</v>
      </c>
      <c r="IQ223" s="237" t="s">
        <v>219</v>
      </c>
      <c r="IR223" s="237" t="s">
        <v>490</v>
      </c>
      <c r="IS223" s="237" t="s">
        <v>231</v>
      </c>
      <c r="IT223" s="237" t="s">
        <v>492</v>
      </c>
    </row>
    <row r="224" spans="1:254" ht="15" x14ac:dyDescent="0.25">
      <c r="A224" s="259" t="str">
        <f>HYPERLINK("http://www.ofsted.gov.uk/inspection-reports/find-inspection-report/provider/ELS/137822 ","Ofsted School Webpage")</f>
        <v>Ofsted School Webpage</v>
      </c>
      <c r="B224" s="240">
        <v>137822</v>
      </c>
      <c r="C224" s="240">
        <v>3536000</v>
      </c>
      <c r="D224" s="240" t="s">
        <v>1042</v>
      </c>
      <c r="E224" s="240" t="s">
        <v>247</v>
      </c>
      <c r="F224" s="240" t="s">
        <v>482</v>
      </c>
      <c r="G224" s="240" t="s">
        <v>495</v>
      </c>
      <c r="H224" s="240" t="s">
        <v>495</v>
      </c>
      <c r="I224" s="240" t="s">
        <v>880</v>
      </c>
      <c r="J224" s="240" t="s">
        <v>1043</v>
      </c>
      <c r="K224" s="240" t="s">
        <v>83</v>
      </c>
      <c r="L224" s="240" t="s">
        <v>84</v>
      </c>
      <c r="M224" s="240" t="s">
        <v>83</v>
      </c>
      <c r="N224" s="240" t="s">
        <v>84</v>
      </c>
      <c r="O224" s="240" t="s">
        <v>486</v>
      </c>
      <c r="P224" s="240" t="s">
        <v>487</v>
      </c>
      <c r="Q224" s="241">
        <v>10067912</v>
      </c>
      <c r="R224" s="242">
        <v>43508</v>
      </c>
      <c r="S224" s="242">
        <v>43510</v>
      </c>
      <c r="T224" s="242">
        <v>43538</v>
      </c>
      <c r="U224" s="240" t="s">
        <v>488</v>
      </c>
      <c r="V224" s="240" t="s">
        <v>489</v>
      </c>
      <c r="W224" s="240">
        <v>1</v>
      </c>
      <c r="X224" s="240">
        <v>1</v>
      </c>
      <c r="Y224" s="240">
        <v>1</v>
      </c>
      <c r="Z224" s="240">
        <v>1</v>
      </c>
      <c r="AA224" s="240">
        <v>1</v>
      </c>
      <c r="AB224" s="240">
        <v>1</v>
      </c>
      <c r="AC224" s="240">
        <v>1</v>
      </c>
      <c r="AD224" s="240" t="s">
        <v>219</v>
      </c>
      <c r="AE224" s="240" t="s">
        <v>490</v>
      </c>
      <c r="AF224" s="240" t="s">
        <v>486</v>
      </c>
      <c r="AG224" s="240" t="s">
        <v>486</v>
      </c>
      <c r="AH224" s="240" t="s">
        <v>486</v>
      </c>
      <c r="AI224" s="240" t="s">
        <v>486</v>
      </c>
      <c r="AJ224" s="240" t="s">
        <v>486</v>
      </c>
      <c r="AK224" s="240" t="s">
        <v>486</v>
      </c>
      <c r="AL224" s="240" t="s">
        <v>486</v>
      </c>
      <c r="AM224" s="240" t="s">
        <v>491</v>
      </c>
      <c r="AN224" s="240" t="s">
        <v>231</v>
      </c>
      <c r="AO224" s="240" t="s">
        <v>231</v>
      </c>
      <c r="AP224" s="240" t="s">
        <v>231</v>
      </c>
      <c r="AQ224" s="240" t="s">
        <v>231</v>
      </c>
      <c r="AR224" s="240" t="s">
        <v>231</v>
      </c>
      <c r="AS224" s="240" t="s">
        <v>231</v>
      </c>
      <c r="AT224" s="240" t="s">
        <v>231</v>
      </c>
      <c r="AU224" s="240" t="s">
        <v>231</v>
      </c>
      <c r="AV224" s="240" t="s">
        <v>231</v>
      </c>
      <c r="AW224" s="240" t="s">
        <v>231</v>
      </c>
      <c r="AX224" s="240" t="s">
        <v>231</v>
      </c>
      <c r="AY224" s="240" t="s">
        <v>231</v>
      </c>
      <c r="AZ224" s="240" t="s">
        <v>231</v>
      </c>
      <c r="BA224" s="240" t="s">
        <v>231</v>
      </c>
      <c r="BB224" s="240" t="s">
        <v>231</v>
      </c>
      <c r="BC224" s="240" t="s">
        <v>231</v>
      </c>
      <c r="BD224" s="240" t="s">
        <v>231</v>
      </c>
      <c r="BE224" s="240" t="s">
        <v>231</v>
      </c>
      <c r="BF224" s="240" t="s">
        <v>231</v>
      </c>
      <c r="BG224" s="240" t="s">
        <v>231</v>
      </c>
      <c r="BH224" s="240" t="s">
        <v>231</v>
      </c>
      <c r="BI224" s="240" t="s">
        <v>231</v>
      </c>
      <c r="BJ224" s="240" t="s">
        <v>231</v>
      </c>
      <c r="BK224" s="240" t="s">
        <v>231</v>
      </c>
      <c r="BL224" s="240" t="s">
        <v>231</v>
      </c>
      <c r="BM224" s="240" t="s">
        <v>231</v>
      </c>
      <c r="BN224" s="240" t="s">
        <v>231</v>
      </c>
      <c r="BO224" s="240" t="s">
        <v>231</v>
      </c>
      <c r="BP224" s="240" t="s">
        <v>231</v>
      </c>
      <c r="BQ224" s="240" t="s">
        <v>231</v>
      </c>
      <c r="BR224" s="240" t="s">
        <v>231</v>
      </c>
      <c r="BS224" s="240" t="s">
        <v>231</v>
      </c>
      <c r="BT224" s="240" t="s">
        <v>231</v>
      </c>
      <c r="BU224" s="240" t="s">
        <v>231</v>
      </c>
      <c r="BV224" s="240" t="s">
        <v>231</v>
      </c>
      <c r="BW224" s="240" t="s">
        <v>231</v>
      </c>
      <c r="BX224" s="240" t="s">
        <v>231</v>
      </c>
      <c r="BY224" s="240" t="s">
        <v>231</v>
      </c>
      <c r="BZ224" s="240" t="s">
        <v>231</v>
      </c>
      <c r="CA224" s="240" t="s">
        <v>231</v>
      </c>
      <c r="CB224" s="240" t="s">
        <v>231</v>
      </c>
      <c r="CC224" s="240" t="s">
        <v>231</v>
      </c>
      <c r="CD224" s="240" t="s">
        <v>231</v>
      </c>
      <c r="CE224" s="240" t="s">
        <v>231</v>
      </c>
      <c r="CF224" s="240" t="s">
        <v>231</v>
      </c>
      <c r="CG224" s="240" t="s">
        <v>231</v>
      </c>
      <c r="CH224" s="240" t="s">
        <v>231</v>
      </c>
      <c r="CI224" s="240" t="s">
        <v>231</v>
      </c>
      <c r="CJ224" s="240" t="s">
        <v>231</v>
      </c>
      <c r="CK224" s="240" t="s">
        <v>231</v>
      </c>
      <c r="CL224" s="240" t="s">
        <v>231</v>
      </c>
      <c r="CM224" s="240" t="s">
        <v>231</v>
      </c>
      <c r="CN224" s="240" t="s">
        <v>231</v>
      </c>
      <c r="CO224" s="240" t="s">
        <v>231</v>
      </c>
      <c r="CP224" s="240" t="s">
        <v>231</v>
      </c>
      <c r="CQ224" s="240" t="s">
        <v>231</v>
      </c>
      <c r="CR224" s="240" t="s">
        <v>231</v>
      </c>
      <c r="CS224" s="240" t="s">
        <v>231</v>
      </c>
      <c r="CT224" s="240" t="s">
        <v>231</v>
      </c>
      <c r="CU224" s="240" t="s">
        <v>492</v>
      </c>
      <c r="CV224" s="240" t="s">
        <v>492</v>
      </c>
      <c r="CW224" s="240" t="s">
        <v>231</v>
      </c>
      <c r="CX224" s="240" t="s">
        <v>231</v>
      </c>
      <c r="CY224" s="240" t="s">
        <v>231</v>
      </c>
      <c r="CZ224" s="240" t="s">
        <v>231</v>
      </c>
      <c r="DA224" s="240" t="s">
        <v>231</v>
      </c>
      <c r="DB224" s="240" t="s">
        <v>231</v>
      </c>
      <c r="DC224" s="240" t="s">
        <v>231</v>
      </c>
      <c r="DD224" s="240" t="s">
        <v>231</v>
      </c>
      <c r="DE224" s="240" t="s">
        <v>231</v>
      </c>
      <c r="DF224" s="240" t="s">
        <v>231</v>
      </c>
      <c r="DG224" s="240" t="s">
        <v>231</v>
      </c>
      <c r="DH224" s="240" t="s">
        <v>231</v>
      </c>
      <c r="DI224" s="240" t="s">
        <v>231</v>
      </c>
      <c r="DJ224" s="240" t="s">
        <v>231</v>
      </c>
      <c r="DK224" s="240" t="s">
        <v>231</v>
      </c>
      <c r="DL224" s="240" t="s">
        <v>231</v>
      </c>
      <c r="DM224" s="240" t="s">
        <v>231</v>
      </c>
      <c r="DN224" s="240" t="s">
        <v>231</v>
      </c>
      <c r="DO224" s="240" t="s">
        <v>231</v>
      </c>
      <c r="DP224" s="240" t="s">
        <v>231</v>
      </c>
      <c r="DQ224" s="240" t="s">
        <v>231</v>
      </c>
      <c r="DR224" s="240" t="s">
        <v>231</v>
      </c>
      <c r="DS224" s="240" t="s">
        <v>231</v>
      </c>
      <c r="DT224" s="240" t="s">
        <v>231</v>
      </c>
      <c r="DU224" s="240" t="s">
        <v>231</v>
      </c>
      <c r="DV224" s="240" t="s">
        <v>231</v>
      </c>
      <c r="DW224" s="240" t="s">
        <v>231</v>
      </c>
      <c r="DX224" s="240" t="s">
        <v>231</v>
      </c>
      <c r="DY224" s="240" t="s">
        <v>231</v>
      </c>
      <c r="DZ224" s="240" t="s">
        <v>231</v>
      </c>
      <c r="EA224" s="240" t="s">
        <v>231</v>
      </c>
      <c r="EB224" s="240" t="s">
        <v>231</v>
      </c>
      <c r="EC224" s="240" t="s">
        <v>231</v>
      </c>
      <c r="ED224" s="240" t="s">
        <v>231</v>
      </c>
      <c r="EE224" s="240" t="s">
        <v>231</v>
      </c>
      <c r="EF224" s="240" t="s">
        <v>231</v>
      </c>
      <c r="EG224" s="240" t="s">
        <v>231</v>
      </c>
      <c r="EH224" s="240" t="s">
        <v>492</v>
      </c>
      <c r="EI224" s="240" t="s">
        <v>231</v>
      </c>
      <c r="EJ224" s="240" t="s">
        <v>231</v>
      </c>
      <c r="EK224" s="240" t="s">
        <v>231</v>
      </c>
      <c r="EL224" s="240" t="s">
        <v>231</v>
      </c>
      <c r="EM224" s="240" t="s">
        <v>231</v>
      </c>
      <c r="EN224" s="240" t="s">
        <v>231</v>
      </c>
      <c r="EO224" s="240" t="s">
        <v>231</v>
      </c>
      <c r="EP224" s="240" t="s">
        <v>231</v>
      </c>
      <c r="EQ224" s="240" t="s">
        <v>231</v>
      </c>
      <c r="ER224" s="240" t="s">
        <v>231</v>
      </c>
      <c r="ES224" s="240" t="s">
        <v>231</v>
      </c>
      <c r="ET224" s="240" t="s">
        <v>231</v>
      </c>
      <c r="EU224" s="240" t="s">
        <v>231</v>
      </c>
      <c r="EV224" s="240" t="s">
        <v>231</v>
      </c>
      <c r="EW224" s="240" t="s">
        <v>231</v>
      </c>
      <c r="EX224" s="240" t="s">
        <v>231</v>
      </c>
      <c r="EY224" s="240" t="s">
        <v>231</v>
      </c>
      <c r="EZ224" s="240" t="s">
        <v>231</v>
      </c>
      <c r="FA224" s="240" t="s">
        <v>231</v>
      </c>
      <c r="FB224" s="240" t="s">
        <v>231</v>
      </c>
      <c r="FC224" s="240" t="s">
        <v>231</v>
      </c>
      <c r="FD224" s="240" t="s">
        <v>231</v>
      </c>
      <c r="FE224" s="240" t="s">
        <v>231</v>
      </c>
      <c r="FF224" s="240" t="s">
        <v>231</v>
      </c>
      <c r="FG224" s="240" t="s">
        <v>231</v>
      </c>
      <c r="FH224" s="240" t="s">
        <v>231</v>
      </c>
      <c r="FI224" s="240" t="s">
        <v>231</v>
      </c>
      <c r="FJ224" s="240" t="s">
        <v>231</v>
      </c>
      <c r="FK224" s="240" t="s">
        <v>231</v>
      </c>
      <c r="FL224" s="240" t="s">
        <v>231</v>
      </c>
      <c r="FM224" s="240" t="s">
        <v>231</v>
      </c>
      <c r="FN224" s="240" t="s">
        <v>231</v>
      </c>
      <c r="FO224" s="240" t="s">
        <v>231</v>
      </c>
      <c r="FP224" s="240" t="s">
        <v>231</v>
      </c>
      <c r="FQ224" s="240" t="s">
        <v>231</v>
      </c>
      <c r="FR224" s="240" t="s">
        <v>231</v>
      </c>
      <c r="FS224" s="240" t="s">
        <v>231</v>
      </c>
      <c r="FT224" s="240" t="s">
        <v>231</v>
      </c>
      <c r="FU224" s="240" t="s">
        <v>231</v>
      </c>
      <c r="FV224" s="240" t="s">
        <v>231</v>
      </c>
      <c r="FW224" s="240" t="s">
        <v>231</v>
      </c>
      <c r="FX224" s="240" t="s">
        <v>492</v>
      </c>
      <c r="FY224" s="240" t="s">
        <v>231</v>
      </c>
      <c r="FZ224" s="240" t="s">
        <v>231</v>
      </c>
      <c r="GA224" s="240" t="s">
        <v>231</v>
      </c>
      <c r="GB224" s="240" t="s">
        <v>231</v>
      </c>
      <c r="GC224" s="240" t="s">
        <v>231</v>
      </c>
      <c r="GD224" s="240" t="s">
        <v>231</v>
      </c>
      <c r="GE224" s="240" t="s">
        <v>231</v>
      </c>
      <c r="GF224" s="240" t="s">
        <v>231</v>
      </c>
      <c r="GG224" s="240" t="s">
        <v>231</v>
      </c>
      <c r="GH224" s="240" t="s">
        <v>231</v>
      </c>
      <c r="GI224" s="240" t="s">
        <v>231</v>
      </c>
      <c r="GJ224" s="240" t="s">
        <v>231</v>
      </c>
      <c r="GK224" s="240" t="s">
        <v>231</v>
      </c>
      <c r="GL224" s="240" t="s">
        <v>231</v>
      </c>
      <c r="GM224" s="240" t="s">
        <v>231</v>
      </c>
      <c r="GN224" s="240" t="s">
        <v>231</v>
      </c>
      <c r="GO224" s="240" t="s">
        <v>231</v>
      </c>
      <c r="GP224" s="240" t="s">
        <v>231</v>
      </c>
      <c r="GQ224" s="240" t="s">
        <v>231</v>
      </c>
      <c r="GR224" s="240" t="s">
        <v>231</v>
      </c>
      <c r="GS224" s="240" t="s">
        <v>231</v>
      </c>
      <c r="GT224" s="240" t="s">
        <v>231</v>
      </c>
      <c r="GU224" s="240" t="s">
        <v>231</v>
      </c>
      <c r="GV224" s="240" t="s">
        <v>231</v>
      </c>
      <c r="GW224" s="240" t="s">
        <v>231</v>
      </c>
      <c r="GX224" s="240" t="s">
        <v>231</v>
      </c>
      <c r="GY224" s="240" t="s">
        <v>492</v>
      </c>
      <c r="GZ224" s="240" t="s">
        <v>492</v>
      </c>
      <c r="HA224" s="240" t="s">
        <v>231</v>
      </c>
      <c r="HB224" s="240" t="s">
        <v>231</v>
      </c>
      <c r="HC224" s="240" t="s">
        <v>231</v>
      </c>
      <c r="HD224" s="240" t="s">
        <v>231</v>
      </c>
      <c r="HE224" s="240" t="s">
        <v>231</v>
      </c>
      <c r="HF224" s="240" t="s">
        <v>231</v>
      </c>
      <c r="HG224" s="240" t="s">
        <v>231</v>
      </c>
      <c r="HH224" s="240" t="s">
        <v>231</v>
      </c>
      <c r="HI224" s="240" t="s">
        <v>231</v>
      </c>
      <c r="HJ224" s="240" t="s">
        <v>231</v>
      </c>
      <c r="HK224" s="240" t="s">
        <v>231</v>
      </c>
      <c r="HL224" s="240" t="s">
        <v>231</v>
      </c>
      <c r="HM224" s="240" t="s">
        <v>231</v>
      </c>
      <c r="HN224" s="240" t="s">
        <v>231</v>
      </c>
      <c r="HO224" s="240" t="s">
        <v>231</v>
      </c>
      <c r="HP224" s="240" t="s">
        <v>231</v>
      </c>
      <c r="HQ224" s="240" t="s">
        <v>231</v>
      </c>
      <c r="HR224" s="240" t="s">
        <v>231</v>
      </c>
      <c r="HS224" s="240" t="s">
        <v>231</v>
      </c>
      <c r="HT224" s="240" t="s">
        <v>231</v>
      </c>
      <c r="HU224" s="240" t="s">
        <v>231</v>
      </c>
      <c r="HV224" s="240" t="s">
        <v>231</v>
      </c>
      <c r="HW224" s="240" t="s">
        <v>231</v>
      </c>
      <c r="HX224" s="240" t="s">
        <v>231</v>
      </c>
      <c r="HY224" s="240" t="s">
        <v>231</v>
      </c>
      <c r="HZ224" s="240" t="s">
        <v>231</v>
      </c>
      <c r="IA224" s="240" t="s">
        <v>231</v>
      </c>
      <c r="IB224" s="240" t="s">
        <v>231</v>
      </c>
      <c r="IC224" s="240" t="s">
        <v>231</v>
      </c>
      <c r="ID224" s="240" t="s">
        <v>231</v>
      </c>
      <c r="IE224" s="240" t="s">
        <v>231</v>
      </c>
      <c r="IF224" s="240" t="s">
        <v>231</v>
      </c>
      <c r="IG224" s="240" t="s">
        <v>231</v>
      </c>
      <c r="IH224" s="240" t="s">
        <v>231</v>
      </c>
      <c r="II224" s="240" t="s">
        <v>231</v>
      </c>
      <c r="IJ224" s="240" t="s">
        <v>231</v>
      </c>
      <c r="IK224" s="240" t="s">
        <v>231</v>
      </c>
      <c r="IL224" s="240" t="s">
        <v>231</v>
      </c>
      <c r="IM224" s="240" t="s">
        <v>231</v>
      </c>
      <c r="IN224" s="240" t="s">
        <v>231</v>
      </c>
      <c r="IO224" s="240" t="s">
        <v>220</v>
      </c>
      <c r="IP224" s="240" t="s">
        <v>493</v>
      </c>
      <c r="IQ224" s="240" t="s">
        <v>219</v>
      </c>
      <c r="IR224" s="240" t="s">
        <v>490</v>
      </c>
      <c r="IS224" s="240" t="s">
        <v>231</v>
      </c>
      <c r="IT224" s="240" t="s">
        <v>231</v>
      </c>
    </row>
    <row r="225" spans="1:254" ht="15" x14ac:dyDescent="0.25">
      <c r="A225" s="258" t="str">
        <f>HYPERLINK("http://www.ofsted.gov.uk/inspection-reports/find-inspection-report/provider/ELS/105997 ","Ofsted School Webpage")</f>
        <v>Ofsted School Webpage</v>
      </c>
      <c r="B225" s="237">
        <v>105997</v>
      </c>
      <c r="C225" s="237">
        <v>3516012</v>
      </c>
      <c r="D225" s="237" t="s">
        <v>1044</v>
      </c>
      <c r="E225" s="237" t="s">
        <v>247</v>
      </c>
      <c r="F225" s="237" t="s">
        <v>482</v>
      </c>
      <c r="G225" s="237" t="s">
        <v>495</v>
      </c>
      <c r="H225" s="237" t="s">
        <v>495</v>
      </c>
      <c r="I225" s="237" t="s">
        <v>1045</v>
      </c>
      <c r="J225" s="237" t="s">
        <v>1046</v>
      </c>
      <c r="K225" s="237" t="s">
        <v>93</v>
      </c>
      <c r="L225" s="237" t="s">
        <v>93</v>
      </c>
      <c r="M225" s="237" t="s">
        <v>93</v>
      </c>
      <c r="N225" s="237" t="s">
        <v>90</v>
      </c>
      <c r="O225" s="237" t="s">
        <v>486</v>
      </c>
      <c r="P225" s="237" t="s">
        <v>487</v>
      </c>
      <c r="Q225" s="238">
        <v>10067874</v>
      </c>
      <c r="R225" s="239">
        <v>43508</v>
      </c>
      <c r="S225" s="239">
        <v>43510</v>
      </c>
      <c r="T225" s="239">
        <v>43529</v>
      </c>
      <c r="U225" s="237" t="s">
        <v>488</v>
      </c>
      <c r="V225" s="237" t="s">
        <v>489</v>
      </c>
      <c r="W225" s="237">
        <v>2</v>
      </c>
      <c r="X225" s="237">
        <v>2</v>
      </c>
      <c r="Y225" s="237">
        <v>2</v>
      </c>
      <c r="Z225" s="237">
        <v>2</v>
      </c>
      <c r="AA225" s="237">
        <v>2</v>
      </c>
      <c r="AB225" s="237">
        <v>2</v>
      </c>
      <c r="AC225" s="237" t="s">
        <v>486</v>
      </c>
      <c r="AD225" s="237" t="s">
        <v>219</v>
      </c>
      <c r="AE225" s="237" t="s">
        <v>490</v>
      </c>
      <c r="AF225" s="237" t="s">
        <v>486</v>
      </c>
      <c r="AG225" s="237" t="s">
        <v>486</v>
      </c>
      <c r="AH225" s="237" t="s">
        <v>486</v>
      </c>
      <c r="AI225" s="237" t="s">
        <v>486</v>
      </c>
      <c r="AJ225" s="237" t="s">
        <v>486</v>
      </c>
      <c r="AK225" s="237" t="s">
        <v>486</v>
      </c>
      <c r="AL225" s="237" t="s">
        <v>486</v>
      </c>
      <c r="AM225" s="237" t="s">
        <v>491</v>
      </c>
      <c r="AN225" s="237" t="s">
        <v>231</v>
      </c>
      <c r="AO225" s="237" t="s">
        <v>231</v>
      </c>
      <c r="AP225" s="237" t="s">
        <v>231</v>
      </c>
      <c r="AQ225" s="237" t="s">
        <v>231</v>
      </c>
      <c r="AR225" s="237" t="s">
        <v>231</v>
      </c>
      <c r="AS225" s="237" t="s">
        <v>231</v>
      </c>
      <c r="AT225" s="237" t="s">
        <v>231</v>
      </c>
      <c r="AU225" s="237" t="s">
        <v>231</v>
      </c>
      <c r="AV225" s="237" t="s">
        <v>231</v>
      </c>
      <c r="AW225" s="237" t="s">
        <v>231</v>
      </c>
      <c r="AX225" s="237" t="s">
        <v>231</v>
      </c>
      <c r="AY225" s="237" t="s">
        <v>231</v>
      </c>
      <c r="AZ225" s="237" t="s">
        <v>231</v>
      </c>
      <c r="BA225" s="237" t="s">
        <v>231</v>
      </c>
      <c r="BB225" s="237" t="s">
        <v>231</v>
      </c>
      <c r="BC225" s="237" t="s">
        <v>231</v>
      </c>
      <c r="BD225" s="237" t="s">
        <v>492</v>
      </c>
      <c r="BE225" s="237" t="s">
        <v>231</v>
      </c>
      <c r="BF225" s="237" t="s">
        <v>231</v>
      </c>
      <c r="BG225" s="237" t="s">
        <v>231</v>
      </c>
      <c r="BH225" s="237" t="s">
        <v>492</v>
      </c>
      <c r="BI225" s="237" t="s">
        <v>492</v>
      </c>
      <c r="BJ225" s="237" t="s">
        <v>492</v>
      </c>
      <c r="BK225" s="237" t="s">
        <v>492</v>
      </c>
      <c r="BL225" s="237" t="s">
        <v>231</v>
      </c>
      <c r="BM225" s="237" t="s">
        <v>492</v>
      </c>
      <c r="BN225" s="237" t="s">
        <v>231</v>
      </c>
      <c r="BO225" s="237" t="s">
        <v>231</v>
      </c>
      <c r="BP225" s="237" t="s">
        <v>231</v>
      </c>
      <c r="BQ225" s="237" t="s">
        <v>231</v>
      </c>
      <c r="BR225" s="237" t="s">
        <v>231</v>
      </c>
      <c r="BS225" s="237" t="s">
        <v>231</v>
      </c>
      <c r="BT225" s="237" t="s">
        <v>231</v>
      </c>
      <c r="BU225" s="237" t="s">
        <v>231</v>
      </c>
      <c r="BV225" s="237" t="s">
        <v>231</v>
      </c>
      <c r="BW225" s="237" t="s">
        <v>231</v>
      </c>
      <c r="BX225" s="237" t="s">
        <v>231</v>
      </c>
      <c r="BY225" s="237" t="s">
        <v>231</v>
      </c>
      <c r="BZ225" s="237" t="s">
        <v>231</v>
      </c>
      <c r="CA225" s="237" t="s">
        <v>231</v>
      </c>
      <c r="CB225" s="237" t="s">
        <v>231</v>
      </c>
      <c r="CC225" s="237" t="s">
        <v>231</v>
      </c>
      <c r="CD225" s="237" t="s">
        <v>231</v>
      </c>
      <c r="CE225" s="237" t="s">
        <v>231</v>
      </c>
      <c r="CF225" s="237" t="s">
        <v>231</v>
      </c>
      <c r="CG225" s="237" t="s">
        <v>231</v>
      </c>
      <c r="CH225" s="237" t="s">
        <v>231</v>
      </c>
      <c r="CI225" s="237" t="s">
        <v>231</v>
      </c>
      <c r="CJ225" s="237" t="s">
        <v>231</v>
      </c>
      <c r="CK225" s="237" t="s">
        <v>231</v>
      </c>
      <c r="CL225" s="237" t="s">
        <v>231</v>
      </c>
      <c r="CM225" s="237" t="s">
        <v>231</v>
      </c>
      <c r="CN225" s="237" t="s">
        <v>231</v>
      </c>
      <c r="CO225" s="237" t="s">
        <v>231</v>
      </c>
      <c r="CP225" s="237" t="s">
        <v>231</v>
      </c>
      <c r="CQ225" s="237" t="s">
        <v>231</v>
      </c>
      <c r="CR225" s="237" t="s">
        <v>231</v>
      </c>
      <c r="CS225" s="237" t="s">
        <v>231</v>
      </c>
      <c r="CT225" s="237" t="s">
        <v>492</v>
      </c>
      <c r="CU225" s="237" t="s">
        <v>492</v>
      </c>
      <c r="CV225" s="237" t="s">
        <v>492</v>
      </c>
      <c r="CW225" s="237" t="s">
        <v>231</v>
      </c>
      <c r="CX225" s="237" t="s">
        <v>231</v>
      </c>
      <c r="CY225" s="237" t="s">
        <v>231</v>
      </c>
      <c r="CZ225" s="237" t="s">
        <v>231</v>
      </c>
      <c r="DA225" s="237" t="s">
        <v>231</v>
      </c>
      <c r="DB225" s="237" t="s">
        <v>231</v>
      </c>
      <c r="DC225" s="237" t="s">
        <v>231</v>
      </c>
      <c r="DD225" s="237" t="s">
        <v>231</v>
      </c>
      <c r="DE225" s="237" t="s">
        <v>231</v>
      </c>
      <c r="DF225" s="237" t="s">
        <v>231</v>
      </c>
      <c r="DG225" s="237" t="s">
        <v>231</v>
      </c>
      <c r="DH225" s="237" t="s">
        <v>231</v>
      </c>
      <c r="DI225" s="237" t="s">
        <v>231</v>
      </c>
      <c r="DJ225" s="237" t="s">
        <v>231</v>
      </c>
      <c r="DK225" s="237" t="s">
        <v>231</v>
      </c>
      <c r="DL225" s="237" t="s">
        <v>231</v>
      </c>
      <c r="DM225" s="237" t="s">
        <v>231</v>
      </c>
      <c r="DN225" s="237" t="s">
        <v>231</v>
      </c>
      <c r="DO225" s="237" t="s">
        <v>231</v>
      </c>
      <c r="DP225" s="237" t="s">
        <v>231</v>
      </c>
      <c r="DQ225" s="237" t="s">
        <v>231</v>
      </c>
      <c r="DR225" s="237" t="s">
        <v>231</v>
      </c>
      <c r="DS225" s="237" t="s">
        <v>231</v>
      </c>
      <c r="DT225" s="237" t="s">
        <v>492</v>
      </c>
      <c r="DU225" s="237" t="s">
        <v>231</v>
      </c>
      <c r="DV225" s="237" t="s">
        <v>492</v>
      </c>
      <c r="DW225" s="237" t="s">
        <v>492</v>
      </c>
      <c r="DX225" s="237" t="s">
        <v>492</v>
      </c>
      <c r="DY225" s="237" t="s">
        <v>492</v>
      </c>
      <c r="DZ225" s="237" t="s">
        <v>492</v>
      </c>
      <c r="EA225" s="237" t="s">
        <v>492</v>
      </c>
      <c r="EB225" s="237" t="s">
        <v>492</v>
      </c>
      <c r="EC225" s="237" t="s">
        <v>492</v>
      </c>
      <c r="ED225" s="237" t="s">
        <v>492</v>
      </c>
      <c r="EE225" s="237" t="s">
        <v>492</v>
      </c>
      <c r="EF225" s="237" t="s">
        <v>492</v>
      </c>
      <c r="EG225" s="237" t="s">
        <v>492</v>
      </c>
      <c r="EH225" s="237" t="s">
        <v>492</v>
      </c>
      <c r="EI225" s="237" t="s">
        <v>492</v>
      </c>
      <c r="EJ225" s="237" t="s">
        <v>231</v>
      </c>
      <c r="EK225" s="237" t="s">
        <v>231</v>
      </c>
      <c r="EL225" s="237" t="s">
        <v>231</v>
      </c>
      <c r="EM225" s="237" t="s">
        <v>492</v>
      </c>
      <c r="EN225" s="237" t="s">
        <v>231</v>
      </c>
      <c r="EO225" s="237" t="s">
        <v>231</v>
      </c>
      <c r="EP225" s="237" t="s">
        <v>231</v>
      </c>
      <c r="EQ225" s="237" t="s">
        <v>231</v>
      </c>
      <c r="ER225" s="237" t="s">
        <v>231</v>
      </c>
      <c r="ES225" s="237" t="s">
        <v>231</v>
      </c>
      <c r="ET225" s="237" t="s">
        <v>231</v>
      </c>
      <c r="EU225" s="237" t="s">
        <v>231</v>
      </c>
      <c r="EV225" s="237" t="s">
        <v>231</v>
      </c>
      <c r="EW225" s="237" t="s">
        <v>231</v>
      </c>
      <c r="EX225" s="237" t="s">
        <v>231</v>
      </c>
      <c r="EY225" s="237" t="s">
        <v>231</v>
      </c>
      <c r="EZ225" s="237" t="s">
        <v>231</v>
      </c>
      <c r="FA225" s="237" t="s">
        <v>231</v>
      </c>
      <c r="FB225" s="237" t="s">
        <v>231</v>
      </c>
      <c r="FC225" s="237" t="s">
        <v>231</v>
      </c>
      <c r="FD225" s="237" t="s">
        <v>231</v>
      </c>
      <c r="FE225" s="237" t="s">
        <v>231</v>
      </c>
      <c r="FF225" s="237" t="s">
        <v>231</v>
      </c>
      <c r="FG225" s="237" t="s">
        <v>492</v>
      </c>
      <c r="FH225" s="237" t="s">
        <v>492</v>
      </c>
      <c r="FI225" s="237" t="s">
        <v>492</v>
      </c>
      <c r="FJ225" s="237" t="s">
        <v>492</v>
      </c>
      <c r="FK225" s="237" t="s">
        <v>492</v>
      </c>
      <c r="FL225" s="237" t="s">
        <v>492</v>
      </c>
      <c r="FM225" s="237" t="s">
        <v>492</v>
      </c>
      <c r="FN225" s="237" t="s">
        <v>231</v>
      </c>
      <c r="FO225" s="237" t="s">
        <v>231</v>
      </c>
      <c r="FP225" s="237" t="s">
        <v>231</v>
      </c>
      <c r="FQ225" s="237" t="s">
        <v>231</v>
      </c>
      <c r="FR225" s="237" t="s">
        <v>231</v>
      </c>
      <c r="FS225" s="237" t="s">
        <v>231</v>
      </c>
      <c r="FT225" s="237" t="s">
        <v>231</v>
      </c>
      <c r="FU225" s="237" t="s">
        <v>231</v>
      </c>
      <c r="FV225" s="237" t="s">
        <v>231</v>
      </c>
      <c r="FW225" s="237" t="s">
        <v>231</v>
      </c>
      <c r="FX225" s="237" t="s">
        <v>492</v>
      </c>
      <c r="FY225" s="237" t="s">
        <v>231</v>
      </c>
      <c r="FZ225" s="237" t="s">
        <v>231</v>
      </c>
      <c r="GA225" s="237" t="s">
        <v>231</v>
      </c>
      <c r="GB225" s="237" t="s">
        <v>231</v>
      </c>
      <c r="GC225" s="237" t="s">
        <v>231</v>
      </c>
      <c r="GD225" s="237" t="s">
        <v>231</v>
      </c>
      <c r="GE225" s="237" t="s">
        <v>231</v>
      </c>
      <c r="GF225" s="237" t="s">
        <v>231</v>
      </c>
      <c r="GG225" s="237" t="s">
        <v>231</v>
      </c>
      <c r="GH225" s="237" t="s">
        <v>231</v>
      </c>
      <c r="GI225" s="237" t="s">
        <v>231</v>
      </c>
      <c r="GJ225" s="237" t="s">
        <v>231</v>
      </c>
      <c r="GK225" s="237" t="s">
        <v>231</v>
      </c>
      <c r="GL225" s="237" t="s">
        <v>231</v>
      </c>
      <c r="GM225" s="237" t="s">
        <v>231</v>
      </c>
      <c r="GN225" s="237" t="s">
        <v>231</v>
      </c>
      <c r="GO225" s="237" t="s">
        <v>231</v>
      </c>
      <c r="GP225" s="237" t="s">
        <v>492</v>
      </c>
      <c r="GQ225" s="237" t="s">
        <v>231</v>
      </c>
      <c r="GR225" s="237" t="s">
        <v>231</v>
      </c>
      <c r="GS225" s="237" t="s">
        <v>231</v>
      </c>
      <c r="GT225" s="237" t="s">
        <v>231</v>
      </c>
      <c r="GU225" s="237" t="s">
        <v>231</v>
      </c>
      <c r="GV225" s="237" t="s">
        <v>231</v>
      </c>
      <c r="GW225" s="237" t="s">
        <v>231</v>
      </c>
      <c r="GX225" s="237" t="s">
        <v>231</v>
      </c>
      <c r="GY225" s="237" t="s">
        <v>492</v>
      </c>
      <c r="GZ225" s="237" t="s">
        <v>492</v>
      </c>
      <c r="HA225" s="237" t="s">
        <v>231</v>
      </c>
      <c r="HB225" s="237" t="s">
        <v>231</v>
      </c>
      <c r="HC225" s="237" t="s">
        <v>231</v>
      </c>
      <c r="HD225" s="237" t="s">
        <v>231</v>
      </c>
      <c r="HE225" s="237" t="s">
        <v>231</v>
      </c>
      <c r="HF225" s="237" t="s">
        <v>231</v>
      </c>
      <c r="HG225" s="237" t="s">
        <v>231</v>
      </c>
      <c r="HH225" s="237" t="s">
        <v>231</v>
      </c>
      <c r="HI225" s="237" t="s">
        <v>231</v>
      </c>
      <c r="HJ225" s="237" t="s">
        <v>231</v>
      </c>
      <c r="HK225" s="237" t="s">
        <v>231</v>
      </c>
      <c r="HL225" s="237" t="s">
        <v>231</v>
      </c>
      <c r="HM225" s="237" t="s">
        <v>231</v>
      </c>
      <c r="HN225" s="237" t="s">
        <v>231</v>
      </c>
      <c r="HO225" s="237" t="s">
        <v>231</v>
      </c>
      <c r="HP225" s="237" t="s">
        <v>231</v>
      </c>
      <c r="HQ225" s="237" t="s">
        <v>492</v>
      </c>
      <c r="HR225" s="237" t="s">
        <v>492</v>
      </c>
      <c r="HS225" s="237" t="s">
        <v>492</v>
      </c>
      <c r="HT225" s="237" t="s">
        <v>492</v>
      </c>
      <c r="HU225" s="237" t="s">
        <v>231</v>
      </c>
      <c r="HV225" s="237" t="s">
        <v>231</v>
      </c>
      <c r="HW225" s="237" t="s">
        <v>231</v>
      </c>
      <c r="HX225" s="237" t="s">
        <v>231</v>
      </c>
      <c r="HY225" s="237" t="s">
        <v>231</v>
      </c>
      <c r="HZ225" s="237" t="s">
        <v>231</v>
      </c>
      <c r="IA225" s="237" t="s">
        <v>231</v>
      </c>
      <c r="IB225" s="237" t="s">
        <v>231</v>
      </c>
      <c r="IC225" s="237" t="s">
        <v>231</v>
      </c>
      <c r="ID225" s="237" t="s">
        <v>231</v>
      </c>
      <c r="IE225" s="237" t="s">
        <v>231</v>
      </c>
      <c r="IF225" s="237" t="s">
        <v>231</v>
      </c>
      <c r="IG225" s="237" t="s">
        <v>231</v>
      </c>
      <c r="IH225" s="237" t="s">
        <v>231</v>
      </c>
      <c r="II225" s="237" t="s">
        <v>231</v>
      </c>
      <c r="IJ225" s="237" t="s">
        <v>231</v>
      </c>
      <c r="IK225" s="237" t="s">
        <v>231</v>
      </c>
      <c r="IL225" s="237" t="s">
        <v>231</v>
      </c>
      <c r="IM225" s="237" t="s">
        <v>231</v>
      </c>
      <c r="IN225" s="237" t="s">
        <v>231</v>
      </c>
      <c r="IO225" s="237" t="s">
        <v>220</v>
      </c>
      <c r="IP225" s="237" t="s">
        <v>493</v>
      </c>
      <c r="IQ225" s="237" t="s">
        <v>219</v>
      </c>
      <c r="IR225" s="237" t="s">
        <v>490</v>
      </c>
      <c r="IS225" s="237" t="s">
        <v>231</v>
      </c>
      <c r="IT225" s="237" t="s">
        <v>231</v>
      </c>
    </row>
    <row r="226" spans="1:254" ht="15" x14ac:dyDescent="0.25">
      <c r="A226" s="259" t="str">
        <f>HYPERLINK("http://www.ofsted.gov.uk/inspection-reports/find-inspection-report/provider/ELS/134577 ","Ofsted School Webpage")</f>
        <v>Ofsted School Webpage</v>
      </c>
      <c r="B226" s="240">
        <v>134577</v>
      </c>
      <c r="C226" s="240">
        <v>3166063</v>
      </c>
      <c r="D226" s="240" t="s">
        <v>1047</v>
      </c>
      <c r="E226" s="240" t="s">
        <v>247</v>
      </c>
      <c r="F226" s="240" t="s">
        <v>482</v>
      </c>
      <c r="G226" s="240" t="s">
        <v>506</v>
      </c>
      <c r="H226" s="240" t="s">
        <v>506</v>
      </c>
      <c r="I226" s="240" t="s">
        <v>799</v>
      </c>
      <c r="J226" s="240" t="s">
        <v>1048</v>
      </c>
      <c r="K226" s="240" t="s">
        <v>84</v>
      </c>
      <c r="L226" s="240" t="s">
        <v>84</v>
      </c>
      <c r="M226" s="240" t="s">
        <v>84</v>
      </c>
      <c r="N226" s="240" t="s">
        <v>84</v>
      </c>
      <c r="O226" s="240" t="s">
        <v>486</v>
      </c>
      <c r="P226" s="240" t="s">
        <v>487</v>
      </c>
      <c r="Q226" s="241">
        <v>10055496</v>
      </c>
      <c r="R226" s="242">
        <v>43508</v>
      </c>
      <c r="S226" s="242">
        <v>43510</v>
      </c>
      <c r="T226" s="242">
        <v>43549</v>
      </c>
      <c r="U226" s="240" t="s">
        <v>488</v>
      </c>
      <c r="V226" s="240" t="s">
        <v>489</v>
      </c>
      <c r="W226" s="240">
        <v>4</v>
      </c>
      <c r="X226" s="240">
        <v>4</v>
      </c>
      <c r="Y226" s="240">
        <v>4</v>
      </c>
      <c r="Z226" s="240">
        <v>3</v>
      </c>
      <c r="AA226" s="240">
        <v>3</v>
      </c>
      <c r="AB226" s="240" t="s">
        <v>486</v>
      </c>
      <c r="AC226" s="240" t="s">
        <v>486</v>
      </c>
      <c r="AD226" s="240" t="s">
        <v>220</v>
      </c>
      <c r="AE226" s="240" t="s">
        <v>490</v>
      </c>
      <c r="AF226" s="240" t="s">
        <v>486</v>
      </c>
      <c r="AG226" s="240" t="s">
        <v>486</v>
      </c>
      <c r="AH226" s="240" t="s">
        <v>486</v>
      </c>
      <c r="AI226" s="240" t="s">
        <v>486</v>
      </c>
      <c r="AJ226" s="240" t="s">
        <v>486</v>
      </c>
      <c r="AK226" s="240" t="s">
        <v>486</v>
      </c>
      <c r="AL226" s="240" t="s">
        <v>486</v>
      </c>
      <c r="AM226" s="240" t="s">
        <v>545</v>
      </c>
      <c r="AN226" s="240" t="s">
        <v>546</v>
      </c>
      <c r="AO226" s="240" t="s">
        <v>546</v>
      </c>
      <c r="AP226" s="240" t="s">
        <v>546</v>
      </c>
      <c r="AQ226" s="240" t="s">
        <v>231</v>
      </c>
      <c r="AR226" s="240" t="s">
        <v>546</v>
      </c>
      <c r="AS226" s="240" t="s">
        <v>231</v>
      </c>
      <c r="AT226" s="240" t="s">
        <v>231</v>
      </c>
      <c r="AU226" s="240" t="s">
        <v>546</v>
      </c>
      <c r="AV226" s="240" t="s">
        <v>231</v>
      </c>
      <c r="AW226" s="240" t="s">
        <v>231</v>
      </c>
      <c r="AX226" s="240" t="s">
        <v>231</v>
      </c>
      <c r="AY226" s="240" t="s">
        <v>231</v>
      </c>
      <c r="AZ226" s="240" t="s">
        <v>231</v>
      </c>
      <c r="BA226" s="240" t="s">
        <v>231</v>
      </c>
      <c r="BB226" s="240" t="s">
        <v>231</v>
      </c>
      <c r="BC226" s="240" t="s">
        <v>231</v>
      </c>
      <c r="BD226" s="240" t="s">
        <v>492</v>
      </c>
      <c r="BE226" s="240" t="s">
        <v>231</v>
      </c>
      <c r="BF226" s="240" t="s">
        <v>231</v>
      </c>
      <c r="BG226" s="240" t="s">
        <v>231</v>
      </c>
      <c r="BH226" s="240" t="s">
        <v>492</v>
      </c>
      <c r="BI226" s="240" t="s">
        <v>492</v>
      </c>
      <c r="BJ226" s="240" t="s">
        <v>492</v>
      </c>
      <c r="BK226" s="240" t="s">
        <v>492</v>
      </c>
      <c r="BL226" s="240" t="s">
        <v>492</v>
      </c>
      <c r="BM226" s="240" t="s">
        <v>492</v>
      </c>
      <c r="BN226" s="240" t="s">
        <v>231</v>
      </c>
      <c r="BO226" s="240" t="s">
        <v>231</v>
      </c>
      <c r="BP226" s="240" t="s">
        <v>232</v>
      </c>
      <c r="BQ226" s="240" t="s">
        <v>231</v>
      </c>
      <c r="BR226" s="240" t="s">
        <v>231</v>
      </c>
      <c r="BS226" s="240" t="s">
        <v>231</v>
      </c>
      <c r="BT226" s="240" t="s">
        <v>232</v>
      </c>
      <c r="BU226" s="240" t="s">
        <v>231</v>
      </c>
      <c r="BV226" s="240" t="s">
        <v>231</v>
      </c>
      <c r="BW226" s="240" t="s">
        <v>231</v>
      </c>
      <c r="BX226" s="240" t="s">
        <v>231</v>
      </c>
      <c r="BY226" s="240" t="s">
        <v>231</v>
      </c>
      <c r="BZ226" s="240" t="s">
        <v>231</v>
      </c>
      <c r="CA226" s="240" t="s">
        <v>231</v>
      </c>
      <c r="CB226" s="240" t="s">
        <v>232</v>
      </c>
      <c r="CC226" s="240" t="s">
        <v>232</v>
      </c>
      <c r="CD226" s="240" t="s">
        <v>232</v>
      </c>
      <c r="CE226" s="240" t="s">
        <v>231</v>
      </c>
      <c r="CF226" s="240" t="s">
        <v>232</v>
      </c>
      <c r="CG226" s="240" t="s">
        <v>231</v>
      </c>
      <c r="CH226" s="240" t="s">
        <v>231</v>
      </c>
      <c r="CI226" s="240" t="s">
        <v>231</v>
      </c>
      <c r="CJ226" s="240" t="s">
        <v>232</v>
      </c>
      <c r="CK226" s="240" t="s">
        <v>231</v>
      </c>
      <c r="CL226" s="240" t="s">
        <v>231</v>
      </c>
      <c r="CM226" s="240" t="s">
        <v>232</v>
      </c>
      <c r="CN226" s="240" t="s">
        <v>231</v>
      </c>
      <c r="CO226" s="240" t="s">
        <v>231</v>
      </c>
      <c r="CP226" s="240" t="s">
        <v>232</v>
      </c>
      <c r="CQ226" s="240" t="s">
        <v>232</v>
      </c>
      <c r="CR226" s="240" t="s">
        <v>232</v>
      </c>
      <c r="CS226" s="240" t="s">
        <v>232</v>
      </c>
      <c r="CT226" s="240" t="s">
        <v>492</v>
      </c>
      <c r="CU226" s="240" t="s">
        <v>492</v>
      </c>
      <c r="CV226" s="240" t="s">
        <v>492</v>
      </c>
      <c r="CW226" s="240" t="s">
        <v>231</v>
      </c>
      <c r="CX226" s="240" t="s">
        <v>231</v>
      </c>
      <c r="CY226" s="240" t="s">
        <v>231</v>
      </c>
      <c r="CZ226" s="240" t="s">
        <v>231</v>
      </c>
      <c r="DA226" s="240" t="s">
        <v>231</v>
      </c>
      <c r="DB226" s="240" t="s">
        <v>232</v>
      </c>
      <c r="DC226" s="240" t="s">
        <v>232</v>
      </c>
      <c r="DD226" s="240" t="s">
        <v>231</v>
      </c>
      <c r="DE226" s="240" t="s">
        <v>231</v>
      </c>
      <c r="DF226" s="240" t="s">
        <v>231</v>
      </c>
      <c r="DG226" s="240" t="s">
        <v>232</v>
      </c>
      <c r="DH226" s="240" t="s">
        <v>232</v>
      </c>
      <c r="DI226" s="240" t="s">
        <v>232</v>
      </c>
      <c r="DJ226" s="240" t="s">
        <v>231</v>
      </c>
      <c r="DK226" s="240" t="s">
        <v>231</v>
      </c>
      <c r="DL226" s="240" t="s">
        <v>231</v>
      </c>
      <c r="DM226" s="240" t="s">
        <v>231</v>
      </c>
      <c r="DN226" s="240" t="s">
        <v>231</v>
      </c>
      <c r="DO226" s="240" t="s">
        <v>231</v>
      </c>
      <c r="DP226" s="240" t="s">
        <v>231</v>
      </c>
      <c r="DQ226" s="240" t="s">
        <v>231</v>
      </c>
      <c r="DR226" s="240" t="s">
        <v>231</v>
      </c>
      <c r="DS226" s="240" t="s">
        <v>231</v>
      </c>
      <c r="DT226" s="240" t="s">
        <v>492</v>
      </c>
      <c r="DU226" s="240" t="s">
        <v>231</v>
      </c>
      <c r="DV226" s="240" t="s">
        <v>492</v>
      </c>
      <c r="DW226" s="240" t="s">
        <v>492</v>
      </c>
      <c r="DX226" s="240" t="s">
        <v>492</v>
      </c>
      <c r="DY226" s="240" t="s">
        <v>492</v>
      </c>
      <c r="DZ226" s="240" t="s">
        <v>492</v>
      </c>
      <c r="EA226" s="240" t="s">
        <v>492</v>
      </c>
      <c r="EB226" s="240" t="s">
        <v>492</v>
      </c>
      <c r="EC226" s="240" t="s">
        <v>492</v>
      </c>
      <c r="ED226" s="240" t="s">
        <v>492</v>
      </c>
      <c r="EE226" s="240" t="s">
        <v>492</v>
      </c>
      <c r="EF226" s="240" t="s">
        <v>492</v>
      </c>
      <c r="EG226" s="240" t="s">
        <v>492</v>
      </c>
      <c r="EH226" s="240" t="s">
        <v>492</v>
      </c>
      <c r="EI226" s="240" t="s">
        <v>492</v>
      </c>
      <c r="EJ226" s="240" t="s">
        <v>492</v>
      </c>
      <c r="EK226" s="240" t="s">
        <v>492</v>
      </c>
      <c r="EL226" s="240" t="s">
        <v>492</v>
      </c>
      <c r="EM226" s="240" t="s">
        <v>492</v>
      </c>
      <c r="EN226" s="240" t="s">
        <v>492</v>
      </c>
      <c r="EO226" s="240" t="s">
        <v>492</v>
      </c>
      <c r="EP226" s="240" t="s">
        <v>492</v>
      </c>
      <c r="EQ226" s="240" t="s">
        <v>492</v>
      </c>
      <c r="ER226" s="240" t="s">
        <v>492</v>
      </c>
      <c r="ES226" s="240" t="s">
        <v>231</v>
      </c>
      <c r="ET226" s="240" t="s">
        <v>231</v>
      </c>
      <c r="EU226" s="240" t="s">
        <v>231</v>
      </c>
      <c r="EV226" s="240" t="s">
        <v>231</v>
      </c>
      <c r="EW226" s="240" t="s">
        <v>231</v>
      </c>
      <c r="EX226" s="240" t="s">
        <v>231</v>
      </c>
      <c r="EY226" s="240" t="s">
        <v>231</v>
      </c>
      <c r="EZ226" s="240" t="s">
        <v>231</v>
      </c>
      <c r="FA226" s="240" t="s">
        <v>231</v>
      </c>
      <c r="FB226" s="240" t="s">
        <v>231</v>
      </c>
      <c r="FC226" s="240" t="s">
        <v>231</v>
      </c>
      <c r="FD226" s="240" t="s">
        <v>231</v>
      </c>
      <c r="FE226" s="240" t="s">
        <v>231</v>
      </c>
      <c r="FF226" s="240" t="s">
        <v>231</v>
      </c>
      <c r="FG226" s="240" t="s">
        <v>492</v>
      </c>
      <c r="FH226" s="240" t="s">
        <v>492</v>
      </c>
      <c r="FI226" s="240" t="s">
        <v>492</v>
      </c>
      <c r="FJ226" s="240" t="s">
        <v>492</v>
      </c>
      <c r="FK226" s="240" t="s">
        <v>492</v>
      </c>
      <c r="FL226" s="240" t="s">
        <v>492</v>
      </c>
      <c r="FM226" s="240" t="s">
        <v>231</v>
      </c>
      <c r="FN226" s="240" t="s">
        <v>231</v>
      </c>
      <c r="FO226" s="240" t="s">
        <v>231</v>
      </c>
      <c r="FP226" s="240" t="s">
        <v>231</v>
      </c>
      <c r="FQ226" s="240" t="s">
        <v>231</v>
      </c>
      <c r="FR226" s="240" t="s">
        <v>231</v>
      </c>
      <c r="FS226" s="240" t="s">
        <v>231</v>
      </c>
      <c r="FT226" s="240" t="s">
        <v>492</v>
      </c>
      <c r="FU226" s="240" t="s">
        <v>231</v>
      </c>
      <c r="FV226" s="240" t="s">
        <v>231</v>
      </c>
      <c r="FW226" s="240" t="s">
        <v>231</v>
      </c>
      <c r="FX226" s="240" t="s">
        <v>492</v>
      </c>
      <c r="FY226" s="240" t="s">
        <v>231</v>
      </c>
      <c r="FZ226" s="240" t="s">
        <v>232</v>
      </c>
      <c r="GA226" s="240" t="s">
        <v>231</v>
      </c>
      <c r="GB226" s="240" t="s">
        <v>231</v>
      </c>
      <c r="GC226" s="240" t="s">
        <v>231</v>
      </c>
      <c r="GD226" s="240" t="s">
        <v>231</v>
      </c>
      <c r="GE226" s="240" t="s">
        <v>231</v>
      </c>
      <c r="GF226" s="240" t="s">
        <v>231</v>
      </c>
      <c r="GG226" s="240" t="s">
        <v>231</v>
      </c>
      <c r="GH226" s="240" t="s">
        <v>231</v>
      </c>
      <c r="GI226" s="240" t="s">
        <v>231</v>
      </c>
      <c r="GJ226" s="240" t="s">
        <v>231</v>
      </c>
      <c r="GK226" s="240" t="s">
        <v>231</v>
      </c>
      <c r="GL226" s="240" t="s">
        <v>231</v>
      </c>
      <c r="GM226" s="240" t="s">
        <v>231</v>
      </c>
      <c r="GN226" s="240" t="s">
        <v>231</v>
      </c>
      <c r="GO226" s="240" t="s">
        <v>231</v>
      </c>
      <c r="GP226" s="240" t="s">
        <v>492</v>
      </c>
      <c r="GQ226" s="240" t="s">
        <v>231</v>
      </c>
      <c r="GR226" s="240" t="s">
        <v>231</v>
      </c>
      <c r="GS226" s="240" t="s">
        <v>231</v>
      </c>
      <c r="GT226" s="240" t="s">
        <v>231</v>
      </c>
      <c r="GU226" s="240" t="s">
        <v>231</v>
      </c>
      <c r="GV226" s="240" t="s">
        <v>492</v>
      </c>
      <c r="GW226" s="240" t="s">
        <v>231</v>
      </c>
      <c r="GX226" s="240" t="s">
        <v>231</v>
      </c>
      <c r="GY226" s="240" t="s">
        <v>492</v>
      </c>
      <c r="GZ226" s="240" t="s">
        <v>492</v>
      </c>
      <c r="HA226" s="240" t="s">
        <v>492</v>
      </c>
      <c r="HB226" s="240" t="s">
        <v>231</v>
      </c>
      <c r="HC226" s="240" t="s">
        <v>231</v>
      </c>
      <c r="HD226" s="240" t="s">
        <v>231</v>
      </c>
      <c r="HE226" s="240" t="s">
        <v>231</v>
      </c>
      <c r="HF226" s="240" t="s">
        <v>492</v>
      </c>
      <c r="HG226" s="240" t="s">
        <v>231</v>
      </c>
      <c r="HH226" s="240" t="s">
        <v>231</v>
      </c>
      <c r="HI226" s="240" t="s">
        <v>231</v>
      </c>
      <c r="HJ226" s="240" t="s">
        <v>231</v>
      </c>
      <c r="HK226" s="240" t="s">
        <v>231</v>
      </c>
      <c r="HL226" s="240" t="s">
        <v>231</v>
      </c>
      <c r="HM226" s="240" t="s">
        <v>231</v>
      </c>
      <c r="HN226" s="240" t="s">
        <v>231</v>
      </c>
      <c r="HO226" s="240" t="s">
        <v>231</v>
      </c>
      <c r="HP226" s="240" t="s">
        <v>231</v>
      </c>
      <c r="HQ226" s="240" t="s">
        <v>492</v>
      </c>
      <c r="HR226" s="240" t="s">
        <v>492</v>
      </c>
      <c r="HS226" s="240" t="s">
        <v>492</v>
      </c>
      <c r="HT226" s="240" t="s">
        <v>492</v>
      </c>
      <c r="HU226" s="240" t="s">
        <v>231</v>
      </c>
      <c r="HV226" s="240" t="s">
        <v>231</v>
      </c>
      <c r="HW226" s="240" t="s">
        <v>231</v>
      </c>
      <c r="HX226" s="240" t="s">
        <v>231</v>
      </c>
      <c r="HY226" s="240" t="s">
        <v>231</v>
      </c>
      <c r="HZ226" s="240" t="s">
        <v>231</v>
      </c>
      <c r="IA226" s="240" t="s">
        <v>231</v>
      </c>
      <c r="IB226" s="240" t="s">
        <v>231</v>
      </c>
      <c r="IC226" s="240" t="s">
        <v>231</v>
      </c>
      <c r="ID226" s="240" t="s">
        <v>231</v>
      </c>
      <c r="IE226" s="240" t="s">
        <v>231</v>
      </c>
      <c r="IF226" s="240" t="s">
        <v>231</v>
      </c>
      <c r="IG226" s="240" t="s">
        <v>231</v>
      </c>
      <c r="IH226" s="240" t="s">
        <v>231</v>
      </c>
      <c r="II226" s="240" t="s">
        <v>231</v>
      </c>
      <c r="IJ226" s="240" t="s">
        <v>231</v>
      </c>
      <c r="IK226" s="240" t="s">
        <v>232</v>
      </c>
      <c r="IL226" s="240" t="s">
        <v>232</v>
      </c>
      <c r="IM226" s="240" t="s">
        <v>232</v>
      </c>
      <c r="IN226" s="240" t="s">
        <v>232</v>
      </c>
      <c r="IO226" s="240" t="s">
        <v>220</v>
      </c>
      <c r="IP226" s="240" t="s">
        <v>493</v>
      </c>
      <c r="IQ226" s="240" t="s">
        <v>219</v>
      </c>
      <c r="IR226" s="240" t="s">
        <v>490</v>
      </c>
      <c r="IS226" s="240" t="s">
        <v>492</v>
      </c>
      <c r="IT226" s="240" t="s">
        <v>492</v>
      </c>
    </row>
    <row r="227" spans="1:254" ht="15" x14ac:dyDescent="0.25">
      <c r="A227" s="258" t="str">
        <f>HYPERLINK("http://www.ofsted.gov.uk/inspection-reports/find-inspection-report/provider/ELS/141879 ","Ofsted School Webpage")</f>
        <v>Ofsted School Webpage</v>
      </c>
      <c r="B227" s="237">
        <v>141879</v>
      </c>
      <c r="C227" s="237">
        <v>8736052</v>
      </c>
      <c r="D227" s="237" t="s">
        <v>1049</v>
      </c>
      <c r="E227" s="237" t="s">
        <v>248</v>
      </c>
      <c r="F227" s="237" t="s">
        <v>501</v>
      </c>
      <c r="G227" s="237" t="s">
        <v>516</v>
      </c>
      <c r="H227" s="237" t="s">
        <v>516</v>
      </c>
      <c r="I227" s="237" t="s">
        <v>867</v>
      </c>
      <c r="J227" s="237" t="s">
        <v>1050</v>
      </c>
      <c r="K227" s="237" t="s">
        <v>93</v>
      </c>
      <c r="L227" s="237" t="s">
        <v>93</v>
      </c>
      <c r="M227" s="237" t="s">
        <v>93</v>
      </c>
      <c r="N227" s="237" t="s">
        <v>90</v>
      </c>
      <c r="O227" s="237" t="s">
        <v>486</v>
      </c>
      <c r="P227" s="237" t="s">
        <v>487</v>
      </c>
      <c r="Q227" s="238">
        <v>10056571</v>
      </c>
      <c r="R227" s="239">
        <v>43508</v>
      </c>
      <c r="S227" s="239">
        <v>43510</v>
      </c>
      <c r="T227" s="239">
        <v>43548</v>
      </c>
      <c r="U227" s="237" t="s">
        <v>488</v>
      </c>
      <c r="V227" s="237" t="s">
        <v>489</v>
      </c>
      <c r="W227" s="237">
        <v>2</v>
      </c>
      <c r="X227" s="237">
        <v>2</v>
      </c>
      <c r="Y227" s="237">
        <v>2</v>
      </c>
      <c r="Z227" s="237">
        <v>2</v>
      </c>
      <c r="AA227" s="237">
        <v>2</v>
      </c>
      <c r="AB227" s="237" t="s">
        <v>486</v>
      </c>
      <c r="AC227" s="237" t="s">
        <v>486</v>
      </c>
      <c r="AD227" s="237" t="s">
        <v>219</v>
      </c>
      <c r="AE227" s="237" t="s">
        <v>490</v>
      </c>
      <c r="AF227" s="237" t="s">
        <v>486</v>
      </c>
      <c r="AG227" s="237" t="s">
        <v>486</v>
      </c>
      <c r="AH227" s="237" t="s">
        <v>486</v>
      </c>
      <c r="AI227" s="237" t="s">
        <v>486</v>
      </c>
      <c r="AJ227" s="237" t="s">
        <v>486</v>
      </c>
      <c r="AK227" s="237" t="s">
        <v>486</v>
      </c>
      <c r="AL227" s="237" t="s">
        <v>486</v>
      </c>
      <c r="AM227" s="237" t="s">
        <v>491</v>
      </c>
      <c r="AN227" s="237" t="s">
        <v>231</v>
      </c>
      <c r="AO227" s="237" t="s">
        <v>231</v>
      </c>
      <c r="AP227" s="237" t="s">
        <v>231</v>
      </c>
      <c r="AQ227" s="237" t="s">
        <v>231</v>
      </c>
      <c r="AR227" s="237" t="s">
        <v>231</v>
      </c>
      <c r="AS227" s="237" t="s">
        <v>231</v>
      </c>
      <c r="AT227" s="237" t="s">
        <v>231</v>
      </c>
      <c r="AU227" s="237" t="s">
        <v>231</v>
      </c>
      <c r="AV227" s="237" t="s">
        <v>231</v>
      </c>
      <c r="AW227" s="237" t="s">
        <v>231</v>
      </c>
      <c r="AX227" s="237" t="s">
        <v>231</v>
      </c>
      <c r="AY227" s="237" t="s">
        <v>231</v>
      </c>
      <c r="AZ227" s="237" t="s">
        <v>231</v>
      </c>
      <c r="BA227" s="237" t="s">
        <v>231</v>
      </c>
      <c r="BB227" s="237" t="s">
        <v>231</v>
      </c>
      <c r="BC227" s="237" t="s">
        <v>231</v>
      </c>
      <c r="BD227" s="237" t="s">
        <v>492</v>
      </c>
      <c r="BE227" s="237" t="s">
        <v>231</v>
      </c>
      <c r="BF227" s="237" t="s">
        <v>231</v>
      </c>
      <c r="BG227" s="237" t="s">
        <v>231</v>
      </c>
      <c r="BH227" s="237" t="s">
        <v>231</v>
      </c>
      <c r="BI227" s="237" t="s">
        <v>231</v>
      </c>
      <c r="BJ227" s="237" t="s">
        <v>231</v>
      </c>
      <c r="BK227" s="237" t="s">
        <v>231</v>
      </c>
      <c r="BL227" s="237" t="s">
        <v>492</v>
      </c>
      <c r="BM227" s="237" t="s">
        <v>231</v>
      </c>
      <c r="BN227" s="237" t="s">
        <v>231</v>
      </c>
      <c r="BO227" s="237" t="s">
        <v>231</v>
      </c>
      <c r="BP227" s="237" t="s">
        <v>231</v>
      </c>
      <c r="BQ227" s="237" t="s">
        <v>231</v>
      </c>
      <c r="BR227" s="237" t="s">
        <v>231</v>
      </c>
      <c r="BS227" s="237" t="s">
        <v>231</v>
      </c>
      <c r="BT227" s="237" t="s">
        <v>231</v>
      </c>
      <c r="BU227" s="237" t="s">
        <v>231</v>
      </c>
      <c r="BV227" s="237" t="s">
        <v>231</v>
      </c>
      <c r="BW227" s="237" t="s">
        <v>231</v>
      </c>
      <c r="BX227" s="237" t="s">
        <v>231</v>
      </c>
      <c r="BY227" s="237" t="s">
        <v>231</v>
      </c>
      <c r="BZ227" s="237" t="s">
        <v>231</v>
      </c>
      <c r="CA227" s="237" t="s">
        <v>231</v>
      </c>
      <c r="CB227" s="237" t="s">
        <v>231</v>
      </c>
      <c r="CC227" s="237" t="s">
        <v>231</v>
      </c>
      <c r="CD227" s="237" t="s">
        <v>231</v>
      </c>
      <c r="CE227" s="237" t="s">
        <v>231</v>
      </c>
      <c r="CF227" s="237" t="s">
        <v>231</v>
      </c>
      <c r="CG227" s="237" t="s">
        <v>231</v>
      </c>
      <c r="CH227" s="237" t="s">
        <v>231</v>
      </c>
      <c r="CI227" s="237" t="s">
        <v>231</v>
      </c>
      <c r="CJ227" s="237" t="s">
        <v>231</v>
      </c>
      <c r="CK227" s="237" t="s">
        <v>231</v>
      </c>
      <c r="CL227" s="237" t="s">
        <v>231</v>
      </c>
      <c r="CM227" s="237" t="s">
        <v>231</v>
      </c>
      <c r="CN227" s="237" t="s">
        <v>231</v>
      </c>
      <c r="CO227" s="237" t="s">
        <v>231</v>
      </c>
      <c r="CP227" s="237" t="s">
        <v>231</v>
      </c>
      <c r="CQ227" s="237" t="s">
        <v>231</v>
      </c>
      <c r="CR227" s="237" t="s">
        <v>231</v>
      </c>
      <c r="CS227" s="237" t="s">
        <v>231</v>
      </c>
      <c r="CT227" s="237" t="s">
        <v>492</v>
      </c>
      <c r="CU227" s="237" t="s">
        <v>492</v>
      </c>
      <c r="CV227" s="237" t="s">
        <v>492</v>
      </c>
      <c r="CW227" s="237" t="s">
        <v>231</v>
      </c>
      <c r="CX227" s="237" t="s">
        <v>231</v>
      </c>
      <c r="CY227" s="237" t="s">
        <v>231</v>
      </c>
      <c r="CZ227" s="237" t="s">
        <v>231</v>
      </c>
      <c r="DA227" s="237" t="s">
        <v>231</v>
      </c>
      <c r="DB227" s="237" t="s">
        <v>231</v>
      </c>
      <c r="DC227" s="237" t="s">
        <v>231</v>
      </c>
      <c r="DD227" s="237" t="s">
        <v>231</v>
      </c>
      <c r="DE227" s="237" t="s">
        <v>231</v>
      </c>
      <c r="DF227" s="237" t="s">
        <v>231</v>
      </c>
      <c r="DG227" s="237" t="s">
        <v>231</v>
      </c>
      <c r="DH227" s="237" t="s">
        <v>231</v>
      </c>
      <c r="DI227" s="237" t="s">
        <v>231</v>
      </c>
      <c r="DJ227" s="237" t="s">
        <v>231</v>
      </c>
      <c r="DK227" s="237" t="s">
        <v>231</v>
      </c>
      <c r="DL227" s="237" t="s">
        <v>231</v>
      </c>
      <c r="DM227" s="237" t="s">
        <v>231</v>
      </c>
      <c r="DN227" s="237" t="s">
        <v>231</v>
      </c>
      <c r="DO227" s="237" t="s">
        <v>231</v>
      </c>
      <c r="DP227" s="237" t="s">
        <v>231</v>
      </c>
      <c r="DQ227" s="237" t="s">
        <v>231</v>
      </c>
      <c r="DR227" s="237" t="s">
        <v>231</v>
      </c>
      <c r="DS227" s="237" t="s">
        <v>231</v>
      </c>
      <c r="DT227" s="237" t="s">
        <v>492</v>
      </c>
      <c r="DU227" s="237" t="s">
        <v>231</v>
      </c>
      <c r="DV227" s="237" t="s">
        <v>231</v>
      </c>
      <c r="DW227" s="237" t="s">
        <v>231</v>
      </c>
      <c r="DX227" s="237" t="s">
        <v>231</v>
      </c>
      <c r="DY227" s="237" t="s">
        <v>231</v>
      </c>
      <c r="DZ227" s="237" t="s">
        <v>231</v>
      </c>
      <c r="EA227" s="237" t="s">
        <v>231</v>
      </c>
      <c r="EB227" s="237" t="s">
        <v>231</v>
      </c>
      <c r="EC227" s="237" t="s">
        <v>231</v>
      </c>
      <c r="ED227" s="237" t="s">
        <v>231</v>
      </c>
      <c r="EE227" s="237" t="s">
        <v>231</v>
      </c>
      <c r="EF227" s="237" t="s">
        <v>231</v>
      </c>
      <c r="EG227" s="237" t="s">
        <v>231</v>
      </c>
      <c r="EH227" s="237" t="s">
        <v>492</v>
      </c>
      <c r="EI227" s="237" t="s">
        <v>231</v>
      </c>
      <c r="EJ227" s="237" t="s">
        <v>231</v>
      </c>
      <c r="EK227" s="237" t="s">
        <v>231</v>
      </c>
      <c r="EL227" s="237" t="s">
        <v>231</v>
      </c>
      <c r="EM227" s="237" t="s">
        <v>231</v>
      </c>
      <c r="EN227" s="237" t="s">
        <v>231</v>
      </c>
      <c r="EO227" s="237" t="s">
        <v>231</v>
      </c>
      <c r="EP227" s="237" t="s">
        <v>231</v>
      </c>
      <c r="EQ227" s="237" t="s">
        <v>231</v>
      </c>
      <c r="ER227" s="237" t="s">
        <v>231</v>
      </c>
      <c r="ES227" s="237" t="s">
        <v>231</v>
      </c>
      <c r="ET227" s="237" t="s">
        <v>231</v>
      </c>
      <c r="EU227" s="237" t="s">
        <v>231</v>
      </c>
      <c r="EV227" s="237" t="s">
        <v>231</v>
      </c>
      <c r="EW227" s="237" t="s">
        <v>231</v>
      </c>
      <c r="EX227" s="237" t="s">
        <v>231</v>
      </c>
      <c r="EY227" s="237" t="s">
        <v>231</v>
      </c>
      <c r="EZ227" s="237" t="s">
        <v>231</v>
      </c>
      <c r="FA227" s="237" t="s">
        <v>231</v>
      </c>
      <c r="FB227" s="237" t="s">
        <v>231</v>
      </c>
      <c r="FC227" s="237" t="s">
        <v>231</v>
      </c>
      <c r="FD227" s="237" t="s">
        <v>231</v>
      </c>
      <c r="FE227" s="237" t="s">
        <v>231</v>
      </c>
      <c r="FF227" s="237" t="s">
        <v>231</v>
      </c>
      <c r="FG227" s="237" t="s">
        <v>231</v>
      </c>
      <c r="FH227" s="237" t="s">
        <v>231</v>
      </c>
      <c r="FI227" s="237" t="s">
        <v>231</v>
      </c>
      <c r="FJ227" s="237" t="s">
        <v>231</v>
      </c>
      <c r="FK227" s="237" t="s">
        <v>231</v>
      </c>
      <c r="FL227" s="237" t="s">
        <v>231</v>
      </c>
      <c r="FM227" s="237" t="s">
        <v>231</v>
      </c>
      <c r="FN227" s="237" t="s">
        <v>231</v>
      </c>
      <c r="FO227" s="237" t="s">
        <v>231</v>
      </c>
      <c r="FP227" s="237" t="s">
        <v>231</v>
      </c>
      <c r="FQ227" s="237" t="s">
        <v>231</v>
      </c>
      <c r="FR227" s="237" t="s">
        <v>231</v>
      </c>
      <c r="FS227" s="237" t="s">
        <v>231</v>
      </c>
      <c r="FT227" s="237" t="s">
        <v>231</v>
      </c>
      <c r="FU227" s="237" t="s">
        <v>231</v>
      </c>
      <c r="FV227" s="237" t="s">
        <v>231</v>
      </c>
      <c r="FW227" s="237" t="s">
        <v>231</v>
      </c>
      <c r="FX227" s="237" t="s">
        <v>231</v>
      </c>
      <c r="FY227" s="237" t="s">
        <v>231</v>
      </c>
      <c r="FZ227" s="237" t="s">
        <v>231</v>
      </c>
      <c r="GA227" s="237" t="s">
        <v>231</v>
      </c>
      <c r="GB227" s="237" t="s">
        <v>231</v>
      </c>
      <c r="GC227" s="237" t="s">
        <v>231</v>
      </c>
      <c r="GD227" s="237" t="s">
        <v>231</v>
      </c>
      <c r="GE227" s="237" t="s">
        <v>231</v>
      </c>
      <c r="GF227" s="237" t="s">
        <v>231</v>
      </c>
      <c r="GG227" s="237" t="s">
        <v>231</v>
      </c>
      <c r="GH227" s="237" t="s">
        <v>231</v>
      </c>
      <c r="GI227" s="237" t="s">
        <v>231</v>
      </c>
      <c r="GJ227" s="237" t="s">
        <v>231</v>
      </c>
      <c r="GK227" s="237" t="s">
        <v>231</v>
      </c>
      <c r="GL227" s="237" t="s">
        <v>231</v>
      </c>
      <c r="GM227" s="237" t="s">
        <v>231</v>
      </c>
      <c r="GN227" s="237" t="s">
        <v>231</v>
      </c>
      <c r="GO227" s="237" t="s">
        <v>231</v>
      </c>
      <c r="GP227" s="237" t="s">
        <v>492</v>
      </c>
      <c r="GQ227" s="237" t="s">
        <v>231</v>
      </c>
      <c r="GR227" s="237" t="s">
        <v>231</v>
      </c>
      <c r="GS227" s="237" t="s">
        <v>231</v>
      </c>
      <c r="GT227" s="237" t="s">
        <v>231</v>
      </c>
      <c r="GU227" s="237" t="s">
        <v>231</v>
      </c>
      <c r="GV227" s="237" t="s">
        <v>492</v>
      </c>
      <c r="GW227" s="237" t="s">
        <v>231</v>
      </c>
      <c r="GX227" s="237" t="s">
        <v>231</v>
      </c>
      <c r="GY227" s="237" t="s">
        <v>231</v>
      </c>
      <c r="GZ227" s="237" t="s">
        <v>231</v>
      </c>
      <c r="HA227" s="237" t="s">
        <v>231</v>
      </c>
      <c r="HB227" s="237" t="s">
        <v>231</v>
      </c>
      <c r="HC227" s="237" t="s">
        <v>231</v>
      </c>
      <c r="HD227" s="237" t="s">
        <v>231</v>
      </c>
      <c r="HE227" s="237" t="s">
        <v>492</v>
      </c>
      <c r="HF227" s="237" t="s">
        <v>231</v>
      </c>
      <c r="HG227" s="237" t="s">
        <v>231</v>
      </c>
      <c r="HH227" s="237" t="s">
        <v>231</v>
      </c>
      <c r="HI227" s="237" t="s">
        <v>231</v>
      </c>
      <c r="HJ227" s="237" t="s">
        <v>231</v>
      </c>
      <c r="HK227" s="237" t="s">
        <v>231</v>
      </c>
      <c r="HL227" s="237" t="s">
        <v>231</v>
      </c>
      <c r="HM227" s="237" t="s">
        <v>231</v>
      </c>
      <c r="HN227" s="237" t="s">
        <v>231</v>
      </c>
      <c r="HO227" s="237" t="s">
        <v>231</v>
      </c>
      <c r="HP227" s="237" t="s">
        <v>231</v>
      </c>
      <c r="HQ227" s="237" t="s">
        <v>231</v>
      </c>
      <c r="HR227" s="237" t="s">
        <v>231</v>
      </c>
      <c r="HS227" s="237" t="s">
        <v>231</v>
      </c>
      <c r="HT227" s="237" t="s">
        <v>231</v>
      </c>
      <c r="HU227" s="237" t="s">
        <v>231</v>
      </c>
      <c r="HV227" s="237" t="s">
        <v>231</v>
      </c>
      <c r="HW227" s="237" t="s">
        <v>231</v>
      </c>
      <c r="HX227" s="237" t="s">
        <v>231</v>
      </c>
      <c r="HY227" s="237" t="s">
        <v>231</v>
      </c>
      <c r="HZ227" s="237" t="s">
        <v>231</v>
      </c>
      <c r="IA227" s="237" t="s">
        <v>231</v>
      </c>
      <c r="IB227" s="237" t="s">
        <v>231</v>
      </c>
      <c r="IC227" s="237" t="s">
        <v>231</v>
      </c>
      <c r="ID227" s="237" t="s">
        <v>231</v>
      </c>
      <c r="IE227" s="237" t="s">
        <v>231</v>
      </c>
      <c r="IF227" s="237" t="s">
        <v>231</v>
      </c>
      <c r="IG227" s="237" t="s">
        <v>231</v>
      </c>
      <c r="IH227" s="237" t="s">
        <v>231</v>
      </c>
      <c r="II227" s="237" t="s">
        <v>231</v>
      </c>
      <c r="IJ227" s="237" t="s">
        <v>231</v>
      </c>
      <c r="IK227" s="237" t="s">
        <v>231</v>
      </c>
      <c r="IL227" s="237" t="s">
        <v>231</v>
      </c>
      <c r="IM227" s="237" t="s">
        <v>231</v>
      </c>
      <c r="IN227" s="237" t="s">
        <v>231</v>
      </c>
      <c r="IO227" s="237" t="s">
        <v>220</v>
      </c>
      <c r="IP227" s="237" t="s">
        <v>493</v>
      </c>
      <c r="IQ227" s="237" t="s">
        <v>219</v>
      </c>
      <c r="IR227" s="237" t="s">
        <v>490</v>
      </c>
      <c r="IS227" s="237" t="s">
        <v>492</v>
      </c>
      <c r="IT227" s="237" t="s">
        <v>492</v>
      </c>
    </row>
    <row r="228" spans="1:254" ht="15" x14ac:dyDescent="0.25">
      <c r="A228" s="259" t="str">
        <f>HYPERLINK("http://www.ofsted.gov.uk/inspection-reports/find-inspection-report/provider/ELS/145241 ","Ofsted School Webpage")</f>
        <v>Ofsted School Webpage</v>
      </c>
      <c r="B228" s="240">
        <v>145241</v>
      </c>
      <c r="C228" s="240">
        <v>8156044</v>
      </c>
      <c r="D228" s="240" t="s">
        <v>1051</v>
      </c>
      <c r="E228" s="240" t="s">
        <v>248</v>
      </c>
      <c r="F228" s="240" t="s">
        <v>501</v>
      </c>
      <c r="G228" s="240" t="s">
        <v>523</v>
      </c>
      <c r="H228" s="240" t="s">
        <v>524</v>
      </c>
      <c r="I228" s="240" t="s">
        <v>846</v>
      </c>
      <c r="J228" s="240" t="s">
        <v>607</v>
      </c>
      <c r="K228" s="240" t="s">
        <v>93</v>
      </c>
      <c r="L228" s="240" t="s">
        <v>93</v>
      </c>
      <c r="M228" s="240" t="s">
        <v>93</v>
      </c>
      <c r="N228" s="240" t="s">
        <v>90</v>
      </c>
      <c r="O228" s="240" t="s">
        <v>486</v>
      </c>
      <c r="P228" s="240" t="s">
        <v>487</v>
      </c>
      <c r="Q228" s="241">
        <v>10077927</v>
      </c>
      <c r="R228" s="242">
        <v>43508</v>
      </c>
      <c r="S228" s="242">
        <v>43510</v>
      </c>
      <c r="T228" s="242">
        <v>43549</v>
      </c>
      <c r="U228" s="240" t="s">
        <v>499</v>
      </c>
      <c r="V228" s="240" t="s">
        <v>489</v>
      </c>
      <c r="W228" s="240">
        <v>2</v>
      </c>
      <c r="X228" s="240">
        <v>2</v>
      </c>
      <c r="Y228" s="240">
        <v>2</v>
      </c>
      <c r="Z228" s="240">
        <v>2</v>
      </c>
      <c r="AA228" s="240">
        <v>2</v>
      </c>
      <c r="AB228" s="240" t="s">
        <v>486</v>
      </c>
      <c r="AC228" s="240" t="s">
        <v>486</v>
      </c>
      <c r="AD228" s="240" t="s">
        <v>219</v>
      </c>
      <c r="AE228" s="240" t="s">
        <v>490</v>
      </c>
      <c r="AF228" s="240" t="s">
        <v>486</v>
      </c>
      <c r="AG228" s="240" t="s">
        <v>486</v>
      </c>
      <c r="AH228" s="240" t="s">
        <v>486</v>
      </c>
      <c r="AI228" s="240" t="s">
        <v>486</v>
      </c>
      <c r="AJ228" s="240" t="s">
        <v>486</v>
      </c>
      <c r="AK228" s="240" t="s">
        <v>486</v>
      </c>
      <c r="AL228" s="240" t="s">
        <v>486</v>
      </c>
      <c r="AM228" s="240" t="s">
        <v>491</v>
      </c>
      <c r="AN228" s="240" t="s">
        <v>231</v>
      </c>
      <c r="AO228" s="240" t="s">
        <v>231</v>
      </c>
      <c r="AP228" s="240" t="s">
        <v>231</v>
      </c>
      <c r="AQ228" s="240" t="s">
        <v>231</v>
      </c>
      <c r="AR228" s="240" t="s">
        <v>231</v>
      </c>
      <c r="AS228" s="240" t="s">
        <v>231</v>
      </c>
      <c r="AT228" s="240" t="s">
        <v>231</v>
      </c>
      <c r="AU228" s="240" t="s">
        <v>231</v>
      </c>
      <c r="AV228" s="240" t="s">
        <v>231</v>
      </c>
      <c r="AW228" s="240" t="s">
        <v>231</v>
      </c>
      <c r="AX228" s="240" t="s">
        <v>231</v>
      </c>
      <c r="AY228" s="240" t="s">
        <v>231</v>
      </c>
      <c r="AZ228" s="240" t="s">
        <v>231</v>
      </c>
      <c r="BA228" s="240" t="s">
        <v>231</v>
      </c>
      <c r="BB228" s="240" t="s">
        <v>231</v>
      </c>
      <c r="BC228" s="240" t="s">
        <v>231</v>
      </c>
      <c r="BD228" s="240" t="s">
        <v>492</v>
      </c>
      <c r="BE228" s="240" t="s">
        <v>231</v>
      </c>
      <c r="BF228" s="240" t="s">
        <v>231</v>
      </c>
      <c r="BG228" s="240" t="s">
        <v>231</v>
      </c>
      <c r="BH228" s="240" t="s">
        <v>231</v>
      </c>
      <c r="BI228" s="240" t="s">
        <v>231</v>
      </c>
      <c r="BJ228" s="240" t="s">
        <v>231</v>
      </c>
      <c r="BK228" s="240" t="s">
        <v>231</v>
      </c>
      <c r="BL228" s="240" t="s">
        <v>492</v>
      </c>
      <c r="BM228" s="240" t="s">
        <v>231</v>
      </c>
      <c r="BN228" s="240" t="s">
        <v>231</v>
      </c>
      <c r="BO228" s="240" t="s">
        <v>231</v>
      </c>
      <c r="BP228" s="240" t="s">
        <v>231</v>
      </c>
      <c r="BQ228" s="240" t="s">
        <v>231</v>
      </c>
      <c r="BR228" s="240" t="s">
        <v>231</v>
      </c>
      <c r="BS228" s="240" t="s">
        <v>231</v>
      </c>
      <c r="BT228" s="240" t="s">
        <v>231</v>
      </c>
      <c r="BU228" s="240" t="s">
        <v>231</v>
      </c>
      <c r="BV228" s="240" t="s">
        <v>231</v>
      </c>
      <c r="BW228" s="240" t="s">
        <v>231</v>
      </c>
      <c r="BX228" s="240" t="s">
        <v>231</v>
      </c>
      <c r="BY228" s="240" t="s">
        <v>231</v>
      </c>
      <c r="BZ228" s="240" t="s">
        <v>231</v>
      </c>
      <c r="CA228" s="240" t="s">
        <v>231</v>
      </c>
      <c r="CB228" s="240" t="s">
        <v>231</v>
      </c>
      <c r="CC228" s="240" t="s">
        <v>231</v>
      </c>
      <c r="CD228" s="240" t="s">
        <v>231</v>
      </c>
      <c r="CE228" s="240" t="s">
        <v>231</v>
      </c>
      <c r="CF228" s="240" t="s">
        <v>231</v>
      </c>
      <c r="CG228" s="240" t="s">
        <v>231</v>
      </c>
      <c r="CH228" s="240" t="s">
        <v>231</v>
      </c>
      <c r="CI228" s="240" t="s">
        <v>231</v>
      </c>
      <c r="CJ228" s="240" t="s">
        <v>231</v>
      </c>
      <c r="CK228" s="240" t="s">
        <v>231</v>
      </c>
      <c r="CL228" s="240" t="s">
        <v>231</v>
      </c>
      <c r="CM228" s="240" t="s">
        <v>231</v>
      </c>
      <c r="CN228" s="240" t="s">
        <v>231</v>
      </c>
      <c r="CO228" s="240" t="s">
        <v>231</v>
      </c>
      <c r="CP228" s="240" t="s">
        <v>231</v>
      </c>
      <c r="CQ228" s="240" t="s">
        <v>231</v>
      </c>
      <c r="CR228" s="240" t="s">
        <v>231</v>
      </c>
      <c r="CS228" s="240" t="s">
        <v>231</v>
      </c>
      <c r="CT228" s="240" t="s">
        <v>492</v>
      </c>
      <c r="CU228" s="240" t="s">
        <v>492</v>
      </c>
      <c r="CV228" s="240" t="s">
        <v>492</v>
      </c>
      <c r="CW228" s="240" t="s">
        <v>231</v>
      </c>
      <c r="CX228" s="240" t="s">
        <v>231</v>
      </c>
      <c r="CY228" s="240" t="s">
        <v>231</v>
      </c>
      <c r="CZ228" s="240" t="s">
        <v>231</v>
      </c>
      <c r="DA228" s="240" t="s">
        <v>231</v>
      </c>
      <c r="DB228" s="240" t="s">
        <v>231</v>
      </c>
      <c r="DC228" s="240" t="s">
        <v>231</v>
      </c>
      <c r="DD228" s="240" t="s">
        <v>231</v>
      </c>
      <c r="DE228" s="240" t="s">
        <v>231</v>
      </c>
      <c r="DF228" s="240" t="s">
        <v>231</v>
      </c>
      <c r="DG228" s="240" t="s">
        <v>231</v>
      </c>
      <c r="DH228" s="240" t="s">
        <v>231</v>
      </c>
      <c r="DI228" s="240" t="s">
        <v>231</v>
      </c>
      <c r="DJ228" s="240" t="s">
        <v>231</v>
      </c>
      <c r="DK228" s="240" t="s">
        <v>231</v>
      </c>
      <c r="DL228" s="240" t="s">
        <v>231</v>
      </c>
      <c r="DM228" s="240" t="s">
        <v>231</v>
      </c>
      <c r="DN228" s="240" t="s">
        <v>231</v>
      </c>
      <c r="DO228" s="240" t="s">
        <v>231</v>
      </c>
      <c r="DP228" s="240" t="s">
        <v>231</v>
      </c>
      <c r="DQ228" s="240" t="s">
        <v>231</v>
      </c>
      <c r="DR228" s="240" t="s">
        <v>231</v>
      </c>
      <c r="DS228" s="240" t="s">
        <v>231</v>
      </c>
      <c r="DT228" s="240" t="s">
        <v>492</v>
      </c>
      <c r="DU228" s="240" t="s">
        <v>231</v>
      </c>
      <c r="DV228" s="240" t="s">
        <v>231</v>
      </c>
      <c r="DW228" s="240" t="s">
        <v>231</v>
      </c>
      <c r="DX228" s="240" t="s">
        <v>231</v>
      </c>
      <c r="DY228" s="240" t="s">
        <v>231</v>
      </c>
      <c r="DZ228" s="240" t="s">
        <v>231</v>
      </c>
      <c r="EA228" s="240" t="s">
        <v>231</v>
      </c>
      <c r="EB228" s="240" t="s">
        <v>231</v>
      </c>
      <c r="EC228" s="240" t="s">
        <v>231</v>
      </c>
      <c r="ED228" s="240" t="s">
        <v>231</v>
      </c>
      <c r="EE228" s="240" t="s">
        <v>231</v>
      </c>
      <c r="EF228" s="240" t="s">
        <v>231</v>
      </c>
      <c r="EG228" s="240" t="s">
        <v>231</v>
      </c>
      <c r="EH228" s="240" t="s">
        <v>492</v>
      </c>
      <c r="EI228" s="240" t="s">
        <v>231</v>
      </c>
      <c r="EJ228" s="240" t="s">
        <v>231</v>
      </c>
      <c r="EK228" s="240" t="s">
        <v>231</v>
      </c>
      <c r="EL228" s="240" t="s">
        <v>231</v>
      </c>
      <c r="EM228" s="240" t="s">
        <v>231</v>
      </c>
      <c r="EN228" s="240" t="s">
        <v>231</v>
      </c>
      <c r="EO228" s="240" t="s">
        <v>231</v>
      </c>
      <c r="EP228" s="240" t="s">
        <v>231</v>
      </c>
      <c r="EQ228" s="240" t="s">
        <v>492</v>
      </c>
      <c r="ER228" s="240" t="s">
        <v>231</v>
      </c>
      <c r="ES228" s="240" t="s">
        <v>231</v>
      </c>
      <c r="ET228" s="240" t="s">
        <v>231</v>
      </c>
      <c r="EU228" s="240" t="s">
        <v>231</v>
      </c>
      <c r="EV228" s="240" t="s">
        <v>231</v>
      </c>
      <c r="EW228" s="240" t="s">
        <v>231</v>
      </c>
      <c r="EX228" s="240" t="s">
        <v>231</v>
      </c>
      <c r="EY228" s="240" t="s">
        <v>231</v>
      </c>
      <c r="EZ228" s="240" t="s">
        <v>231</v>
      </c>
      <c r="FA228" s="240" t="s">
        <v>231</v>
      </c>
      <c r="FB228" s="240" t="s">
        <v>231</v>
      </c>
      <c r="FC228" s="240" t="s">
        <v>231</v>
      </c>
      <c r="FD228" s="240" t="s">
        <v>231</v>
      </c>
      <c r="FE228" s="240" t="s">
        <v>231</v>
      </c>
      <c r="FF228" s="240" t="s">
        <v>492</v>
      </c>
      <c r="FG228" s="240" t="s">
        <v>231</v>
      </c>
      <c r="FH228" s="240" t="s">
        <v>231</v>
      </c>
      <c r="FI228" s="240" t="s">
        <v>231</v>
      </c>
      <c r="FJ228" s="240" t="s">
        <v>231</v>
      </c>
      <c r="FK228" s="240" t="s">
        <v>231</v>
      </c>
      <c r="FL228" s="240" t="s">
        <v>231</v>
      </c>
      <c r="FM228" s="240" t="s">
        <v>231</v>
      </c>
      <c r="FN228" s="240" t="s">
        <v>492</v>
      </c>
      <c r="FO228" s="240" t="s">
        <v>231</v>
      </c>
      <c r="FP228" s="240" t="s">
        <v>231</v>
      </c>
      <c r="FQ228" s="240" t="s">
        <v>231</v>
      </c>
      <c r="FR228" s="240" t="s">
        <v>231</v>
      </c>
      <c r="FS228" s="240" t="s">
        <v>231</v>
      </c>
      <c r="FT228" s="240" t="s">
        <v>231</v>
      </c>
      <c r="FU228" s="240" t="s">
        <v>231</v>
      </c>
      <c r="FV228" s="240" t="s">
        <v>231</v>
      </c>
      <c r="FW228" s="240" t="s">
        <v>231</v>
      </c>
      <c r="FX228" s="240" t="s">
        <v>231</v>
      </c>
      <c r="FY228" s="240" t="s">
        <v>231</v>
      </c>
      <c r="FZ228" s="240" t="s">
        <v>231</v>
      </c>
      <c r="GA228" s="240" t="s">
        <v>231</v>
      </c>
      <c r="GB228" s="240" t="s">
        <v>231</v>
      </c>
      <c r="GC228" s="240" t="s">
        <v>231</v>
      </c>
      <c r="GD228" s="240" t="s">
        <v>231</v>
      </c>
      <c r="GE228" s="240" t="s">
        <v>231</v>
      </c>
      <c r="GF228" s="240" t="s">
        <v>231</v>
      </c>
      <c r="GG228" s="240" t="s">
        <v>231</v>
      </c>
      <c r="GH228" s="240" t="s">
        <v>231</v>
      </c>
      <c r="GI228" s="240" t="s">
        <v>231</v>
      </c>
      <c r="GJ228" s="240" t="s">
        <v>231</v>
      </c>
      <c r="GK228" s="240" t="s">
        <v>231</v>
      </c>
      <c r="GL228" s="240" t="s">
        <v>231</v>
      </c>
      <c r="GM228" s="240" t="s">
        <v>231</v>
      </c>
      <c r="GN228" s="240" t="s">
        <v>231</v>
      </c>
      <c r="GO228" s="240" t="s">
        <v>231</v>
      </c>
      <c r="GP228" s="240" t="s">
        <v>492</v>
      </c>
      <c r="GQ228" s="240" t="s">
        <v>231</v>
      </c>
      <c r="GR228" s="240" t="s">
        <v>231</v>
      </c>
      <c r="GS228" s="240" t="s">
        <v>231</v>
      </c>
      <c r="GT228" s="240" t="s">
        <v>231</v>
      </c>
      <c r="GU228" s="240" t="s">
        <v>231</v>
      </c>
      <c r="GV228" s="240" t="s">
        <v>492</v>
      </c>
      <c r="GW228" s="240" t="s">
        <v>231</v>
      </c>
      <c r="GX228" s="240" t="s">
        <v>231</v>
      </c>
      <c r="GY228" s="240" t="s">
        <v>231</v>
      </c>
      <c r="GZ228" s="240" t="s">
        <v>231</v>
      </c>
      <c r="HA228" s="240" t="s">
        <v>231</v>
      </c>
      <c r="HB228" s="240" t="s">
        <v>231</v>
      </c>
      <c r="HC228" s="240" t="s">
        <v>231</v>
      </c>
      <c r="HD228" s="240" t="s">
        <v>231</v>
      </c>
      <c r="HE228" s="240" t="s">
        <v>492</v>
      </c>
      <c r="HF228" s="240" t="s">
        <v>231</v>
      </c>
      <c r="HG228" s="240" t="s">
        <v>492</v>
      </c>
      <c r="HH228" s="240" t="s">
        <v>231</v>
      </c>
      <c r="HI228" s="240" t="s">
        <v>231</v>
      </c>
      <c r="HJ228" s="240" t="s">
        <v>231</v>
      </c>
      <c r="HK228" s="240" t="s">
        <v>231</v>
      </c>
      <c r="HL228" s="240" t="s">
        <v>231</v>
      </c>
      <c r="HM228" s="240" t="s">
        <v>231</v>
      </c>
      <c r="HN228" s="240" t="s">
        <v>492</v>
      </c>
      <c r="HO228" s="240" t="s">
        <v>231</v>
      </c>
      <c r="HP228" s="240" t="s">
        <v>492</v>
      </c>
      <c r="HQ228" s="240" t="s">
        <v>231</v>
      </c>
      <c r="HR228" s="240" t="s">
        <v>231</v>
      </c>
      <c r="HS228" s="240" t="s">
        <v>231</v>
      </c>
      <c r="HT228" s="240" t="s">
        <v>231</v>
      </c>
      <c r="HU228" s="240" t="s">
        <v>231</v>
      </c>
      <c r="HV228" s="240" t="s">
        <v>231</v>
      </c>
      <c r="HW228" s="240" t="s">
        <v>231</v>
      </c>
      <c r="HX228" s="240" t="s">
        <v>231</v>
      </c>
      <c r="HY228" s="240" t="s">
        <v>231</v>
      </c>
      <c r="HZ228" s="240" t="s">
        <v>231</v>
      </c>
      <c r="IA228" s="240" t="s">
        <v>231</v>
      </c>
      <c r="IB228" s="240" t="s">
        <v>231</v>
      </c>
      <c r="IC228" s="240" t="s">
        <v>231</v>
      </c>
      <c r="ID228" s="240" t="s">
        <v>231</v>
      </c>
      <c r="IE228" s="240" t="s">
        <v>231</v>
      </c>
      <c r="IF228" s="240" t="s">
        <v>231</v>
      </c>
      <c r="IG228" s="240" t="s">
        <v>231</v>
      </c>
      <c r="IH228" s="240" t="s">
        <v>231</v>
      </c>
      <c r="II228" s="240" t="s">
        <v>231</v>
      </c>
      <c r="IJ228" s="240" t="s">
        <v>231</v>
      </c>
      <c r="IK228" s="240" t="s">
        <v>231</v>
      </c>
      <c r="IL228" s="240" t="s">
        <v>231</v>
      </c>
      <c r="IM228" s="240" t="s">
        <v>231</v>
      </c>
      <c r="IN228" s="240" t="s">
        <v>231</v>
      </c>
      <c r="IO228" s="240" t="s">
        <v>220</v>
      </c>
      <c r="IP228" s="240" t="s">
        <v>493</v>
      </c>
      <c r="IQ228" s="240" t="s">
        <v>219</v>
      </c>
      <c r="IR228" s="240" t="s">
        <v>490</v>
      </c>
      <c r="IS228" s="240" t="s">
        <v>492</v>
      </c>
      <c r="IT228" s="240" t="s">
        <v>492</v>
      </c>
    </row>
    <row r="229" spans="1:254" ht="15" x14ac:dyDescent="0.25">
      <c r="A229" s="258" t="str">
        <f>HYPERLINK("http://www.ofsted.gov.uk/inspection-reports/find-inspection-report/provider/ELS/136949 ","Ofsted School Webpage")</f>
        <v>Ofsted School Webpage</v>
      </c>
      <c r="B229" s="237">
        <v>136949</v>
      </c>
      <c r="C229" s="237">
        <v>8556019</v>
      </c>
      <c r="D229" s="237" t="s">
        <v>1052</v>
      </c>
      <c r="E229" s="237" t="s">
        <v>248</v>
      </c>
      <c r="F229" s="237" t="s">
        <v>501</v>
      </c>
      <c r="G229" s="237" t="s">
        <v>572</v>
      </c>
      <c r="H229" s="237" t="s">
        <v>572</v>
      </c>
      <c r="I229" s="237" t="s">
        <v>966</v>
      </c>
      <c r="J229" s="237" t="s">
        <v>1053</v>
      </c>
      <c r="K229" s="237" t="s">
        <v>93</v>
      </c>
      <c r="L229" s="237" t="s">
        <v>93</v>
      </c>
      <c r="M229" s="237" t="s">
        <v>93</v>
      </c>
      <c r="N229" s="237" t="s">
        <v>90</v>
      </c>
      <c r="O229" s="237" t="s">
        <v>486</v>
      </c>
      <c r="P229" s="237" t="s">
        <v>487</v>
      </c>
      <c r="Q229" s="238">
        <v>10053982</v>
      </c>
      <c r="R229" s="239">
        <v>43522</v>
      </c>
      <c r="S229" s="239">
        <v>43524</v>
      </c>
      <c r="T229" s="239">
        <v>43542</v>
      </c>
      <c r="U229" s="237" t="s">
        <v>488</v>
      </c>
      <c r="V229" s="237" t="s">
        <v>489</v>
      </c>
      <c r="W229" s="237">
        <v>1</v>
      </c>
      <c r="X229" s="237">
        <v>1</v>
      </c>
      <c r="Y229" s="237">
        <v>1</v>
      </c>
      <c r="Z229" s="237">
        <v>1</v>
      </c>
      <c r="AA229" s="237">
        <v>1</v>
      </c>
      <c r="AB229" s="237" t="s">
        <v>486</v>
      </c>
      <c r="AC229" s="237" t="s">
        <v>486</v>
      </c>
      <c r="AD229" s="237" t="s">
        <v>219</v>
      </c>
      <c r="AE229" s="237" t="s">
        <v>490</v>
      </c>
      <c r="AF229" s="237" t="s">
        <v>486</v>
      </c>
      <c r="AG229" s="237" t="s">
        <v>486</v>
      </c>
      <c r="AH229" s="237" t="s">
        <v>486</v>
      </c>
      <c r="AI229" s="237" t="s">
        <v>486</v>
      </c>
      <c r="AJ229" s="237" t="s">
        <v>486</v>
      </c>
      <c r="AK229" s="237" t="s">
        <v>486</v>
      </c>
      <c r="AL229" s="237" t="s">
        <v>486</v>
      </c>
      <c r="AM229" s="237" t="s">
        <v>491</v>
      </c>
      <c r="AN229" s="237" t="s">
        <v>231</v>
      </c>
      <c r="AO229" s="237" t="s">
        <v>231</v>
      </c>
      <c r="AP229" s="237" t="s">
        <v>231</v>
      </c>
      <c r="AQ229" s="237" t="s">
        <v>231</v>
      </c>
      <c r="AR229" s="237" t="s">
        <v>231</v>
      </c>
      <c r="AS229" s="237" t="s">
        <v>231</v>
      </c>
      <c r="AT229" s="237" t="s">
        <v>231</v>
      </c>
      <c r="AU229" s="237" t="s">
        <v>231</v>
      </c>
      <c r="AV229" s="237" t="s">
        <v>231</v>
      </c>
      <c r="AW229" s="237" t="s">
        <v>231</v>
      </c>
      <c r="AX229" s="237" t="s">
        <v>231</v>
      </c>
      <c r="AY229" s="237" t="s">
        <v>231</v>
      </c>
      <c r="AZ229" s="237" t="s">
        <v>231</v>
      </c>
      <c r="BA229" s="237" t="s">
        <v>231</v>
      </c>
      <c r="BB229" s="237" t="s">
        <v>231</v>
      </c>
      <c r="BC229" s="237" t="s">
        <v>231</v>
      </c>
      <c r="BD229" s="237" t="s">
        <v>492</v>
      </c>
      <c r="BE229" s="237" t="s">
        <v>231</v>
      </c>
      <c r="BF229" s="237" t="s">
        <v>231</v>
      </c>
      <c r="BG229" s="237" t="s">
        <v>231</v>
      </c>
      <c r="BH229" s="237" t="s">
        <v>492</v>
      </c>
      <c r="BI229" s="237" t="s">
        <v>492</v>
      </c>
      <c r="BJ229" s="237" t="s">
        <v>492</v>
      </c>
      <c r="BK229" s="237" t="s">
        <v>492</v>
      </c>
      <c r="BL229" s="237" t="s">
        <v>492</v>
      </c>
      <c r="BM229" s="237" t="s">
        <v>492</v>
      </c>
      <c r="BN229" s="237" t="s">
        <v>231</v>
      </c>
      <c r="BO229" s="237" t="s">
        <v>231</v>
      </c>
      <c r="BP229" s="237" t="s">
        <v>231</v>
      </c>
      <c r="BQ229" s="237" t="s">
        <v>231</v>
      </c>
      <c r="BR229" s="237" t="s">
        <v>231</v>
      </c>
      <c r="BS229" s="237" t="s">
        <v>231</v>
      </c>
      <c r="BT229" s="237" t="s">
        <v>231</v>
      </c>
      <c r="BU229" s="237" t="s">
        <v>231</v>
      </c>
      <c r="BV229" s="237" t="s">
        <v>231</v>
      </c>
      <c r="BW229" s="237" t="s">
        <v>231</v>
      </c>
      <c r="BX229" s="237" t="s">
        <v>231</v>
      </c>
      <c r="BY229" s="237" t="s">
        <v>231</v>
      </c>
      <c r="BZ229" s="237" t="s">
        <v>231</v>
      </c>
      <c r="CA229" s="237" t="s">
        <v>231</v>
      </c>
      <c r="CB229" s="237" t="s">
        <v>231</v>
      </c>
      <c r="CC229" s="237" t="s">
        <v>231</v>
      </c>
      <c r="CD229" s="237" t="s">
        <v>231</v>
      </c>
      <c r="CE229" s="237" t="s">
        <v>231</v>
      </c>
      <c r="CF229" s="237" t="s">
        <v>231</v>
      </c>
      <c r="CG229" s="237" t="s">
        <v>231</v>
      </c>
      <c r="CH229" s="237" t="s">
        <v>231</v>
      </c>
      <c r="CI229" s="237" t="s">
        <v>231</v>
      </c>
      <c r="CJ229" s="237" t="s">
        <v>231</v>
      </c>
      <c r="CK229" s="237" t="s">
        <v>231</v>
      </c>
      <c r="CL229" s="237" t="s">
        <v>231</v>
      </c>
      <c r="CM229" s="237" t="s">
        <v>231</v>
      </c>
      <c r="CN229" s="237" t="s">
        <v>231</v>
      </c>
      <c r="CO229" s="237" t="s">
        <v>231</v>
      </c>
      <c r="CP229" s="237" t="s">
        <v>231</v>
      </c>
      <c r="CQ229" s="237" t="s">
        <v>231</v>
      </c>
      <c r="CR229" s="237" t="s">
        <v>231</v>
      </c>
      <c r="CS229" s="237" t="s">
        <v>231</v>
      </c>
      <c r="CT229" s="237" t="s">
        <v>492</v>
      </c>
      <c r="CU229" s="237" t="s">
        <v>492</v>
      </c>
      <c r="CV229" s="237" t="s">
        <v>492</v>
      </c>
      <c r="CW229" s="237" t="s">
        <v>231</v>
      </c>
      <c r="CX229" s="237" t="s">
        <v>231</v>
      </c>
      <c r="CY229" s="237" t="s">
        <v>231</v>
      </c>
      <c r="CZ229" s="237" t="s">
        <v>231</v>
      </c>
      <c r="DA229" s="237" t="s">
        <v>231</v>
      </c>
      <c r="DB229" s="237" t="s">
        <v>231</v>
      </c>
      <c r="DC229" s="237" t="s">
        <v>231</v>
      </c>
      <c r="DD229" s="237" t="s">
        <v>231</v>
      </c>
      <c r="DE229" s="237" t="s">
        <v>231</v>
      </c>
      <c r="DF229" s="237" t="s">
        <v>231</v>
      </c>
      <c r="DG229" s="237" t="s">
        <v>231</v>
      </c>
      <c r="DH229" s="237" t="s">
        <v>231</v>
      </c>
      <c r="DI229" s="237" t="s">
        <v>231</v>
      </c>
      <c r="DJ229" s="237" t="s">
        <v>231</v>
      </c>
      <c r="DK229" s="237" t="s">
        <v>231</v>
      </c>
      <c r="DL229" s="237" t="s">
        <v>231</v>
      </c>
      <c r="DM229" s="237" t="s">
        <v>231</v>
      </c>
      <c r="DN229" s="237" t="s">
        <v>231</v>
      </c>
      <c r="DO229" s="237" t="s">
        <v>231</v>
      </c>
      <c r="DP229" s="237" t="s">
        <v>231</v>
      </c>
      <c r="DQ229" s="237" t="s">
        <v>231</v>
      </c>
      <c r="DR229" s="237" t="s">
        <v>231</v>
      </c>
      <c r="DS229" s="237" t="s">
        <v>231</v>
      </c>
      <c r="DT229" s="237" t="s">
        <v>492</v>
      </c>
      <c r="DU229" s="237" t="s">
        <v>231</v>
      </c>
      <c r="DV229" s="237" t="s">
        <v>492</v>
      </c>
      <c r="DW229" s="237" t="s">
        <v>492</v>
      </c>
      <c r="DX229" s="237" t="s">
        <v>492</v>
      </c>
      <c r="DY229" s="237" t="s">
        <v>492</v>
      </c>
      <c r="DZ229" s="237" t="s">
        <v>492</v>
      </c>
      <c r="EA229" s="237" t="s">
        <v>492</v>
      </c>
      <c r="EB229" s="237" t="s">
        <v>492</v>
      </c>
      <c r="EC229" s="237" t="s">
        <v>492</v>
      </c>
      <c r="ED229" s="237" t="s">
        <v>492</v>
      </c>
      <c r="EE229" s="237" t="s">
        <v>492</v>
      </c>
      <c r="EF229" s="237" t="s">
        <v>492</v>
      </c>
      <c r="EG229" s="237" t="s">
        <v>492</v>
      </c>
      <c r="EH229" s="237" t="s">
        <v>492</v>
      </c>
      <c r="EI229" s="237" t="s">
        <v>492</v>
      </c>
      <c r="EJ229" s="237" t="s">
        <v>231</v>
      </c>
      <c r="EK229" s="237" t="s">
        <v>231</v>
      </c>
      <c r="EL229" s="237" t="s">
        <v>231</v>
      </c>
      <c r="EM229" s="237" t="s">
        <v>231</v>
      </c>
      <c r="EN229" s="237" t="s">
        <v>231</v>
      </c>
      <c r="EO229" s="237" t="s">
        <v>231</v>
      </c>
      <c r="EP229" s="237" t="s">
        <v>231</v>
      </c>
      <c r="EQ229" s="237" t="s">
        <v>231</v>
      </c>
      <c r="ER229" s="237" t="s">
        <v>231</v>
      </c>
      <c r="ES229" s="237" t="s">
        <v>231</v>
      </c>
      <c r="ET229" s="237" t="s">
        <v>231</v>
      </c>
      <c r="EU229" s="237" t="s">
        <v>231</v>
      </c>
      <c r="EV229" s="237" t="s">
        <v>231</v>
      </c>
      <c r="EW229" s="237" t="s">
        <v>231</v>
      </c>
      <c r="EX229" s="237" t="s">
        <v>231</v>
      </c>
      <c r="EY229" s="237" t="s">
        <v>231</v>
      </c>
      <c r="EZ229" s="237" t="s">
        <v>231</v>
      </c>
      <c r="FA229" s="237" t="s">
        <v>231</v>
      </c>
      <c r="FB229" s="237" t="s">
        <v>231</v>
      </c>
      <c r="FC229" s="237" t="s">
        <v>231</v>
      </c>
      <c r="FD229" s="237" t="s">
        <v>231</v>
      </c>
      <c r="FE229" s="237" t="s">
        <v>231</v>
      </c>
      <c r="FF229" s="237" t="s">
        <v>492</v>
      </c>
      <c r="FG229" s="237" t="s">
        <v>492</v>
      </c>
      <c r="FH229" s="237" t="s">
        <v>492</v>
      </c>
      <c r="FI229" s="237" t="s">
        <v>492</v>
      </c>
      <c r="FJ229" s="237" t="s">
        <v>492</v>
      </c>
      <c r="FK229" s="237" t="s">
        <v>492</v>
      </c>
      <c r="FL229" s="237" t="s">
        <v>492</v>
      </c>
      <c r="FM229" s="237" t="s">
        <v>231</v>
      </c>
      <c r="FN229" s="237" t="s">
        <v>492</v>
      </c>
      <c r="FO229" s="237" t="s">
        <v>493</v>
      </c>
      <c r="FP229" s="237" t="s">
        <v>492</v>
      </c>
      <c r="FQ229" s="237" t="s">
        <v>231</v>
      </c>
      <c r="FR229" s="237" t="s">
        <v>231</v>
      </c>
      <c r="FS229" s="237" t="s">
        <v>231</v>
      </c>
      <c r="FT229" s="237" t="s">
        <v>492</v>
      </c>
      <c r="FU229" s="237" t="s">
        <v>231</v>
      </c>
      <c r="FV229" s="237" t="s">
        <v>231</v>
      </c>
      <c r="FW229" s="237" t="s">
        <v>231</v>
      </c>
      <c r="FX229" s="237" t="s">
        <v>492</v>
      </c>
      <c r="FY229" s="237" t="s">
        <v>492</v>
      </c>
      <c r="FZ229" s="237" t="s">
        <v>231</v>
      </c>
      <c r="GA229" s="237" t="s">
        <v>231</v>
      </c>
      <c r="GB229" s="237" t="s">
        <v>231</v>
      </c>
      <c r="GC229" s="237" t="s">
        <v>231</v>
      </c>
      <c r="GD229" s="237" t="s">
        <v>231</v>
      </c>
      <c r="GE229" s="237" t="s">
        <v>231</v>
      </c>
      <c r="GF229" s="237" t="s">
        <v>231</v>
      </c>
      <c r="GG229" s="237" t="s">
        <v>231</v>
      </c>
      <c r="GH229" s="237" t="s">
        <v>231</v>
      </c>
      <c r="GI229" s="237" t="s">
        <v>231</v>
      </c>
      <c r="GJ229" s="237" t="s">
        <v>231</v>
      </c>
      <c r="GK229" s="237" t="s">
        <v>231</v>
      </c>
      <c r="GL229" s="237" t="s">
        <v>231</v>
      </c>
      <c r="GM229" s="237" t="s">
        <v>231</v>
      </c>
      <c r="GN229" s="237" t="s">
        <v>231</v>
      </c>
      <c r="GO229" s="237" t="s">
        <v>231</v>
      </c>
      <c r="GP229" s="237" t="s">
        <v>492</v>
      </c>
      <c r="GQ229" s="237" t="s">
        <v>231</v>
      </c>
      <c r="GR229" s="237" t="s">
        <v>231</v>
      </c>
      <c r="GS229" s="237" t="s">
        <v>231</v>
      </c>
      <c r="GT229" s="237" t="s">
        <v>231</v>
      </c>
      <c r="GU229" s="237" t="s">
        <v>231</v>
      </c>
      <c r="GV229" s="237" t="s">
        <v>492</v>
      </c>
      <c r="GW229" s="237" t="s">
        <v>231</v>
      </c>
      <c r="GX229" s="237" t="s">
        <v>231</v>
      </c>
      <c r="GY229" s="237" t="s">
        <v>231</v>
      </c>
      <c r="GZ229" s="237" t="s">
        <v>231</v>
      </c>
      <c r="HA229" s="237" t="s">
        <v>231</v>
      </c>
      <c r="HB229" s="237" t="s">
        <v>231</v>
      </c>
      <c r="HC229" s="237" t="s">
        <v>231</v>
      </c>
      <c r="HD229" s="237" t="s">
        <v>231</v>
      </c>
      <c r="HE229" s="237" t="s">
        <v>231</v>
      </c>
      <c r="HF229" s="237" t="s">
        <v>231</v>
      </c>
      <c r="HG229" s="237" t="s">
        <v>492</v>
      </c>
      <c r="HH229" s="237" t="s">
        <v>231</v>
      </c>
      <c r="HI229" s="237" t="s">
        <v>231</v>
      </c>
      <c r="HJ229" s="237" t="s">
        <v>231</v>
      </c>
      <c r="HK229" s="237" t="s">
        <v>231</v>
      </c>
      <c r="HL229" s="237" t="s">
        <v>231</v>
      </c>
      <c r="HM229" s="237" t="s">
        <v>231</v>
      </c>
      <c r="HN229" s="237" t="s">
        <v>231</v>
      </c>
      <c r="HO229" s="237" t="s">
        <v>231</v>
      </c>
      <c r="HP229" s="237" t="s">
        <v>231</v>
      </c>
      <c r="HQ229" s="237" t="s">
        <v>492</v>
      </c>
      <c r="HR229" s="237" t="s">
        <v>492</v>
      </c>
      <c r="HS229" s="237" t="s">
        <v>492</v>
      </c>
      <c r="HT229" s="237" t="s">
        <v>492</v>
      </c>
      <c r="HU229" s="237" t="s">
        <v>231</v>
      </c>
      <c r="HV229" s="237" t="s">
        <v>231</v>
      </c>
      <c r="HW229" s="237" t="s">
        <v>231</v>
      </c>
      <c r="HX229" s="237" t="s">
        <v>231</v>
      </c>
      <c r="HY229" s="237" t="s">
        <v>231</v>
      </c>
      <c r="HZ229" s="237" t="s">
        <v>231</v>
      </c>
      <c r="IA229" s="237" t="s">
        <v>231</v>
      </c>
      <c r="IB229" s="237" t="s">
        <v>231</v>
      </c>
      <c r="IC229" s="237" t="s">
        <v>231</v>
      </c>
      <c r="ID229" s="237" t="s">
        <v>231</v>
      </c>
      <c r="IE229" s="237" t="s">
        <v>231</v>
      </c>
      <c r="IF229" s="237" t="s">
        <v>231</v>
      </c>
      <c r="IG229" s="237" t="s">
        <v>231</v>
      </c>
      <c r="IH229" s="237" t="s">
        <v>231</v>
      </c>
      <c r="II229" s="237" t="s">
        <v>231</v>
      </c>
      <c r="IJ229" s="237" t="s">
        <v>231</v>
      </c>
      <c r="IK229" s="237" t="s">
        <v>231</v>
      </c>
      <c r="IL229" s="237" t="s">
        <v>231</v>
      </c>
      <c r="IM229" s="237" t="s">
        <v>231</v>
      </c>
      <c r="IN229" s="237" t="s">
        <v>231</v>
      </c>
      <c r="IO229" s="237" t="s">
        <v>220</v>
      </c>
      <c r="IP229" s="237" t="s">
        <v>493</v>
      </c>
      <c r="IQ229" s="237" t="s">
        <v>219</v>
      </c>
      <c r="IR229" s="237" t="s">
        <v>490</v>
      </c>
      <c r="IS229" s="237" t="s">
        <v>492</v>
      </c>
      <c r="IT229" s="237" t="s">
        <v>492</v>
      </c>
    </row>
    <row r="230" spans="1:254" ht="15" x14ac:dyDescent="0.25">
      <c r="A230" s="259" t="str">
        <f>HYPERLINK("http://www.ofsted.gov.uk/inspection-reports/find-inspection-report/provider/ELS/134192 ","Ofsted School Webpage")</f>
        <v>Ofsted School Webpage</v>
      </c>
      <c r="B230" s="240">
        <v>134192</v>
      </c>
      <c r="C230" s="240">
        <v>2136393</v>
      </c>
      <c r="D230" s="240" t="s">
        <v>1054</v>
      </c>
      <c r="E230" s="240" t="s">
        <v>247</v>
      </c>
      <c r="F230" s="240" t="s">
        <v>482</v>
      </c>
      <c r="G230" s="240" t="s">
        <v>506</v>
      </c>
      <c r="H230" s="240" t="s">
        <v>506</v>
      </c>
      <c r="I230" s="240" t="s">
        <v>658</v>
      </c>
      <c r="J230" s="240" t="s">
        <v>1055</v>
      </c>
      <c r="K230" s="240" t="s">
        <v>93</v>
      </c>
      <c r="L230" s="240" t="s">
        <v>93</v>
      </c>
      <c r="M230" s="240" t="s">
        <v>93</v>
      </c>
      <c r="N230" s="240" t="s">
        <v>90</v>
      </c>
      <c r="O230" s="240" t="s">
        <v>486</v>
      </c>
      <c r="P230" s="240" t="s">
        <v>487</v>
      </c>
      <c r="Q230" s="241">
        <v>10067169</v>
      </c>
      <c r="R230" s="242">
        <v>43522</v>
      </c>
      <c r="S230" s="242">
        <v>43524</v>
      </c>
      <c r="T230" s="242">
        <v>43548</v>
      </c>
      <c r="U230" s="240" t="s">
        <v>488</v>
      </c>
      <c r="V230" s="240" t="s">
        <v>489</v>
      </c>
      <c r="W230" s="240">
        <v>1</v>
      </c>
      <c r="X230" s="240">
        <v>1</v>
      </c>
      <c r="Y230" s="240">
        <v>1</v>
      </c>
      <c r="Z230" s="240">
        <v>1</v>
      </c>
      <c r="AA230" s="240">
        <v>1</v>
      </c>
      <c r="AB230" s="240">
        <v>2</v>
      </c>
      <c r="AC230" s="240" t="s">
        <v>486</v>
      </c>
      <c r="AD230" s="240" t="s">
        <v>219</v>
      </c>
      <c r="AE230" s="240" t="s">
        <v>490</v>
      </c>
      <c r="AF230" s="240" t="s">
        <v>486</v>
      </c>
      <c r="AG230" s="240" t="s">
        <v>486</v>
      </c>
      <c r="AH230" s="240" t="s">
        <v>486</v>
      </c>
      <c r="AI230" s="240" t="s">
        <v>486</v>
      </c>
      <c r="AJ230" s="240" t="s">
        <v>486</v>
      </c>
      <c r="AK230" s="240" t="s">
        <v>486</v>
      </c>
      <c r="AL230" s="240" t="s">
        <v>486</v>
      </c>
      <c r="AM230" s="240" t="s">
        <v>491</v>
      </c>
      <c r="AN230" s="240" t="s">
        <v>231</v>
      </c>
      <c r="AO230" s="240" t="s">
        <v>231</v>
      </c>
      <c r="AP230" s="240" t="s">
        <v>231</v>
      </c>
      <c r="AQ230" s="240" t="s">
        <v>231</v>
      </c>
      <c r="AR230" s="240" t="s">
        <v>231</v>
      </c>
      <c r="AS230" s="240" t="s">
        <v>231</v>
      </c>
      <c r="AT230" s="240" t="s">
        <v>231</v>
      </c>
      <c r="AU230" s="240" t="s">
        <v>231</v>
      </c>
      <c r="AV230" s="240" t="s">
        <v>231</v>
      </c>
      <c r="AW230" s="240" t="s">
        <v>231</v>
      </c>
      <c r="AX230" s="240" t="s">
        <v>231</v>
      </c>
      <c r="AY230" s="240" t="s">
        <v>231</v>
      </c>
      <c r="AZ230" s="240" t="s">
        <v>231</v>
      </c>
      <c r="BA230" s="240" t="s">
        <v>231</v>
      </c>
      <c r="BB230" s="240" t="s">
        <v>231</v>
      </c>
      <c r="BC230" s="240" t="s">
        <v>231</v>
      </c>
      <c r="BD230" s="240" t="s">
        <v>231</v>
      </c>
      <c r="BE230" s="240" t="s">
        <v>231</v>
      </c>
      <c r="BF230" s="240" t="s">
        <v>231</v>
      </c>
      <c r="BG230" s="240" t="s">
        <v>231</v>
      </c>
      <c r="BH230" s="240" t="s">
        <v>492</v>
      </c>
      <c r="BI230" s="240" t="s">
        <v>492</v>
      </c>
      <c r="BJ230" s="240" t="s">
        <v>492</v>
      </c>
      <c r="BK230" s="240" t="s">
        <v>492</v>
      </c>
      <c r="BL230" s="240" t="s">
        <v>231</v>
      </c>
      <c r="BM230" s="240" t="s">
        <v>492</v>
      </c>
      <c r="BN230" s="240" t="s">
        <v>231</v>
      </c>
      <c r="BO230" s="240" t="s">
        <v>231</v>
      </c>
      <c r="BP230" s="240" t="s">
        <v>231</v>
      </c>
      <c r="BQ230" s="240" t="s">
        <v>231</v>
      </c>
      <c r="BR230" s="240" t="s">
        <v>231</v>
      </c>
      <c r="BS230" s="240" t="s">
        <v>231</v>
      </c>
      <c r="BT230" s="240" t="s">
        <v>231</v>
      </c>
      <c r="BU230" s="240" t="s">
        <v>231</v>
      </c>
      <c r="BV230" s="240" t="s">
        <v>231</v>
      </c>
      <c r="BW230" s="240" t="s">
        <v>231</v>
      </c>
      <c r="BX230" s="240" t="s">
        <v>231</v>
      </c>
      <c r="BY230" s="240" t="s">
        <v>231</v>
      </c>
      <c r="BZ230" s="240" t="s">
        <v>231</v>
      </c>
      <c r="CA230" s="240" t="s">
        <v>231</v>
      </c>
      <c r="CB230" s="240" t="s">
        <v>231</v>
      </c>
      <c r="CC230" s="240" t="s">
        <v>231</v>
      </c>
      <c r="CD230" s="240" t="s">
        <v>231</v>
      </c>
      <c r="CE230" s="240" t="s">
        <v>231</v>
      </c>
      <c r="CF230" s="240" t="s">
        <v>231</v>
      </c>
      <c r="CG230" s="240" t="s">
        <v>231</v>
      </c>
      <c r="CH230" s="240" t="s">
        <v>231</v>
      </c>
      <c r="CI230" s="240" t="s">
        <v>231</v>
      </c>
      <c r="CJ230" s="240" t="s">
        <v>231</v>
      </c>
      <c r="CK230" s="240" t="s">
        <v>231</v>
      </c>
      <c r="CL230" s="240" t="s">
        <v>231</v>
      </c>
      <c r="CM230" s="240" t="s">
        <v>231</v>
      </c>
      <c r="CN230" s="240" t="s">
        <v>231</v>
      </c>
      <c r="CO230" s="240" t="s">
        <v>231</v>
      </c>
      <c r="CP230" s="240" t="s">
        <v>231</v>
      </c>
      <c r="CQ230" s="240" t="s">
        <v>231</v>
      </c>
      <c r="CR230" s="240" t="s">
        <v>231</v>
      </c>
      <c r="CS230" s="240" t="s">
        <v>231</v>
      </c>
      <c r="CT230" s="240" t="s">
        <v>492</v>
      </c>
      <c r="CU230" s="240" t="s">
        <v>492</v>
      </c>
      <c r="CV230" s="240" t="s">
        <v>492</v>
      </c>
      <c r="CW230" s="240" t="s">
        <v>231</v>
      </c>
      <c r="CX230" s="240" t="s">
        <v>231</v>
      </c>
      <c r="CY230" s="240" t="s">
        <v>231</v>
      </c>
      <c r="CZ230" s="240" t="s">
        <v>231</v>
      </c>
      <c r="DA230" s="240" t="s">
        <v>231</v>
      </c>
      <c r="DB230" s="240" t="s">
        <v>231</v>
      </c>
      <c r="DC230" s="240" t="s">
        <v>231</v>
      </c>
      <c r="DD230" s="240" t="s">
        <v>231</v>
      </c>
      <c r="DE230" s="240" t="s">
        <v>231</v>
      </c>
      <c r="DF230" s="240" t="s">
        <v>231</v>
      </c>
      <c r="DG230" s="240" t="s">
        <v>231</v>
      </c>
      <c r="DH230" s="240" t="s">
        <v>231</v>
      </c>
      <c r="DI230" s="240" t="s">
        <v>231</v>
      </c>
      <c r="DJ230" s="240" t="s">
        <v>231</v>
      </c>
      <c r="DK230" s="240" t="s">
        <v>231</v>
      </c>
      <c r="DL230" s="240" t="s">
        <v>231</v>
      </c>
      <c r="DM230" s="240" t="s">
        <v>231</v>
      </c>
      <c r="DN230" s="240" t="s">
        <v>231</v>
      </c>
      <c r="DO230" s="240" t="s">
        <v>231</v>
      </c>
      <c r="DP230" s="240" t="s">
        <v>231</v>
      </c>
      <c r="DQ230" s="240" t="s">
        <v>231</v>
      </c>
      <c r="DR230" s="240" t="s">
        <v>231</v>
      </c>
      <c r="DS230" s="240" t="s">
        <v>231</v>
      </c>
      <c r="DT230" s="240" t="s">
        <v>492</v>
      </c>
      <c r="DU230" s="240" t="s">
        <v>231</v>
      </c>
      <c r="DV230" s="240" t="s">
        <v>492</v>
      </c>
      <c r="DW230" s="240" t="s">
        <v>492</v>
      </c>
      <c r="DX230" s="240" t="s">
        <v>492</v>
      </c>
      <c r="DY230" s="240" t="s">
        <v>492</v>
      </c>
      <c r="DZ230" s="240" t="s">
        <v>492</v>
      </c>
      <c r="EA230" s="240" t="s">
        <v>492</v>
      </c>
      <c r="EB230" s="240" t="s">
        <v>492</v>
      </c>
      <c r="EC230" s="240" t="s">
        <v>492</v>
      </c>
      <c r="ED230" s="240" t="s">
        <v>492</v>
      </c>
      <c r="EE230" s="240" t="s">
        <v>492</v>
      </c>
      <c r="EF230" s="240" t="s">
        <v>492</v>
      </c>
      <c r="EG230" s="240" t="s">
        <v>492</v>
      </c>
      <c r="EH230" s="240" t="s">
        <v>492</v>
      </c>
      <c r="EI230" s="240" t="s">
        <v>231</v>
      </c>
      <c r="EJ230" s="240" t="s">
        <v>231</v>
      </c>
      <c r="EK230" s="240" t="s">
        <v>231</v>
      </c>
      <c r="EL230" s="240" t="s">
        <v>231</v>
      </c>
      <c r="EM230" s="240" t="s">
        <v>231</v>
      </c>
      <c r="EN230" s="240" t="s">
        <v>231</v>
      </c>
      <c r="EO230" s="240" t="s">
        <v>231</v>
      </c>
      <c r="EP230" s="240" t="s">
        <v>231</v>
      </c>
      <c r="EQ230" s="240" t="s">
        <v>231</v>
      </c>
      <c r="ER230" s="240" t="s">
        <v>231</v>
      </c>
      <c r="ES230" s="240" t="s">
        <v>231</v>
      </c>
      <c r="ET230" s="240" t="s">
        <v>231</v>
      </c>
      <c r="EU230" s="240" t="s">
        <v>231</v>
      </c>
      <c r="EV230" s="240" t="s">
        <v>231</v>
      </c>
      <c r="EW230" s="240" t="s">
        <v>231</v>
      </c>
      <c r="EX230" s="240" t="s">
        <v>231</v>
      </c>
      <c r="EY230" s="240" t="s">
        <v>231</v>
      </c>
      <c r="EZ230" s="240" t="s">
        <v>231</v>
      </c>
      <c r="FA230" s="240" t="s">
        <v>231</v>
      </c>
      <c r="FB230" s="240" t="s">
        <v>231</v>
      </c>
      <c r="FC230" s="240" t="s">
        <v>231</v>
      </c>
      <c r="FD230" s="240" t="s">
        <v>231</v>
      </c>
      <c r="FE230" s="240" t="s">
        <v>231</v>
      </c>
      <c r="FF230" s="240" t="s">
        <v>231</v>
      </c>
      <c r="FG230" s="240" t="s">
        <v>492</v>
      </c>
      <c r="FH230" s="240" t="s">
        <v>492</v>
      </c>
      <c r="FI230" s="240" t="s">
        <v>492</v>
      </c>
      <c r="FJ230" s="240" t="s">
        <v>492</v>
      </c>
      <c r="FK230" s="240" t="s">
        <v>492</v>
      </c>
      <c r="FL230" s="240" t="s">
        <v>492</v>
      </c>
      <c r="FM230" s="240" t="s">
        <v>231</v>
      </c>
      <c r="FN230" s="240" t="s">
        <v>231</v>
      </c>
      <c r="FO230" s="240" t="s">
        <v>231</v>
      </c>
      <c r="FP230" s="240" t="s">
        <v>231</v>
      </c>
      <c r="FQ230" s="240" t="s">
        <v>231</v>
      </c>
      <c r="FR230" s="240" t="s">
        <v>231</v>
      </c>
      <c r="FS230" s="240" t="s">
        <v>231</v>
      </c>
      <c r="FT230" s="240" t="s">
        <v>492</v>
      </c>
      <c r="FU230" s="240" t="s">
        <v>231</v>
      </c>
      <c r="FV230" s="240" t="s">
        <v>231</v>
      </c>
      <c r="FW230" s="240" t="s">
        <v>231</v>
      </c>
      <c r="FX230" s="240" t="s">
        <v>492</v>
      </c>
      <c r="FY230" s="240" t="s">
        <v>231</v>
      </c>
      <c r="FZ230" s="240" t="s">
        <v>231</v>
      </c>
      <c r="GA230" s="240" t="s">
        <v>231</v>
      </c>
      <c r="GB230" s="240" t="s">
        <v>231</v>
      </c>
      <c r="GC230" s="240" t="s">
        <v>231</v>
      </c>
      <c r="GD230" s="240" t="s">
        <v>231</v>
      </c>
      <c r="GE230" s="240" t="s">
        <v>231</v>
      </c>
      <c r="GF230" s="240" t="s">
        <v>231</v>
      </c>
      <c r="GG230" s="240" t="s">
        <v>231</v>
      </c>
      <c r="GH230" s="240" t="s">
        <v>231</v>
      </c>
      <c r="GI230" s="240" t="s">
        <v>231</v>
      </c>
      <c r="GJ230" s="240" t="s">
        <v>231</v>
      </c>
      <c r="GK230" s="240" t="s">
        <v>231</v>
      </c>
      <c r="GL230" s="240" t="s">
        <v>231</v>
      </c>
      <c r="GM230" s="240" t="s">
        <v>231</v>
      </c>
      <c r="GN230" s="240" t="s">
        <v>231</v>
      </c>
      <c r="GO230" s="240" t="s">
        <v>231</v>
      </c>
      <c r="GP230" s="240" t="s">
        <v>492</v>
      </c>
      <c r="GQ230" s="240" t="s">
        <v>231</v>
      </c>
      <c r="GR230" s="240" t="s">
        <v>231</v>
      </c>
      <c r="GS230" s="240" t="s">
        <v>231</v>
      </c>
      <c r="GT230" s="240" t="s">
        <v>231</v>
      </c>
      <c r="GU230" s="240" t="s">
        <v>231</v>
      </c>
      <c r="GV230" s="240" t="s">
        <v>492</v>
      </c>
      <c r="GW230" s="240" t="s">
        <v>231</v>
      </c>
      <c r="GX230" s="240" t="s">
        <v>231</v>
      </c>
      <c r="GY230" s="240" t="s">
        <v>492</v>
      </c>
      <c r="GZ230" s="240" t="s">
        <v>492</v>
      </c>
      <c r="HA230" s="240" t="s">
        <v>492</v>
      </c>
      <c r="HB230" s="240" t="s">
        <v>231</v>
      </c>
      <c r="HC230" s="240" t="s">
        <v>231</v>
      </c>
      <c r="HD230" s="240" t="s">
        <v>231</v>
      </c>
      <c r="HE230" s="240" t="s">
        <v>492</v>
      </c>
      <c r="HF230" s="240" t="s">
        <v>231</v>
      </c>
      <c r="HG230" s="240" t="s">
        <v>492</v>
      </c>
      <c r="HH230" s="240" t="s">
        <v>231</v>
      </c>
      <c r="HI230" s="240" t="s">
        <v>231</v>
      </c>
      <c r="HJ230" s="240" t="s">
        <v>231</v>
      </c>
      <c r="HK230" s="240" t="s">
        <v>231</v>
      </c>
      <c r="HL230" s="240" t="s">
        <v>231</v>
      </c>
      <c r="HM230" s="240" t="s">
        <v>231</v>
      </c>
      <c r="HN230" s="240" t="s">
        <v>231</v>
      </c>
      <c r="HO230" s="240" t="s">
        <v>231</v>
      </c>
      <c r="HP230" s="240" t="s">
        <v>231</v>
      </c>
      <c r="HQ230" s="240" t="s">
        <v>492</v>
      </c>
      <c r="HR230" s="240" t="s">
        <v>492</v>
      </c>
      <c r="HS230" s="240" t="s">
        <v>492</v>
      </c>
      <c r="HT230" s="240" t="s">
        <v>492</v>
      </c>
      <c r="HU230" s="240" t="s">
        <v>231</v>
      </c>
      <c r="HV230" s="240" t="s">
        <v>231</v>
      </c>
      <c r="HW230" s="240" t="s">
        <v>231</v>
      </c>
      <c r="HX230" s="240" t="s">
        <v>231</v>
      </c>
      <c r="HY230" s="240" t="s">
        <v>231</v>
      </c>
      <c r="HZ230" s="240" t="s">
        <v>231</v>
      </c>
      <c r="IA230" s="240" t="s">
        <v>231</v>
      </c>
      <c r="IB230" s="240" t="s">
        <v>231</v>
      </c>
      <c r="IC230" s="240" t="s">
        <v>231</v>
      </c>
      <c r="ID230" s="240" t="s">
        <v>231</v>
      </c>
      <c r="IE230" s="240" t="s">
        <v>231</v>
      </c>
      <c r="IF230" s="240" t="s">
        <v>231</v>
      </c>
      <c r="IG230" s="240" t="s">
        <v>231</v>
      </c>
      <c r="IH230" s="240" t="s">
        <v>231</v>
      </c>
      <c r="II230" s="240" t="s">
        <v>231</v>
      </c>
      <c r="IJ230" s="240" t="s">
        <v>231</v>
      </c>
      <c r="IK230" s="240" t="s">
        <v>231</v>
      </c>
      <c r="IL230" s="240" t="s">
        <v>231</v>
      </c>
      <c r="IM230" s="240" t="s">
        <v>231</v>
      </c>
      <c r="IN230" s="240" t="s">
        <v>231</v>
      </c>
      <c r="IO230" s="240" t="s">
        <v>220</v>
      </c>
      <c r="IP230" s="240" t="s">
        <v>493</v>
      </c>
      <c r="IQ230" s="240" t="s">
        <v>219</v>
      </c>
      <c r="IR230" s="240" t="s">
        <v>490</v>
      </c>
      <c r="IS230" s="240" t="s">
        <v>231</v>
      </c>
      <c r="IT230" s="240" t="s">
        <v>231</v>
      </c>
    </row>
    <row r="231" spans="1:254" ht="15" x14ac:dyDescent="0.25">
      <c r="A231" s="258" t="str">
        <f>HYPERLINK("http://www.ofsted.gov.uk/inspection-reports/find-inspection-report/provider/ELS/141994 ","Ofsted School Webpage")</f>
        <v>Ofsted School Webpage</v>
      </c>
      <c r="B231" s="237">
        <v>141994</v>
      </c>
      <c r="C231" s="237">
        <v>8306043</v>
      </c>
      <c r="D231" s="237" t="s">
        <v>1056</v>
      </c>
      <c r="E231" s="237" t="s">
        <v>248</v>
      </c>
      <c r="F231" s="237" t="s">
        <v>501</v>
      </c>
      <c r="G231" s="237" t="s">
        <v>572</v>
      </c>
      <c r="H231" s="237" t="s">
        <v>572</v>
      </c>
      <c r="I231" s="237" t="s">
        <v>573</v>
      </c>
      <c r="J231" s="237" t="s">
        <v>1057</v>
      </c>
      <c r="K231" s="237" t="s">
        <v>93</v>
      </c>
      <c r="L231" s="237" t="s">
        <v>93</v>
      </c>
      <c r="M231" s="237" t="s">
        <v>93</v>
      </c>
      <c r="N231" s="237" t="s">
        <v>90</v>
      </c>
      <c r="O231" s="237" t="s">
        <v>486</v>
      </c>
      <c r="P231" s="237" t="s">
        <v>487</v>
      </c>
      <c r="Q231" s="238">
        <v>10078671</v>
      </c>
      <c r="R231" s="239">
        <v>43522</v>
      </c>
      <c r="S231" s="239">
        <v>43524</v>
      </c>
      <c r="T231" s="239">
        <v>43549</v>
      </c>
      <c r="U231" s="237" t="s">
        <v>488</v>
      </c>
      <c r="V231" s="237" t="s">
        <v>489</v>
      </c>
      <c r="W231" s="237">
        <v>2</v>
      </c>
      <c r="X231" s="237">
        <v>2</v>
      </c>
      <c r="Y231" s="237">
        <v>2</v>
      </c>
      <c r="Z231" s="237">
        <v>2</v>
      </c>
      <c r="AA231" s="237">
        <v>2</v>
      </c>
      <c r="AB231" s="237" t="s">
        <v>486</v>
      </c>
      <c r="AC231" s="237">
        <v>2</v>
      </c>
      <c r="AD231" s="237" t="s">
        <v>219</v>
      </c>
      <c r="AE231" s="237" t="s">
        <v>490</v>
      </c>
      <c r="AF231" s="237" t="s">
        <v>486</v>
      </c>
      <c r="AG231" s="237" t="s">
        <v>486</v>
      </c>
      <c r="AH231" s="237" t="s">
        <v>486</v>
      </c>
      <c r="AI231" s="237" t="s">
        <v>486</v>
      </c>
      <c r="AJ231" s="237" t="s">
        <v>486</v>
      </c>
      <c r="AK231" s="237" t="s">
        <v>486</v>
      </c>
      <c r="AL231" s="237" t="s">
        <v>486</v>
      </c>
      <c r="AM231" s="237" t="s">
        <v>491</v>
      </c>
      <c r="AN231" s="237" t="s">
        <v>231</v>
      </c>
      <c r="AO231" s="237" t="s">
        <v>231</v>
      </c>
      <c r="AP231" s="237" t="s">
        <v>231</v>
      </c>
      <c r="AQ231" s="237" t="s">
        <v>231</v>
      </c>
      <c r="AR231" s="237" t="s">
        <v>231</v>
      </c>
      <c r="AS231" s="237" t="s">
        <v>231</v>
      </c>
      <c r="AT231" s="237" t="s">
        <v>231</v>
      </c>
      <c r="AU231" s="237" t="s">
        <v>231</v>
      </c>
      <c r="AV231" s="237" t="s">
        <v>231</v>
      </c>
      <c r="AW231" s="237" t="s">
        <v>231</v>
      </c>
      <c r="AX231" s="237" t="s">
        <v>231</v>
      </c>
      <c r="AY231" s="237" t="s">
        <v>231</v>
      </c>
      <c r="AZ231" s="237" t="s">
        <v>231</v>
      </c>
      <c r="BA231" s="237" t="s">
        <v>231</v>
      </c>
      <c r="BB231" s="237" t="s">
        <v>231</v>
      </c>
      <c r="BC231" s="237" t="s">
        <v>231</v>
      </c>
      <c r="BD231" s="237" t="s">
        <v>492</v>
      </c>
      <c r="BE231" s="237" t="s">
        <v>231</v>
      </c>
      <c r="BF231" s="237" t="s">
        <v>231</v>
      </c>
      <c r="BG231" s="237" t="s">
        <v>231</v>
      </c>
      <c r="BH231" s="237" t="s">
        <v>231</v>
      </c>
      <c r="BI231" s="237" t="s">
        <v>231</v>
      </c>
      <c r="BJ231" s="237" t="s">
        <v>231</v>
      </c>
      <c r="BK231" s="237" t="s">
        <v>231</v>
      </c>
      <c r="BL231" s="237" t="s">
        <v>492</v>
      </c>
      <c r="BM231" s="237" t="s">
        <v>231</v>
      </c>
      <c r="BN231" s="237" t="s">
        <v>231</v>
      </c>
      <c r="BO231" s="237" t="s">
        <v>231</v>
      </c>
      <c r="BP231" s="237" t="s">
        <v>231</v>
      </c>
      <c r="BQ231" s="237" t="s">
        <v>231</v>
      </c>
      <c r="BR231" s="237" t="s">
        <v>231</v>
      </c>
      <c r="BS231" s="237" t="s">
        <v>231</v>
      </c>
      <c r="BT231" s="237" t="s">
        <v>231</v>
      </c>
      <c r="BU231" s="237" t="s">
        <v>231</v>
      </c>
      <c r="BV231" s="237" t="s">
        <v>231</v>
      </c>
      <c r="BW231" s="237" t="s">
        <v>231</v>
      </c>
      <c r="BX231" s="237" t="s">
        <v>231</v>
      </c>
      <c r="BY231" s="237" t="s">
        <v>231</v>
      </c>
      <c r="BZ231" s="237" t="s">
        <v>231</v>
      </c>
      <c r="CA231" s="237" t="s">
        <v>231</v>
      </c>
      <c r="CB231" s="237" t="s">
        <v>231</v>
      </c>
      <c r="CC231" s="237" t="s">
        <v>231</v>
      </c>
      <c r="CD231" s="237" t="s">
        <v>231</v>
      </c>
      <c r="CE231" s="237" t="s">
        <v>231</v>
      </c>
      <c r="CF231" s="237" t="s">
        <v>231</v>
      </c>
      <c r="CG231" s="237" t="s">
        <v>231</v>
      </c>
      <c r="CH231" s="237" t="s">
        <v>231</v>
      </c>
      <c r="CI231" s="237" t="s">
        <v>231</v>
      </c>
      <c r="CJ231" s="237" t="s">
        <v>231</v>
      </c>
      <c r="CK231" s="237" t="s">
        <v>231</v>
      </c>
      <c r="CL231" s="237" t="s">
        <v>231</v>
      </c>
      <c r="CM231" s="237" t="s">
        <v>231</v>
      </c>
      <c r="CN231" s="237" t="s">
        <v>231</v>
      </c>
      <c r="CO231" s="237" t="s">
        <v>231</v>
      </c>
      <c r="CP231" s="237" t="s">
        <v>231</v>
      </c>
      <c r="CQ231" s="237" t="s">
        <v>231</v>
      </c>
      <c r="CR231" s="237" t="s">
        <v>231</v>
      </c>
      <c r="CS231" s="237" t="s">
        <v>231</v>
      </c>
      <c r="CT231" s="237" t="s">
        <v>492</v>
      </c>
      <c r="CU231" s="237" t="s">
        <v>492</v>
      </c>
      <c r="CV231" s="237" t="s">
        <v>492</v>
      </c>
      <c r="CW231" s="237" t="s">
        <v>231</v>
      </c>
      <c r="CX231" s="237" t="s">
        <v>231</v>
      </c>
      <c r="CY231" s="237" t="s">
        <v>231</v>
      </c>
      <c r="CZ231" s="237" t="s">
        <v>231</v>
      </c>
      <c r="DA231" s="237" t="s">
        <v>231</v>
      </c>
      <c r="DB231" s="237" t="s">
        <v>231</v>
      </c>
      <c r="DC231" s="237" t="s">
        <v>231</v>
      </c>
      <c r="DD231" s="237" t="s">
        <v>231</v>
      </c>
      <c r="DE231" s="237" t="s">
        <v>231</v>
      </c>
      <c r="DF231" s="237" t="s">
        <v>231</v>
      </c>
      <c r="DG231" s="237" t="s">
        <v>231</v>
      </c>
      <c r="DH231" s="237" t="s">
        <v>231</v>
      </c>
      <c r="DI231" s="237" t="s">
        <v>231</v>
      </c>
      <c r="DJ231" s="237" t="s">
        <v>231</v>
      </c>
      <c r="DK231" s="237" t="s">
        <v>231</v>
      </c>
      <c r="DL231" s="237" t="s">
        <v>231</v>
      </c>
      <c r="DM231" s="237" t="s">
        <v>231</v>
      </c>
      <c r="DN231" s="237" t="s">
        <v>231</v>
      </c>
      <c r="DO231" s="237" t="s">
        <v>231</v>
      </c>
      <c r="DP231" s="237" t="s">
        <v>231</v>
      </c>
      <c r="DQ231" s="237" t="s">
        <v>231</v>
      </c>
      <c r="DR231" s="237" t="s">
        <v>231</v>
      </c>
      <c r="DS231" s="237" t="s">
        <v>231</v>
      </c>
      <c r="DT231" s="237" t="s">
        <v>492</v>
      </c>
      <c r="DU231" s="237" t="s">
        <v>231</v>
      </c>
      <c r="DV231" s="237" t="s">
        <v>492</v>
      </c>
      <c r="DW231" s="237" t="s">
        <v>492</v>
      </c>
      <c r="DX231" s="237" t="s">
        <v>492</v>
      </c>
      <c r="DY231" s="237" t="s">
        <v>492</v>
      </c>
      <c r="DZ231" s="237" t="s">
        <v>492</v>
      </c>
      <c r="EA231" s="237" t="s">
        <v>492</v>
      </c>
      <c r="EB231" s="237" t="s">
        <v>492</v>
      </c>
      <c r="EC231" s="237" t="s">
        <v>492</v>
      </c>
      <c r="ED231" s="237" t="s">
        <v>492</v>
      </c>
      <c r="EE231" s="237" t="s">
        <v>492</v>
      </c>
      <c r="EF231" s="237" t="s">
        <v>492</v>
      </c>
      <c r="EG231" s="237" t="s">
        <v>492</v>
      </c>
      <c r="EH231" s="237" t="s">
        <v>492</v>
      </c>
      <c r="EI231" s="237" t="s">
        <v>492</v>
      </c>
      <c r="EJ231" s="237" t="s">
        <v>231</v>
      </c>
      <c r="EK231" s="237" t="s">
        <v>231</v>
      </c>
      <c r="EL231" s="237" t="s">
        <v>231</v>
      </c>
      <c r="EM231" s="237" t="s">
        <v>231</v>
      </c>
      <c r="EN231" s="237" t="s">
        <v>231</v>
      </c>
      <c r="EO231" s="237" t="s">
        <v>231</v>
      </c>
      <c r="EP231" s="237" t="s">
        <v>231</v>
      </c>
      <c r="EQ231" s="237" t="s">
        <v>231</v>
      </c>
      <c r="ER231" s="237" t="s">
        <v>231</v>
      </c>
      <c r="ES231" s="237" t="s">
        <v>231</v>
      </c>
      <c r="ET231" s="237" t="s">
        <v>231</v>
      </c>
      <c r="EU231" s="237" t="s">
        <v>231</v>
      </c>
      <c r="EV231" s="237" t="s">
        <v>231</v>
      </c>
      <c r="EW231" s="237" t="s">
        <v>231</v>
      </c>
      <c r="EX231" s="237" t="s">
        <v>231</v>
      </c>
      <c r="EY231" s="237" t="s">
        <v>231</v>
      </c>
      <c r="EZ231" s="237" t="s">
        <v>231</v>
      </c>
      <c r="FA231" s="237" t="s">
        <v>231</v>
      </c>
      <c r="FB231" s="237" t="s">
        <v>231</v>
      </c>
      <c r="FC231" s="237" t="s">
        <v>231</v>
      </c>
      <c r="FD231" s="237" t="s">
        <v>231</v>
      </c>
      <c r="FE231" s="237" t="s">
        <v>231</v>
      </c>
      <c r="FF231" s="237" t="s">
        <v>231</v>
      </c>
      <c r="FG231" s="237" t="s">
        <v>492</v>
      </c>
      <c r="FH231" s="237" t="s">
        <v>492</v>
      </c>
      <c r="FI231" s="237" t="s">
        <v>492</v>
      </c>
      <c r="FJ231" s="237" t="s">
        <v>492</v>
      </c>
      <c r="FK231" s="237" t="s">
        <v>492</v>
      </c>
      <c r="FL231" s="237" t="s">
        <v>492</v>
      </c>
      <c r="FM231" s="237" t="s">
        <v>231</v>
      </c>
      <c r="FN231" s="237" t="s">
        <v>492</v>
      </c>
      <c r="FO231" s="237" t="s">
        <v>493</v>
      </c>
      <c r="FP231" s="237" t="s">
        <v>492</v>
      </c>
      <c r="FQ231" s="237" t="s">
        <v>231</v>
      </c>
      <c r="FR231" s="237" t="s">
        <v>231</v>
      </c>
      <c r="FS231" s="237" t="s">
        <v>231</v>
      </c>
      <c r="FT231" s="237" t="s">
        <v>231</v>
      </c>
      <c r="FU231" s="237" t="s">
        <v>231</v>
      </c>
      <c r="FV231" s="237" t="s">
        <v>231</v>
      </c>
      <c r="FW231" s="237" t="s">
        <v>231</v>
      </c>
      <c r="FX231" s="237" t="s">
        <v>492</v>
      </c>
      <c r="FY231" s="237" t="s">
        <v>231</v>
      </c>
      <c r="FZ231" s="237" t="s">
        <v>231</v>
      </c>
      <c r="GA231" s="237" t="s">
        <v>231</v>
      </c>
      <c r="GB231" s="237" t="s">
        <v>231</v>
      </c>
      <c r="GC231" s="237" t="s">
        <v>231</v>
      </c>
      <c r="GD231" s="237" t="s">
        <v>231</v>
      </c>
      <c r="GE231" s="237" t="s">
        <v>231</v>
      </c>
      <c r="GF231" s="237" t="s">
        <v>231</v>
      </c>
      <c r="GG231" s="237" t="s">
        <v>231</v>
      </c>
      <c r="GH231" s="237" t="s">
        <v>231</v>
      </c>
      <c r="GI231" s="237" t="s">
        <v>231</v>
      </c>
      <c r="GJ231" s="237" t="s">
        <v>231</v>
      </c>
      <c r="GK231" s="237" t="s">
        <v>231</v>
      </c>
      <c r="GL231" s="237" t="s">
        <v>231</v>
      </c>
      <c r="GM231" s="237" t="s">
        <v>231</v>
      </c>
      <c r="GN231" s="237" t="s">
        <v>231</v>
      </c>
      <c r="GO231" s="237" t="s">
        <v>231</v>
      </c>
      <c r="GP231" s="237" t="s">
        <v>492</v>
      </c>
      <c r="GQ231" s="237" t="s">
        <v>231</v>
      </c>
      <c r="GR231" s="237" t="s">
        <v>231</v>
      </c>
      <c r="GS231" s="237" t="s">
        <v>231</v>
      </c>
      <c r="GT231" s="237" t="s">
        <v>231</v>
      </c>
      <c r="GU231" s="237" t="s">
        <v>231</v>
      </c>
      <c r="GV231" s="237" t="s">
        <v>492</v>
      </c>
      <c r="GW231" s="237" t="s">
        <v>231</v>
      </c>
      <c r="GX231" s="237" t="s">
        <v>231</v>
      </c>
      <c r="GY231" s="237" t="s">
        <v>231</v>
      </c>
      <c r="GZ231" s="237" t="s">
        <v>231</v>
      </c>
      <c r="HA231" s="237" t="s">
        <v>231</v>
      </c>
      <c r="HB231" s="237" t="s">
        <v>231</v>
      </c>
      <c r="HC231" s="237" t="s">
        <v>231</v>
      </c>
      <c r="HD231" s="237" t="s">
        <v>231</v>
      </c>
      <c r="HE231" s="237" t="s">
        <v>492</v>
      </c>
      <c r="HF231" s="237" t="s">
        <v>231</v>
      </c>
      <c r="HG231" s="237" t="s">
        <v>231</v>
      </c>
      <c r="HH231" s="237" t="s">
        <v>231</v>
      </c>
      <c r="HI231" s="237" t="s">
        <v>231</v>
      </c>
      <c r="HJ231" s="237" t="s">
        <v>231</v>
      </c>
      <c r="HK231" s="237" t="s">
        <v>231</v>
      </c>
      <c r="HL231" s="237" t="s">
        <v>231</v>
      </c>
      <c r="HM231" s="237" t="s">
        <v>231</v>
      </c>
      <c r="HN231" s="237" t="s">
        <v>231</v>
      </c>
      <c r="HO231" s="237" t="s">
        <v>231</v>
      </c>
      <c r="HP231" s="237" t="s">
        <v>231</v>
      </c>
      <c r="HQ231" s="237" t="s">
        <v>492</v>
      </c>
      <c r="HR231" s="237" t="s">
        <v>492</v>
      </c>
      <c r="HS231" s="237" t="s">
        <v>492</v>
      </c>
      <c r="HT231" s="237" t="s">
        <v>492</v>
      </c>
      <c r="HU231" s="237" t="s">
        <v>231</v>
      </c>
      <c r="HV231" s="237" t="s">
        <v>231</v>
      </c>
      <c r="HW231" s="237" t="s">
        <v>231</v>
      </c>
      <c r="HX231" s="237" t="s">
        <v>231</v>
      </c>
      <c r="HY231" s="237" t="s">
        <v>231</v>
      </c>
      <c r="HZ231" s="237" t="s">
        <v>231</v>
      </c>
      <c r="IA231" s="237" t="s">
        <v>231</v>
      </c>
      <c r="IB231" s="237" t="s">
        <v>231</v>
      </c>
      <c r="IC231" s="237" t="s">
        <v>231</v>
      </c>
      <c r="ID231" s="237" t="s">
        <v>231</v>
      </c>
      <c r="IE231" s="237" t="s">
        <v>231</v>
      </c>
      <c r="IF231" s="237" t="s">
        <v>231</v>
      </c>
      <c r="IG231" s="237" t="s">
        <v>231</v>
      </c>
      <c r="IH231" s="237" t="s">
        <v>231</v>
      </c>
      <c r="II231" s="237" t="s">
        <v>231</v>
      </c>
      <c r="IJ231" s="237" t="s">
        <v>231</v>
      </c>
      <c r="IK231" s="237" t="s">
        <v>231</v>
      </c>
      <c r="IL231" s="237" t="s">
        <v>231</v>
      </c>
      <c r="IM231" s="237" t="s">
        <v>231</v>
      </c>
      <c r="IN231" s="237" t="s">
        <v>231</v>
      </c>
      <c r="IO231" s="237" t="s">
        <v>219</v>
      </c>
      <c r="IP231" s="237" t="s">
        <v>219</v>
      </c>
      <c r="IQ231" s="237" t="s">
        <v>219</v>
      </c>
      <c r="IR231" s="237" t="s">
        <v>490</v>
      </c>
      <c r="IS231" s="237" t="s">
        <v>492</v>
      </c>
      <c r="IT231" s="237" t="s">
        <v>492</v>
      </c>
    </row>
    <row r="232" spans="1:254" ht="15" x14ac:dyDescent="0.25">
      <c r="A232" s="259" t="str">
        <f>HYPERLINK("http://www.ofsted.gov.uk/inspection-reports/find-inspection-report/provider/ELS/145574 ","Ofsted School Webpage")</f>
        <v>Ofsted School Webpage</v>
      </c>
      <c r="B232" s="240">
        <v>145574</v>
      </c>
      <c r="C232" s="240">
        <v>8866149</v>
      </c>
      <c r="D232" s="240" t="s">
        <v>1058</v>
      </c>
      <c r="E232" s="240" t="s">
        <v>248</v>
      </c>
      <c r="F232" s="240" t="s">
        <v>501</v>
      </c>
      <c r="G232" s="240" t="s">
        <v>581</v>
      </c>
      <c r="H232" s="240" t="s">
        <v>581</v>
      </c>
      <c r="I232" s="240" t="s">
        <v>694</v>
      </c>
      <c r="J232" s="240" t="s">
        <v>1059</v>
      </c>
      <c r="K232" s="240" t="s">
        <v>93</v>
      </c>
      <c r="L232" s="240" t="s">
        <v>93</v>
      </c>
      <c r="M232" s="240" t="s">
        <v>93</v>
      </c>
      <c r="N232" s="240" t="s">
        <v>90</v>
      </c>
      <c r="O232" s="240" t="s">
        <v>486</v>
      </c>
      <c r="P232" s="240" t="s">
        <v>487</v>
      </c>
      <c r="Q232" s="241">
        <v>10080964</v>
      </c>
      <c r="R232" s="242">
        <v>43522</v>
      </c>
      <c r="S232" s="242">
        <v>43524</v>
      </c>
      <c r="T232" s="242">
        <v>43550</v>
      </c>
      <c r="U232" s="240" t="s">
        <v>499</v>
      </c>
      <c r="V232" s="240" t="s">
        <v>489</v>
      </c>
      <c r="W232" s="240">
        <v>3</v>
      </c>
      <c r="X232" s="240">
        <v>3</v>
      </c>
      <c r="Y232" s="240">
        <v>2</v>
      </c>
      <c r="Z232" s="240">
        <v>3</v>
      </c>
      <c r="AA232" s="240">
        <v>3</v>
      </c>
      <c r="AB232" s="240" t="s">
        <v>486</v>
      </c>
      <c r="AC232" s="240" t="s">
        <v>486</v>
      </c>
      <c r="AD232" s="240" t="s">
        <v>219</v>
      </c>
      <c r="AE232" s="240" t="s">
        <v>490</v>
      </c>
      <c r="AF232" s="240" t="s">
        <v>486</v>
      </c>
      <c r="AG232" s="240" t="s">
        <v>486</v>
      </c>
      <c r="AH232" s="240" t="s">
        <v>486</v>
      </c>
      <c r="AI232" s="240" t="s">
        <v>486</v>
      </c>
      <c r="AJ232" s="240" t="s">
        <v>486</v>
      </c>
      <c r="AK232" s="240" t="s">
        <v>486</v>
      </c>
      <c r="AL232" s="240" t="s">
        <v>486</v>
      </c>
      <c r="AM232" s="240" t="s">
        <v>491</v>
      </c>
      <c r="AN232" s="240" t="s">
        <v>231</v>
      </c>
      <c r="AO232" s="240" t="s">
        <v>231</v>
      </c>
      <c r="AP232" s="240" t="s">
        <v>231</v>
      </c>
      <c r="AQ232" s="240" t="s">
        <v>231</v>
      </c>
      <c r="AR232" s="240" t="s">
        <v>231</v>
      </c>
      <c r="AS232" s="240" t="s">
        <v>231</v>
      </c>
      <c r="AT232" s="240" t="s">
        <v>231</v>
      </c>
      <c r="AU232" s="240" t="s">
        <v>231</v>
      </c>
      <c r="AV232" s="240" t="s">
        <v>231</v>
      </c>
      <c r="AW232" s="240" t="s">
        <v>231</v>
      </c>
      <c r="AX232" s="240" t="s">
        <v>231</v>
      </c>
      <c r="AY232" s="240" t="s">
        <v>231</v>
      </c>
      <c r="AZ232" s="240" t="s">
        <v>231</v>
      </c>
      <c r="BA232" s="240" t="s">
        <v>231</v>
      </c>
      <c r="BB232" s="240" t="s">
        <v>231</v>
      </c>
      <c r="BC232" s="240" t="s">
        <v>231</v>
      </c>
      <c r="BD232" s="240" t="s">
        <v>492</v>
      </c>
      <c r="BE232" s="240" t="s">
        <v>231</v>
      </c>
      <c r="BF232" s="240" t="s">
        <v>231</v>
      </c>
      <c r="BG232" s="240" t="s">
        <v>231</v>
      </c>
      <c r="BH232" s="240" t="s">
        <v>231</v>
      </c>
      <c r="BI232" s="240" t="s">
        <v>231</v>
      </c>
      <c r="BJ232" s="240" t="s">
        <v>231</v>
      </c>
      <c r="BK232" s="240" t="s">
        <v>231</v>
      </c>
      <c r="BL232" s="240" t="s">
        <v>492</v>
      </c>
      <c r="BM232" s="240" t="s">
        <v>492</v>
      </c>
      <c r="BN232" s="240" t="s">
        <v>231</v>
      </c>
      <c r="BO232" s="240" t="s">
        <v>231</v>
      </c>
      <c r="BP232" s="240" t="s">
        <v>231</v>
      </c>
      <c r="BQ232" s="240" t="s">
        <v>231</v>
      </c>
      <c r="BR232" s="240" t="s">
        <v>231</v>
      </c>
      <c r="BS232" s="240" t="s">
        <v>231</v>
      </c>
      <c r="BT232" s="240" t="s">
        <v>231</v>
      </c>
      <c r="BU232" s="240" t="s">
        <v>231</v>
      </c>
      <c r="BV232" s="240" t="s">
        <v>231</v>
      </c>
      <c r="BW232" s="240" t="s">
        <v>231</v>
      </c>
      <c r="BX232" s="240" t="s">
        <v>231</v>
      </c>
      <c r="BY232" s="240" t="s">
        <v>231</v>
      </c>
      <c r="BZ232" s="240" t="s">
        <v>231</v>
      </c>
      <c r="CA232" s="240" t="s">
        <v>231</v>
      </c>
      <c r="CB232" s="240" t="s">
        <v>231</v>
      </c>
      <c r="CC232" s="240" t="s">
        <v>231</v>
      </c>
      <c r="CD232" s="240" t="s">
        <v>231</v>
      </c>
      <c r="CE232" s="240" t="s">
        <v>231</v>
      </c>
      <c r="CF232" s="240" t="s">
        <v>231</v>
      </c>
      <c r="CG232" s="240" t="s">
        <v>231</v>
      </c>
      <c r="CH232" s="240" t="s">
        <v>231</v>
      </c>
      <c r="CI232" s="240" t="s">
        <v>231</v>
      </c>
      <c r="CJ232" s="240" t="s">
        <v>231</v>
      </c>
      <c r="CK232" s="240" t="s">
        <v>231</v>
      </c>
      <c r="CL232" s="240" t="s">
        <v>231</v>
      </c>
      <c r="CM232" s="240" t="s">
        <v>231</v>
      </c>
      <c r="CN232" s="240" t="s">
        <v>231</v>
      </c>
      <c r="CO232" s="240" t="s">
        <v>231</v>
      </c>
      <c r="CP232" s="240" t="s">
        <v>231</v>
      </c>
      <c r="CQ232" s="240" t="s">
        <v>231</v>
      </c>
      <c r="CR232" s="240" t="s">
        <v>231</v>
      </c>
      <c r="CS232" s="240" t="s">
        <v>231</v>
      </c>
      <c r="CT232" s="240" t="s">
        <v>231</v>
      </c>
      <c r="CU232" s="240" t="s">
        <v>231</v>
      </c>
      <c r="CV232" s="240" t="s">
        <v>492</v>
      </c>
      <c r="CW232" s="240" t="s">
        <v>231</v>
      </c>
      <c r="CX232" s="240" t="s">
        <v>231</v>
      </c>
      <c r="CY232" s="240" t="s">
        <v>231</v>
      </c>
      <c r="CZ232" s="240" t="s">
        <v>231</v>
      </c>
      <c r="DA232" s="240" t="s">
        <v>231</v>
      </c>
      <c r="DB232" s="240" t="s">
        <v>231</v>
      </c>
      <c r="DC232" s="240" t="s">
        <v>231</v>
      </c>
      <c r="DD232" s="240" t="s">
        <v>231</v>
      </c>
      <c r="DE232" s="240" t="s">
        <v>231</v>
      </c>
      <c r="DF232" s="240" t="s">
        <v>231</v>
      </c>
      <c r="DG232" s="240" t="s">
        <v>231</v>
      </c>
      <c r="DH232" s="240" t="s">
        <v>231</v>
      </c>
      <c r="DI232" s="240" t="s">
        <v>231</v>
      </c>
      <c r="DJ232" s="240" t="s">
        <v>231</v>
      </c>
      <c r="DK232" s="240" t="s">
        <v>231</v>
      </c>
      <c r="DL232" s="240" t="s">
        <v>231</v>
      </c>
      <c r="DM232" s="240" t="s">
        <v>231</v>
      </c>
      <c r="DN232" s="240" t="s">
        <v>231</v>
      </c>
      <c r="DO232" s="240" t="s">
        <v>231</v>
      </c>
      <c r="DP232" s="240" t="s">
        <v>231</v>
      </c>
      <c r="DQ232" s="240" t="s">
        <v>231</v>
      </c>
      <c r="DR232" s="240" t="s">
        <v>231</v>
      </c>
      <c r="DS232" s="240" t="s">
        <v>231</v>
      </c>
      <c r="DT232" s="240" t="s">
        <v>492</v>
      </c>
      <c r="DU232" s="240" t="s">
        <v>231</v>
      </c>
      <c r="DV232" s="240" t="s">
        <v>492</v>
      </c>
      <c r="DW232" s="240" t="s">
        <v>492</v>
      </c>
      <c r="DX232" s="240" t="s">
        <v>492</v>
      </c>
      <c r="DY232" s="240" t="s">
        <v>492</v>
      </c>
      <c r="DZ232" s="240" t="s">
        <v>492</v>
      </c>
      <c r="EA232" s="240" t="s">
        <v>492</v>
      </c>
      <c r="EB232" s="240" t="s">
        <v>492</v>
      </c>
      <c r="EC232" s="240" t="s">
        <v>492</v>
      </c>
      <c r="ED232" s="240" t="s">
        <v>492</v>
      </c>
      <c r="EE232" s="240" t="s">
        <v>492</v>
      </c>
      <c r="EF232" s="240" t="s">
        <v>492</v>
      </c>
      <c r="EG232" s="240" t="s">
        <v>492</v>
      </c>
      <c r="EH232" s="240" t="s">
        <v>492</v>
      </c>
      <c r="EI232" s="240" t="s">
        <v>492</v>
      </c>
      <c r="EJ232" s="240" t="s">
        <v>231</v>
      </c>
      <c r="EK232" s="240" t="s">
        <v>231</v>
      </c>
      <c r="EL232" s="240" t="s">
        <v>231</v>
      </c>
      <c r="EM232" s="240" t="s">
        <v>231</v>
      </c>
      <c r="EN232" s="240" t="s">
        <v>231</v>
      </c>
      <c r="EO232" s="240" t="s">
        <v>231</v>
      </c>
      <c r="EP232" s="240" t="s">
        <v>231</v>
      </c>
      <c r="EQ232" s="240" t="s">
        <v>492</v>
      </c>
      <c r="ER232" s="240" t="s">
        <v>231</v>
      </c>
      <c r="ES232" s="240" t="s">
        <v>231</v>
      </c>
      <c r="ET232" s="240" t="s">
        <v>231</v>
      </c>
      <c r="EU232" s="240" t="s">
        <v>231</v>
      </c>
      <c r="EV232" s="240" t="s">
        <v>231</v>
      </c>
      <c r="EW232" s="240" t="s">
        <v>231</v>
      </c>
      <c r="EX232" s="240" t="s">
        <v>231</v>
      </c>
      <c r="EY232" s="240" t="s">
        <v>231</v>
      </c>
      <c r="EZ232" s="240" t="s">
        <v>231</v>
      </c>
      <c r="FA232" s="240" t="s">
        <v>231</v>
      </c>
      <c r="FB232" s="240" t="s">
        <v>231</v>
      </c>
      <c r="FC232" s="240" t="s">
        <v>231</v>
      </c>
      <c r="FD232" s="240" t="s">
        <v>231</v>
      </c>
      <c r="FE232" s="240" t="s">
        <v>231</v>
      </c>
      <c r="FF232" s="240" t="s">
        <v>231</v>
      </c>
      <c r="FG232" s="240" t="s">
        <v>492</v>
      </c>
      <c r="FH232" s="240" t="s">
        <v>492</v>
      </c>
      <c r="FI232" s="240" t="s">
        <v>492</v>
      </c>
      <c r="FJ232" s="240" t="s">
        <v>492</v>
      </c>
      <c r="FK232" s="240" t="s">
        <v>492</v>
      </c>
      <c r="FL232" s="240" t="s">
        <v>492</v>
      </c>
      <c r="FM232" s="240" t="s">
        <v>492</v>
      </c>
      <c r="FN232" s="240" t="s">
        <v>492</v>
      </c>
      <c r="FO232" s="240" t="s">
        <v>493</v>
      </c>
      <c r="FP232" s="240" t="s">
        <v>492</v>
      </c>
      <c r="FQ232" s="240" t="s">
        <v>231</v>
      </c>
      <c r="FR232" s="240" t="s">
        <v>231</v>
      </c>
      <c r="FS232" s="240" t="s">
        <v>231</v>
      </c>
      <c r="FT232" s="240" t="s">
        <v>231</v>
      </c>
      <c r="FU232" s="240" t="s">
        <v>231</v>
      </c>
      <c r="FV232" s="240" t="s">
        <v>231</v>
      </c>
      <c r="FW232" s="240" t="s">
        <v>231</v>
      </c>
      <c r="FX232" s="240" t="s">
        <v>492</v>
      </c>
      <c r="FY232" s="240" t="s">
        <v>231</v>
      </c>
      <c r="FZ232" s="240" t="s">
        <v>231</v>
      </c>
      <c r="GA232" s="240" t="s">
        <v>231</v>
      </c>
      <c r="GB232" s="240" t="s">
        <v>231</v>
      </c>
      <c r="GC232" s="240" t="s">
        <v>231</v>
      </c>
      <c r="GD232" s="240" t="s">
        <v>231</v>
      </c>
      <c r="GE232" s="240" t="s">
        <v>231</v>
      </c>
      <c r="GF232" s="240" t="s">
        <v>231</v>
      </c>
      <c r="GG232" s="240" t="s">
        <v>231</v>
      </c>
      <c r="GH232" s="240" t="s">
        <v>231</v>
      </c>
      <c r="GI232" s="240" t="s">
        <v>231</v>
      </c>
      <c r="GJ232" s="240" t="s">
        <v>231</v>
      </c>
      <c r="GK232" s="240" t="s">
        <v>231</v>
      </c>
      <c r="GL232" s="240" t="s">
        <v>231</v>
      </c>
      <c r="GM232" s="240" t="s">
        <v>231</v>
      </c>
      <c r="GN232" s="240" t="s">
        <v>231</v>
      </c>
      <c r="GO232" s="240" t="s">
        <v>231</v>
      </c>
      <c r="GP232" s="240" t="s">
        <v>492</v>
      </c>
      <c r="GQ232" s="240" t="s">
        <v>231</v>
      </c>
      <c r="GR232" s="240" t="s">
        <v>231</v>
      </c>
      <c r="GS232" s="240" t="s">
        <v>231</v>
      </c>
      <c r="GT232" s="240" t="s">
        <v>231</v>
      </c>
      <c r="GU232" s="240" t="s">
        <v>492</v>
      </c>
      <c r="GV232" s="240" t="s">
        <v>492</v>
      </c>
      <c r="GW232" s="240" t="s">
        <v>231</v>
      </c>
      <c r="GX232" s="240" t="s">
        <v>231</v>
      </c>
      <c r="GY232" s="240" t="s">
        <v>231</v>
      </c>
      <c r="GZ232" s="240" t="s">
        <v>231</v>
      </c>
      <c r="HA232" s="240" t="s">
        <v>231</v>
      </c>
      <c r="HB232" s="240" t="s">
        <v>231</v>
      </c>
      <c r="HC232" s="240" t="s">
        <v>231</v>
      </c>
      <c r="HD232" s="240" t="s">
        <v>231</v>
      </c>
      <c r="HE232" s="240" t="s">
        <v>492</v>
      </c>
      <c r="HF232" s="240" t="s">
        <v>231</v>
      </c>
      <c r="HG232" s="240" t="s">
        <v>492</v>
      </c>
      <c r="HH232" s="240" t="s">
        <v>231</v>
      </c>
      <c r="HI232" s="240" t="s">
        <v>231</v>
      </c>
      <c r="HJ232" s="240" t="s">
        <v>231</v>
      </c>
      <c r="HK232" s="240" t="s">
        <v>231</v>
      </c>
      <c r="HL232" s="240" t="s">
        <v>231</v>
      </c>
      <c r="HM232" s="240" t="s">
        <v>231</v>
      </c>
      <c r="HN232" s="240" t="s">
        <v>492</v>
      </c>
      <c r="HO232" s="240" t="s">
        <v>231</v>
      </c>
      <c r="HP232" s="240" t="s">
        <v>492</v>
      </c>
      <c r="HQ232" s="240" t="s">
        <v>492</v>
      </c>
      <c r="HR232" s="240" t="s">
        <v>492</v>
      </c>
      <c r="HS232" s="240" t="s">
        <v>492</v>
      </c>
      <c r="HT232" s="240" t="s">
        <v>492</v>
      </c>
      <c r="HU232" s="240" t="s">
        <v>231</v>
      </c>
      <c r="HV232" s="240" t="s">
        <v>231</v>
      </c>
      <c r="HW232" s="240" t="s">
        <v>231</v>
      </c>
      <c r="HX232" s="240" t="s">
        <v>231</v>
      </c>
      <c r="HY232" s="240" t="s">
        <v>231</v>
      </c>
      <c r="HZ232" s="240" t="s">
        <v>231</v>
      </c>
      <c r="IA232" s="240" t="s">
        <v>231</v>
      </c>
      <c r="IB232" s="240" t="s">
        <v>231</v>
      </c>
      <c r="IC232" s="240" t="s">
        <v>231</v>
      </c>
      <c r="ID232" s="240" t="s">
        <v>231</v>
      </c>
      <c r="IE232" s="240" t="s">
        <v>231</v>
      </c>
      <c r="IF232" s="240" t="s">
        <v>231</v>
      </c>
      <c r="IG232" s="240" t="s">
        <v>231</v>
      </c>
      <c r="IH232" s="240" t="s">
        <v>231</v>
      </c>
      <c r="II232" s="240" t="s">
        <v>231</v>
      </c>
      <c r="IJ232" s="240" t="s">
        <v>231</v>
      </c>
      <c r="IK232" s="240" t="s">
        <v>231</v>
      </c>
      <c r="IL232" s="240" t="s">
        <v>231</v>
      </c>
      <c r="IM232" s="240" t="s">
        <v>231</v>
      </c>
      <c r="IN232" s="240" t="s">
        <v>231</v>
      </c>
      <c r="IO232" s="240" t="s">
        <v>486</v>
      </c>
      <c r="IP232" s="240" t="s">
        <v>486</v>
      </c>
      <c r="IQ232" s="240" t="s">
        <v>486</v>
      </c>
      <c r="IR232" s="240" t="s">
        <v>490</v>
      </c>
      <c r="IS232" s="240" t="s">
        <v>231</v>
      </c>
      <c r="IT232" s="240" t="s">
        <v>231</v>
      </c>
    </row>
    <row r="233" spans="1:254" ht="14.45" customHeight="1" x14ac:dyDescent="0.25">
      <c r="A233" s="258" t="str">
        <f>HYPERLINK("http://www.ofsted.gov.uk/inspection-reports/find-inspection-report/provider/ELS/142332 ","Ofsted School Webpage")</f>
        <v>Ofsted School Webpage</v>
      </c>
      <c r="B233" s="237">
        <v>142332</v>
      </c>
      <c r="C233" s="237">
        <v>8966002</v>
      </c>
      <c r="D233" s="237" t="s">
        <v>1060</v>
      </c>
      <c r="E233" s="237" t="s">
        <v>247</v>
      </c>
      <c r="F233" s="237" t="s">
        <v>482</v>
      </c>
      <c r="G233" s="237" t="s">
        <v>495</v>
      </c>
      <c r="H233" s="237" t="s">
        <v>495</v>
      </c>
      <c r="I233" s="237" t="s">
        <v>1061</v>
      </c>
      <c r="J233" s="237" t="s">
        <v>1062</v>
      </c>
      <c r="K233" s="237" t="s">
        <v>93</v>
      </c>
      <c r="L233" s="237" t="s">
        <v>93</v>
      </c>
      <c r="M233" s="237" t="s">
        <v>93</v>
      </c>
      <c r="N233" s="237" t="s">
        <v>90</v>
      </c>
      <c r="O233" s="237" t="s">
        <v>486</v>
      </c>
      <c r="P233" s="237" t="s">
        <v>487</v>
      </c>
      <c r="Q233" s="238">
        <v>10067925</v>
      </c>
      <c r="R233" s="239">
        <v>43522</v>
      </c>
      <c r="S233" s="239">
        <v>43524</v>
      </c>
      <c r="T233" s="239">
        <v>43550</v>
      </c>
      <c r="U233" s="237" t="s">
        <v>488</v>
      </c>
      <c r="V233" s="237" t="s">
        <v>489</v>
      </c>
      <c r="W233" s="237">
        <v>2</v>
      </c>
      <c r="X233" s="237">
        <v>2</v>
      </c>
      <c r="Y233" s="237">
        <v>2</v>
      </c>
      <c r="Z233" s="237">
        <v>2</v>
      </c>
      <c r="AA233" s="237">
        <v>2</v>
      </c>
      <c r="AB233" s="237" t="s">
        <v>486</v>
      </c>
      <c r="AC233" s="237" t="s">
        <v>486</v>
      </c>
      <c r="AD233" s="237" t="s">
        <v>219</v>
      </c>
      <c r="AE233" s="237" t="s">
        <v>490</v>
      </c>
      <c r="AF233" s="237" t="s">
        <v>486</v>
      </c>
      <c r="AG233" s="237" t="s">
        <v>486</v>
      </c>
      <c r="AH233" s="237" t="s">
        <v>486</v>
      </c>
      <c r="AI233" s="237" t="s">
        <v>486</v>
      </c>
      <c r="AJ233" s="237" t="s">
        <v>486</v>
      </c>
      <c r="AK233" s="237" t="s">
        <v>486</v>
      </c>
      <c r="AL233" s="237" t="s">
        <v>486</v>
      </c>
      <c r="AM233" s="237" t="s">
        <v>491</v>
      </c>
      <c r="AN233" s="237" t="s">
        <v>231</v>
      </c>
      <c r="AO233" s="237" t="s">
        <v>231</v>
      </c>
      <c r="AP233" s="237" t="s">
        <v>231</v>
      </c>
      <c r="AQ233" s="237" t="s">
        <v>231</v>
      </c>
      <c r="AR233" s="237" t="s">
        <v>231</v>
      </c>
      <c r="AS233" s="237" t="s">
        <v>231</v>
      </c>
      <c r="AT233" s="237" t="s">
        <v>231</v>
      </c>
      <c r="AU233" s="237" t="s">
        <v>231</v>
      </c>
      <c r="AV233" s="237" t="s">
        <v>231</v>
      </c>
      <c r="AW233" s="237" t="s">
        <v>231</v>
      </c>
      <c r="AX233" s="237" t="s">
        <v>231</v>
      </c>
      <c r="AY233" s="237" t="s">
        <v>231</v>
      </c>
      <c r="AZ233" s="237" t="s">
        <v>231</v>
      </c>
      <c r="BA233" s="237" t="s">
        <v>231</v>
      </c>
      <c r="BB233" s="237" t="s">
        <v>231</v>
      </c>
      <c r="BC233" s="237" t="s">
        <v>231</v>
      </c>
      <c r="BD233" s="237" t="s">
        <v>492</v>
      </c>
      <c r="BE233" s="237" t="s">
        <v>231</v>
      </c>
      <c r="BF233" s="237" t="s">
        <v>231</v>
      </c>
      <c r="BG233" s="237" t="s">
        <v>231</v>
      </c>
      <c r="BH233" s="237" t="s">
        <v>231</v>
      </c>
      <c r="BI233" s="237" t="s">
        <v>231</v>
      </c>
      <c r="BJ233" s="237" t="s">
        <v>231</v>
      </c>
      <c r="BK233" s="237" t="s">
        <v>231</v>
      </c>
      <c r="BL233" s="237" t="s">
        <v>492</v>
      </c>
      <c r="BM233" s="237" t="s">
        <v>492</v>
      </c>
      <c r="BN233" s="237" t="s">
        <v>231</v>
      </c>
      <c r="BO233" s="237" t="s">
        <v>231</v>
      </c>
      <c r="BP233" s="237" t="s">
        <v>231</v>
      </c>
      <c r="BQ233" s="237" t="s">
        <v>231</v>
      </c>
      <c r="BR233" s="237" t="s">
        <v>231</v>
      </c>
      <c r="BS233" s="237" t="s">
        <v>231</v>
      </c>
      <c r="BT233" s="237" t="s">
        <v>231</v>
      </c>
      <c r="BU233" s="237" t="s">
        <v>231</v>
      </c>
      <c r="BV233" s="237" t="s">
        <v>231</v>
      </c>
      <c r="BW233" s="237" t="s">
        <v>231</v>
      </c>
      <c r="BX233" s="237" t="s">
        <v>231</v>
      </c>
      <c r="BY233" s="237" t="s">
        <v>231</v>
      </c>
      <c r="BZ233" s="237" t="s">
        <v>231</v>
      </c>
      <c r="CA233" s="237" t="s">
        <v>231</v>
      </c>
      <c r="CB233" s="237" t="s">
        <v>231</v>
      </c>
      <c r="CC233" s="237" t="s">
        <v>231</v>
      </c>
      <c r="CD233" s="237" t="s">
        <v>231</v>
      </c>
      <c r="CE233" s="237" t="s">
        <v>231</v>
      </c>
      <c r="CF233" s="237" t="s">
        <v>231</v>
      </c>
      <c r="CG233" s="237" t="s">
        <v>231</v>
      </c>
      <c r="CH233" s="237" t="s">
        <v>231</v>
      </c>
      <c r="CI233" s="237" t="s">
        <v>231</v>
      </c>
      <c r="CJ233" s="237" t="s">
        <v>231</v>
      </c>
      <c r="CK233" s="237" t="s">
        <v>231</v>
      </c>
      <c r="CL233" s="237" t="s">
        <v>231</v>
      </c>
      <c r="CM233" s="237" t="s">
        <v>231</v>
      </c>
      <c r="CN233" s="237" t="s">
        <v>231</v>
      </c>
      <c r="CO233" s="237" t="s">
        <v>231</v>
      </c>
      <c r="CP233" s="237" t="s">
        <v>231</v>
      </c>
      <c r="CQ233" s="237" t="s">
        <v>231</v>
      </c>
      <c r="CR233" s="237" t="s">
        <v>231</v>
      </c>
      <c r="CS233" s="237" t="s">
        <v>231</v>
      </c>
      <c r="CT233" s="237" t="s">
        <v>492</v>
      </c>
      <c r="CU233" s="237" t="s">
        <v>492</v>
      </c>
      <c r="CV233" s="237" t="s">
        <v>492</v>
      </c>
      <c r="CW233" s="237" t="s">
        <v>231</v>
      </c>
      <c r="CX233" s="237" t="s">
        <v>231</v>
      </c>
      <c r="CY233" s="237" t="s">
        <v>231</v>
      </c>
      <c r="CZ233" s="237" t="s">
        <v>231</v>
      </c>
      <c r="DA233" s="237" t="s">
        <v>231</v>
      </c>
      <c r="DB233" s="237" t="s">
        <v>231</v>
      </c>
      <c r="DC233" s="237" t="s">
        <v>231</v>
      </c>
      <c r="DD233" s="237" t="s">
        <v>231</v>
      </c>
      <c r="DE233" s="237" t="s">
        <v>231</v>
      </c>
      <c r="DF233" s="237" t="s">
        <v>231</v>
      </c>
      <c r="DG233" s="237" t="s">
        <v>231</v>
      </c>
      <c r="DH233" s="237" t="s">
        <v>231</v>
      </c>
      <c r="DI233" s="237" t="s">
        <v>231</v>
      </c>
      <c r="DJ233" s="237" t="s">
        <v>231</v>
      </c>
      <c r="DK233" s="237" t="s">
        <v>231</v>
      </c>
      <c r="DL233" s="237" t="s">
        <v>231</v>
      </c>
      <c r="DM233" s="237" t="s">
        <v>231</v>
      </c>
      <c r="DN233" s="237" t="s">
        <v>231</v>
      </c>
      <c r="DO233" s="237" t="s">
        <v>231</v>
      </c>
      <c r="DP233" s="237" t="s">
        <v>231</v>
      </c>
      <c r="DQ233" s="237" t="s">
        <v>231</v>
      </c>
      <c r="DR233" s="237" t="s">
        <v>231</v>
      </c>
      <c r="DS233" s="237" t="s">
        <v>231</v>
      </c>
      <c r="DT233" s="237" t="s">
        <v>492</v>
      </c>
      <c r="DU233" s="237" t="s">
        <v>231</v>
      </c>
      <c r="DV233" s="237" t="s">
        <v>231</v>
      </c>
      <c r="DW233" s="237" t="s">
        <v>231</v>
      </c>
      <c r="DX233" s="237" t="s">
        <v>231</v>
      </c>
      <c r="DY233" s="237" t="s">
        <v>231</v>
      </c>
      <c r="DZ233" s="237" t="s">
        <v>231</v>
      </c>
      <c r="EA233" s="237" t="s">
        <v>231</v>
      </c>
      <c r="EB233" s="237" t="s">
        <v>231</v>
      </c>
      <c r="EC233" s="237" t="s">
        <v>231</v>
      </c>
      <c r="ED233" s="237" t="s">
        <v>231</v>
      </c>
      <c r="EE233" s="237" t="s">
        <v>231</v>
      </c>
      <c r="EF233" s="237" t="s">
        <v>231</v>
      </c>
      <c r="EG233" s="237" t="s">
        <v>231</v>
      </c>
      <c r="EH233" s="237" t="s">
        <v>492</v>
      </c>
      <c r="EI233" s="237" t="s">
        <v>492</v>
      </c>
      <c r="EJ233" s="237" t="s">
        <v>231</v>
      </c>
      <c r="EK233" s="237" t="s">
        <v>231</v>
      </c>
      <c r="EL233" s="237" t="s">
        <v>231</v>
      </c>
      <c r="EM233" s="237" t="s">
        <v>231</v>
      </c>
      <c r="EN233" s="237" t="s">
        <v>231</v>
      </c>
      <c r="EO233" s="237" t="s">
        <v>231</v>
      </c>
      <c r="EP233" s="237" t="s">
        <v>231</v>
      </c>
      <c r="EQ233" s="237" t="s">
        <v>231</v>
      </c>
      <c r="ER233" s="237" t="s">
        <v>231</v>
      </c>
      <c r="ES233" s="237" t="s">
        <v>231</v>
      </c>
      <c r="ET233" s="237" t="s">
        <v>231</v>
      </c>
      <c r="EU233" s="237" t="s">
        <v>231</v>
      </c>
      <c r="EV233" s="237" t="s">
        <v>231</v>
      </c>
      <c r="EW233" s="237" t="s">
        <v>231</v>
      </c>
      <c r="EX233" s="237" t="s">
        <v>231</v>
      </c>
      <c r="EY233" s="237" t="s">
        <v>231</v>
      </c>
      <c r="EZ233" s="237" t="s">
        <v>231</v>
      </c>
      <c r="FA233" s="237" t="s">
        <v>231</v>
      </c>
      <c r="FB233" s="237" t="s">
        <v>231</v>
      </c>
      <c r="FC233" s="237" t="s">
        <v>231</v>
      </c>
      <c r="FD233" s="237" t="s">
        <v>231</v>
      </c>
      <c r="FE233" s="237" t="s">
        <v>231</v>
      </c>
      <c r="FF233" s="237" t="s">
        <v>492</v>
      </c>
      <c r="FG233" s="237" t="s">
        <v>231</v>
      </c>
      <c r="FH233" s="237" t="s">
        <v>231</v>
      </c>
      <c r="FI233" s="237" t="s">
        <v>231</v>
      </c>
      <c r="FJ233" s="237" t="s">
        <v>231</v>
      </c>
      <c r="FK233" s="237" t="s">
        <v>231</v>
      </c>
      <c r="FL233" s="237" t="s">
        <v>231</v>
      </c>
      <c r="FM233" s="237" t="s">
        <v>231</v>
      </c>
      <c r="FN233" s="237" t="s">
        <v>492</v>
      </c>
      <c r="FO233" s="237" t="s">
        <v>231</v>
      </c>
      <c r="FP233" s="237" t="s">
        <v>231</v>
      </c>
      <c r="FQ233" s="237" t="s">
        <v>231</v>
      </c>
      <c r="FR233" s="237" t="s">
        <v>231</v>
      </c>
      <c r="FS233" s="237" t="s">
        <v>492</v>
      </c>
      <c r="FT233" s="237" t="s">
        <v>231</v>
      </c>
      <c r="FU233" s="237" t="s">
        <v>231</v>
      </c>
      <c r="FV233" s="237" t="s">
        <v>231</v>
      </c>
      <c r="FW233" s="237" t="s">
        <v>231</v>
      </c>
      <c r="FX233" s="237" t="s">
        <v>492</v>
      </c>
      <c r="FY233" s="237" t="s">
        <v>231</v>
      </c>
      <c r="FZ233" s="237" t="s">
        <v>231</v>
      </c>
      <c r="GA233" s="237" t="s">
        <v>231</v>
      </c>
      <c r="GB233" s="237" t="s">
        <v>231</v>
      </c>
      <c r="GC233" s="237" t="s">
        <v>231</v>
      </c>
      <c r="GD233" s="237" t="s">
        <v>231</v>
      </c>
      <c r="GE233" s="237" t="s">
        <v>231</v>
      </c>
      <c r="GF233" s="237" t="s">
        <v>231</v>
      </c>
      <c r="GG233" s="237" t="s">
        <v>231</v>
      </c>
      <c r="GH233" s="237" t="s">
        <v>231</v>
      </c>
      <c r="GI233" s="237" t="s">
        <v>231</v>
      </c>
      <c r="GJ233" s="237" t="s">
        <v>231</v>
      </c>
      <c r="GK233" s="237" t="s">
        <v>231</v>
      </c>
      <c r="GL233" s="237" t="s">
        <v>231</v>
      </c>
      <c r="GM233" s="237" t="s">
        <v>231</v>
      </c>
      <c r="GN233" s="237" t="s">
        <v>231</v>
      </c>
      <c r="GO233" s="237" t="s">
        <v>231</v>
      </c>
      <c r="GP233" s="237" t="s">
        <v>492</v>
      </c>
      <c r="GQ233" s="237" t="s">
        <v>231</v>
      </c>
      <c r="GR233" s="237" t="s">
        <v>231</v>
      </c>
      <c r="GS233" s="237" t="s">
        <v>231</v>
      </c>
      <c r="GT233" s="237" t="s">
        <v>231</v>
      </c>
      <c r="GU233" s="237" t="s">
        <v>231</v>
      </c>
      <c r="GV233" s="237" t="s">
        <v>492</v>
      </c>
      <c r="GW233" s="237" t="s">
        <v>231</v>
      </c>
      <c r="GX233" s="237" t="s">
        <v>231</v>
      </c>
      <c r="GY233" s="237" t="s">
        <v>231</v>
      </c>
      <c r="GZ233" s="237" t="s">
        <v>231</v>
      </c>
      <c r="HA233" s="237" t="s">
        <v>231</v>
      </c>
      <c r="HB233" s="237" t="s">
        <v>231</v>
      </c>
      <c r="HC233" s="237" t="s">
        <v>231</v>
      </c>
      <c r="HD233" s="237" t="s">
        <v>231</v>
      </c>
      <c r="HE233" s="237" t="s">
        <v>492</v>
      </c>
      <c r="HF233" s="237" t="s">
        <v>231</v>
      </c>
      <c r="HG233" s="237" t="s">
        <v>231</v>
      </c>
      <c r="HH233" s="237" t="s">
        <v>231</v>
      </c>
      <c r="HI233" s="237" t="s">
        <v>231</v>
      </c>
      <c r="HJ233" s="237" t="s">
        <v>231</v>
      </c>
      <c r="HK233" s="237" t="s">
        <v>231</v>
      </c>
      <c r="HL233" s="237" t="s">
        <v>231</v>
      </c>
      <c r="HM233" s="237" t="s">
        <v>231</v>
      </c>
      <c r="HN233" s="237" t="s">
        <v>231</v>
      </c>
      <c r="HO233" s="237" t="s">
        <v>231</v>
      </c>
      <c r="HP233" s="237" t="s">
        <v>231</v>
      </c>
      <c r="HQ233" s="237" t="s">
        <v>492</v>
      </c>
      <c r="HR233" s="237" t="s">
        <v>492</v>
      </c>
      <c r="HS233" s="237" t="s">
        <v>492</v>
      </c>
      <c r="HT233" s="237" t="s">
        <v>492</v>
      </c>
      <c r="HU233" s="237" t="s">
        <v>231</v>
      </c>
      <c r="HV233" s="237" t="s">
        <v>231</v>
      </c>
      <c r="HW233" s="237" t="s">
        <v>231</v>
      </c>
      <c r="HX233" s="237" t="s">
        <v>231</v>
      </c>
      <c r="HY233" s="237" t="s">
        <v>231</v>
      </c>
      <c r="HZ233" s="237" t="s">
        <v>231</v>
      </c>
      <c r="IA233" s="237" t="s">
        <v>231</v>
      </c>
      <c r="IB233" s="237" t="s">
        <v>231</v>
      </c>
      <c r="IC233" s="237" t="s">
        <v>231</v>
      </c>
      <c r="ID233" s="237" t="s">
        <v>231</v>
      </c>
      <c r="IE233" s="237" t="s">
        <v>231</v>
      </c>
      <c r="IF233" s="237" t="s">
        <v>231</v>
      </c>
      <c r="IG233" s="237" t="s">
        <v>231</v>
      </c>
      <c r="IH233" s="237" t="s">
        <v>231</v>
      </c>
      <c r="II233" s="237" t="s">
        <v>231</v>
      </c>
      <c r="IJ233" s="237" t="s">
        <v>231</v>
      </c>
      <c r="IK233" s="237" t="s">
        <v>231</v>
      </c>
      <c r="IL233" s="237" t="s">
        <v>231</v>
      </c>
      <c r="IM233" s="237" t="s">
        <v>231</v>
      </c>
      <c r="IN233" s="237" t="s">
        <v>231</v>
      </c>
      <c r="IO233" s="237" t="s">
        <v>220</v>
      </c>
      <c r="IP233" s="237" t="s">
        <v>493</v>
      </c>
      <c r="IQ233" s="237" t="s">
        <v>219</v>
      </c>
      <c r="IR233" s="237" t="s">
        <v>490</v>
      </c>
      <c r="IS233" s="237" t="s">
        <v>492</v>
      </c>
      <c r="IT233" s="237" t="s">
        <v>492</v>
      </c>
    </row>
    <row r="234" spans="1:254" ht="14.45" customHeight="1" x14ac:dyDescent="0.25">
      <c r="A234" s="259" t="str">
        <f>HYPERLINK("http://www.ofsted.gov.uk/inspection-reports/find-inspection-report/provider/ELS/106162 ","Ofsted School Webpage")</f>
        <v>Ofsted School Webpage</v>
      </c>
      <c r="B234" s="240">
        <v>106162</v>
      </c>
      <c r="C234" s="240">
        <v>3566025</v>
      </c>
      <c r="D234" s="240" t="s">
        <v>1063</v>
      </c>
      <c r="E234" s="240" t="s">
        <v>248</v>
      </c>
      <c r="F234" s="240" t="s">
        <v>501</v>
      </c>
      <c r="G234" s="240" t="s">
        <v>495</v>
      </c>
      <c r="H234" s="240" t="s">
        <v>495</v>
      </c>
      <c r="I234" s="240" t="s">
        <v>934</v>
      </c>
      <c r="J234" s="240" t="s">
        <v>1064</v>
      </c>
      <c r="K234" s="240" t="s">
        <v>93</v>
      </c>
      <c r="L234" s="240" t="s">
        <v>93</v>
      </c>
      <c r="M234" s="240" t="s">
        <v>93</v>
      </c>
      <c r="N234" s="240" t="s">
        <v>90</v>
      </c>
      <c r="O234" s="240" t="s">
        <v>486</v>
      </c>
      <c r="P234" s="240" t="s">
        <v>487</v>
      </c>
      <c r="Q234" s="241">
        <v>10067883</v>
      </c>
      <c r="R234" s="242">
        <v>43522</v>
      </c>
      <c r="S234" s="242">
        <v>43524</v>
      </c>
      <c r="T234" s="242">
        <v>43543</v>
      </c>
      <c r="U234" s="240" t="s">
        <v>488</v>
      </c>
      <c r="V234" s="240" t="s">
        <v>489</v>
      </c>
      <c r="W234" s="240">
        <v>2</v>
      </c>
      <c r="X234" s="240">
        <v>2</v>
      </c>
      <c r="Y234" s="240">
        <v>2</v>
      </c>
      <c r="Z234" s="240">
        <v>2</v>
      </c>
      <c r="AA234" s="240">
        <v>2</v>
      </c>
      <c r="AB234" s="240" t="s">
        <v>486</v>
      </c>
      <c r="AC234" s="240" t="s">
        <v>486</v>
      </c>
      <c r="AD234" s="240" t="s">
        <v>219</v>
      </c>
      <c r="AE234" s="240" t="s">
        <v>490</v>
      </c>
      <c r="AF234" s="240" t="s">
        <v>486</v>
      </c>
      <c r="AG234" s="240" t="s">
        <v>486</v>
      </c>
      <c r="AH234" s="240" t="s">
        <v>486</v>
      </c>
      <c r="AI234" s="240" t="s">
        <v>486</v>
      </c>
      <c r="AJ234" s="240" t="s">
        <v>486</v>
      </c>
      <c r="AK234" s="240" t="s">
        <v>486</v>
      </c>
      <c r="AL234" s="240" t="s">
        <v>486</v>
      </c>
      <c r="AM234" s="240" t="s">
        <v>491</v>
      </c>
      <c r="AN234" s="240" t="s">
        <v>231</v>
      </c>
      <c r="AO234" s="240" t="s">
        <v>231</v>
      </c>
      <c r="AP234" s="240" t="s">
        <v>231</v>
      </c>
      <c r="AQ234" s="240" t="s">
        <v>231</v>
      </c>
      <c r="AR234" s="240" t="s">
        <v>231</v>
      </c>
      <c r="AS234" s="240" t="s">
        <v>231</v>
      </c>
      <c r="AT234" s="240" t="s">
        <v>231</v>
      </c>
      <c r="AU234" s="240" t="s">
        <v>231</v>
      </c>
      <c r="AV234" s="240" t="s">
        <v>231</v>
      </c>
      <c r="AW234" s="240" t="s">
        <v>231</v>
      </c>
      <c r="AX234" s="240" t="s">
        <v>231</v>
      </c>
      <c r="AY234" s="240" t="s">
        <v>231</v>
      </c>
      <c r="AZ234" s="240" t="s">
        <v>231</v>
      </c>
      <c r="BA234" s="240" t="s">
        <v>231</v>
      </c>
      <c r="BB234" s="240" t="s">
        <v>231</v>
      </c>
      <c r="BC234" s="240" t="s">
        <v>231</v>
      </c>
      <c r="BD234" s="240" t="s">
        <v>231</v>
      </c>
      <c r="BE234" s="240" t="s">
        <v>231</v>
      </c>
      <c r="BF234" s="240" t="s">
        <v>231</v>
      </c>
      <c r="BG234" s="240" t="s">
        <v>231</v>
      </c>
      <c r="BH234" s="240" t="s">
        <v>231</v>
      </c>
      <c r="BI234" s="240" t="s">
        <v>231</v>
      </c>
      <c r="BJ234" s="240" t="s">
        <v>231</v>
      </c>
      <c r="BK234" s="240" t="s">
        <v>231</v>
      </c>
      <c r="BL234" s="240" t="s">
        <v>492</v>
      </c>
      <c r="BM234" s="240" t="s">
        <v>231</v>
      </c>
      <c r="BN234" s="240" t="s">
        <v>231</v>
      </c>
      <c r="BO234" s="240" t="s">
        <v>231</v>
      </c>
      <c r="BP234" s="240" t="s">
        <v>231</v>
      </c>
      <c r="BQ234" s="240" t="s">
        <v>231</v>
      </c>
      <c r="BR234" s="240" t="s">
        <v>231</v>
      </c>
      <c r="BS234" s="240" t="s">
        <v>231</v>
      </c>
      <c r="BT234" s="240" t="s">
        <v>231</v>
      </c>
      <c r="BU234" s="240" t="s">
        <v>231</v>
      </c>
      <c r="BV234" s="240" t="s">
        <v>231</v>
      </c>
      <c r="BW234" s="240" t="s">
        <v>231</v>
      </c>
      <c r="BX234" s="240" t="s">
        <v>231</v>
      </c>
      <c r="BY234" s="240" t="s">
        <v>231</v>
      </c>
      <c r="BZ234" s="240" t="s">
        <v>231</v>
      </c>
      <c r="CA234" s="240" t="s">
        <v>231</v>
      </c>
      <c r="CB234" s="240" t="s">
        <v>231</v>
      </c>
      <c r="CC234" s="240" t="s">
        <v>231</v>
      </c>
      <c r="CD234" s="240" t="s">
        <v>231</v>
      </c>
      <c r="CE234" s="240" t="s">
        <v>231</v>
      </c>
      <c r="CF234" s="240" t="s">
        <v>231</v>
      </c>
      <c r="CG234" s="240" t="s">
        <v>231</v>
      </c>
      <c r="CH234" s="240" t="s">
        <v>231</v>
      </c>
      <c r="CI234" s="240" t="s">
        <v>231</v>
      </c>
      <c r="CJ234" s="240" t="s">
        <v>231</v>
      </c>
      <c r="CK234" s="240" t="s">
        <v>231</v>
      </c>
      <c r="CL234" s="240" t="s">
        <v>231</v>
      </c>
      <c r="CM234" s="240" t="s">
        <v>231</v>
      </c>
      <c r="CN234" s="240" t="s">
        <v>231</v>
      </c>
      <c r="CO234" s="240" t="s">
        <v>231</v>
      </c>
      <c r="CP234" s="240" t="s">
        <v>231</v>
      </c>
      <c r="CQ234" s="240" t="s">
        <v>231</v>
      </c>
      <c r="CR234" s="240" t="s">
        <v>231</v>
      </c>
      <c r="CS234" s="240" t="s">
        <v>231</v>
      </c>
      <c r="CT234" s="240" t="s">
        <v>231</v>
      </c>
      <c r="CU234" s="240" t="s">
        <v>492</v>
      </c>
      <c r="CV234" s="240" t="s">
        <v>492</v>
      </c>
      <c r="CW234" s="240" t="s">
        <v>231</v>
      </c>
      <c r="CX234" s="240" t="s">
        <v>231</v>
      </c>
      <c r="CY234" s="240" t="s">
        <v>231</v>
      </c>
      <c r="CZ234" s="240" t="s">
        <v>231</v>
      </c>
      <c r="DA234" s="240" t="s">
        <v>231</v>
      </c>
      <c r="DB234" s="240" t="s">
        <v>231</v>
      </c>
      <c r="DC234" s="240" t="s">
        <v>231</v>
      </c>
      <c r="DD234" s="240" t="s">
        <v>231</v>
      </c>
      <c r="DE234" s="240" t="s">
        <v>231</v>
      </c>
      <c r="DF234" s="240" t="s">
        <v>231</v>
      </c>
      <c r="DG234" s="240" t="s">
        <v>231</v>
      </c>
      <c r="DH234" s="240" t="s">
        <v>231</v>
      </c>
      <c r="DI234" s="240" t="s">
        <v>231</v>
      </c>
      <c r="DJ234" s="240" t="s">
        <v>231</v>
      </c>
      <c r="DK234" s="240" t="s">
        <v>231</v>
      </c>
      <c r="DL234" s="240" t="s">
        <v>231</v>
      </c>
      <c r="DM234" s="240" t="s">
        <v>231</v>
      </c>
      <c r="DN234" s="240" t="s">
        <v>231</v>
      </c>
      <c r="DO234" s="240" t="s">
        <v>231</v>
      </c>
      <c r="DP234" s="240" t="s">
        <v>231</v>
      </c>
      <c r="DQ234" s="240" t="s">
        <v>231</v>
      </c>
      <c r="DR234" s="240" t="s">
        <v>231</v>
      </c>
      <c r="DS234" s="240" t="s">
        <v>231</v>
      </c>
      <c r="DT234" s="240" t="s">
        <v>231</v>
      </c>
      <c r="DU234" s="240" t="s">
        <v>231</v>
      </c>
      <c r="DV234" s="240" t="s">
        <v>231</v>
      </c>
      <c r="DW234" s="240" t="s">
        <v>231</v>
      </c>
      <c r="DX234" s="240" t="s">
        <v>231</v>
      </c>
      <c r="DY234" s="240" t="s">
        <v>231</v>
      </c>
      <c r="DZ234" s="240" t="s">
        <v>231</v>
      </c>
      <c r="EA234" s="240" t="s">
        <v>231</v>
      </c>
      <c r="EB234" s="240" t="s">
        <v>231</v>
      </c>
      <c r="EC234" s="240" t="s">
        <v>231</v>
      </c>
      <c r="ED234" s="240" t="s">
        <v>231</v>
      </c>
      <c r="EE234" s="240" t="s">
        <v>231</v>
      </c>
      <c r="EF234" s="240" t="s">
        <v>231</v>
      </c>
      <c r="EG234" s="240" t="s">
        <v>231</v>
      </c>
      <c r="EH234" s="240" t="s">
        <v>231</v>
      </c>
      <c r="EI234" s="240" t="s">
        <v>231</v>
      </c>
      <c r="EJ234" s="240" t="s">
        <v>231</v>
      </c>
      <c r="EK234" s="240" t="s">
        <v>231</v>
      </c>
      <c r="EL234" s="240" t="s">
        <v>231</v>
      </c>
      <c r="EM234" s="240" t="s">
        <v>231</v>
      </c>
      <c r="EN234" s="240" t="s">
        <v>231</v>
      </c>
      <c r="EO234" s="240" t="s">
        <v>231</v>
      </c>
      <c r="EP234" s="240" t="s">
        <v>231</v>
      </c>
      <c r="EQ234" s="240" t="s">
        <v>231</v>
      </c>
      <c r="ER234" s="240" t="s">
        <v>231</v>
      </c>
      <c r="ES234" s="240" t="s">
        <v>231</v>
      </c>
      <c r="ET234" s="240" t="s">
        <v>231</v>
      </c>
      <c r="EU234" s="240" t="s">
        <v>231</v>
      </c>
      <c r="EV234" s="240" t="s">
        <v>231</v>
      </c>
      <c r="EW234" s="240" t="s">
        <v>231</v>
      </c>
      <c r="EX234" s="240" t="s">
        <v>231</v>
      </c>
      <c r="EY234" s="240" t="s">
        <v>231</v>
      </c>
      <c r="EZ234" s="240" t="s">
        <v>231</v>
      </c>
      <c r="FA234" s="240" t="s">
        <v>231</v>
      </c>
      <c r="FB234" s="240" t="s">
        <v>231</v>
      </c>
      <c r="FC234" s="240" t="s">
        <v>231</v>
      </c>
      <c r="FD234" s="240" t="s">
        <v>231</v>
      </c>
      <c r="FE234" s="240" t="s">
        <v>231</v>
      </c>
      <c r="FF234" s="240" t="s">
        <v>231</v>
      </c>
      <c r="FG234" s="240" t="s">
        <v>231</v>
      </c>
      <c r="FH234" s="240" t="s">
        <v>231</v>
      </c>
      <c r="FI234" s="240" t="s">
        <v>231</v>
      </c>
      <c r="FJ234" s="240" t="s">
        <v>231</v>
      </c>
      <c r="FK234" s="240" t="s">
        <v>231</v>
      </c>
      <c r="FL234" s="240" t="s">
        <v>231</v>
      </c>
      <c r="FM234" s="240" t="s">
        <v>231</v>
      </c>
      <c r="FN234" s="240" t="s">
        <v>231</v>
      </c>
      <c r="FO234" s="240" t="s">
        <v>231</v>
      </c>
      <c r="FP234" s="240" t="s">
        <v>231</v>
      </c>
      <c r="FQ234" s="240" t="s">
        <v>231</v>
      </c>
      <c r="FR234" s="240" t="s">
        <v>231</v>
      </c>
      <c r="FS234" s="240" t="s">
        <v>231</v>
      </c>
      <c r="FT234" s="240" t="s">
        <v>231</v>
      </c>
      <c r="FU234" s="240" t="s">
        <v>231</v>
      </c>
      <c r="FV234" s="240" t="s">
        <v>231</v>
      </c>
      <c r="FW234" s="240" t="s">
        <v>231</v>
      </c>
      <c r="FX234" s="240" t="s">
        <v>492</v>
      </c>
      <c r="FY234" s="240" t="s">
        <v>231</v>
      </c>
      <c r="FZ234" s="240" t="s">
        <v>231</v>
      </c>
      <c r="GA234" s="240" t="s">
        <v>231</v>
      </c>
      <c r="GB234" s="240" t="s">
        <v>231</v>
      </c>
      <c r="GC234" s="240" t="s">
        <v>231</v>
      </c>
      <c r="GD234" s="240" t="s">
        <v>231</v>
      </c>
      <c r="GE234" s="240" t="s">
        <v>231</v>
      </c>
      <c r="GF234" s="240" t="s">
        <v>231</v>
      </c>
      <c r="GG234" s="240" t="s">
        <v>231</v>
      </c>
      <c r="GH234" s="240" t="s">
        <v>231</v>
      </c>
      <c r="GI234" s="240" t="s">
        <v>231</v>
      </c>
      <c r="GJ234" s="240" t="s">
        <v>231</v>
      </c>
      <c r="GK234" s="240" t="s">
        <v>231</v>
      </c>
      <c r="GL234" s="240" t="s">
        <v>231</v>
      </c>
      <c r="GM234" s="240" t="s">
        <v>231</v>
      </c>
      <c r="GN234" s="240" t="s">
        <v>231</v>
      </c>
      <c r="GO234" s="240" t="s">
        <v>231</v>
      </c>
      <c r="GP234" s="240" t="s">
        <v>492</v>
      </c>
      <c r="GQ234" s="240" t="s">
        <v>231</v>
      </c>
      <c r="GR234" s="240" t="s">
        <v>231</v>
      </c>
      <c r="GS234" s="240" t="s">
        <v>231</v>
      </c>
      <c r="GT234" s="240" t="s">
        <v>231</v>
      </c>
      <c r="GU234" s="240" t="s">
        <v>231</v>
      </c>
      <c r="GV234" s="240" t="s">
        <v>231</v>
      </c>
      <c r="GW234" s="240" t="s">
        <v>231</v>
      </c>
      <c r="GX234" s="240" t="s">
        <v>231</v>
      </c>
      <c r="GY234" s="240" t="s">
        <v>231</v>
      </c>
      <c r="GZ234" s="240" t="s">
        <v>231</v>
      </c>
      <c r="HA234" s="240" t="s">
        <v>231</v>
      </c>
      <c r="HB234" s="240" t="s">
        <v>231</v>
      </c>
      <c r="HC234" s="240" t="s">
        <v>231</v>
      </c>
      <c r="HD234" s="240" t="s">
        <v>231</v>
      </c>
      <c r="HE234" s="240" t="s">
        <v>231</v>
      </c>
      <c r="HF234" s="240" t="s">
        <v>231</v>
      </c>
      <c r="HG234" s="240" t="s">
        <v>231</v>
      </c>
      <c r="HH234" s="240" t="s">
        <v>231</v>
      </c>
      <c r="HI234" s="240" t="s">
        <v>231</v>
      </c>
      <c r="HJ234" s="240" t="s">
        <v>231</v>
      </c>
      <c r="HK234" s="240" t="s">
        <v>231</v>
      </c>
      <c r="HL234" s="240" t="s">
        <v>231</v>
      </c>
      <c r="HM234" s="240" t="s">
        <v>231</v>
      </c>
      <c r="HN234" s="240" t="s">
        <v>231</v>
      </c>
      <c r="HO234" s="240" t="s">
        <v>231</v>
      </c>
      <c r="HP234" s="240" t="s">
        <v>231</v>
      </c>
      <c r="HQ234" s="240" t="s">
        <v>231</v>
      </c>
      <c r="HR234" s="240" t="s">
        <v>231</v>
      </c>
      <c r="HS234" s="240" t="s">
        <v>231</v>
      </c>
      <c r="HT234" s="240" t="s">
        <v>231</v>
      </c>
      <c r="HU234" s="240" t="s">
        <v>231</v>
      </c>
      <c r="HV234" s="240" t="s">
        <v>231</v>
      </c>
      <c r="HW234" s="240" t="s">
        <v>231</v>
      </c>
      <c r="HX234" s="240" t="s">
        <v>231</v>
      </c>
      <c r="HY234" s="240" t="s">
        <v>231</v>
      </c>
      <c r="HZ234" s="240" t="s">
        <v>231</v>
      </c>
      <c r="IA234" s="240" t="s">
        <v>231</v>
      </c>
      <c r="IB234" s="240" t="s">
        <v>231</v>
      </c>
      <c r="IC234" s="240" t="s">
        <v>231</v>
      </c>
      <c r="ID234" s="240" t="s">
        <v>231</v>
      </c>
      <c r="IE234" s="240" t="s">
        <v>231</v>
      </c>
      <c r="IF234" s="240" t="s">
        <v>231</v>
      </c>
      <c r="IG234" s="240" t="s">
        <v>231</v>
      </c>
      <c r="IH234" s="240" t="s">
        <v>231</v>
      </c>
      <c r="II234" s="240" t="s">
        <v>231</v>
      </c>
      <c r="IJ234" s="240" t="s">
        <v>231</v>
      </c>
      <c r="IK234" s="240" t="s">
        <v>231</v>
      </c>
      <c r="IL234" s="240" t="s">
        <v>231</v>
      </c>
      <c r="IM234" s="240" t="s">
        <v>231</v>
      </c>
      <c r="IN234" s="240" t="s">
        <v>231</v>
      </c>
      <c r="IO234" s="240" t="s">
        <v>219</v>
      </c>
      <c r="IP234" s="240" t="s">
        <v>486</v>
      </c>
      <c r="IQ234" s="240" t="s">
        <v>486</v>
      </c>
      <c r="IR234" s="240" t="s">
        <v>490</v>
      </c>
      <c r="IS234" s="240" t="s">
        <v>492</v>
      </c>
      <c r="IT234" s="240" t="s">
        <v>492</v>
      </c>
    </row>
    <row r="235" spans="1:254" ht="14.45" customHeight="1" x14ac:dyDescent="0.25">
      <c r="A235" s="258" t="str">
        <f>HYPERLINK("http://www.ofsted.gov.uk/inspection-reports/find-inspection-report/provider/ELS/131662 ","Ofsted School Webpage")</f>
        <v>Ofsted School Webpage</v>
      </c>
      <c r="B235" s="237">
        <v>131662</v>
      </c>
      <c r="C235" s="237">
        <v>2126001</v>
      </c>
      <c r="D235" s="237" t="s">
        <v>1065</v>
      </c>
      <c r="E235" s="237" t="s">
        <v>248</v>
      </c>
      <c r="F235" s="237" t="s">
        <v>501</v>
      </c>
      <c r="G235" s="237" t="s">
        <v>506</v>
      </c>
      <c r="H235" s="237" t="s">
        <v>506</v>
      </c>
      <c r="I235" s="237" t="s">
        <v>837</v>
      </c>
      <c r="J235" s="237" t="s">
        <v>1066</v>
      </c>
      <c r="K235" s="237" t="s">
        <v>93</v>
      </c>
      <c r="L235" s="237" t="s">
        <v>93</v>
      </c>
      <c r="M235" s="237" t="s">
        <v>93</v>
      </c>
      <c r="N235" s="237" t="s">
        <v>90</v>
      </c>
      <c r="O235" s="237" t="s">
        <v>486</v>
      </c>
      <c r="P235" s="237" t="s">
        <v>487</v>
      </c>
      <c r="Q235" s="238">
        <v>10067150</v>
      </c>
      <c r="R235" s="239">
        <v>43522</v>
      </c>
      <c r="S235" s="239">
        <v>43524</v>
      </c>
      <c r="T235" s="239">
        <v>43543</v>
      </c>
      <c r="U235" s="237" t="s">
        <v>488</v>
      </c>
      <c r="V235" s="237" t="s">
        <v>489</v>
      </c>
      <c r="W235" s="237">
        <v>1</v>
      </c>
      <c r="X235" s="237">
        <v>1</v>
      </c>
      <c r="Y235" s="237">
        <v>1</v>
      </c>
      <c r="Z235" s="237">
        <v>1</v>
      </c>
      <c r="AA235" s="237">
        <v>1</v>
      </c>
      <c r="AB235" s="237" t="s">
        <v>486</v>
      </c>
      <c r="AC235" s="237" t="s">
        <v>486</v>
      </c>
      <c r="AD235" s="237" t="s">
        <v>219</v>
      </c>
      <c r="AE235" s="237" t="s">
        <v>490</v>
      </c>
      <c r="AF235" s="237" t="s">
        <v>486</v>
      </c>
      <c r="AG235" s="237" t="s">
        <v>486</v>
      </c>
      <c r="AH235" s="237" t="s">
        <v>486</v>
      </c>
      <c r="AI235" s="237" t="s">
        <v>486</v>
      </c>
      <c r="AJ235" s="237" t="s">
        <v>486</v>
      </c>
      <c r="AK235" s="237" t="s">
        <v>486</v>
      </c>
      <c r="AL235" s="237" t="s">
        <v>486</v>
      </c>
      <c r="AM235" s="237" t="s">
        <v>491</v>
      </c>
      <c r="AN235" s="237" t="s">
        <v>231</v>
      </c>
      <c r="AO235" s="237" t="s">
        <v>231</v>
      </c>
      <c r="AP235" s="237" t="s">
        <v>231</v>
      </c>
      <c r="AQ235" s="237" t="s">
        <v>231</v>
      </c>
      <c r="AR235" s="237" t="s">
        <v>231</v>
      </c>
      <c r="AS235" s="237" t="s">
        <v>231</v>
      </c>
      <c r="AT235" s="237" t="s">
        <v>231</v>
      </c>
      <c r="AU235" s="237" t="s">
        <v>231</v>
      </c>
      <c r="AV235" s="237" t="s">
        <v>231</v>
      </c>
      <c r="AW235" s="237" t="s">
        <v>231</v>
      </c>
      <c r="AX235" s="237" t="s">
        <v>231</v>
      </c>
      <c r="AY235" s="237" t="s">
        <v>231</v>
      </c>
      <c r="AZ235" s="237" t="s">
        <v>231</v>
      </c>
      <c r="BA235" s="237" t="s">
        <v>231</v>
      </c>
      <c r="BB235" s="237" t="s">
        <v>231</v>
      </c>
      <c r="BC235" s="237" t="s">
        <v>231</v>
      </c>
      <c r="BD235" s="237" t="s">
        <v>492</v>
      </c>
      <c r="BE235" s="237" t="s">
        <v>231</v>
      </c>
      <c r="BF235" s="237" t="s">
        <v>231</v>
      </c>
      <c r="BG235" s="237" t="s">
        <v>231</v>
      </c>
      <c r="BH235" s="237" t="s">
        <v>492</v>
      </c>
      <c r="BI235" s="237" t="s">
        <v>492</v>
      </c>
      <c r="BJ235" s="237" t="s">
        <v>492</v>
      </c>
      <c r="BK235" s="237" t="s">
        <v>492</v>
      </c>
      <c r="BL235" s="237" t="s">
        <v>492</v>
      </c>
      <c r="BM235" s="237" t="s">
        <v>492</v>
      </c>
      <c r="BN235" s="237" t="s">
        <v>231</v>
      </c>
      <c r="BO235" s="237" t="s">
        <v>231</v>
      </c>
      <c r="BP235" s="237" t="s">
        <v>231</v>
      </c>
      <c r="BQ235" s="237" t="s">
        <v>231</v>
      </c>
      <c r="BR235" s="237" t="s">
        <v>231</v>
      </c>
      <c r="BS235" s="237" t="s">
        <v>231</v>
      </c>
      <c r="BT235" s="237" t="s">
        <v>231</v>
      </c>
      <c r="BU235" s="237" t="s">
        <v>231</v>
      </c>
      <c r="BV235" s="237" t="s">
        <v>231</v>
      </c>
      <c r="BW235" s="237" t="s">
        <v>231</v>
      </c>
      <c r="BX235" s="237" t="s">
        <v>231</v>
      </c>
      <c r="BY235" s="237" t="s">
        <v>231</v>
      </c>
      <c r="BZ235" s="237" t="s">
        <v>231</v>
      </c>
      <c r="CA235" s="237" t="s">
        <v>231</v>
      </c>
      <c r="CB235" s="237" t="s">
        <v>231</v>
      </c>
      <c r="CC235" s="237" t="s">
        <v>231</v>
      </c>
      <c r="CD235" s="237" t="s">
        <v>231</v>
      </c>
      <c r="CE235" s="237" t="s">
        <v>231</v>
      </c>
      <c r="CF235" s="237" t="s">
        <v>231</v>
      </c>
      <c r="CG235" s="237" t="s">
        <v>231</v>
      </c>
      <c r="CH235" s="237" t="s">
        <v>231</v>
      </c>
      <c r="CI235" s="237" t="s">
        <v>231</v>
      </c>
      <c r="CJ235" s="237" t="s">
        <v>231</v>
      </c>
      <c r="CK235" s="237" t="s">
        <v>231</v>
      </c>
      <c r="CL235" s="237" t="s">
        <v>231</v>
      </c>
      <c r="CM235" s="237" t="s">
        <v>231</v>
      </c>
      <c r="CN235" s="237" t="s">
        <v>231</v>
      </c>
      <c r="CO235" s="237" t="s">
        <v>231</v>
      </c>
      <c r="CP235" s="237" t="s">
        <v>231</v>
      </c>
      <c r="CQ235" s="237" t="s">
        <v>231</v>
      </c>
      <c r="CR235" s="237" t="s">
        <v>231</v>
      </c>
      <c r="CS235" s="237" t="s">
        <v>231</v>
      </c>
      <c r="CT235" s="237" t="s">
        <v>492</v>
      </c>
      <c r="CU235" s="237" t="s">
        <v>492</v>
      </c>
      <c r="CV235" s="237" t="s">
        <v>492</v>
      </c>
      <c r="CW235" s="237" t="s">
        <v>231</v>
      </c>
      <c r="CX235" s="237" t="s">
        <v>231</v>
      </c>
      <c r="CY235" s="237" t="s">
        <v>231</v>
      </c>
      <c r="CZ235" s="237" t="s">
        <v>231</v>
      </c>
      <c r="DA235" s="237" t="s">
        <v>231</v>
      </c>
      <c r="DB235" s="237" t="s">
        <v>231</v>
      </c>
      <c r="DC235" s="237" t="s">
        <v>231</v>
      </c>
      <c r="DD235" s="237" t="s">
        <v>231</v>
      </c>
      <c r="DE235" s="237" t="s">
        <v>231</v>
      </c>
      <c r="DF235" s="237" t="s">
        <v>231</v>
      </c>
      <c r="DG235" s="237" t="s">
        <v>231</v>
      </c>
      <c r="DH235" s="237" t="s">
        <v>231</v>
      </c>
      <c r="DI235" s="237" t="s">
        <v>231</v>
      </c>
      <c r="DJ235" s="237" t="s">
        <v>231</v>
      </c>
      <c r="DK235" s="237" t="s">
        <v>231</v>
      </c>
      <c r="DL235" s="237" t="s">
        <v>231</v>
      </c>
      <c r="DM235" s="237" t="s">
        <v>231</v>
      </c>
      <c r="DN235" s="237" t="s">
        <v>231</v>
      </c>
      <c r="DO235" s="237" t="s">
        <v>231</v>
      </c>
      <c r="DP235" s="237" t="s">
        <v>231</v>
      </c>
      <c r="DQ235" s="237" t="s">
        <v>231</v>
      </c>
      <c r="DR235" s="237" t="s">
        <v>231</v>
      </c>
      <c r="DS235" s="237" t="s">
        <v>231</v>
      </c>
      <c r="DT235" s="237" t="s">
        <v>492</v>
      </c>
      <c r="DU235" s="237" t="s">
        <v>231</v>
      </c>
      <c r="DV235" s="237" t="s">
        <v>231</v>
      </c>
      <c r="DW235" s="237" t="s">
        <v>231</v>
      </c>
      <c r="DX235" s="237" t="s">
        <v>231</v>
      </c>
      <c r="DY235" s="237" t="s">
        <v>231</v>
      </c>
      <c r="DZ235" s="237" t="s">
        <v>231</v>
      </c>
      <c r="EA235" s="237" t="s">
        <v>231</v>
      </c>
      <c r="EB235" s="237" t="s">
        <v>231</v>
      </c>
      <c r="EC235" s="237" t="s">
        <v>231</v>
      </c>
      <c r="ED235" s="237" t="s">
        <v>231</v>
      </c>
      <c r="EE235" s="237" t="s">
        <v>231</v>
      </c>
      <c r="EF235" s="237" t="s">
        <v>231</v>
      </c>
      <c r="EG235" s="237" t="s">
        <v>231</v>
      </c>
      <c r="EH235" s="237" t="s">
        <v>492</v>
      </c>
      <c r="EI235" s="237" t="s">
        <v>231</v>
      </c>
      <c r="EJ235" s="237" t="s">
        <v>231</v>
      </c>
      <c r="EK235" s="237" t="s">
        <v>231</v>
      </c>
      <c r="EL235" s="237" t="s">
        <v>231</v>
      </c>
      <c r="EM235" s="237" t="s">
        <v>231</v>
      </c>
      <c r="EN235" s="237" t="s">
        <v>231</v>
      </c>
      <c r="EO235" s="237" t="s">
        <v>231</v>
      </c>
      <c r="EP235" s="237" t="s">
        <v>231</v>
      </c>
      <c r="EQ235" s="237" t="s">
        <v>231</v>
      </c>
      <c r="ER235" s="237" t="s">
        <v>231</v>
      </c>
      <c r="ES235" s="237" t="s">
        <v>231</v>
      </c>
      <c r="ET235" s="237" t="s">
        <v>231</v>
      </c>
      <c r="EU235" s="237" t="s">
        <v>231</v>
      </c>
      <c r="EV235" s="237" t="s">
        <v>231</v>
      </c>
      <c r="EW235" s="237" t="s">
        <v>231</v>
      </c>
      <c r="EX235" s="237" t="s">
        <v>231</v>
      </c>
      <c r="EY235" s="237" t="s">
        <v>231</v>
      </c>
      <c r="EZ235" s="237" t="s">
        <v>231</v>
      </c>
      <c r="FA235" s="237" t="s">
        <v>231</v>
      </c>
      <c r="FB235" s="237" t="s">
        <v>231</v>
      </c>
      <c r="FC235" s="237" t="s">
        <v>231</v>
      </c>
      <c r="FD235" s="237" t="s">
        <v>231</v>
      </c>
      <c r="FE235" s="237" t="s">
        <v>231</v>
      </c>
      <c r="FF235" s="237" t="s">
        <v>231</v>
      </c>
      <c r="FG235" s="237" t="s">
        <v>231</v>
      </c>
      <c r="FH235" s="237" t="s">
        <v>231</v>
      </c>
      <c r="FI235" s="237" t="s">
        <v>231</v>
      </c>
      <c r="FJ235" s="237" t="s">
        <v>231</v>
      </c>
      <c r="FK235" s="237" t="s">
        <v>231</v>
      </c>
      <c r="FL235" s="237" t="s">
        <v>231</v>
      </c>
      <c r="FM235" s="237" t="s">
        <v>231</v>
      </c>
      <c r="FN235" s="237" t="s">
        <v>231</v>
      </c>
      <c r="FO235" s="237" t="s">
        <v>231</v>
      </c>
      <c r="FP235" s="237" t="s">
        <v>231</v>
      </c>
      <c r="FQ235" s="237" t="s">
        <v>231</v>
      </c>
      <c r="FR235" s="237" t="s">
        <v>231</v>
      </c>
      <c r="FS235" s="237" t="s">
        <v>231</v>
      </c>
      <c r="FT235" s="237" t="s">
        <v>492</v>
      </c>
      <c r="FU235" s="237" t="s">
        <v>231</v>
      </c>
      <c r="FV235" s="237" t="s">
        <v>231</v>
      </c>
      <c r="FW235" s="237" t="s">
        <v>231</v>
      </c>
      <c r="FX235" s="237" t="s">
        <v>492</v>
      </c>
      <c r="FY235" s="237" t="s">
        <v>231</v>
      </c>
      <c r="FZ235" s="237" t="s">
        <v>231</v>
      </c>
      <c r="GA235" s="237" t="s">
        <v>231</v>
      </c>
      <c r="GB235" s="237" t="s">
        <v>231</v>
      </c>
      <c r="GC235" s="237" t="s">
        <v>231</v>
      </c>
      <c r="GD235" s="237" t="s">
        <v>231</v>
      </c>
      <c r="GE235" s="237" t="s">
        <v>231</v>
      </c>
      <c r="GF235" s="237" t="s">
        <v>231</v>
      </c>
      <c r="GG235" s="237" t="s">
        <v>231</v>
      </c>
      <c r="GH235" s="237" t="s">
        <v>231</v>
      </c>
      <c r="GI235" s="237" t="s">
        <v>231</v>
      </c>
      <c r="GJ235" s="237" t="s">
        <v>231</v>
      </c>
      <c r="GK235" s="237" t="s">
        <v>231</v>
      </c>
      <c r="GL235" s="237" t="s">
        <v>231</v>
      </c>
      <c r="GM235" s="237" t="s">
        <v>231</v>
      </c>
      <c r="GN235" s="237" t="s">
        <v>231</v>
      </c>
      <c r="GO235" s="237" t="s">
        <v>231</v>
      </c>
      <c r="GP235" s="237" t="s">
        <v>492</v>
      </c>
      <c r="GQ235" s="237" t="s">
        <v>231</v>
      </c>
      <c r="GR235" s="237" t="s">
        <v>231</v>
      </c>
      <c r="GS235" s="237" t="s">
        <v>231</v>
      </c>
      <c r="GT235" s="237" t="s">
        <v>231</v>
      </c>
      <c r="GU235" s="237" t="s">
        <v>231</v>
      </c>
      <c r="GV235" s="237" t="s">
        <v>231</v>
      </c>
      <c r="GW235" s="237" t="s">
        <v>231</v>
      </c>
      <c r="GX235" s="237" t="s">
        <v>231</v>
      </c>
      <c r="GY235" s="237" t="s">
        <v>231</v>
      </c>
      <c r="GZ235" s="237" t="s">
        <v>231</v>
      </c>
      <c r="HA235" s="237" t="s">
        <v>231</v>
      </c>
      <c r="HB235" s="237" t="s">
        <v>231</v>
      </c>
      <c r="HC235" s="237" t="s">
        <v>231</v>
      </c>
      <c r="HD235" s="237" t="s">
        <v>231</v>
      </c>
      <c r="HE235" s="237" t="s">
        <v>231</v>
      </c>
      <c r="HF235" s="237" t="s">
        <v>492</v>
      </c>
      <c r="HG235" s="237" t="s">
        <v>492</v>
      </c>
      <c r="HH235" s="237" t="s">
        <v>231</v>
      </c>
      <c r="HI235" s="237" t="s">
        <v>231</v>
      </c>
      <c r="HJ235" s="237" t="s">
        <v>231</v>
      </c>
      <c r="HK235" s="237" t="s">
        <v>231</v>
      </c>
      <c r="HL235" s="237" t="s">
        <v>231</v>
      </c>
      <c r="HM235" s="237" t="s">
        <v>231</v>
      </c>
      <c r="HN235" s="237" t="s">
        <v>492</v>
      </c>
      <c r="HO235" s="237" t="s">
        <v>231</v>
      </c>
      <c r="HP235" s="237" t="s">
        <v>231</v>
      </c>
      <c r="HQ235" s="237" t="s">
        <v>492</v>
      </c>
      <c r="HR235" s="237" t="s">
        <v>492</v>
      </c>
      <c r="HS235" s="237" t="s">
        <v>492</v>
      </c>
      <c r="HT235" s="237" t="s">
        <v>492</v>
      </c>
      <c r="HU235" s="237" t="s">
        <v>231</v>
      </c>
      <c r="HV235" s="237" t="s">
        <v>231</v>
      </c>
      <c r="HW235" s="237" t="s">
        <v>231</v>
      </c>
      <c r="HX235" s="237" t="s">
        <v>231</v>
      </c>
      <c r="HY235" s="237" t="s">
        <v>231</v>
      </c>
      <c r="HZ235" s="237" t="s">
        <v>231</v>
      </c>
      <c r="IA235" s="237" t="s">
        <v>231</v>
      </c>
      <c r="IB235" s="237" t="s">
        <v>231</v>
      </c>
      <c r="IC235" s="237" t="s">
        <v>231</v>
      </c>
      <c r="ID235" s="237" t="s">
        <v>231</v>
      </c>
      <c r="IE235" s="237" t="s">
        <v>231</v>
      </c>
      <c r="IF235" s="237" t="s">
        <v>231</v>
      </c>
      <c r="IG235" s="237" t="s">
        <v>231</v>
      </c>
      <c r="IH235" s="237" t="s">
        <v>231</v>
      </c>
      <c r="II235" s="237" t="s">
        <v>231</v>
      </c>
      <c r="IJ235" s="237" t="s">
        <v>231</v>
      </c>
      <c r="IK235" s="237" t="s">
        <v>231</v>
      </c>
      <c r="IL235" s="237" t="s">
        <v>231</v>
      </c>
      <c r="IM235" s="237" t="s">
        <v>231</v>
      </c>
      <c r="IN235" s="237" t="s">
        <v>231</v>
      </c>
      <c r="IO235" s="237" t="s">
        <v>220</v>
      </c>
      <c r="IP235" s="237" t="s">
        <v>493</v>
      </c>
      <c r="IQ235" s="237" t="s">
        <v>219</v>
      </c>
      <c r="IR235" s="237" t="s">
        <v>490</v>
      </c>
      <c r="IS235" s="237" t="s">
        <v>231</v>
      </c>
      <c r="IT235" s="237" t="s">
        <v>231</v>
      </c>
    </row>
    <row r="236" spans="1:254" ht="14.45" customHeight="1" x14ac:dyDescent="0.25">
      <c r="A236" s="259" t="str">
        <f>HYPERLINK("http://www.ofsted.gov.uk/inspection-reports/find-inspection-report/provider/ELS/134587 ","Ofsted School Webpage")</f>
        <v>Ofsted School Webpage</v>
      </c>
      <c r="B236" s="240">
        <v>134587</v>
      </c>
      <c r="C236" s="240">
        <v>3806116</v>
      </c>
      <c r="D236" s="240" t="s">
        <v>1067</v>
      </c>
      <c r="E236" s="240" t="s">
        <v>247</v>
      </c>
      <c r="F236" s="240" t="s">
        <v>482</v>
      </c>
      <c r="G236" s="240" t="s">
        <v>523</v>
      </c>
      <c r="H236" s="240" t="s">
        <v>524</v>
      </c>
      <c r="I236" s="240" t="s">
        <v>674</v>
      </c>
      <c r="J236" s="240" t="s">
        <v>1068</v>
      </c>
      <c r="K236" s="240" t="s">
        <v>93</v>
      </c>
      <c r="L236" s="240" t="s">
        <v>84</v>
      </c>
      <c r="M236" s="240" t="s">
        <v>84</v>
      </c>
      <c r="N236" s="240" t="s">
        <v>84</v>
      </c>
      <c r="O236" s="240" t="s">
        <v>486</v>
      </c>
      <c r="P236" s="240" t="s">
        <v>487</v>
      </c>
      <c r="Q236" s="241">
        <v>10061267</v>
      </c>
      <c r="R236" s="242">
        <v>43522</v>
      </c>
      <c r="S236" s="242">
        <v>43524</v>
      </c>
      <c r="T236" s="242">
        <v>43550</v>
      </c>
      <c r="U236" s="240" t="s">
        <v>488</v>
      </c>
      <c r="V236" s="240" t="s">
        <v>489</v>
      </c>
      <c r="W236" s="240">
        <v>3</v>
      </c>
      <c r="X236" s="240">
        <v>3</v>
      </c>
      <c r="Y236" s="240">
        <v>2</v>
      </c>
      <c r="Z236" s="240">
        <v>2</v>
      </c>
      <c r="AA236" s="240">
        <v>2</v>
      </c>
      <c r="AB236" s="240" t="s">
        <v>486</v>
      </c>
      <c r="AC236" s="240" t="s">
        <v>486</v>
      </c>
      <c r="AD236" s="240" t="s">
        <v>219</v>
      </c>
      <c r="AE236" s="240" t="s">
        <v>490</v>
      </c>
      <c r="AF236" s="240" t="s">
        <v>486</v>
      </c>
      <c r="AG236" s="240" t="s">
        <v>486</v>
      </c>
      <c r="AH236" s="240" t="s">
        <v>486</v>
      </c>
      <c r="AI236" s="240" t="s">
        <v>486</v>
      </c>
      <c r="AJ236" s="240" t="s">
        <v>486</v>
      </c>
      <c r="AK236" s="240" t="s">
        <v>486</v>
      </c>
      <c r="AL236" s="240" t="s">
        <v>486</v>
      </c>
      <c r="AM236" s="240" t="s">
        <v>491</v>
      </c>
      <c r="AN236" s="240" t="s">
        <v>231</v>
      </c>
      <c r="AO236" s="240" t="s">
        <v>231</v>
      </c>
      <c r="AP236" s="240" t="s">
        <v>231</v>
      </c>
      <c r="AQ236" s="240" t="s">
        <v>231</v>
      </c>
      <c r="AR236" s="240" t="s">
        <v>231</v>
      </c>
      <c r="AS236" s="240" t="s">
        <v>231</v>
      </c>
      <c r="AT236" s="240" t="s">
        <v>231</v>
      </c>
      <c r="AU236" s="240" t="s">
        <v>231</v>
      </c>
      <c r="AV236" s="240" t="s">
        <v>231</v>
      </c>
      <c r="AW236" s="240" t="s">
        <v>231</v>
      </c>
      <c r="AX236" s="240" t="s">
        <v>231</v>
      </c>
      <c r="AY236" s="240" t="s">
        <v>231</v>
      </c>
      <c r="AZ236" s="240" t="s">
        <v>231</v>
      </c>
      <c r="BA236" s="240" t="s">
        <v>231</v>
      </c>
      <c r="BB236" s="240" t="s">
        <v>231</v>
      </c>
      <c r="BC236" s="240" t="s">
        <v>231</v>
      </c>
      <c r="BD236" s="240" t="s">
        <v>492</v>
      </c>
      <c r="BE236" s="240" t="s">
        <v>231</v>
      </c>
      <c r="BF236" s="240" t="s">
        <v>231</v>
      </c>
      <c r="BG236" s="240" t="s">
        <v>231</v>
      </c>
      <c r="BH236" s="240" t="s">
        <v>231</v>
      </c>
      <c r="BI236" s="240" t="s">
        <v>231</v>
      </c>
      <c r="BJ236" s="240" t="s">
        <v>231</v>
      </c>
      <c r="BK236" s="240" t="s">
        <v>231</v>
      </c>
      <c r="BL236" s="240" t="s">
        <v>492</v>
      </c>
      <c r="BM236" s="240" t="s">
        <v>492</v>
      </c>
      <c r="BN236" s="240" t="s">
        <v>231</v>
      </c>
      <c r="BO236" s="240" t="s">
        <v>231</v>
      </c>
      <c r="BP236" s="240" t="s">
        <v>231</v>
      </c>
      <c r="BQ236" s="240" t="s">
        <v>231</v>
      </c>
      <c r="BR236" s="240" t="s">
        <v>231</v>
      </c>
      <c r="BS236" s="240" t="s">
        <v>231</v>
      </c>
      <c r="BT236" s="240" t="s">
        <v>231</v>
      </c>
      <c r="BU236" s="240" t="s">
        <v>231</v>
      </c>
      <c r="BV236" s="240" t="s">
        <v>231</v>
      </c>
      <c r="BW236" s="240" t="s">
        <v>231</v>
      </c>
      <c r="BX236" s="240" t="s">
        <v>231</v>
      </c>
      <c r="BY236" s="240" t="s">
        <v>231</v>
      </c>
      <c r="BZ236" s="240" t="s">
        <v>231</v>
      </c>
      <c r="CA236" s="240" t="s">
        <v>231</v>
      </c>
      <c r="CB236" s="240" t="s">
        <v>231</v>
      </c>
      <c r="CC236" s="240" t="s">
        <v>231</v>
      </c>
      <c r="CD236" s="240" t="s">
        <v>231</v>
      </c>
      <c r="CE236" s="240" t="s">
        <v>231</v>
      </c>
      <c r="CF236" s="240" t="s">
        <v>231</v>
      </c>
      <c r="CG236" s="240" t="s">
        <v>231</v>
      </c>
      <c r="CH236" s="240" t="s">
        <v>231</v>
      </c>
      <c r="CI236" s="240" t="s">
        <v>231</v>
      </c>
      <c r="CJ236" s="240" t="s">
        <v>231</v>
      </c>
      <c r="CK236" s="240" t="s">
        <v>231</v>
      </c>
      <c r="CL236" s="240" t="s">
        <v>231</v>
      </c>
      <c r="CM236" s="240" t="s">
        <v>231</v>
      </c>
      <c r="CN236" s="240" t="s">
        <v>231</v>
      </c>
      <c r="CO236" s="240" t="s">
        <v>231</v>
      </c>
      <c r="CP236" s="240" t="s">
        <v>231</v>
      </c>
      <c r="CQ236" s="240" t="s">
        <v>231</v>
      </c>
      <c r="CR236" s="240" t="s">
        <v>231</v>
      </c>
      <c r="CS236" s="240" t="s">
        <v>231</v>
      </c>
      <c r="CT236" s="240" t="s">
        <v>492</v>
      </c>
      <c r="CU236" s="240" t="s">
        <v>492</v>
      </c>
      <c r="CV236" s="240" t="s">
        <v>492</v>
      </c>
      <c r="CW236" s="240" t="s">
        <v>231</v>
      </c>
      <c r="CX236" s="240" t="s">
        <v>231</v>
      </c>
      <c r="CY236" s="240" t="s">
        <v>231</v>
      </c>
      <c r="CZ236" s="240" t="s">
        <v>231</v>
      </c>
      <c r="DA236" s="240" t="s">
        <v>231</v>
      </c>
      <c r="DB236" s="240" t="s">
        <v>231</v>
      </c>
      <c r="DC236" s="240" t="s">
        <v>231</v>
      </c>
      <c r="DD236" s="240" t="s">
        <v>231</v>
      </c>
      <c r="DE236" s="240" t="s">
        <v>231</v>
      </c>
      <c r="DF236" s="240" t="s">
        <v>231</v>
      </c>
      <c r="DG236" s="240" t="s">
        <v>231</v>
      </c>
      <c r="DH236" s="240" t="s">
        <v>231</v>
      </c>
      <c r="DI236" s="240" t="s">
        <v>231</v>
      </c>
      <c r="DJ236" s="240" t="s">
        <v>231</v>
      </c>
      <c r="DK236" s="240" t="s">
        <v>231</v>
      </c>
      <c r="DL236" s="240" t="s">
        <v>231</v>
      </c>
      <c r="DM236" s="240" t="s">
        <v>231</v>
      </c>
      <c r="DN236" s="240" t="s">
        <v>231</v>
      </c>
      <c r="DO236" s="240" t="s">
        <v>231</v>
      </c>
      <c r="DP236" s="240" t="s">
        <v>231</v>
      </c>
      <c r="DQ236" s="240" t="s">
        <v>231</v>
      </c>
      <c r="DR236" s="240" t="s">
        <v>231</v>
      </c>
      <c r="DS236" s="240" t="s">
        <v>492</v>
      </c>
      <c r="DT236" s="240" t="s">
        <v>492</v>
      </c>
      <c r="DU236" s="240" t="s">
        <v>231</v>
      </c>
      <c r="DV236" s="240" t="s">
        <v>492</v>
      </c>
      <c r="DW236" s="240" t="s">
        <v>492</v>
      </c>
      <c r="DX236" s="240" t="s">
        <v>492</v>
      </c>
      <c r="DY236" s="240" t="s">
        <v>492</v>
      </c>
      <c r="DZ236" s="240" t="s">
        <v>492</v>
      </c>
      <c r="EA236" s="240" t="s">
        <v>492</v>
      </c>
      <c r="EB236" s="240" t="s">
        <v>492</v>
      </c>
      <c r="EC236" s="240" t="s">
        <v>492</v>
      </c>
      <c r="ED236" s="240" t="s">
        <v>492</v>
      </c>
      <c r="EE236" s="240" t="s">
        <v>492</v>
      </c>
      <c r="EF236" s="240" t="s">
        <v>492</v>
      </c>
      <c r="EG236" s="240" t="s">
        <v>492</v>
      </c>
      <c r="EH236" s="240" t="s">
        <v>492</v>
      </c>
      <c r="EI236" s="240" t="s">
        <v>492</v>
      </c>
      <c r="EJ236" s="240" t="s">
        <v>492</v>
      </c>
      <c r="EK236" s="240" t="s">
        <v>492</v>
      </c>
      <c r="EL236" s="240" t="s">
        <v>492</v>
      </c>
      <c r="EM236" s="240" t="s">
        <v>492</v>
      </c>
      <c r="EN236" s="240" t="s">
        <v>492</v>
      </c>
      <c r="EO236" s="240" t="s">
        <v>492</v>
      </c>
      <c r="EP236" s="240" t="s">
        <v>492</v>
      </c>
      <c r="EQ236" s="240" t="s">
        <v>492</v>
      </c>
      <c r="ER236" s="240" t="s">
        <v>492</v>
      </c>
      <c r="ES236" s="240" t="s">
        <v>231</v>
      </c>
      <c r="ET236" s="240" t="s">
        <v>231</v>
      </c>
      <c r="EU236" s="240" t="s">
        <v>231</v>
      </c>
      <c r="EV236" s="240" t="s">
        <v>231</v>
      </c>
      <c r="EW236" s="240" t="s">
        <v>231</v>
      </c>
      <c r="EX236" s="240" t="s">
        <v>231</v>
      </c>
      <c r="EY236" s="240" t="s">
        <v>231</v>
      </c>
      <c r="EZ236" s="240" t="s">
        <v>231</v>
      </c>
      <c r="FA236" s="240" t="s">
        <v>231</v>
      </c>
      <c r="FB236" s="240" t="s">
        <v>231</v>
      </c>
      <c r="FC236" s="240" t="s">
        <v>231</v>
      </c>
      <c r="FD236" s="240" t="s">
        <v>231</v>
      </c>
      <c r="FE236" s="240" t="s">
        <v>231</v>
      </c>
      <c r="FF236" s="240" t="s">
        <v>231</v>
      </c>
      <c r="FG236" s="240" t="s">
        <v>492</v>
      </c>
      <c r="FH236" s="240" t="s">
        <v>492</v>
      </c>
      <c r="FI236" s="240" t="s">
        <v>492</v>
      </c>
      <c r="FJ236" s="240" t="s">
        <v>492</v>
      </c>
      <c r="FK236" s="240" t="s">
        <v>492</v>
      </c>
      <c r="FL236" s="240" t="s">
        <v>492</v>
      </c>
      <c r="FM236" s="240" t="s">
        <v>492</v>
      </c>
      <c r="FN236" s="240" t="s">
        <v>492</v>
      </c>
      <c r="FO236" s="240" t="s">
        <v>493</v>
      </c>
      <c r="FP236" s="240" t="s">
        <v>492</v>
      </c>
      <c r="FQ236" s="240" t="s">
        <v>231</v>
      </c>
      <c r="FR236" s="240" t="s">
        <v>231</v>
      </c>
      <c r="FS236" s="240" t="s">
        <v>492</v>
      </c>
      <c r="FT236" s="240" t="s">
        <v>231</v>
      </c>
      <c r="FU236" s="240" t="s">
        <v>231</v>
      </c>
      <c r="FV236" s="240" t="s">
        <v>231</v>
      </c>
      <c r="FW236" s="240" t="s">
        <v>231</v>
      </c>
      <c r="FX236" s="240" t="s">
        <v>492</v>
      </c>
      <c r="FY236" s="240" t="s">
        <v>231</v>
      </c>
      <c r="FZ236" s="240" t="s">
        <v>231</v>
      </c>
      <c r="GA236" s="240" t="s">
        <v>231</v>
      </c>
      <c r="GB236" s="240" t="s">
        <v>231</v>
      </c>
      <c r="GC236" s="240" t="s">
        <v>231</v>
      </c>
      <c r="GD236" s="240" t="s">
        <v>231</v>
      </c>
      <c r="GE236" s="240" t="s">
        <v>231</v>
      </c>
      <c r="GF236" s="240" t="s">
        <v>231</v>
      </c>
      <c r="GG236" s="240" t="s">
        <v>231</v>
      </c>
      <c r="GH236" s="240" t="s">
        <v>231</v>
      </c>
      <c r="GI236" s="240" t="s">
        <v>231</v>
      </c>
      <c r="GJ236" s="240" t="s">
        <v>231</v>
      </c>
      <c r="GK236" s="240" t="s">
        <v>231</v>
      </c>
      <c r="GL236" s="240" t="s">
        <v>231</v>
      </c>
      <c r="GM236" s="240" t="s">
        <v>231</v>
      </c>
      <c r="GN236" s="240" t="s">
        <v>231</v>
      </c>
      <c r="GO236" s="240" t="s">
        <v>231</v>
      </c>
      <c r="GP236" s="240" t="s">
        <v>492</v>
      </c>
      <c r="GQ236" s="240" t="s">
        <v>231</v>
      </c>
      <c r="GR236" s="240" t="s">
        <v>231</v>
      </c>
      <c r="GS236" s="240" t="s">
        <v>231</v>
      </c>
      <c r="GT236" s="240" t="s">
        <v>231</v>
      </c>
      <c r="GU236" s="240" t="s">
        <v>231</v>
      </c>
      <c r="GV236" s="240" t="s">
        <v>492</v>
      </c>
      <c r="GW236" s="240" t="s">
        <v>231</v>
      </c>
      <c r="GX236" s="240" t="s">
        <v>231</v>
      </c>
      <c r="GY236" s="240" t="s">
        <v>492</v>
      </c>
      <c r="GZ236" s="240" t="s">
        <v>492</v>
      </c>
      <c r="HA236" s="240" t="s">
        <v>231</v>
      </c>
      <c r="HB236" s="240" t="s">
        <v>231</v>
      </c>
      <c r="HC236" s="240" t="s">
        <v>231</v>
      </c>
      <c r="HD236" s="240" t="s">
        <v>231</v>
      </c>
      <c r="HE236" s="240" t="s">
        <v>231</v>
      </c>
      <c r="HF236" s="240" t="s">
        <v>231</v>
      </c>
      <c r="HG236" s="240" t="s">
        <v>492</v>
      </c>
      <c r="HH236" s="240" t="s">
        <v>231</v>
      </c>
      <c r="HI236" s="240" t="s">
        <v>231</v>
      </c>
      <c r="HJ236" s="240" t="s">
        <v>231</v>
      </c>
      <c r="HK236" s="240" t="s">
        <v>492</v>
      </c>
      <c r="HL236" s="240" t="s">
        <v>231</v>
      </c>
      <c r="HM236" s="240" t="s">
        <v>231</v>
      </c>
      <c r="HN236" s="240" t="s">
        <v>231</v>
      </c>
      <c r="HO236" s="240" t="s">
        <v>231</v>
      </c>
      <c r="HP236" s="240" t="s">
        <v>231</v>
      </c>
      <c r="HQ236" s="240" t="s">
        <v>492</v>
      </c>
      <c r="HR236" s="240" t="s">
        <v>492</v>
      </c>
      <c r="HS236" s="240" t="s">
        <v>492</v>
      </c>
      <c r="HT236" s="240" t="s">
        <v>492</v>
      </c>
      <c r="HU236" s="240" t="s">
        <v>231</v>
      </c>
      <c r="HV236" s="240" t="s">
        <v>231</v>
      </c>
      <c r="HW236" s="240" t="s">
        <v>231</v>
      </c>
      <c r="HX236" s="240" t="s">
        <v>231</v>
      </c>
      <c r="HY236" s="240" t="s">
        <v>231</v>
      </c>
      <c r="HZ236" s="240" t="s">
        <v>231</v>
      </c>
      <c r="IA236" s="240" t="s">
        <v>231</v>
      </c>
      <c r="IB236" s="240" t="s">
        <v>231</v>
      </c>
      <c r="IC236" s="240" t="s">
        <v>231</v>
      </c>
      <c r="ID236" s="240" t="s">
        <v>231</v>
      </c>
      <c r="IE236" s="240" t="s">
        <v>231</v>
      </c>
      <c r="IF236" s="240" t="s">
        <v>231</v>
      </c>
      <c r="IG236" s="240" t="s">
        <v>231</v>
      </c>
      <c r="IH236" s="240" t="s">
        <v>231</v>
      </c>
      <c r="II236" s="240" t="s">
        <v>231</v>
      </c>
      <c r="IJ236" s="240" t="s">
        <v>231</v>
      </c>
      <c r="IK236" s="240" t="s">
        <v>231</v>
      </c>
      <c r="IL236" s="240" t="s">
        <v>231</v>
      </c>
      <c r="IM236" s="240" t="s">
        <v>231</v>
      </c>
      <c r="IN236" s="240" t="s">
        <v>231</v>
      </c>
      <c r="IO236" s="240" t="s">
        <v>220</v>
      </c>
      <c r="IP236" s="240" t="s">
        <v>493</v>
      </c>
      <c r="IQ236" s="240" t="s">
        <v>219</v>
      </c>
      <c r="IR236" s="240" t="s">
        <v>490</v>
      </c>
      <c r="IS236" s="240" t="s">
        <v>492</v>
      </c>
      <c r="IT236" s="240" t="s">
        <v>492</v>
      </c>
    </row>
    <row r="237" spans="1:254" ht="14.45" customHeight="1" x14ac:dyDescent="0.25">
      <c r="A237" s="258" t="str">
        <f>HYPERLINK("http://www.ofsted.gov.uk/inspection-reports/find-inspection-report/provider/ELS/135555 ","Ofsted School Webpage")</f>
        <v>Ofsted School Webpage</v>
      </c>
      <c r="B237" s="237">
        <v>135555</v>
      </c>
      <c r="C237" s="237">
        <v>9096097</v>
      </c>
      <c r="D237" s="237" t="s">
        <v>1069</v>
      </c>
      <c r="E237" s="237" t="s">
        <v>248</v>
      </c>
      <c r="F237" s="237" t="s">
        <v>501</v>
      </c>
      <c r="G237" s="237" t="s">
        <v>495</v>
      </c>
      <c r="H237" s="237" t="s">
        <v>495</v>
      </c>
      <c r="I237" s="237" t="s">
        <v>663</v>
      </c>
      <c r="J237" s="237" t="s">
        <v>1070</v>
      </c>
      <c r="K237" s="237" t="s">
        <v>93</v>
      </c>
      <c r="L237" s="237" t="s">
        <v>93</v>
      </c>
      <c r="M237" s="237" t="s">
        <v>93</v>
      </c>
      <c r="N237" s="237" t="s">
        <v>90</v>
      </c>
      <c r="O237" s="237" t="s">
        <v>486</v>
      </c>
      <c r="P237" s="237" t="s">
        <v>487</v>
      </c>
      <c r="Q237" s="238">
        <v>10067902</v>
      </c>
      <c r="R237" s="239">
        <v>43522</v>
      </c>
      <c r="S237" s="239">
        <v>43524</v>
      </c>
      <c r="T237" s="239">
        <v>43544</v>
      </c>
      <c r="U237" s="237" t="s">
        <v>488</v>
      </c>
      <c r="V237" s="237" t="s">
        <v>489</v>
      </c>
      <c r="W237" s="237">
        <v>2</v>
      </c>
      <c r="X237" s="237">
        <v>2</v>
      </c>
      <c r="Y237" s="237">
        <v>2</v>
      </c>
      <c r="Z237" s="237">
        <v>2</v>
      </c>
      <c r="AA237" s="237">
        <v>2</v>
      </c>
      <c r="AB237" s="237" t="s">
        <v>486</v>
      </c>
      <c r="AC237" s="237" t="s">
        <v>486</v>
      </c>
      <c r="AD237" s="237" t="s">
        <v>219</v>
      </c>
      <c r="AE237" s="237" t="s">
        <v>490</v>
      </c>
      <c r="AF237" s="237" t="s">
        <v>486</v>
      </c>
      <c r="AG237" s="237" t="s">
        <v>486</v>
      </c>
      <c r="AH237" s="237" t="s">
        <v>486</v>
      </c>
      <c r="AI237" s="237" t="s">
        <v>486</v>
      </c>
      <c r="AJ237" s="237" t="s">
        <v>486</v>
      </c>
      <c r="AK237" s="237" t="s">
        <v>486</v>
      </c>
      <c r="AL237" s="237" t="s">
        <v>486</v>
      </c>
      <c r="AM237" s="237" t="s">
        <v>491</v>
      </c>
      <c r="AN237" s="237" t="s">
        <v>231</v>
      </c>
      <c r="AO237" s="237" t="s">
        <v>231</v>
      </c>
      <c r="AP237" s="237" t="s">
        <v>231</v>
      </c>
      <c r="AQ237" s="237" t="s">
        <v>231</v>
      </c>
      <c r="AR237" s="237" t="s">
        <v>231</v>
      </c>
      <c r="AS237" s="237" t="s">
        <v>231</v>
      </c>
      <c r="AT237" s="237" t="s">
        <v>231</v>
      </c>
      <c r="AU237" s="237" t="s">
        <v>231</v>
      </c>
      <c r="AV237" s="237" t="s">
        <v>231</v>
      </c>
      <c r="AW237" s="237" t="s">
        <v>231</v>
      </c>
      <c r="AX237" s="237" t="s">
        <v>231</v>
      </c>
      <c r="AY237" s="237" t="s">
        <v>231</v>
      </c>
      <c r="AZ237" s="237" t="s">
        <v>231</v>
      </c>
      <c r="BA237" s="237" t="s">
        <v>231</v>
      </c>
      <c r="BB237" s="237" t="s">
        <v>231</v>
      </c>
      <c r="BC237" s="237" t="s">
        <v>231</v>
      </c>
      <c r="BD237" s="237" t="s">
        <v>492</v>
      </c>
      <c r="BE237" s="237" t="s">
        <v>231</v>
      </c>
      <c r="BF237" s="237" t="s">
        <v>231</v>
      </c>
      <c r="BG237" s="237" t="s">
        <v>231</v>
      </c>
      <c r="BH237" s="237" t="s">
        <v>231</v>
      </c>
      <c r="BI237" s="237" t="s">
        <v>231</v>
      </c>
      <c r="BJ237" s="237" t="s">
        <v>231</v>
      </c>
      <c r="BK237" s="237" t="s">
        <v>231</v>
      </c>
      <c r="BL237" s="237" t="s">
        <v>492</v>
      </c>
      <c r="BM237" s="237" t="s">
        <v>492</v>
      </c>
      <c r="BN237" s="237" t="s">
        <v>231</v>
      </c>
      <c r="BO237" s="237" t="s">
        <v>231</v>
      </c>
      <c r="BP237" s="237" t="s">
        <v>231</v>
      </c>
      <c r="BQ237" s="237" t="s">
        <v>231</v>
      </c>
      <c r="BR237" s="237" t="s">
        <v>231</v>
      </c>
      <c r="BS237" s="237" t="s">
        <v>231</v>
      </c>
      <c r="BT237" s="237" t="s">
        <v>231</v>
      </c>
      <c r="BU237" s="237" t="s">
        <v>231</v>
      </c>
      <c r="BV237" s="237" t="s">
        <v>231</v>
      </c>
      <c r="BW237" s="237" t="s">
        <v>231</v>
      </c>
      <c r="BX237" s="237" t="s">
        <v>231</v>
      </c>
      <c r="BY237" s="237" t="s">
        <v>231</v>
      </c>
      <c r="BZ237" s="237" t="s">
        <v>231</v>
      </c>
      <c r="CA237" s="237" t="s">
        <v>231</v>
      </c>
      <c r="CB237" s="237" t="s">
        <v>231</v>
      </c>
      <c r="CC237" s="237" t="s">
        <v>231</v>
      </c>
      <c r="CD237" s="237" t="s">
        <v>231</v>
      </c>
      <c r="CE237" s="237" t="s">
        <v>231</v>
      </c>
      <c r="CF237" s="237" t="s">
        <v>231</v>
      </c>
      <c r="CG237" s="237" t="s">
        <v>231</v>
      </c>
      <c r="CH237" s="237" t="s">
        <v>231</v>
      </c>
      <c r="CI237" s="237" t="s">
        <v>231</v>
      </c>
      <c r="CJ237" s="237" t="s">
        <v>231</v>
      </c>
      <c r="CK237" s="237" t="s">
        <v>231</v>
      </c>
      <c r="CL237" s="237" t="s">
        <v>231</v>
      </c>
      <c r="CM237" s="237" t="s">
        <v>231</v>
      </c>
      <c r="CN237" s="237" t="s">
        <v>231</v>
      </c>
      <c r="CO237" s="237" t="s">
        <v>231</v>
      </c>
      <c r="CP237" s="237" t="s">
        <v>231</v>
      </c>
      <c r="CQ237" s="237" t="s">
        <v>231</v>
      </c>
      <c r="CR237" s="237" t="s">
        <v>231</v>
      </c>
      <c r="CS237" s="237" t="s">
        <v>231</v>
      </c>
      <c r="CT237" s="237" t="s">
        <v>492</v>
      </c>
      <c r="CU237" s="237" t="s">
        <v>492</v>
      </c>
      <c r="CV237" s="237" t="s">
        <v>492</v>
      </c>
      <c r="CW237" s="237" t="s">
        <v>231</v>
      </c>
      <c r="CX237" s="237" t="s">
        <v>231</v>
      </c>
      <c r="CY237" s="237" t="s">
        <v>231</v>
      </c>
      <c r="CZ237" s="237" t="s">
        <v>231</v>
      </c>
      <c r="DA237" s="237" t="s">
        <v>231</v>
      </c>
      <c r="DB237" s="237" t="s">
        <v>231</v>
      </c>
      <c r="DC237" s="237" t="s">
        <v>231</v>
      </c>
      <c r="DD237" s="237" t="s">
        <v>231</v>
      </c>
      <c r="DE237" s="237" t="s">
        <v>231</v>
      </c>
      <c r="DF237" s="237" t="s">
        <v>231</v>
      </c>
      <c r="DG237" s="237" t="s">
        <v>231</v>
      </c>
      <c r="DH237" s="237" t="s">
        <v>231</v>
      </c>
      <c r="DI237" s="237" t="s">
        <v>231</v>
      </c>
      <c r="DJ237" s="237" t="s">
        <v>231</v>
      </c>
      <c r="DK237" s="237" t="s">
        <v>231</v>
      </c>
      <c r="DL237" s="237" t="s">
        <v>231</v>
      </c>
      <c r="DM237" s="237" t="s">
        <v>231</v>
      </c>
      <c r="DN237" s="237" t="s">
        <v>231</v>
      </c>
      <c r="DO237" s="237" t="s">
        <v>231</v>
      </c>
      <c r="DP237" s="237" t="s">
        <v>231</v>
      </c>
      <c r="DQ237" s="237" t="s">
        <v>231</v>
      </c>
      <c r="DR237" s="237" t="s">
        <v>231</v>
      </c>
      <c r="DS237" s="237" t="s">
        <v>492</v>
      </c>
      <c r="DT237" s="237" t="s">
        <v>492</v>
      </c>
      <c r="DU237" s="237" t="s">
        <v>231</v>
      </c>
      <c r="DV237" s="237" t="s">
        <v>231</v>
      </c>
      <c r="DW237" s="237" t="s">
        <v>231</v>
      </c>
      <c r="DX237" s="237" t="s">
        <v>231</v>
      </c>
      <c r="DY237" s="237" t="s">
        <v>231</v>
      </c>
      <c r="DZ237" s="237" t="s">
        <v>231</v>
      </c>
      <c r="EA237" s="237" t="s">
        <v>231</v>
      </c>
      <c r="EB237" s="237" t="s">
        <v>231</v>
      </c>
      <c r="EC237" s="237" t="s">
        <v>231</v>
      </c>
      <c r="ED237" s="237" t="s">
        <v>231</v>
      </c>
      <c r="EE237" s="237" t="s">
        <v>231</v>
      </c>
      <c r="EF237" s="237" t="s">
        <v>231</v>
      </c>
      <c r="EG237" s="237" t="s">
        <v>231</v>
      </c>
      <c r="EH237" s="237" t="s">
        <v>492</v>
      </c>
      <c r="EI237" s="237" t="s">
        <v>231</v>
      </c>
      <c r="EJ237" s="237" t="s">
        <v>231</v>
      </c>
      <c r="EK237" s="237" t="s">
        <v>231</v>
      </c>
      <c r="EL237" s="237" t="s">
        <v>231</v>
      </c>
      <c r="EM237" s="237" t="s">
        <v>231</v>
      </c>
      <c r="EN237" s="237" t="s">
        <v>231</v>
      </c>
      <c r="EO237" s="237" t="s">
        <v>231</v>
      </c>
      <c r="EP237" s="237" t="s">
        <v>231</v>
      </c>
      <c r="EQ237" s="237" t="s">
        <v>492</v>
      </c>
      <c r="ER237" s="237" t="s">
        <v>231</v>
      </c>
      <c r="ES237" s="237" t="s">
        <v>231</v>
      </c>
      <c r="ET237" s="237" t="s">
        <v>231</v>
      </c>
      <c r="EU237" s="237" t="s">
        <v>231</v>
      </c>
      <c r="EV237" s="237" t="s">
        <v>231</v>
      </c>
      <c r="EW237" s="237" t="s">
        <v>231</v>
      </c>
      <c r="EX237" s="237" t="s">
        <v>231</v>
      </c>
      <c r="EY237" s="237" t="s">
        <v>231</v>
      </c>
      <c r="EZ237" s="237" t="s">
        <v>231</v>
      </c>
      <c r="FA237" s="237" t="s">
        <v>231</v>
      </c>
      <c r="FB237" s="237" t="s">
        <v>231</v>
      </c>
      <c r="FC237" s="237" t="s">
        <v>231</v>
      </c>
      <c r="FD237" s="237" t="s">
        <v>231</v>
      </c>
      <c r="FE237" s="237" t="s">
        <v>231</v>
      </c>
      <c r="FF237" s="237" t="s">
        <v>492</v>
      </c>
      <c r="FG237" s="237" t="s">
        <v>231</v>
      </c>
      <c r="FH237" s="237" t="s">
        <v>231</v>
      </c>
      <c r="FI237" s="237" t="s">
        <v>231</v>
      </c>
      <c r="FJ237" s="237" t="s">
        <v>231</v>
      </c>
      <c r="FK237" s="237" t="s">
        <v>231</v>
      </c>
      <c r="FL237" s="237" t="s">
        <v>231</v>
      </c>
      <c r="FM237" s="237" t="s">
        <v>231</v>
      </c>
      <c r="FN237" s="237" t="s">
        <v>492</v>
      </c>
      <c r="FO237" s="237" t="s">
        <v>493</v>
      </c>
      <c r="FP237" s="237" t="s">
        <v>492</v>
      </c>
      <c r="FQ237" s="237" t="s">
        <v>231</v>
      </c>
      <c r="FR237" s="237" t="s">
        <v>231</v>
      </c>
      <c r="FS237" s="237" t="s">
        <v>231</v>
      </c>
      <c r="FT237" s="237" t="s">
        <v>231</v>
      </c>
      <c r="FU237" s="237" t="s">
        <v>231</v>
      </c>
      <c r="FV237" s="237" t="s">
        <v>231</v>
      </c>
      <c r="FW237" s="237" t="s">
        <v>231</v>
      </c>
      <c r="FX237" s="237" t="s">
        <v>492</v>
      </c>
      <c r="FY237" s="237" t="s">
        <v>231</v>
      </c>
      <c r="FZ237" s="237" t="s">
        <v>231</v>
      </c>
      <c r="GA237" s="237" t="s">
        <v>231</v>
      </c>
      <c r="GB237" s="237" t="s">
        <v>231</v>
      </c>
      <c r="GC237" s="237" t="s">
        <v>231</v>
      </c>
      <c r="GD237" s="237" t="s">
        <v>231</v>
      </c>
      <c r="GE237" s="237" t="s">
        <v>231</v>
      </c>
      <c r="GF237" s="237" t="s">
        <v>231</v>
      </c>
      <c r="GG237" s="237" t="s">
        <v>231</v>
      </c>
      <c r="GH237" s="237" t="s">
        <v>231</v>
      </c>
      <c r="GI237" s="237" t="s">
        <v>231</v>
      </c>
      <c r="GJ237" s="237" t="s">
        <v>231</v>
      </c>
      <c r="GK237" s="237" t="s">
        <v>231</v>
      </c>
      <c r="GL237" s="237" t="s">
        <v>231</v>
      </c>
      <c r="GM237" s="237" t="s">
        <v>231</v>
      </c>
      <c r="GN237" s="237" t="s">
        <v>231</v>
      </c>
      <c r="GO237" s="237" t="s">
        <v>231</v>
      </c>
      <c r="GP237" s="237" t="s">
        <v>492</v>
      </c>
      <c r="GQ237" s="237" t="s">
        <v>231</v>
      </c>
      <c r="GR237" s="237" t="s">
        <v>231</v>
      </c>
      <c r="GS237" s="237" t="s">
        <v>231</v>
      </c>
      <c r="GT237" s="237" t="s">
        <v>231</v>
      </c>
      <c r="GU237" s="237" t="s">
        <v>231</v>
      </c>
      <c r="GV237" s="237" t="s">
        <v>231</v>
      </c>
      <c r="GW237" s="237" t="s">
        <v>231</v>
      </c>
      <c r="GX237" s="237" t="s">
        <v>231</v>
      </c>
      <c r="GY237" s="237" t="s">
        <v>231</v>
      </c>
      <c r="GZ237" s="237" t="s">
        <v>231</v>
      </c>
      <c r="HA237" s="237" t="s">
        <v>231</v>
      </c>
      <c r="HB237" s="237" t="s">
        <v>231</v>
      </c>
      <c r="HC237" s="237" t="s">
        <v>231</v>
      </c>
      <c r="HD237" s="237" t="s">
        <v>231</v>
      </c>
      <c r="HE237" s="237" t="s">
        <v>231</v>
      </c>
      <c r="HF237" s="237" t="s">
        <v>231</v>
      </c>
      <c r="HG237" s="237" t="s">
        <v>231</v>
      </c>
      <c r="HH237" s="237" t="s">
        <v>231</v>
      </c>
      <c r="HI237" s="237" t="s">
        <v>231</v>
      </c>
      <c r="HJ237" s="237" t="s">
        <v>231</v>
      </c>
      <c r="HK237" s="237" t="s">
        <v>231</v>
      </c>
      <c r="HL237" s="237" t="s">
        <v>231</v>
      </c>
      <c r="HM237" s="237" t="s">
        <v>231</v>
      </c>
      <c r="HN237" s="237" t="s">
        <v>231</v>
      </c>
      <c r="HO237" s="237" t="s">
        <v>231</v>
      </c>
      <c r="HP237" s="237" t="s">
        <v>231</v>
      </c>
      <c r="HQ237" s="237" t="s">
        <v>231</v>
      </c>
      <c r="HR237" s="237" t="s">
        <v>492</v>
      </c>
      <c r="HS237" s="237" t="s">
        <v>492</v>
      </c>
      <c r="HT237" s="237" t="s">
        <v>492</v>
      </c>
      <c r="HU237" s="237" t="s">
        <v>231</v>
      </c>
      <c r="HV237" s="237" t="s">
        <v>231</v>
      </c>
      <c r="HW237" s="237" t="s">
        <v>231</v>
      </c>
      <c r="HX237" s="237" t="s">
        <v>231</v>
      </c>
      <c r="HY237" s="237" t="s">
        <v>231</v>
      </c>
      <c r="HZ237" s="237" t="s">
        <v>231</v>
      </c>
      <c r="IA237" s="237" t="s">
        <v>231</v>
      </c>
      <c r="IB237" s="237" t="s">
        <v>231</v>
      </c>
      <c r="IC237" s="237" t="s">
        <v>231</v>
      </c>
      <c r="ID237" s="237" t="s">
        <v>231</v>
      </c>
      <c r="IE237" s="237" t="s">
        <v>231</v>
      </c>
      <c r="IF237" s="237" t="s">
        <v>231</v>
      </c>
      <c r="IG237" s="237" t="s">
        <v>231</v>
      </c>
      <c r="IH237" s="237" t="s">
        <v>231</v>
      </c>
      <c r="II237" s="237" t="s">
        <v>231</v>
      </c>
      <c r="IJ237" s="237" t="s">
        <v>231</v>
      </c>
      <c r="IK237" s="237" t="s">
        <v>231</v>
      </c>
      <c r="IL237" s="237" t="s">
        <v>231</v>
      </c>
      <c r="IM237" s="237" t="s">
        <v>231</v>
      </c>
      <c r="IN237" s="237" t="s">
        <v>231</v>
      </c>
      <c r="IO237" s="237" t="s">
        <v>220</v>
      </c>
      <c r="IP237" s="237" t="s">
        <v>493</v>
      </c>
      <c r="IQ237" s="237" t="s">
        <v>219</v>
      </c>
      <c r="IR237" s="237" t="s">
        <v>490</v>
      </c>
      <c r="IS237" s="237" t="s">
        <v>492</v>
      </c>
      <c r="IT237" s="237" t="s">
        <v>492</v>
      </c>
    </row>
    <row r="238" spans="1:254" ht="14.45" customHeight="1" x14ac:dyDescent="0.25">
      <c r="A238" s="259" t="str">
        <f>HYPERLINK("http://www.ofsted.gov.uk/inspection-reports/find-inspection-report/provider/ELS/133453 ","Ofsted School Webpage")</f>
        <v>Ofsted School Webpage</v>
      </c>
      <c r="B238" s="240">
        <v>133453</v>
      </c>
      <c r="C238" s="240">
        <v>3806113</v>
      </c>
      <c r="D238" s="240" t="s">
        <v>1071</v>
      </c>
      <c r="E238" s="240" t="s">
        <v>247</v>
      </c>
      <c r="F238" s="240" t="s">
        <v>482</v>
      </c>
      <c r="G238" s="240" t="s">
        <v>523</v>
      </c>
      <c r="H238" s="240" t="s">
        <v>524</v>
      </c>
      <c r="I238" s="240" t="s">
        <v>674</v>
      </c>
      <c r="J238" s="240" t="s">
        <v>1072</v>
      </c>
      <c r="K238" s="240" t="s">
        <v>93</v>
      </c>
      <c r="L238" s="240" t="s">
        <v>84</v>
      </c>
      <c r="M238" s="240" t="s">
        <v>84</v>
      </c>
      <c r="N238" s="240" t="s">
        <v>84</v>
      </c>
      <c r="O238" s="240" t="s">
        <v>486</v>
      </c>
      <c r="P238" s="240" t="s">
        <v>487</v>
      </c>
      <c r="Q238" s="241">
        <v>10061261</v>
      </c>
      <c r="R238" s="242">
        <v>43522</v>
      </c>
      <c r="S238" s="242">
        <v>43524</v>
      </c>
      <c r="T238" s="242">
        <v>43549</v>
      </c>
      <c r="U238" s="240" t="s">
        <v>488</v>
      </c>
      <c r="V238" s="240" t="s">
        <v>489</v>
      </c>
      <c r="W238" s="240">
        <v>2</v>
      </c>
      <c r="X238" s="240">
        <v>2</v>
      </c>
      <c r="Y238" s="240">
        <v>2</v>
      </c>
      <c r="Z238" s="240">
        <v>2</v>
      </c>
      <c r="AA238" s="240">
        <v>2</v>
      </c>
      <c r="AB238" s="240">
        <v>2</v>
      </c>
      <c r="AC238" s="240" t="s">
        <v>486</v>
      </c>
      <c r="AD238" s="240" t="s">
        <v>219</v>
      </c>
      <c r="AE238" s="240" t="s">
        <v>490</v>
      </c>
      <c r="AF238" s="240" t="s">
        <v>486</v>
      </c>
      <c r="AG238" s="240" t="s">
        <v>486</v>
      </c>
      <c r="AH238" s="240" t="s">
        <v>486</v>
      </c>
      <c r="AI238" s="240" t="s">
        <v>486</v>
      </c>
      <c r="AJ238" s="240" t="s">
        <v>486</v>
      </c>
      <c r="AK238" s="240" t="s">
        <v>486</v>
      </c>
      <c r="AL238" s="240" t="s">
        <v>486</v>
      </c>
      <c r="AM238" s="240" t="s">
        <v>491</v>
      </c>
      <c r="AN238" s="240" t="s">
        <v>231</v>
      </c>
      <c r="AO238" s="240" t="s">
        <v>231</v>
      </c>
      <c r="AP238" s="240" t="s">
        <v>231</v>
      </c>
      <c r="AQ238" s="240" t="s">
        <v>231</v>
      </c>
      <c r="AR238" s="240" t="s">
        <v>231</v>
      </c>
      <c r="AS238" s="240" t="s">
        <v>231</v>
      </c>
      <c r="AT238" s="240" t="s">
        <v>231</v>
      </c>
      <c r="AU238" s="240" t="s">
        <v>231</v>
      </c>
      <c r="AV238" s="240" t="s">
        <v>231</v>
      </c>
      <c r="AW238" s="240" t="s">
        <v>231</v>
      </c>
      <c r="AX238" s="240" t="s">
        <v>231</v>
      </c>
      <c r="AY238" s="240" t="s">
        <v>231</v>
      </c>
      <c r="AZ238" s="240" t="s">
        <v>231</v>
      </c>
      <c r="BA238" s="240" t="s">
        <v>231</v>
      </c>
      <c r="BB238" s="240" t="s">
        <v>231</v>
      </c>
      <c r="BC238" s="240" t="s">
        <v>231</v>
      </c>
      <c r="BD238" s="240" t="s">
        <v>492</v>
      </c>
      <c r="BE238" s="240" t="s">
        <v>231</v>
      </c>
      <c r="BF238" s="240" t="s">
        <v>231</v>
      </c>
      <c r="BG238" s="240" t="s">
        <v>231</v>
      </c>
      <c r="BH238" s="240" t="s">
        <v>492</v>
      </c>
      <c r="BI238" s="240" t="s">
        <v>492</v>
      </c>
      <c r="BJ238" s="240" t="s">
        <v>492</v>
      </c>
      <c r="BK238" s="240" t="s">
        <v>492</v>
      </c>
      <c r="BL238" s="240" t="s">
        <v>231</v>
      </c>
      <c r="BM238" s="240" t="s">
        <v>492</v>
      </c>
      <c r="BN238" s="240" t="s">
        <v>231</v>
      </c>
      <c r="BO238" s="240" t="s">
        <v>231</v>
      </c>
      <c r="BP238" s="240" t="s">
        <v>231</v>
      </c>
      <c r="BQ238" s="240" t="s">
        <v>231</v>
      </c>
      <c r="BR238" s="240" t="s">
        <v>231</v>
      </c>
      <c r="BS238" s="240" t="s">
        <v>231</v>
      </c>
      <c r="BT238" s="240" t="s">
        <v>231</v>
      </c>
      <c r="BU238" s="240" t="s">
        <v>231</v>
      </c>
      <c r="BV238" s="240" t="s">
        <v>231</v>
      </c>
      <c r="BW238" s="240" t="s">
        <v>231</v>
      </c>
      <c r="BX238" s="240" t="s">
        <v>231</v>
      </c>
      <c r="BY238" s="240" t="s">
        <v>231</v>
      </c>
      <c r="BZ238" s="240" t="s">
        <v>231</v>
      </c>
      <c r="CA238" s="240" t="s">
        <v>231</v>
      </c>
      <c r="CB238" s="240" t="s">
        <v>231</v>
      </c>
      <c r="CC238" s="240" t="s">
        <v>231</v>
      </c>
      <c r="CD238" s="240" t="s">
        <v>231</v>
      </c>
      <c r="CE238" s="240" t="s">
        <v>231</v>
      </c>
      <c r="CF238" s="240" t="s">
        <v>231</v>
      </c>
      <c r="CG238" s="240" t="s">
        <v>231</v>
      </c>
      <c r="CH238" s="240" t="s">
        <v>231</v>
      </c>
      <c r="CI238" s="240" t="s">
        <v>231</v>
      </c>
      <c r="CJ238" s="240" t="s">
        <v>231</v>
      </c>
      <c r="CK238" s="240" t="s">
        <v>231</v>
      </c>
      <c r="CL238" s="240" t="s">
        <v>231</v>
      </c>
      <c r="CM238" s="240" t="s">
        <v>231</v>
      </c>
      <c r="CN238" s="240" t="s">
        <v>231</v>
      </c>
      <c r="CO238" s="240" t="s">
        <v>231</v>
      </c>
      <c r="CP238" s="240" t="s">
        <v>231</v>
      </c>
      <c r="CQ238" s="240" t="s">
        <v>231</v>
      </c>
      <c r="CR238" s="240" t="s">
        <v>231</v>
      </c>
      <c r="CS238" s="240" t="s">
        <v>231</v>
      </c>
      <c r="CT238" s="240" t="s">
        <v>492</v>
      </c>
      <c r="CU238" s="240" t="s">
        <v>492</v>
      </c>
      <c r="CV238" s="240" t="s">
        <v>492</v>
      </c>
      <c r="CW238" s="240" t="s">
        <v>231</v>
      </c>
      <c r="CX238" s="240" t="s">
        <v>231</v>
      </c>
      <c r="CY238" s="240" t="s">
        <v>231</v>
      </c>
      <c r="CZ238" s="240" t="s">
        <v>231</v>
      </c>
      <c r="DA238" s="240" t="s">
        <v>231</v>
      </c>
      <c r="DB238" s="240" t="s">
        <v>231</v>
      </c>
      <c r="DC238" s="240" t="s">
        <v>231</v>
      </c>
      <c r="DD238" s="240" t="s">
        <v>231</v>
      </c>
      <c r="DE238" s="240" t="s">
        <v>231</v>
      </c>
      <c r="DF238" s="240" t="s">
        <v>231</v>
      </c>
      <c r="DG238" s="240" t="s">
        <v>231</v>
      </c>
      <c r="DH238" s="240" t="s">
        <v>231</v>
      </c>
      <c r="DI238" s="240" t="s">
        <v>231</v>
      </c>
      <c r="DJ238" s="240" t="s">
        <v>231</v>
      </c>
      <c r="DK238" s="240" t="s">
        <v>231</v>
      </c>
      <c r="DL238" s="240" t="s">
        <v>231</v>
      </c>
      <c r="DM238" s="240" t="s">
        <v>231</v>
      </c>
      <c r="DN238" s="240" t="s">
        <v>231</v>
      </c>
      <c r="DO238" s="240" t="s">
        <v>231</v>
      </c>
      <c r="DP238" s="240" t="s">
        <v>231</v>
      </c>
      <c r="DQ238" s="240" t="s">
        <v>231</v>
      </c>
      <c r="DR238" s="240" t="s">
        <v>231</v>
      </c>
      <c r="DS238" s="240" t="s">
        <v>492</v>
      </c>
      <c r="DT238" s="240" t="s">
        <v>492</v>
      </c>
      <c r="DU238" s="240" t="s">
        <v>492</v>
      </c>
      <c r="DV238" s="240" t="s">
        <v>492</v>
      </c>
      <c r="DW238" s="240" t="s">
        <v>492</v>
      </c>
      <c r="DX238" s="240" t="s">
        <v>492</v>
      </c>
      <c r="DY238" s="240" t="s">
        <v>492</v>
      </c>
      <c r="DZ238" s="240" t="s">
        <v>492</v>
      </c>
      <c r="EA238" s="240" t="s">
        <v>492</v>
      </c>
      <c r="EB238" s="240" t="s">
        <v>492</v>
      </c>
      <c r="EC238" s="240" t="s">
        <v>492</v>
      </c>
      <c r="ED238" s="240" t="s">
        <v>492</v>
      </c>
      <c r="EE238" s="240" t="s">
        <v>492</v>
      </c>
      <c r="EF238" s="240" t="s">
        <v>492</v>
      </c>
      <c r="EG238" s="240" t="s">
        <v>492</v>
      </c>
      <c r="EH238" s="240" t="s">
        <v>492</v>
      </c>
      <c r="EI238" s="240" t="s">
        <v>492</v>
      </c>
      <c r="EJ238" s="240" t="s">
        <v>231</v>
      </c>
      <c r="EK238" s="240" t="s">
        <v>231</v>
      </c>
      <c r="EL238" s="240" t="s">
        <v>231</v>
      </c>
      <c r="EM238" s="240" t="s">
        <v>231</v>
      </c>
      <c r="EN238" s="240" t="s">
        <v>231</v>
      </c>
      <c r="EO238" s="240" t="s">
        <v>231</v>
      </c>
      <c r="EP238" s="240" t="s">
        <v>231</v>
      </c>
      <c r="EQ238" s="240" t="s">
        <v>492</v>
      </c>
      <c r="ER238" s="240" t="s">
        <v>231</v>
      </c>
      <c r="ES238" s="240" t="s">
        <v>492</v>
      </c>
      <c r="ET238" s="240" t="s">
        <v>492</v>
      </c>
      <c r="EU238" s="240" t="s">
        <v>492</v>
      </c>
      <c r="EV238" s="240" t="s">
        <v>492</v>
      </c>
      <c r="EW238" s="240" t="s">
        <v>492</v>
      </c>
      <c r="EX238" s="240" t="s">
        <v>492</v>
      </c>
      <c r="EY238" s="240" t="s">
        <v>492</v>
      </c>
      <c r="EZ238" s="240" t="s">
        <v>492</v>
      </c>
      <c r="FA238" s="240" t="s">
        <v>492</v>
      </c>
      <c r="FB238" s="240" t="s">
        <v>492</v>
      </c>
      <c r="FC238" s="240" t="s">
        <v>492</v>
      </c>
      <c r="FD238" s="240" t="s">
        <v>492</v>
      </c>
      <c r="FE238" s="240" t="s">
        <v>492</v>
      </c>
      <c r="FF238" s="240" t="s">
        <v>492</v>
      </c>
      <c r="FG238" s="240" t="s">
        <v>492</v>
      </c>
      <c r="FH238" s="240" t="s">
        <v>492</v>
      </c>
      <c r="FI238" s="240" t="s">
        <v>492</v>
      </c>
      <c r="FJ238" s="240" t="s">
        <v>492</v>
      </c>
      <c r="FK238" s="240" t="s">
        <v>492</v>
      </c>
      <c r="FL238" s="240" t="s">
        <v>492</v>
      </c>
      <c r="FM238" s="240" t="s">
        <v>231</v>
      </c>
      <c r="FN238" s="240" t="s">
        <v>231</v>
      </c>
      <c r="FO238" s="240" t="s">
        <v>231</v>
      </c>
      <c r="FP238" s="240" t="s">
        <v>231</v>
      </c>
      <c r="FQ238" s="240" t="s">
        <v>231</v>
      </c>
      <c r="FR238" s="240" t="s">
        <v>231</v>
      </c>
      <c r="FS238" s="240" t="s">
        <v>231</v>
      </c>
      <c r="FT238" s="240" t="s">
        <v>492</v>
      </c>
      <c r="FU238" s="240" t="s">
        <v>231</v>
      </c>
      <c r="FV238" s="240" t="s">
        <v>231</v>
      </c>
      <c r="FW238" s="240" t="s">
        <v>231</v>
      </c>
      <c r="FX238" s="240" t="s">
        <v>492</v>
      </c>
      <c r="FY238" s="240" t="s">
        <v>231</v>
      </c>
      <c r="FZ238" s="240" t="s">
        <v>231</v>
      </c>
      <c r="GA238" s="240" t="s">
        <v>231</v>
      </c>
      <c r="GB238" s="240" t="s">
        <v>231</v>
      </c>
      <c r="GC238" s="240" t="s">
        <v>231</v>
      </c>
      <c r="GD238" s="240" t="s">
        <v>231</v>
      </c>
      <c r="GE238" s="240" t="s">
        <v>231</v>
      </c>
      <c r="GF238" s="240" t="s">
        <v>231</v>
      </c>
      <c r="GG238" s="240" t="s">
        <v>231</v>
      </c>
      <c r="GH238" s="240" t="s">
        <v>231</v>
      </c>
      <c r="GI238" s="240" t="s">
        <v>231</v>
      </c>
      <c r="GJ238" s="240" t="s">
        <v>231</v>
      </c>
      <c r="GK238" s="240" t="s">
        <v>231</v>
      </c>
      <c r="GL238" s="240" t="s">
        <v>231</v>
      </c>
      <c r="GM238" s="240" t="s">
        <v>231</v>
      </c>
      <c r="GN238" s="240" t="s">
        <v>231</v>
      </c>
      <c r="GO238" s="240" t="s">
        <v>231</v>
      </c>
      <c r="GP238" s="240" t="s">
        <v>492</v>
      </c>
      <c r="GQ238" s="240" t="s">
        <v>231</v>
      </c>
      <c r="GR238" s="240" t="s">
        <v>231</v>
      </c>
      <c r="GS238" s="240" t="s">
        <v>231</v>
      </c>
      <c r="GT238" s="240" t="s">
        <v>231</v>
      </c>
      <c r="GU238" s="240" t="s">
        <v>231</v>
      </c>
      <c r="GV238" s="240" t="s">
        <v>492</v>
      </c>
      <c r="GW238" s="240" t="s">
        <v>231</v>
      </c>
      <c r="GX238" s="240" t="s">
        <v>231</v>
      </c>
      <c r="GY238" s="240" t="s">
        <v>231</v>
      </c>
      <c r="GZ238" s="240" t="s">
        <v>492</v>
      </c>
      <c r="HA238" s="240" t="s">
        <v>231</v>
      </c>
      <c r="HB238" s="240" t="s">
        <v>231</v>
      </c>
      <c r="HC238" s="240" t="s">
        <v>231</v>
      </c>
      <c r="HD238" s="240" t="s">
        <v>231</v>
      </c>
      <c r="HE238" s="240" t="s">
        <v>231</v>
      </c>
      <c r="HF238" s="240" t="s">
        <v>492</v>
      </c>
      <c r="HG238" s="240" t="s">
        <v>492</v>
      </c>
      <c r="HH238" s="240" t="s">
        <v>231</v>
      </c>
      <c r="HI238" s="240" t="s">
        <v>231</v>
      </c>
      <c r="HJ238" s="240" t="s">
        <v>231</v>
      </c>
      <c r="HK238" s="240" t="s">
        <v>231</v>
      </c>
      <c r="HL238" s="240" t="s">
        <v>231</v>
      </c>
      <c r="HM238" s="240" t="s">
        <v>231</v>
      </c>
      <c r="HN238" s="240" t="s">
        <v>231</v>
      </c>
      <c r="HO238" s="240" t="s">
        <v>231</v>
      </c>
      <c r="HP238" s="240" t="s">
        <v>231</v>
      </c>
      <c r="HQ238" s="240" t="s">
        <v>231</v>
      </c>
      <c r="HR238" s="240" t="s">
        <v>492</v>
      </c>
      <c r="HS238" s="240" t="s">
        <v>492</v>
      </c>
      <c r="HT238" s="240" t="s">
        <v>492</v>
      </c>
      <c r="HU238" s="240" t="s">
        <v>231</v>
      </c>
      <c r="HV238" s="240" t="s">
        <v>231</v>
      </c>
      <c r="HW238" s="240" t="s">
        <v>231</v>
      </c>
      <c r="HX238" s="240" t="s">
        <v>231</v>
      </c>
      <c r="HY238" s="240" t="s">
        <v>231</v>
      </c>
      <c r="HZ238" s="240" t="s">
        <v>231</v>
      </c>
      <c r="IA238" s="240" t="s">
        <v>231</v>
      </c>
      <c r="IB238" s="240" t="s">
        <v>231</v>
      </c>
      <c r="IC238" s="240" t="s">
        <v>231</v>
      </c>
      <c r="ID238" s="240" t="s">
        <v>231</v>
      </c>
      <c r="IE238" s="240" t="s">
        <v>231</v>
      </c>
      <c r="IF238" s="240" t="s">
        <v>231</v>
      </c>
      <c r="IG238" s="240" t="s">
        <v>231</v>
      </c>
      <c r="IH238" s="240" t="s">
        <v>231</v>
      </c>
      <c r="II238" s="240" t="s">
        <v>231</v>
      </c>
      <c r="IJ238" s="240" t="s">
        <v>231</v>
      </c>
      <c r="IK238" s="240" t="s">
        <v>231</v>
      </c>
      <c r="IL238" s="240" t="s">
        <v>231</v>
      </c>
      <c r="IM238" s="240" t="s">
        <v>231</v>
      </c>
      <c r="IN238" s="240" t="s">
        <v>231</v>
      </c>
      <c r="IO238" s="240" t="s">
        <v>220</v>
      </c>
      <c r="IP238" s="240" t="s">
        <v>493</v>
      </c>
      <c r="IQ238" s="240" t="s">
        <v>219</v>
      </c>
      <c r="IR238" s="240" t="s">
        <v>490</v>
      </c>
      <c r="IS238" s="240" t="s">
        <v>231</v>
      </c>
      <c r="IT238" s="240" t="s">
        <v>231</v>
      </c>
    </row>
    <row r="239" spans="1:254" ht="14.45" customHeight="1" x14ac:dyDescent="0.25">
      <c r="A239" s="258" t="str">
        <f>HYPERLINK("http://www.ofsted.gov.uk/inspection-reports/find-inspection-report/provider/ELS/136740 ","Ofsted School Webpage")</f>
        <v>Ofsted School Webpage</v>
      </c>
      <c r="B239" s="237">
        <v>136740</v>
      </c>
      <c r="C239" s="237">
        <v>3136083</v>
      </c>
      <c r="D239" s="237" t="s">
        <v>1073</v>
      </c>
      <c r="E239" s="237" t="s">
        <v>248</v>
      </c>
      <c r="F239" s="237" t="s">
        <v>501</v>
      </c>
      <c r="G239" s="237" t="s">
        <v>506</v>
      </c>
      <c r="H239" s="237" t="s">
        <v>506</v>
      </c>
      <c r="I239" s="237" t="s">
        <v>813</v>
      </c>
      <c r="J239" s="237" t="s">
        <v>1074</v>
      </c>
      <c r="K239" s="237" t="s">
        <v>93</v>
      </c>
      <c r="L239" s="237" t="s">
        <v>93</v>
      </c>
      <c r="M239" s="237" t="s">
        <v>93</v>
      </c>
      <c r="N239" s="237" t="s">
        <v>90</v>
      </c>
      <c r="O239" s="237" t="s">
        <v>486</v>
      </c>
      <c r="P239" s="237" t="s">
        <v>487</v>
      </c>
      <c r="Q239" s="238">
        <v>10054296</v>
      </c>
      <c r="R239" s="239">
        <v>43522</v>
      </c>
      <c r="S239" s="239">
        <v>43524</v>
      </c>
      <c r="T239" s="239">
        <v>43544</v>
      </c>
      <c r="U239" s="237" t="s">
        <v>488</v>
      </c>
      <c r="V239" s="237" t="s">
        <v>489</v>
      </c>
      <c r="W239" s="237">
        <v>2</v>
      </c>
      <c r="X239" s="237">
        <v>2</v>
      </c>
      <c r="Y239" s="237">
        <v>2</v>
      </c>
      <c r="Z239" s="237">
        <v>2</v>
      </c>
      <c r="AA239" s="237">
        <v>2</v>
      </c>
      <c r="AB239" s="237" t="s">
        <v>486</v>
      </c>
      <c r="AC239" s="237" t="s">
        <v>486</v>
      </c>
      <c r="AD239" s="237" t="s">
        <v>219</v>
      </c>
      <c r="AE239" s="237" t="s">
        <v>490</v>
      </c>
      <c r="AF239" s="237" t="s">
        <v>486</v>
      </c>
      <c r="AG239" s="237" t="s">
        <v>486</v>
      </c>
      <c r="AH239" s="237" t="s">
        <v>486</v>
      </c>
      <c r="AI239" s="237" t="s">
        <v>486</v>
      </c>
      <c r="AJ239" s="237" t="s">
        <v>486</v>
      </c>
      <c r="AK239" s="237" t="s">
        <v>486</v>
      </c>
      <c r="AL239" s="237" t="s">
        <v>486</v>
      </c>
      <c r="AM239" s="237" t="s">
        <v>491</v>
      </c>
      <c r="AN239" s="237" t="s">
        <v>231</v>
      </c>
      <c r="AO239" s="237" t="s">
        <v>231</v>
      </c>
      <c r="AP239" s="237" t="s">
        <v>231</v>
      </c>
      <c r="AQ239" s="237" t="s">
        <v>231</v>
      </c>
      <c r="AR239" s="237" t="s">
        <v>231</v>
      </c>
      <c r="AS239" s="237" t="s">
        <v>231</v>
      </c>
      <c r="AT239" s="237" t="s">
        <v>231</v>
      </c>
      <c r="AU239" s="237" t="s">
        <v>231</v>
      </c>
      <c r="AV239" s="237" t="s">
        <v>231</v>
      </c>
      <c r="AW239" s="237" t="s">
        <v>231</v>
      </c>
      <c r="AX239" s="237" t="s">
        <v>231</v>
      </c>
      <c r="AY239" s="237" t="s">
        <v>231</v>
      </c>
      <c r="AZ239" s="237" t="s">
        <v>231</v>
      </c>
      <c r="BA239" s="237" t="s">
        <v>231</v>
      </c>
      <c r="BB239" s="237" t="s">
        <v>231</v>
      </c>
      <c r="BC239" s="237" t="s">
        <v>231</v>
      </c>
      <c r="BD239" s="237" t="s">
        <v>492</v>
      </c>
      <c r="BE239" s="237" t="s">
        <v>231</v>
      </c>
      <c r="BF239" s="237" t="s">
        <v>231</v>
      </c>
      <c r="BG239" s="237" t="s">
        <v>231</v>
      </c>
      <c r="BH239" s="237" t="s">
        <v>231</v>
      </c>
      <c r="BI239" s="237" t="s">
        <v>231</v>
      </c>
      <c r="BJ239" s="237" t="s">
        <v>231</v>
      </c>
      <c r="BK239" s="237" t="s">
        <v>231</v>
      </c>
      <c r="BL239" s="237" t="s">
        <v>492</v>
      </c>
      <c r="BM239" s="237" t="s">
        <v>231</v>
      </c>
      <c r="BN239" s="237" t="s">
        <v>231</v>
      </c>
      <c r="BO239" s="237" t="s">
        <v>231</v>
      </c>
      <c r="BP239" s="237" t="s">
        <v>231</v>
      </c>
      <c r="BQ239" s="237" t="s">
        <v>231</v>
      </c>
      <c r="BR239" s="237" t="s">
        <v>231</v>
      </c>
      <c r="BS239" s="237" t="s">
        <v>231</v>
      </c>
      <c r="BT239" s="237" t="s">
        <v>231</v>
      </c>
      <c r="BU239" s="237" t="s">
        <v>231</v>
      </c>
      <c r="BV239" s="237" t="s">
        <v>231</v>
      </c>
      <c r="BW239" s="237" t="s">
        <v>231</v>
      </c>
      <c r="BX239" s="237" t="s">
        <v>231</v>
      </c>
      <c r="BY239" s="237" t="s">
        <v>231</v>
      </c>
      <c r="BZ239" s="237" t="s">
        <v>231</v>
      </c>
      <c r="CA239" s="237" t="s">
        <v>231</v>
      </c>
      <c r="CB239" s="237" t="s">
        <v>231</v>
      </c>
      <c r="CC239" s="237" t="s">
        <v>231</v>
      </c>
      <c r="CD239" s="237" t="s">
        <v>231</v>
      </c>
      <c r="CE239" s="237" t="s">
        <v>231</v>
      </c>
      <c r="CF239" s="237" t="s">
        <v>231</v>
      </c>
      <c r="CG239" s="237" t="s">
        <v>231</v>
      </c>
      <c r="CH239" s="237" t="s">
        <v>231</v>
      </c>
      <c r="CI239" s="237" t="s">
        <v>231</v>
      </c>
      <c r="CJ239" s="237" t="s">
        <v>231</v>
      </c>
      <c r="CK239" s="237" t="s">
        <v>231</v>
      </c>
      <c r="CL239" s="237" t="s">
        <v>231</v>
      </c>
      <c r="CM239" s="237" t="s">
        <v>231</v>
      </c>
      <c r="CN239" s="237" t="s">
        <v>231</v>
      </c>
      <c r="CO239" s="237" t="s">
        <v>231</v>
      </c>
      <c r="CP239" s="237" t="s">
        <v>231</v>
      </c>
      <c r="CQ239" s="237" t="s">
        <v>231</v>
      </c>
      <c r="CR239" s="237" t="s">
        <v>231</v>
      </c>
      <c r="CS239" s="237" t="s">
        <v>231</v>
      </c>
      <c r="CT239" s="237" t="s">
        <v>492</v>
      </c>
      <c r="CU239" s="237" t="s">
        <v>492</v>
      </c>
      <c r="CV239" s="237" t="s">
        <v>492</v>
      </c>
      <c r="CW239" s="237" t="s">
        <v>231</v>
      </c>
      <c r="CX239" s="237" t="s">
        <v>231</v>
      </c>
      <c r="CY239" s="237" t="s">
        <v>231</v>
      </c>
      <c r="CZ239" s="237" t="s">
        <v>231</v>
      </c>
      <c r="DA239" s="237" t="s">
        <v>231</v>
      </c>
      <c r="DB239" s="237" t="s">
        <v>231</v>
      </c>
      <c r="DC239" s="237" t="s">
        <v>231</v>
      </c>
      <c r="DD239" s="237" t="s">
        <v>231</v>
      </c>
      <c r="DE239" s="237" t="s">
        <v>231</v>
      </c>
      <c r="DF239" s="237" t="s">
        <v>231</v>
      </c>
      <c r="DG239" s="237" t="s">
        <v>231</v>
      </c>
      <c r="DH239" s="237" t="s">
        <v>231</v>
      </c>
      <c r="DI239" s="237" t="s">
        <v>231</v>
      </c>
      <c r="DJ239" s="237" t="s">
        <v>231</v>
      </c>
      <c r="DK239" s="237" t="s">
        <v>231</v>
      </c>
      <c r="DL239" s="237" t="s">
        <v>231</v>
      </c>
      <c r="DM239" s="237" t="s">
        <v>231</v>
      </c>
      <c r="DN239" s="237" t="s">
        <v>231</v>
      </c>
      <c r="DO239" s="237" t="s">
        <v>231</v>
      </c>
      <c r="DP239" s="237" t="s">
        <v>231</v>
      </c>
      <c r="DQ239" s="237" t="s">
        <v>231</v>
      </c>
      <c r="DR239" s="237" t="s">
        <v>231</v>
      </c>
      <c r="DS239" s="237" t="s">
        <v>231</v>
      </c>
      <c r="DT239" s="237" t="s">
        <v>492</v>
      </c>
      <c r="DU239" s="237" t="s">
        <v>231</v>
      </c>
      <c r="DV239" s="237" t="s">
        <v>492</v>
      </c>
      <c r="DW239" s="237" t="s">
        <v>492</v>
      </c>
      <c r="DX239" s="237" t="s">
        <v>492</v>
      </c>
      <c r="DY239" s="237" t="s">
        <v>492</v>
      </c>
      <c r="DZ239" s="237" t="s">
        <v>492</v>
      </c>
      <c r="EA239" s="237" t="s">
        <v>492</v>
      </c>
      <c r="EB239" s="237" t="s">
        <v>492</v>
      </c>
      <c r="EC239" s="237" t="s">
        <v>492</v>
      </c>
      <c r="ED239" s="237" t="s">
        <v>492</v>
      </c>
      <c r="EE239" s="237" t="s">
        <v>492</v>
      </c>
      <c r="EF239" s="237" t="s">
        <v>492</v>
      </c>
      <c r="EG239" s="237" t="s">
        <v>492</v>
      </c>
      <c r="EH239" s="237" t="s">
        <v>492</v>
      </c>
      <c r="EI239" s="237" t="s">
        <v>492</v>
      </c>
      <c r="EJ239" s="237" t="s">
        <v>231</v>
      </c>
      <c r="EK239" s="237" t="s">
        <v>231</v>
      </c>
      <c r="EL239" s="237" t="s">
        <v>231</v>
      </c>
      <c r="EM239" s="237" t="s">
        <v>231</v>
      </c>
      <c r="EN239" s="237" t="s">
        <v>231</v>
      </c>
      <c r="EO239" s="237" t="s">
        <v>231</v>
      </c>
      <c r="EP239" s="237" t="s">
        <v>231</v>
      </c>
      <c r="EQ239" s="237" t="s">
        <v>231</v>
      </c>
      <c r="ER239" s="237" t="s">
        <v>231</v>
      </c>
      <c r="ES239" s="237" t="s">
        <v>231</v>
      </c>
      <c r="ET239" s="237" t="s">
        <v>231</v>
      </c>
      <c r="EU239" s="237" t="s">
        <v>231</v>
      </c>
      <c r="EV239" s="237" t="s">
        <v>231</v>
      </c>
      <c r="EW239" s="237" t="s">
        <v>231</v>
      </c>
      <c r="EX239" s="237" t="s">
        <v>231</v>
      </c>
      <c r="EY239" s="237" t="s">
        <v>231</v>
      </c>
      <c r="EZ239" s="237" t="s">
        <v>231</v>
      </c>
      <c r="FA239" s="237" t="s">
        <v>231</v>
      </c>
      <c r="FB239" s="237" t="s">
        <v>231</v>
      </c>
      <c r="FC239" s="237" t="s">
        <v>231</v>
      </c>
      <c r="FD239" s="237" t="s">
        <v>231</v>
      </c>
      <c r="FE239" s="237" t="s">
        <v>231</v>
      </c>
      <c r="FF239" s="237" t="s">
        <v>492</v>
      </c>
      <c r="FG239" s="237" t="s">
        <v>492</v>
      </c>
      <c r="FH239" s="237" t="s">
        <v>492</v>
      </c>
      <c r="FI239" s="237" t="s">
        <v>492</v>
      </c>
      <c r="FJ239" s="237" t="s">
        <v>492</v>
      </c>
      <c r="FK239" s="237" t="s">
        <v>492</v>
      </c>
      <c r="FL239" s="237" t="s">
        <v>492</v>
      </c>
      <c r="FM239" s="237" t="s">
        <v>231</v>
      </c>
      <c r="FN239" s="237" t="s">
        <v>492</v>
      </c>
      <c r="FO239" s="237" t="s">
        <v>493</v>
      </c>
      <c r="FP239" s="237" t="s">
        <v>492</v>
      </c>
      <c r="FQ239" s="237" t="s">
        <v>231</v>
      </c>
      <c r="FR239" s="237" t="s">
        <v>231</v>
      </c>
      <c r="FS239" s="237" t="s">
        <v>231</v>
      </c>
      <c r="FT239" s="237" t="s">
        <v>231</v>
      </c>
      <c r="FU239" s="237" t="s">
        <v>231</v>
      </c>
      <c r="FV239" s="237" t="s">
        <v>231</v>
      </c>
      <c r="FW239" s="237" t="s">
        <v>231</v>
      </c>
      <c r="FX239" s="237" t="s">
        <v>231</v>
      </c>
      <c r="FY239" s="237" t="s">
        <v>231</v>
      </c>
      <c r="FZ239" s="237" t="s">
        <v>231</v>
      </c>
      <c r="GA239" s="237" t="s">
        <v>231</v>
      </c>
      <c r="GB239" s="237" t="s">
        <v>231</v>
      </c>
      <c r="GC239" s="237" t="s">
        <v>231</v>
      </c>
      <c r="GD239" s="237" t="s">
        <v>231</v>
      </c>
      <c r="GE239" s="237" t="s">
        <v>231</v>
      </c>
      <c r="GF239" s="237" t="s">
        <v>231</v>
      </c>
      <c r="GG239" s="237" t="s">
        <v>231</v>
      </c>
      <c r="GH239" s="237" t="s">
        <v>231</v>
      </c>
      <c r="GI239" s="237" t="s">
        <v>231</v>
      </c>
      <c r="GJ239" s="237" t="s">
        <v>231</v>
      </c>
      <c r="GK239" s="237" t="s">
        <v>231</v>
      </c>
      <c r="GL239" s="237" t="s">
        <v>231</v>
      </c>
      <c r="GM239" s="237" t="s">
        <v>231</v>
      </c>
      <c r="GN239" s="237" t="s">
        <v>231</v>
      </c>
      <c r="GO239" s="237" t="s">
        <v>231</v>
      </c>
      <c r="GP239" s="237" t="s">
        <v>492</v>
      </c>
      <c r="GQ239" s="237" t="s">
        <v>231</v>
      </c>
      <c r="GR239" s="237" t="s">
        <v>231</v>
      </c>
      <c r="GS239" s="237" t="s">
        <v>231</v>
      </c>
      <c r="GT239" s="237" t="s">
        <v>231</v>
      </c>
      <c r="GU239" s="237" t="s">
        <v>231</v>
      </c>
      <c r="GV239" s="237" t="s">
        <v>492</v>
      </c>
      <c r="GW239" s="237" t="s">
        <v>231</v>
      </c>
      <c r="GX239" s="237" t="s">
        <v>231</v>
      </c>
      <c r="GY239" s="237" t="s">
        <v>231</v>
      </c>
      <c r="GZ239" s="237" t="s">
        <v>231</v>
      </c>
      <c r="HA239" s="237" t="s">
        <v>492</v>
      </c>
      <c r="HB239" s="237" t="s">
        <v>231</v>
      </c>
      <c r="HC239" s="237" t="s">
        <v>231</v>
      </c>
      <c r="HD239" s="237" t="s">
        <v>231</v>
      </c>
      <c r="HE239" s="237" t="s">
        <v>492</v>
      </c>
      <c r="HF239" s="237" t="s">
        <v>231</v>
      </c>
      <c r="HG239" s="237" t="s">
        <v>231</v>
      </c>
      <c r="HH239" s="237" t="s">
        <v>231</v>
      </c>
      <c r="HI239" s="237" t="s">
        <v>231</v>
      </c>
      <c r="HJ239" s="237" t="s">
        <v>231</v>
      </c>
      <c r="HK239" s="237" t="s">
        <v>231</v>
      </c>
      <c r="HL239" s="237" t="s">
        <v>231</v>
      </c>
      <c r="HM239" s="237" t="s">
        <v>231</v>
      </c>
      <c r="HN239" s="237" t="s">
        <v>231</v>
      </c>
      <c r="HO239" s="237" t="s">
        <v>231</v>
      </c>
      <c r="HP239" s="237" t="s">
        <v>231</v>
      </c>
      <c r="HQ239" s="237" t="s">
        <v>492</v>
      </c>
      <c r="HR239" s="237" t="s">
        <v>492</v>
      </c>
      <c r="HS239" s="237" t="s">
        <v>492</v>
      </c>
      <c r="HT239" s="237" t="s">
        <v>492</v>
      </c>
      <c r="HU239" s="237" t="s">
        <v>231</v>
      </c>
      <c r="HV239" s="237" t="s">
        <v>231</v>
      </c>
      <c r="HW239" s="237" t="s">
        <v>231</v>
      </c>
      <c r="HX239" s="237" t="s">
        <v>231</v>
      </c>
      <c r="HY239" s="237" t="s">
        <v>231</v>
      </c>
      <c r="HZ239" s="237" t="s">
        <v>231</v>
      </c>
      <c r="IA239" s="237" t="s">
        <v>231</v>
      </c>
      <c r="IB239" s="237" t="s">
        <v>231</v>
      </c>
      <c r="IC239" s="237" t="s">
        <v>231</v>
      </c>
      <c r="ID239" s="237" t="s">
        <v>231</v>
      </c>
      <c r="IE239" s="237" t="s">
        <v>231</v>
      </c>
      <c r="IF239" s="237" t="s">
        <v>231</v>
      </c>
      <c r="IG239" s="237" t="s">
        <v>231</v>
      </c>
      <c r="IH239" s="237" t="s">
        <v>231</v>
      </c>
      <c r="II239" s="237" t="s">
        <v>231</v>
      </c>
      <c r="IJ239" s="237" t="s">
        <v>231</v>
      </c>
      <c r="IK239" s="237" t="s">
        <v>231</v>
      </c>
      <c r="IL239" s="237" t="s">
        <v>231</v>
      </c>
      <c r="IM239" s="237" t="s">
        <v>231</v>
      </c>
      <c r="IN239" s="237" t="s">
        <v>231</v>
      </c>
      <c r="IO239" s="237" t="s">
        <v>219</v>
      </c>
      <c r="IP239" s="237" t="s">
        <v>220</v>
      </c>
      <c r="IQ239" s="237" t="s">
        <v>219</v>
      </c>
      <c r="IR239" s="237" t="s">
        <v>490</v>
      </c>
      <c r="IS239" s="237" t="s">
        <v>492</v>
      </c>
      <c r="IT239" s="237" t="s">
        <v>492</v>
      </c>
    </row>
    <row r="240" spans="1:254" ht="14.45" customHeight="1" x14ac:dyDescent="0.25">
      <c r="A240" s="259" t="str">
        <f>HYPERLINK("http://www.ofsted.gov.uk/inspection-reports/find-inspection-report/provider/ELS/113019 ","Ofsted School Webpage")</f>
        <v>Ofsted School Webpage</v>
      </c>
      <c r="B240" s="240">
        <v>113019</v>
      </c>
      <c r="C240" s="240">
        <v>8306009</v>
      </c>
      <c r="D240" s="240" t="s">
        <v>1075</v>
      </c>
      <c r="E240" s="240" t="s">
        <v>248</v>
      </c>
      <c r="F240" s="240" t="s">
        <v>501</v>
      </c>
      <c r="G240" s="240" t="s">
        <v>572</v>
      </c>
      <c r="H240" s="240" t="s">
        <v>572</v>
      </c>
      <c r="I240" s="240" t="s">
        <v>573</v>
      </c>
      <c r="J240" s="240" t="s">
        <v>1076</v>
      </c>
      <c r="K240" s="240" t="s">
        <v>93</v>
      </c>
      <c r="L240" s="240" t="s">
        <v>93</v>
      </c>
      <c r="M240" s="240" t="s">
        <v>93</v>
      </c>
      <c r="N240" s="240" t="s">
        <v>90</v>
      </c>
      <c r="O240" s="240" t="s">
        <v>486</v>
      </c>
      <c r="P240" s="240" t="s">
        <v>487</v>
      </c>
      <c r="Q240" s="241">
        <v>10078658</v>
      </c>
      <c r="R240" s="242">
        <v>43529</v>
      </c>
      <c r="S240" s="242">
        <v>43531</v>
      </c>
      <c r="T240" s="242">
        <v>43550</v>
      </c>
      <c r="U240" s="240" t="s">
        <v>488</v>
      </c>
      <c r="V240" s="240" t="s">
        <v>489</v>
      </c>
      <c r="W240" s="240">
        <v>2</v>
      </c>
      <c r="X240" s="240">
        <v>2</v>
      </c>
      <c r="Y240" s="240">
        <v>2</v>
      </c>
      <c r="Z240" s="240">
        <v>2</v>
      </c>
      <c r="AA240" s="240">
        <v>2</v>
      </c>
      <c r="AB240" s="240" t="s">
        <v>486</v>
      </c>
      <c r="AC240" s="240">
        <v>2</v>
      </c>
      <c r="AD240" s="240" t="s">
        <v>219</v>
      </c>
      <c r="AE240" s="240" t="s">
        <v>490</v>
      </c>
      <c r="AF240" s="240" t="s">
        <v>486</v>
      </c>
      <c r="AG240" s="240" t="s">
        <v>486</v>
      </c>
      <c r="AH240" s="240" t="s">
        <v>486</v>
      </c>
      <c r="AI240" s="240" t="s">
        <v>486</v>
      </c>
      <c r="AJ240" s="240" t="s">
        <v>486</v>
      </c>
      <c r="AK240" s="240" t="s">
        <v>486</v>
      </c>
      <c r="AL240" s="240" t="s">
        <v>486</v>
      </c>
      <c r="AM240" s="240" t="s">
        <v>491</v>
      </c>
      <c r="AN240" s="240" t="s">
        <v>231</v>
      </c>
      <c r="AO240" s="240" t="s">
        <v>231</v>
      </c>
      <c r="AP240" s="240" t="s">
        <v>231</v>
      </c>
      <c r="AQ240" s="240" t="s">
        <v>231</v>
      </c>
      <c r="AR240" s="240" t="s">
        <v>231</v>
      </c>
      <c r="AS240" s="240" t="s">
        <v>231</v>
      </c>
      <c r="AT240" s="240" t="s">
        <v>231</v>
      </c>
      <c r="AU240" s="240" t="s">
        <v>231</v>
      </c>
      <c r="AV240" s="240" t="s">
        <v>231</v>
      </c>
      <c r="AW240" s="240" t="s">
        <v>231</v>
      </c>
      <c r="AX240" s="240" t="s">
        <v>231</v>
      </c>
      <c r="AY240" s="240" t="s">
        <v>231</v>
      </c>
      <c r="AZ240" s="240" t="s">
        <v>231</v>
      </c>
      <c r="BA240" s="240" t="s">
        <v>231</v>
      </c>
      <c r="BB240" s="240" t="s">
        <v>231</v>
      </c>
      <c r="BC240" s="240" t="s">
        <v>231</v>
      </c>
      <c r="BD240" s="240" t="s">
        <v>492</v>
      </c>
      <c r="BE240" s="240" t="s">
        <v>231</v>
      </c>
      <c r="BF240" s="240" t="s">
        <v>231</v>
      </c>
      <c r="BG240" s="240" t="s">
        <v>231</v>
      </c>
      <c r="BH240" s="240" t="s">
        <v>231</v>
      </c>
      <c r="BI240" s="240" t="s">
        <v>231</v>
      </c>
      <c r="BJ240" s="240" t="s">
        <v>231</v>
      </c>
      <c r="BK240" s="240" t="s">
        <v>231</v>
      </c>
      <c r="BL240" s="240" t="s">
        <v>492</v>
      </c>
      <c r="BM240" s="240" t="s">
        <v>231</v>
      </c>
      <c r="BN240" s="240" t="s">
        <v>231</v>
      </c>
      <c r="BO240" s="240" t="s">
        <v>231</v>
      </c>
      <c r="BP240" s="240" t="s">
        <v>231</v>
      </c>
      <c r="BQ240" s="240" t="s">
        <v>231</v>
      </c>
      <c r="BR240" s="240" t="s">
        <v>231</v>
      </c>
      <c r="BS240" s="240" t="s">
        <v>231</v>
      </c>
      <c r="BT240" s="240" t="s">
        <v>231</v>
      </c>
      <c r="BU240" s="240" t="s">
        <v>231</v>
      </c>
      <c r="BV240" s="240" t="s">
        <v>231</v>
      </c>
      <c r="BW240" s="240" t="s">
        <v>231</v>
      </c>
      <c r="BX240" s="240" t="s">
        <v>231</v>
      </c>
      <c r="BY240" s="240" t="s">
        <v>231</v>
      </c>
      <c r="BZ240" s="240" t="s">
        <v>231</v>
      </c>
      <c r="CA240" s="240" t="s">
        <v>231</v>
      </c>
      <c r="CB240" s="240" t="s">
        <v>231</v>
      </c>
      <c r="CC240" s="240" t="s">
        <v>231</v>
      </c>
      <c r="CD240" s="240" t="s">
        <v>231</v>
      </c>
      <c r="CE240" s="240" t="s">
        <v>231</v>
      </c>
      <c r="CF240" s="240" t="s">
        <v>231</v>
      </c>
      <c r="CG240" s="240" t="s">
        <v>231</v>
      </c>
      <c r="CH240" s="240" t="s">
        <v>231</v>
      </c>
      <c r="CI240" s="240" t="s">
        <v>231</v>
      </c>
      <c r="CJ240" s="240" t="s">
        <v>231</v>
      </c>
      <c r="CK240" s="240" t="s">
        <v>231</v>
      </c>
      <c r="CL240" s="240" t="s">
        <v>231</v>
      </c>
      <c r="CM240" s="240" t="s">
        <v>231</v>
      </c>
      <c r="CN240" s="240" t="s">
        <v>231</v>
      </c>
      <c r="CO240" s="240" t="s">
        <v>231</v>
      </c>
      <c r="CP240" s="240" t="s">
        <v>231</v>
      </c>
      <c r="CQ240" s="240" t="s">
        <v>231</v>
      </c>
      <c r="CR240" s="240" t="s">
        <v>231</v>
      </c>
      <c r="CS240" s="240" t="s">
        <v>231</v>
      </c>
      <c r="CT240" s="240" t="s">
        <v>492</v>
      </c>
      <c r="CU240" s="240" t="s">
        <v>492</v>
      </c>
      <c r="CV240" s="240" t="s">
        <v>492</v>
      </c>
      <c r="CW240" s="240" t="s">
        <v>231</v>
      </c>
      <c r="CX240" s="240" t="s">
        <v>231</v>
      </c>
      <c r="CY240" s="240" t="s">
        <v>231</v>
      </c>
      <c r="CZ240" s="240" t="s">
        <v>231</v>
      </c>
      <c r="DA240" s="240" t="s">
        <v>231</v>
      </c>
      <c r="DB240" s="240" t="s">
        <v>231</v>
      </c>
      <c r="DC240" s="240" t="s">
        <v>231</v>
      </c>
      <c r="DD240" s="240" t="s">
        <v>231</v>
      </c>
      <c r="DE240" s="240" t="s">
        <v>231</v>
      </c>
      <c r="DF240" s="240" t="s">
        <v>231</v>
      </c>
      <c r="DG240" s="240" t="s">
        <v>231</v>
      </c>
      <c r="DH240" s="240" t="s">
        <v>231</v>
      </c>
      <c r="DI240" s="240" t="s">
        <v>231</v>
      </c>
      <c r="DJ240" s="240" t="s">
        <v>231</v>
      </c>
      <c r="DK240" s="240" t="s">
        <v>231</v>
      </c>
      <c r="DL240" s="240" t="s">
        <v>231</v>
      </c>
      <c r="DM240" s="240" t="s">
        <v>231</v>
      </c>
      <c r="DN240" s="240" t="s">
        <v>231</v>
      </c>
      <c r="DO240" s="240" t="s">
        <v>231</v>
      </c>
      <c r="DP240" s="240" t="s">
        <v>231</v>
      </c>
      <c r="DQ240" s="240" t="s">
        <v>231</v>
      </c>
      <c r="DR240" s="240" t="s">
        <v>231</v>
      </c>
      <c r="DS240" s="240" t="s">
        <v>231</v>
      </c>
      <c r="DT240" s="240" t="s">
        <v>492</v>
      </c>
      <c r="DU240" s="240" t="s">
        <v>231</v>
      </c>
      <c r="DV240" s="240" t="s">
        <v>231</v>
      </c>
      <c r="DW240" s="240" t="s">
        <v>231</v>
      </c>
      <c r="DX240" s="240" t="s">
        <v>231</v>
      </c>
      <c r="DY240" s="240" t="s">
        <v>231</v>
      </c>
      <c r="DZ240" s="240" t="s">
        <v>231</v>
      </c>
      <c r="EA240" s="240" t="s">
        <v>231</v>
      </c>
      <c r="EB240" s="240" t="s">
        <v>231</v>
      </c>
      <c r="EC240" s="240" t="s">
        <v>231</v>
      </c>
      <c r="ED240" s="240" t="s">
        <v>231</v>
      </c>
      <c r="EE240" s="240" t="s">
        <v>231</v>
      </c>
      <c r="EF240" s="240" t="s">
        <v>231</v>
      </c>
      <c r="EG240" s="240" t="s">
        <v>231</v>
      </c>
      <c r="EH240" s="240" t="s">
        <v>492</v>
      </c>
      <c r="EI240" s="240" t="s">
        <v>231</v>
      </c>
      <c r="EJ240" s="240" t="s">
        <v>492</v>
      </c>
      <c r="EK240" s="240" t="s">
        <v>492</v>
      </c>
      <c r="EL240" s="240" t="s">
        <v>492</v>
      </c>
      <c r="EM240" s="240" t="s">
        <v>492</v>
      </c>
      <c r="EN240" s="240" t="s">
        <v>492</v>
      </c>
      <c r="EO240" s="240" t="s">
        <v>492</v>
      </c>
      <c r="EP240" s="240" t="s">
        <v>492</v>
      </c>
      <c r="EQ240" s="240" t="s">
        <v>492</v>
      </c>
      <c r="ER240" s="240" t="s">
        <v>492</v>
      </c>
      <c r="ES240" s="240" t="s">
        <v>231</v>
      </c>
      <c r="ET240" s="240" t="s">
        <v>231</v>
      </c>
      <c r="EU240" s="240" t="s">
        <v>231</v>
      </c>
      <c r="EV240" s="240" t="s">
        <v>231</v>
      </c>
      <c r="EW240" s="240" t="s">
        <v>231</v>
      </c>
      <c r="EX240" s="240" t="s">
        <v>231</v>
      </c>
      <c r="EY240" s="240" t="s">
        <v>231</v>
      </c>
      <c r="EZ240" s="240" t="s">
        <v>231</v>
      </c>
      <c r="FA240" s="240" t="s">
        <v>231</v>
      </c>
      <c r="FB240" s="240" t="s">
        <v>231</v>
      </c>
      <c r="FC240" s="240" t="s">
        <v>231</v>
      </c>
      <c r="FD240" s="240" t="s">
        <v>231</v>
      </c>
      <c r="FE240" s="240" t="s">
        <v>231</v>
      </c>
      <c r="FF240" s="240" t="s">
        <v>231</v>
      </c>
      <c r="FG240" s="240" t="s">
        <v>231</v>
      </c>
      <c r="FH240" s="240" t="s">
        <v>231</v>
      </c>
      <c r="FI240" s="240" t="s">
        <v>231</v>
      </c>
      <c r="FJ240" s="240" t="s">
        <v>231</v>
      </c>
      <c r="FK240" s="240" t="s">
        <v>492</v>
      </c>
      <c r="FL240" s="240" t="s">
        <v>231</v>
      </c>
      <c r="FM240" s="240" t="s">
        <v>492</v>
      </c>
      <c r="FN240" s="240" t="s">
        <v>492</v>
      </c>
      <c r="FO240" s="240" t="s">
        <v>493</v>
      </c>
      <c r="FP240" s="240" t="s">
        <v>492</v>
      </c>
      <c r="FQ240" s="240" t="s">
        <v>231</v>
      </c>
      <c r="FR240" s="240" t="s">
        <v>231</v>
      </c>
      <c r="FS240" s="240" t="s">
        <v>231</v>
      </c>
      <c r="FT240" s="240" t="s">
        <v>231</v>
      </c>
      <c r="FU240" s="240" t="s">
        <v>231</v>
      </c>
      <c r="FV240" s="240" t="s">
        <v>231</v>
      </c>
      <c r="FW240" s="240" t="s">
        <v>231</v>
      </c>
      <c r="FX240" s="240" t="s">
        <v>492</v>
      </c>
      <c r="FY240" s="240" t="s">
        <v>492</v>
      </c>
      <c r="FZ240" s="240" t="s">
        <v>231</v>
      </c>
      <c r="GA240" s="240" t="s">
        <v>231</v>
      </c>
      <c r="GB240" s="240" t="s">
        <v>231</v>
      </c>
      <c r="GC240" s="240" t="s">
        <v>231</v>
      </c>
      <c r="GD240" s="240" t="s">
        <v>231</v>
      </c>
      <c r="GE240" s="240" t="s">
        <v>231</v>
      </c>
      <c r="GF240" s="240" t="s">
        <v>231</v>
      </c>
      <c r="GG240" s="240" t="s">
        <v>231</v>
      </c>
      <c r="GH240" s="240" t="s">
        <v>231</v>
      </c>
      <c r="GI240" s="240" t="s">
        <v>231</v>
      </c>
      <c r="GJ240" s="240" t="s">
        <v>231</v>
      </c>
      <c r="GK240" s="240" t="s">
        <v>231</v>
      </c>
      <c r="GL240" s="240" t="s">
        <v>231</v>
      </c>
      <c r="GM240" s="240" t="s">
        <v>231</v>
      </c>
      <c r="GN240" s="240" t="s">
        <v>231</v>
      </c>
      <c r="GO240" s="240" t="s">
        <v>231</v>
      </c>
      <c r="GP240" s="240" t="s">
        <v>492</v>
      </c>
      <c r="GQ240" s="240" t="s">
        <v>231</v>
      </c>
      <c r="GR240" s="240" t="s">
        <v>231</v>
      </c>
      <c r="GS240" s="240" t="s">
        <v>231</v>
      </c>
      <c r="GT240" s="240" t="s">
        <v>231</v>
      </c>
      <c r="GU240" s="240" t="s">
        <v>231</v>
      </c>
      <c r="GV240" s="240" t="s">
        <v>492</v>
      </c>
      <c r="GW240" s="240" t="s">
        <v>231</v>
      </c>
      <c r="GX240" s="240" t="s">
        <v>231</v>
      </c>
      <c r="GY240" s="240" t="s">
        <v>231</v>
      </c>
      <c r="GZ240" s="240" t="s">
        <v>231</v>
      </c>
      <c r="HA240" s="240" t="s">
        <v>492</v>
      </c>
      <c r="HB240" s="240" t="s">
        <v>231</v>
      </c>
      <c r="HC240" s="240" t="s">
        <v>231</v>
      </c>
      <c r="HD240" s="240" t="s">
        <v>231</v>
      </c>
      <c r="HE240" s="240" t="s">
        <v>231</v>
      </c>
      <c r="HF240" s="240" t="s">
        <v>492</v>
      </c>
      <c r="HG240" s="240" t="s">
        <v>492</v>
      </c>
      <c r="HH240" s="240" t="s">
        <v>231</v>
      </c>
      <c r="HI240" s="240" t="s">
        <v>231</v>
      </c>
      <c r="HJ240" s="240" t="s">
        <v>231</v>
      </c>
      <c r="HK240" s="240" t="s">
        <v>231</v>
      </c>
      <c r="HL240" s="240" t="s">
        <v>231</v>
      </c>
      <c r="HM240" s="240" t="s">
        <v>231</v>
      </c>
      <c r="HN240" s="240" t="s">
        <v>231</v>
      </c>
      <c r="HO240" s="240" t="s">
        <v>231</v>
      </c>
      <c r="HP240" s="240" t="s">
        <v>231</v>
      </c>
      <c r="HQ240" s="240" t="s">
        <v>492</v>
      </c>
      <c r="HR240" s="240" t="s">
        <v>492</v>
      </c>
      <c r="HS240" s="240" t="s">
        <v>492</v>
      </c>
      <c r="HT240" s="240" t="s">
        <v>492</v>
      </c>
      <c r="HU240" s="240" t="s">
        <v>231</v>
      </c>
      <c r="HV240" s="240" t="s">
        <v>231</v>
      </c>
      <c r="HW240" s="240" t="s">
        <v>231</v>
      </c>
      <c r="HX240" s="240" t="s">
        <v>231</v>
      </c>
      <c r="HY240" s="240" t="s">
        <v>231</v>
      </c>
      <c r="HZ240" s="240" t="s">
        <v>231</v>
      </c>
      <c r="IA240" s="240" t="s">
        <v>231</v>
      </c>
      <c r="IB240" s="240" t="s">
        <v>231</v>
      </c>
      <c r="IC240" s="240" t="s">
        <v>231</v>
      </c>
      <c r="ID240" s="240" t="s">
        <v>231</v>
      </c>
      <c r="IE240" s="240" t="s">
        <v>231</v>
      </c>
      <c r="IF240" s="240" t="s">
        <v>231</v>
      </c>
      <c r="IG240" s="240" t="s">
        <v>231</v>
      </c>
      <c r="IH240" s="240" t="s">
        <v>231</v>
      </c>
      <c r="II240" s="240" t="s">
        <v>231</v>
      </c>
      <c r="IJ240" s="240" t="s">
        <v>231</v>
      </c>
      <c r="IK240" s="240" t="s">
        <v>231</v>
      </c>
      <c r="IL240" s="240" t="s">
        <v>231</v>
      </c>
      <c r="IM240" s="240" t="s">
        <v>231</v>
      </c>
      <c r="IN240" s="240" t="s">
        <v>231</v>
      </c>
      <c r="IO240" s="240" t="s">
        <v>219</v>
      </c>
      <c r="IP240" s="240" t="s">
        <v>219</v>
      </c>
      <c r="IQ240" s="240" t="s">
        <v>219</v>
      </c>
      <c r="IR240" s="240" t="s">
        <v>490</v>
      </c>
      <c r="IS240" s="240" t="s">
        <v>492</v>
      </c>
      <c r="IT240" s="240" t="s">
        <v>492</v>
      </c>
    </row>
    <row r="241" spans="1:254" ht="15" x14ac:dyDescent="0.25">
      <c r="A241" s="258" t="str">
        <f>HYPERLINK("http://www.ofsted.gov.uk/inspection-reports/find-inspection-report/provider/ELS/142013 ","Ofsted School Webpage")</f>
        <v>Ofsted School Webpage</v>
      </c>
      <c r="B241" s="237">
        <v>142013</v>
      </c>
      <c r="C241" s="237">
        <v>8606041</v>
      </c>
      <c r="D241" s="237" t="s">
        <v>1077</v>
      </c>
      <c r="E241" s="237" t="s">
        <v>248</v>
      </c>
      <c r="F241" s="237" t="s">
        <v>501</v>
      </c>
      <c r="G241" s="237" t="s">
        <v>502</v>
      </c>
      <c r="H241" s="237" t="s">
        <v>502</v>
      </c>
      <c r="I241" s="237" t="s">
        <v>652</v>
      </c>
      <c r="J241" s="237" t="s">
        <v>1078</v>
      </c>
      <c r="K241" s="237" t="s">
        <v>93</v>
      </c>
      <c r="L241" s="237" t="s">
        <v>93</v>
      </c>
      <c r="M241" s="237" t="s">
        <v>93</v>
      </c>
      <c r="N241" s="237" t="s">
        <v>90</v>
      </c>
      <c r="O241" s="237" t="s">
        <v>486</v>
      </c>
      <c r="P241" s="237" t="s">
        <v>487</v>
      </c>
      <c r="Q241" s="238">
        <v>10056222</v>
      </c>
      <c r="R241" s="239">
        <v>43529</v>
      </c>
      <c r="S241" s="239">
        <v>43531</v>
      </c>
      <c r="T241" s="239">
        <v>43551</v>
      </c>
      <c r="U241" s="237" t="s">
        <v>488</v>
      </c>
      <c r="V241" s="237" t="s">
        <v>489</v>
      </c>
      <c r="W241" s="237">
        <v>2</v>
      </c>
      <c r="X241" s="237">
        <v>2</v>
      </c>
      <c r="Y241" s="237">
        <v>2</v>
      </c>
      <c r="Z241" s="237">
        <v>2</v>
      </c>
      <c r="AA241" s="237">
        <v>2</v>
      </c>
      <c r="AB241" s="237" t="s">
        <v>486</v>
      </c>
      <c r="AC241" s="237">
        <v>3</v>
      </c>
      <c r="AD241" s="237" t="s">
        <v>219</v>
      </c>
      <c r="AE241" s="237" t="s">
        <v>490</v>
      </c>
      <c r="AF241" s="237" t="s">
        <v>486</v>
      </c>
      <c r="AG241" s="237" t="s">
        <v>486</v>
      </c>
      <c r="AH241" s="237" t="s">
        <v>486</v>
      </c>
      <c r="AI241" s="237" t="s">
        <v>486</v>
      </c>
      <c r="AJ241" s="237" t="s">
        <v>486</v>
      </c>
      <c r="AK241" s="237" t="s">
        <v>486</v>
      </c>
      <c r="AL241" s="237" t="s">
        <v>486</v>
      </c>
      <c r="AM241" s="237" t="s">
        <v>491</v>
      </c>
      <c r="AN241" s="237" t="s">
        <v>231</v>
      </c>
      <c r="AO241" s="237" t="s">
        <v>231</v>
      </c>
      <c r="AP241" s="237" t="s">
        <v>231</v>
      </c>
      <c r="AQ241" s="237" t="s">
        <v>231</v>
      </c>
      <c r="AR241" s="237" t="s">
        <v>231</v>
      </c>
      <c r="AS241" s="237" t="s">
        <v>231</v>
      </c>
      <c r="AT241" s="237" t="s">
        <v>231</v>
      </c>
      <c r="AU241" s="237" t="s">
        <v>231</v>
      </c>
      <c r="AV241" s="237" t="s">
        <v>231</v>
      </c>
      <c r="AW241" s="237" t="s">
        <v>231</v>
      </c>
      <c r="AX241" s="237" t="s">
        <v>231</v>
      </c>
      <c r="AY241" s="237" t="s">
        <v>231</v>
      </c>
      <c r="AZ241" s="237" t="s">
        <v>231</v>
      </c>
      <c r="BA241" s="237" t="s">
        <v>231</v>
      </c>
      <c r="BB241" s="237" t="s">
        <v>231</v>
      </c>
      <c r="BC241" s="237" t="s">
        <v>231</v>
      </c>
      <c r="BD241" s="237" t="s">
        <v>492</v>
      </c>
      <c r="BE241" s="237" t="s">
        <v>231</v>
      </c>
      <c r="BF241" s="237" t="s">
        <v>231</v>
      </c>
      <c r="BG241" s="237" t="s">
        <v>231</v>
      </c>
      <c r="BH241" s="237" t="s">
        <v>231</v>
      </c>
      <c r="BI241" s="237" t="s">
        <v>231</v>
      </c>
      <c r="BJ241" s="237" t="s">
        <v>231</v>
      </c>
      <c r="BK241" s="237" t="s">
        <v>231</v>
      </c>
      <c r="BL241" s="237" t="s">
        <v>492</v>
      </c>
      <c r="BM241" s="237" t="s">
        <v>231</v>
      </c>
      <c r="BN241" s="237" t="s">
        <v>231</v>
      </c>
      <c r="BO241" s="237" t="s">
        <v>231</v>
      </c>
      <c r="BP241" s="237" t="s">
        <v>231</v>
      </c>
      <c r="BQ241" s="237" t="s">
        <v>231</v>
      </c>
      <c r="BR241" s="237" t="s">
        <v>231</v>
      </c>
      <c r="BS241" s="237" t="s">
        <v>231</v>
      </c>
      <c r="BT241" s="237" t="s">
        <v>231</v>
      </c>
      <c r="BU241" s="237" t="s">
        <v>231</v>
      </c>
      <c r="BV241" s="237" t="s">
        <v>231</v>
      </c>
      <c r="BW241" s="237" t="s">
        <v>231</v>
      </c>
      <c r="BX241" s="237" t="s">
        <v>231</v>
      </c>
      <c r="BY241" s="237" t="s">
        <v>231</v>
      </c>
      <c r="BZ241" s="237" t="s">
        <v>231</v>
      </c>
      <c r="CA241" s="237" t="s">
        <v>231</v>
      </c>
      <c r="CB241" s="237" t="s">
        <v>231</v>
      </c>
      <c r="CC241" s="237" t="s">
        <v>231</v>
      </c>
      <c r="CD241" s="237" t="s">
        <v>231</v>
      </c>
      <c r="CE241" s="237" t="s">
        <v>231</v>
      </c>
      <c r="CF241" s="237" t="s">
        <v>231</v>
      </c>
      <c r="CG241" s="237" t="s">
        <v>231</v>
      </c>
      <c r="CH241" s="237" t="s">
        <v>231</v>
      </c>
      <c r="CI241" s="237" t="s">
        <v>231</v>
      </c>
      <c r="CJ241" s="237" t="s">
        <v>231</v>
      </c>
      <c r="CK241" s="237" t="s">
        <v>231</v>
      </c>
      <c r="CL241" s="237" t="s">
        <v>231</v>
      </c>
      <c r="CM241" s="237" t="s">
        <v>231</v>
      </c>
      <c r="CN241" s="237" t="s">
        <v>231</v>
      </c>
      <c r="CO241" s="237" t="s">
        <v>231</v>
      </c>
      <c r="CP241" s="237" t="s">
        <v>231</v>
      </c>
      <c r="CQ241" s="237" t="s">
        <v>231</v>
      </c>
      <c r="CR241" s="237" t="s">
        <v>231</v>
      </c>
      <c r="CS241" s="237" t="s">
        <v>231</v>
      </c>
      <c r="CT241" s="237" t="s">
        <v>492</v>
      </c>
      <c r="CU241" s="237" t="s">
        <v>492</v>
      </c>
      <c r="CV241" s="237" t="s">
        <v>492</v>
      </c>
      <c r="CW241" s="237" t="s">
        <v>231</v>
      </c>
      <c r="CX241" s="237" t="s">
        <v>231</v>
      </c>
      <c r="CY241" s="237" t="s">
        <v>231</v>
      </c>
      <c r="CZ241" s="237" t="s">
        <v>231</v>
      </c>
      <c r="DA241" s="237" t="s">
        <v>231</v>
      </c>
      <c r="DB241" s="237" t="s">
        <v>231</v>
      </c>
      <c r="DC241" s="237" t="s">
        <v>231</v>
      </c>
      <c r="DD241" s="237" t="s">
        <v>231</v>
      </c>
      <c r="DE241" s="237" t="s">
        <v>231</v>
      </c>
      <c r="DF241" s="237" t="s">
        <v>231</v>
      </c>
      <c r="DG241" s="237" t="s">
        <v>231</v>
      </c>
      <c r="DH241" s="237" t="s">
        <v>231</v>
      </c>
      <c r="DI241" s="237" t="s">
        <v>231</v>
      </c>
      <c r="DJ241" s="237" t="s">
        <v>231</v>
      </c>
      <c r="DK241" s="237" t="s">
        <v>231</v>
      </c>
      <c r="DL241" s="237" t="s">
        <v>231</v>
      </c>
      <c r="DM241" s="237" t="s">
        <v>231</v>
      </c>
      <c r="DN241" s="237" t="s">
        <v>231</v>
      </c>
      <c r="DO241" s="237" t="s">
        <v>231</v>
      </c>
      <c r="DP241" s="237" t="s">
        <v>231</v>
      </c>
      <c r="DQ241" s="237" t="s">
        <v>231</v>
      </c>
      <c r="DR241" s="237" t="s">
        <v>231</v>
      </c>
      <c r="DS241" s="237" t="s">
        <v>231</v>
      </c>
      <c r="DT241" s="237" t="s">
        <v>492</v>
      </c>
      <c r="DU241" s="237" t="s">
        <v>231</v>
      </c>
      <c r="DV241" s="237" t="s">
        <v>492</v>
      </c>
      <c r="DW241" s="237" t="s">
        <v>492</v>
      </c>
      <c r="DX241" s="237" t="s">
        <v>492</v>
      </c>
      <c r="DY241" s="237" t="s">
        <v>492</v>
      </c>
      <c r="DZ241" s="237" t="s">
        <v>492</v>
      </c>
      <c r="EA241" s="237" t="s">
        <v>492</v>
      </c>
      <c r="EB241" s="237" t="s">
        <v>492</v>
      </c>
      <c r="EC241" s="237" t="s">
        <v>492</v>
      </c>
      <c r="ED241" s="237" t="s">
        <v>492</v>
      </c>
      <c r="EE241" s="237" t="s">
        <v>492</v>
      </c>
      <c r="EF241" s="237" t="s">
        <v>492</v>
      </c>
      <c r="EG241" s="237" t="s">
        <v>492</v>
      </c>
      <c r="EH241" s="237" t="s">
        <v>492</v>
      </c>
      <c r="EI241" s="237" t="s">
        <v>492</v>
      </c>
      <c r="EJ241" s="237" t="s">
        <v>231</v>
      </c>
      <c r="EK241" s="237" t="s">
        <v>231</v>
      </c>
      <c r="EL241" s="237" t="s">
        <v>231</v>
      </c>
      <c r="EM241" s="237" t="s">
        <v>231</v>
      </c>
      <c r="EN241" s="237" t="s">
        <v>231</v>
      </c>
      <c r="EO241" s="237" t="s">
        <v>231</v>
      </c>
      <c r="EP241" s="237" t="s">
        <v>231</v>
      </c>
      <c r="EQ241" s="237" t="s">
        <v>231</v>
      </c>
      <c r="ER241" s="237" t="s">
        <v>231</v>
      </c>
      <c r="ES241" s="237" t="s">
        <v>231</v>
      </c>
      <c r="ET241" s="237" t="s">
        <v>231</v>
      </c>
      <c r="EU241" s="237" t="s">
        <v>231</v>
      </c>
      <c r="EV241" s="237" t="s">
        <v>231</v>
      </c>
      <c r="EW241" s="237" t="s">
        <v>231</v>
      </c>
      <c r="EX241" s="237" t="s">
        <v>231</v>
      </c>
      <c r="EY241" s="237" t="s">
        <v>231</v>
      </c>
      <c r="EZ241" s="237" t="s">
        <v>231</v>
      </c>
      <c r="FA241" s="237" t="s">
        <v>231</v>
      </c>
      <c r="FB241" s="237" t="s">
        <v>231</v>
      </c>
      <c r="FC241" s="237" t="s">
        <v>231</v>
      </c>
      <c r="FD241" s="237" t="s">
        <v>231</v>
      </c>
      <c r="FE241" s="237" t="s">
        <v>231</v>
      </c>
      <c r="FF241" s="237" t="s">
        <v>231</v>
      </c>
      <c r="FG241" s="237" t="s">
        <v>492</v>
      </c>
      <c r="FH241" s="237" t="s">
        <v>492</v>
      </c>
      <c r="FI241" s="237" t="s">
        <v>492</v>
      </c>
      <c r="FJ241" s="237" t="s">
        <v>492</v>
      </c>
      <c r="FK241" s="237" t="s">
        <v>492</v>
      </c>
      <c r="FL241" s="237" t="s">
        <v>492</v>
      </c>
      <c r="FM241" s="237" t="s">
        <v>231</v>
      </c>
      <c r="FN241" s="237" t="s">
        <v>231</v>
      </c>
      <c r="FO241" s="237" t="s">
        <v>231</v>
      </c>
      <c r="FP241" s="237" t="s">
        <v>231</v>
      </c>
      <c r="FQ241" s="237" t="s">
        <v>231</v>
      </c>
      <c r="FR241" s="237" t="s">
        <v>231</v>
      </c>
      <c r="FS241" s="237" t="s">
        <v>231</v>
      </c>
      <c r="FT241" s="237" t="s">
        <v>231</v>
      </c>
      <c r="FU241" s="237" t="s">
        <v>231</v>
      </c>
      <c r="FV241" s="237" t="s">
        <v>231</v>
      </c>
      <c r="FW241" s="237" t="s">
        <v>231</v>
      </c>
      <c r="FX241" s="237" t="s">
        <v>492</v>
      </c>
      <c r="FY241" s="237" t="s">
        <v>231</v>
      </c>
      <c r="FZ241" s="237" t="s">
        <v>231</v>
      </c>
      <c r="GA241" s="237" t="s">
        <v>231</v>
      </c>
      <c r="GB241" s="237" t="s">
        <v>231</v>
      </c>
      <c r="GC241" s="237" t="s">
        <v>231</v>
      </c>
      <c r="GD241" s="237" t="s">
        <v>231</v>
      </c>
      <c r="GE241" s="237" t="s">
        <v>231</v>
      </c>
      <c r="GF241" s="237" t="s">
        <v>231</v>
      </c>
      <c r="GG241" s="237" t="s">
        <v>231</v>
      </c>
      <c r="GH241" s="237" t="s">
        <v>231</v>
      </c>
      <c r="GI241" s="237" t="s">
        <v>231</v>
      </c>
      <c r="GJ241" s="237" t="s">
        <v>231</v>
      </c>
      <c r="GK241" s="237" t="s">
        <v>231</v>
      </c>
      <c r="GL241" s="237" t="s">
        <v>231</v>
      </c>
      <c r="GM241" s="237" t="s">
        <v>231</v>
      </c>
      <c r="GN241" s="237" t="s">
        <v>231</v>
      </c>
      <c r="GO241" s="237" t="s">
        <v>231</v>
      </c>
      <c r="GP241" s="237" t="s">
        <v>492</v>
      </c>
      <c r="GQ241" s="237" t="s">
        <v>231</v>
      </c>
      <c r="GR241" s="237" t="s">
        <v>231</v>
      </c>
      <c r="GS241" s="237" t="s">
        <v>231</v>
      </c>
      <c r="GT241" s="237" t="s">
        <v>231</v>
      </c>
      <c r="GU241" s="237" t="s">
        <v>231</v>
      </c>
      <c r="GV241" s="237" t="s">
        <v>492</v>
      </c>
      <c r="GW241" s="237" t="s">
        <v>231</v>
      </c>
      <c r="GX241" s="237" t="s">
        <v>231</v>
      </c>
      <c r="GY241" s="237" t="s">
        <v>231</v>
      </c>
      <c r="GZ241" s="237" t="s">
        <v>231</v>
      </c>
      <c r="HA241" s="237" t="s">
        <v>231</v>
      </c>
      <c r="HB241" s="237" t="s">
        <v>231</v>
      </c>
      <c r="HC241" s="237" t="s">
        <v>231</v>
      </c>
      <c r="HD241" s="237" t="s">
        <v>231</v>
      </c>
      <c r="HE241" s="237" t="s">
        <v>231</v>
      </c>
      <c r="HF241" s="237" t="s">
        <v>231</v>
      </c>
      <c r="HG241" s="237" t="s">
        <v>492</v>
      </c>
      <c r="HH241" s="237" t="s">
        <v>231</v>
      </c>
      <c r="HI241" s="237" t="s">
        <v>231</v>
      </c>
      <c r="HJ241" s="237" t="s">
        <v>231</v>
      </c>
      <c r="HK241" s="237" t="s">
        <v>231</v>
      </c>
      <c r="HL241" s="237" t="s">
        <v>231</v>
      </c>
      <c r="HM241" s="237" t="s">
        <v>231</v>
      </c>
      <c r="HN241" s="237" t="s">
        <v>231</v>
      </c>
      <c r="HO241" s="237" t="s">
        <v>231</v>
      </c>
      <c r="HP241" s="237" t="s">
        <v>231</v>
      </c>
      <c r="HQ241" s="237" t="s">
        <v>492</v>
      </c>
      <c r="HR241" s="237" t="s">
        <v>492</v>
      </c>
      <c r="HS241" s="237" t="s">
        <v>492</v>
      </c>
      <c r="HT241" s="237" t="s">
        <v>492</v>
      </c>
      <c r="HU241" s="237" t="s">
        <v>231</v>
      </c>
      <c r="HV241" s="237" t="s">
        <v>231</v>
      </c>
      <c r="HW241" s="237" t="s">
        <v>231</v>
      </c>
      <c r="HX241" s="237" t="s">
        <v>231</v>
      </c>
      <c r="HY241" s="237" t="s">
        <v>231</v>
      </c>
      <c r="HZ241" s="237" t="s">
        <v>231</v>
      </c>
      <c r="IA241" s="237" t="s">
        <v>231</v>
      </c>
      <c r="IB241" s="237" t="s">
        <v>231</v>
      </c>
      <c r="IC241" s="237" t="s">
        <v>231</v>
      </c>
      <c r="ID241" s="237" t="s">
        <v>231</v>
      </c>
      <c r="IE241" s="237" t="s">
        <v>231</v>
      </c>
      <c r="IF241" s="237" t="s">
        <v>231</v>
      </c>
      <c r="IG241" s="237" t="s">
        <v>231</v>
      </c>
      <c r="IH241" s="237" t="s">
        <v>231</v>
      </c>
      <c r="II241" s="237" t="s">
        <v>231</v>
      </c>
      <c r="IJ241" s="237" t="s">
        <v>231</v>
      </c>
      <c r="IK241" s="237" t="s">
        <v>231</v>
      </c>
      <c r="IL241" s="237" t="s">
        <v>231</v>
      </c>
      <c r="IM241" s="237" t="s">
        <v>231</v>
      </c>
      <c r="IN241" s="237" t="s">
        <v>231</v>
      </c>
      <c r="IO241" s="237" t="s">
        <v>220</v>
      </c>
      <c r="IP241" s="237" t="s">
        <v>493</v>
      </c>
      <c r="IQ241" s="237" t="s">
        <v>219</v>
      </c>
      <c r="IR241" s="237" t="s">
        <v>490</v>
      </c>
      <c r="IS241" s="237" t="s">
        <v>492</v>
      </c>
      <c r="IT241" s="237" t="s">
        <v>492</v>
      </c>
    </row>
    <row r="242" spans="1:254" ht="14.45" customHeight="1" x14ac:dyDescent="0.25">
      <c r="A242" s="259" t="str">
        <f>HYPERLINK("http://www.ofsted.gov.uk/inspection-reports/find-inspection-report/provider/ELS/132079 ","Ofsted School Webpage")</f>
        <v>Ofsted School Webpage</v>
      </c>
      <c r="B242" s="240">
        <v>132079</v>
      </c>
      <c r="C242" s="240">
        <v>8886046</v>
      </c>
      <c r="D242" s="240" t="s">
        <v>1079</v>
      </c>
      <c r="E242" s="240" t="s">
        <v>248</v>
      </c>
      <c r="F242" s="240" t="s">
        <v>501</v>
      </c>
      <c r="G242" s="240" t="s">
        <v>495</v>
      </c>
      <c r="H242" s="240" t="s">
        <v>495</v>
      </c>
      <c r="I242" s="240" t="s">
        <v>534</v>
      </c>
      <c r="J242" s="240" t="s">
        <v>1080</v>
      </c>
      <c r="K242" s="240" t="s">
        <v>93</v>
      </c>
      <c r="L242" s="240" t="s">
        <v>93</v>
      </c>
      <c r="M242" s="240" t="s">
        <v>93</v>
      </c>
      <c r="N242" s="240" t="s">
        <v>90</v>
      </c>
      <c r="O242" s="240" t="s">
        <v>486</v>
      </c>
      <c r="P242" s="240" t="s">
        <v>487</v>
      </c>
      <c r="Q242" s="241">
        <v>10067894</v>
      </c>
      <c r="R242" s="242">
        <v>43529</v>
      </c>
      <c r="S242" s="242">
        <v>43531</v>
      </c>
      <c r="T242" s="242">
        <v>43550</v>
      </c>
      <c r="U242" s="240" t="s">
        <v>488</v>
      </c>
      <c r="V242" s="240" t="s">
        <v>489</v>
      </c>
      <c r="W242" s="240">
        <v>2</v>
      </c>
      <c r="X242" s="240">
        <v>2</v>
      </c>
      <c r="Y242" s="240">
        <v>2</v>
      </c>
      <c r="Z242" s="240">
        <v>2</v>
      </c>
      <c r="AA242" s="240">
        <v>2</v>
      </c>
      <c r="AB242" s="240" t="s">
        <v>486</v>
      </c>
      <c r="AC242" s="240" t="s">
        <v>486</v>
      </c>
      <c r="AD242" s="240" t="s">
        <v>220</v>
      </c>
      <c r="AE242" s="240" t="s">
        <v>490</v>
      </c>
      <c r="AF242" s="240" t="s">
        <v>486</v>
      </c>
      <c r="AG242" s="240" t="s">
        <v>486</v>
      </c>
      <c r="AH242" s="240" t="s">
        <v>486</v>
      </c>
      <c r="AI242" s="240" t="s">
        <v>486</v>
      </c>
      <c r="AJ242" s="240" t="s">
        <v>486</v>
      </c>
      <c r="AK242" s="240" t="s">
        <v>486</v>
      </c>
      <c r="AL242" s="240" t="s">
        <v>486</v>
      </c>
      <c r="AM242" s="240" t="s">
        <v>491</v>
      </c>
      <c r="AN242" s="240" t="s">
        <v>231</v>
      </c>
      <c r="AO242" s="240" t="s">
        <v>231</v>
      </c>
      <c r="AP242" s="240" t="s">
        <v>231</v>
      </c>
      <c r="AQ242" s="240" t="s">
        <v>231</v>
      </c>
      <c r="AR242" s="240" t="s">
        <v>231</v>
      </c>
      <c r="AS242" s="240" t="s">
        <v>231</v>
      </c>
      <c r="AT242" s="240" t="s">
        <v>231</v>
      </c>
      <c r="AU242" s="240" t="s">
        <v>231</v>
      </c>
      <c r="AV242" s="240" t="s">
        <v>231</v>
      </c>
      <c r="AW242" s="240" t="s">
        <v>231</v>
      </c>
      <c r="AX242" s="240" t="s">
        <v>231</v>
      </c>
      <c r="AY242" s="240" t="s">
        <v>231</v>
      </c>
      <c r="AZ242" s="240" t="s">
        <v>231</v>
      </c>
      <c r="BA242" s="240" t="s">
        <v>231</v>
      </c>
      <c r="BB242" s="240" t="s">
        <v>231</v>
      </c>
      <c r="BC242" s="240" t="s">
        <v>231</v>
      </c>
      <c r="BD242" s="240" t="s">
        <v>492</v>
      </c>
      <c r="BE242" s="240" t="s">
        <v>231</v>
      </c>
      <c r="BF242" s="240" t="s">
        <v>231</v>
      </c>
      <c r="BG242" s="240" t="s">
        <v>231</v>
      </c>
      <c r="BH242" s="240" t="s">
        <v>231</v>
      </c>
      <c r="BI242" s="240" t="s">
        <v>231</v>
      </c>
      <c r="BJ242" s="240" t="s">
        <v>231</v>
      </c>
      <c r="BK242" s="240" t="s">
        <v>231</v>
      </c>
      <c r="BL242" s="240" t="s">
        <v>492</v>
      </c>
      <c r="BM242" s="240" t="s">
        <v>492</v>
      </c>
      <c r="BN242" s="240" t="s">
        <v>231</v>
      </c>
      <c r="BO242" s="240" t="s">
        <v>231</v>
      </c>
      <c r="BP242" s="240" t="s">
        <v>231</v>
      </c>
      <c r="BQ242" s="240" t="s">
        <v>231</v>
      </c>
      <c r="BR242" s="240" t="s">
        <v>231</v>
      </c>
      <c r="BS242" s="240" t="s">
        <v>231</v>
      </c>
      <c r="BT242" s="240" t="s">
        <v>231</v>
      </c>
      <c r="BU242" s="240" t="s">
        <v>231</v>
      </c>
      <c r="BV242" s="240" t="s">
        <v>231</v>
      </c>
      <c r="BW242" s="240" t="s">
        <v>231</v>
      </c>
      <c r="BX242" s="240" t="s">
        <v>231</v>
      </c>
      <c r="BY242" s="240" t="s">
        <v>231</v>
      </c>
      <c r="BZ242" s="240" t="s">
        <v>231</v>
      </c>
      <c r="CA242" s="240" t="s">
        <v>231</v>
      </c>
      <c r="CB242" s="240" t="s">
        <v>231</v>
      </c>
      <c r="CC242" s="240" t="s">
        <v>231</v>
      </c>
      <c r="CD242" s="240" t="s">
        <v>231</v>
      </c>
      <c r="CE242" s="240" t="s">
        <v>231</v>
      </c>
      <c r="CF242" s="240" t="s">
        <v>231</v>
      </c>
      <c r="CG242" s="240" t="s">
        <v>231</v>
      </c>
      <c r="CH242" s="240" t="s">
        <v>231</v>
      </c>
      <c r="CI242" s="240" t="s">
        <v>231</v>
      </c>
      <c r="CJ242" s="240" t="s">
        <v>231</v>
      </c>
      <c r="CK242" s="240" t="s">
        <v>231</v>
      </c>
      <c r="CL242" s="240" t="s">
        <v>231</v>
      </c>
      <c r="CM242" s="240" t="s">
        <v>231</v>
      </c>
      <c r="CN242" s="240" t="s">
        <v>231</v>
      </c>
      <c r="CO242" s="240" t="s">
        <v>231</v>
      </c>
      <c r="CP242" s="240" t="s">
        <v>231</v>
      </c>
      <c r="CQ242" s="240" t="s">
        <v>231</v>
      </c>
      <c r="CR242" s="240" t="s">
        <v>231</v>
      </c>
      <c r="CS242" s="240" t="s">
        <v>231</v>
      </c>
      <c r="CT242" s="240" t="s">
        <v>492</v>
      </c>
      <c r="CU242" s="240" t="s">
        <v>492</v>
      </c>
      <c r="CV242" s="240" t="s">
        <v>492</v>
      </c>
      <c r="CW242" s="240" t="s">
        <v>231</v>
      </c>
      <c r="CX242" s="240" t="s">
        <v>231</v>
      </c>
      <c r="CY242" s="240" t="s">
        <v>231</v>
      </c>
      <c r="CZ242" s="240" t="s">
        <v>231</v>
      </c>
      <c r="DA242" s="240" t="s">
        <v>231</v>
      </c>
      <c r="DB242" s="240" t="s">
        <v>231</v>
      </c>
      <c r="DC242" s="240" t="s">
        <v>231</v>
      </c>
      <c r="DD242" s="240" t="s">
        <v>231</v>
      </c>
      <c r="DE242" s="240" t="s">
        <v>231</v>
      </c>
      <c r="DF242" s="240" t="s">
        <v>231</v>
      </c>
      <c r="DG242" s="240" t="s">
        <v>231</v>
      </c>
      <c r="DH242" s="240" t="s">
        <v>231</v>
      </c>
      <c r="DI242" s="240" t="s">
        <v>231</v>
      </c>
      <c r="DJ242" s="240" t="s">
        <v>231</v>
      </c>
      <c r="DK242" s="240" t="s">
        <v>231</v>
      </c>
      <c r="DL242" s="240" t="s">
        <v>231</v>
      </c>
      <c r="DM242" s="240" t="s">
        <v>231</v>
      </c>
      <c r="DN242" s="240" t="s">
        <v>231</v>
      </c>
      <c r="DO242" s="240" t="s">
        <v>231</v>
      </c>
      <c r="DP242" s="240" t="s">
        <v>231</v>
      </c>
      <c r="DQ242" s="240" t="s">
        <v>231</v>
      </c>
      <c r="DR242" s="240" t="s">
        <v>231</v>
      </c>
      <c r="DS242" s="240" t="s">
        <v>231</v>
      </c>
      <c r="DT242" s="240" t="s">
        <v>492</v>
      </c>
      <c r="DU242" s="240" t="s">
        <v>231</v>
      </c>
      <c r="DV242" s="240" t="s">
        <v>492</v>
      </c>
      <c r="DW242" s="240" t="s">
        <v>492</v>
      </c>
      <c r="DX242" s="240" t="s">
        <v>492</v>
      </c>
      <c r="DY242" s="240" t="s">
        <v>492</v>
      </c>
      <c r="DZ242" s="240" t="s">
        <v>492</v>
      </c>
      <c r="EA242" s="240" t="s">
        <v>492</v>
      </c>
      <c r="EB242" s="240" t="s">
        <v>492</v>
      </c>
      <c r="EC242" s="240" t="s">
        <v>492</v>
      </c>
      <c r="ED242" s="240" t="s">
        <v>492</v>
      </c>
      <c r="EE242" s="240" t="s">
        <v>492</v>
      </c>
      <c r="EF242" s="240" t="s">
        <v>492</v>
      </c>
      <c r="EG242" s="240" t="s">
        <v>492</v>
      </c>
      <c r="EH242" s="240" t="s">
        <v>492</v>
      </c>
      <c r="EI242" s="240" t="s">
        <v>231</v>
      </c>
      <c r="EJ242" s="240" t="s">
        <v>231</v>
      </c>
      <c r="EK242" s="240" t="s">
        <v>231</v>
      </c>
      <c r="EL242" s="240" t="s">
        <v>231</v>
      </c>
      <c r="EM242" s="240" t="s">
        <v>231</v>
      </c>
      <c r="EN242" s="240" t="s">
        <v>231</v>
      </c>
      <c r="EO242" s="240" t="s">
        <v>231</v>
      </c>
      <c r="EP242" s="240" t="s">
        <v>231</v>
      </c>
      <c r="EQ242" s="240" t="s">
        <v>231</v>
      </c>
      <c r="ER242" s="240" t="s">
        <v>231</v>
      </c>
      <c r="ES242" s="240" t="s">
        <v>231</v>
      </c>
      <c r="ET242" s="240" t="s">
        <v>231</v>
      </c>
      <c r="EU242" s="240" t="s">
        <v>231</v>
      </c>
      <c r="EV242" s="240" t="s">
        <v>231</v>
      </c>
      <c r="EW242" s="240" t="s">
        <v>231</v>
      </c>
      <c r="EX242" s="240" t="s">
        <v>231</v>
      </c>
      <c r="EY242" s="240" t="s">
        <v>231</v>
      </c>
      <c r="EZ242" s="240" t="s">
        <v>231</v>
      </c>
      <c r="FA242" s="240" t="s">
        <v>231</v>
      </c>
      <c r="FB242" s="240" t="s">
        <v>231</v>
      </c>
      <c r="FC242" s="240" t="s">
        <v>231</v>
      </c>
      <c r="FD242" s="240" t="s">
        <v>231</v>
      </c>
      <c r="FE242" s="240" t="s">
        <v>231</v>
      </c>
      <c r="FF242" s="240" t="s">
        <v>231</v>
      </c>
      <c r="FG242" s="240" t="s">
        <v>492</v>
      </c>
      <c r="FH242" s="240" t="s">
        <v>492</v>
      </c>
      <c r="FI242" s="240" t="s">
        <v>492</v>
      </c>
      <c r="FJ242" s="240" t="s">
        <v>492</v>
      </c>
      <c r="FK242" s="240" t="s">
        <v>492</v>
      </c>
      <c r="FL242" s="240" t="s">
        <v>492</v>
      </c>
      <c r="FM242" s="240" t="s">
        <v>231</v>
      </c>
      <c r="FN242" s="240" t="s">
        <v>231</v>
      </c>
      <c r="FO242" s="240" t="s">
        <v>231</v>
      </c>
      <c r="FP242" s="240" t="s">
        <v>231</v>
      </c>
      <c r="FQ242" s="240" t="s">
        <v>231</v>
      </c>
      <c r="FR242" s="240" t="s">
        <v>231</v>
      </c>
      <c r="FS242" s="240" t="s">
        <v>231</v>
      </c>
      <c r="FT242" s="240" t="s">
        <v>231</v>
      </c>
      <c r="FU242" s="240" t="s">
        <v>231</v>
      </c>
      <c r="FV242" s="240" t="s">
        <v>231</v>
      </c>
      <c r="FW242" s="240" t="s">
        <v>231</v>
      </c>
      <c r="FX242" s="240" t="s">
        <v>492</v>
      </c>
      <c r="FY242" s="240" t="s">
        <v>231</v>
      </c>
      <c r="FZ242" s="240" t="s">
        <v>231</v>
      </c>
      <c r="GA242" s="240" t="s">
        <v>231</v>
      </c>
      <c r="GB242" s="240" t="s">
        <v>231</v>
      </c>
      <c r="GC242" s="240" t="s">
        <v>231</v>
      </c>
      <c r="GD242" s="240" t="s">
        <v>231</v>
      </c>
      <c r="GE242" s="240" t="s">
        <v>231</v>
      </c>
      <c r="GF242" s="240" t="s">
        <v>231</v>
      </c>
      <c r="GG242" s="240" t="s">
        <v>231</v>
      </c>
      <c r="GH242" s="240" t="s">
        <v>231</v>
      </c>
      <c r="GI242" s="240" t="s">
        <v>231</v>
      </c>
      <c r="GJ242" s="240" t="s">
        <v>231</v>
      </c>
      <c r="GK242" s="240" t="s">
        <v>231</v>
      </c>
      <c r="GL242" s="240" t="s">
        <v>231</v>
      </c>
      <c r="GM242" s="240" t="s">
        <v>231</v>
      </c>
      <c r="GN242" s="240" t="s">
        <v>231</v>
      </c>
      <c r="GO242" s="240" t="s">
        <v>231</v>
      </c>
      <c r="GP242" s="240" t="s">
        <v>492</v>
      </c>
      <c r="GQ242" s="240" t="s">
        <v>231</v>
      </c>
      <c r="GR242" s="240" t="s">
        <v>231</v>
      </c>
      <c r="GS242" s="240" t="s">
        <v>231</v>
      </c>
      <c r="GT242" s="240" t="s">
        <v>231</v>
      </c>
      <c r="GU242" s="240" t="s">
        <v>231</v>
      </c>
      <c r="GV242" s="240" t="s">
        <v>492</v>
      </c>
      <c r="GW242" s="240" t="s">
        <v>231</v>
      </c>
      <c r="GX242" s="240" t="s">
        <v>231</v>
      </c>
      <c r="GY242" s="240" t="s">
        <v>231</v>
      </c>
      <c r="GZ242" s="240" t="s">
        <v>231</v>
      </c>
      <c r="HA242" s="240" t="s">
        <v>231</v>
      </c>
      <c r="HB242" s="240" t="s">
        <v>231</v>
      </c>
      <c r="HC242" s="240" t="s">
        <v>231</v>
      </c>
      <c r="HD242" s="240" t="s">
        <v>231</v>
      </c>
      <c r="HE242" s="240" t="s">
        <v>231</v>
      </c>
      <c r="HF242" s="240" t="s">
        <v>231</v>
      </c>
      <c r="HG242" s="240" t="s">
        <v>231</v>
      </c>
      <c r="HH242" s="240" t="s">
        <v>231</v>
      </c>
      <c r="HI242" s="240" t="s">
        <v>231</v>
      </c>
      <c r="HJ242" s="240" t="s">
        <v>231</v>
      </c>
      <c r="HK242" s="240" t="s">
        <v>231</v>
      </c>
      <c r="HL242" s="240" t="s">
        <v>231</v>
      </c>
      <c r="HM242" s="240" t="s">
        <v>231</v>
      </c>
      <c r="HN242" s="240" t="s">
        <v>231</v>
      </c>
      <c r="HO242" s="240" t="s">
        <v>231</v>
      </c>
      <c r="HP242" s="240" t="s">
        <v>231</v>
      </c>
      <c r="HQ242" s="240" t="s">
        <v>231</v>
      </c>
      <c r="HR242" s="240" t="s">
        <v>492</v>
      </c>
      <c r="HS242" s="240" t="s">
        <v>492</v>
      </c>
      <c r="HT242" s="240" t="s">
        <v>492</v>
      </c>
      <c r="HU242" s="240" t="s">
        <v>231</v>
      </c>
      <c r="HV242" s="240" t="s">
        <v>231</v>
      </c>
      <c r="HW242" s="240" t="s">
        <v>231</v>
      </c>
      <c r="HX242" s="240" t="s">
        <v>231</v>
      </c>
      <c r="HY242" s="240" t="s">
        <v>231</v>
      </c>
      <c r="HZ242" s="240" t="s">
        <v>231</v>
      </c>
      <c r="IA242" s="240" t="s">
        <v>231</v>
      </c>
      <c r="IB242" s="240" t="s">
        <v>231</v>
      </c>
      <c r="IC242" s="240" t="s">
        <v>231</v>
      </c>
      <c r="ID242" s="240" t="s">
        <v>231</v>
      </c>
      <c r="IE242" s="240" t="s">
        <v>231</v>
      </c>
      <c r="IF242" s="240" t="s">
        <v>231</v>
      </c>
      <c r="IG242" s="240" t="s">
        <v>231</v>
      </c>
      <c r="IH242" s="240" t="s">
        <v>231</v>
      </c>
      <c r="II242" s="240" t="s">
        <v>231</v>
      </c>
      <c r="IJ242" s="240" t="s">
        <v>231</v>
      </c>
      <c r="IK242" s="240" t="s">
        <v>231</v>
      </c>
      <c r="IL242" s="240" t="s">
        <v>231</v>
      </c>
      <c r="IM242" s="240" t="s">
        <v>231</v>
      </c>
      <c r="IN242" s="240" t="s">
        <v>231</v>
      </c>
      <c r="IO242" s="240" t="s">
        <v>219</v>
      </c>
      <c r="IP242" s="240" t="s">
        <v>493</v>
      </c>
      <c r="IQ242" s="240" t="s">
        <v>219</v>
      </c>
      <c r="IR242" s="240" t="s">
        <v>490</v>
      </c>
      <c r="IS242" s="240" t="s">
        <v>492</v>
      </c>
      <c r="IT242" s="240" t="s">
        <v>492</v>
      </c>
    </row>
    <row r="243" spans="1:254" ht="15" x14ac:dyDescent="0.25">
      <c r="A243" s="258" t="str">
        <f>HYPERLINK("http://www.ofsted.gov.uk/inspection-reports/find-inspection-report/provider/ELS/130399 ","Ofsted School Webpage")</f>
        <v>Ofsted School Webpage</v>
      </c>
      <c r="B243" s="237">
        <v>130399</v>
      </c>
      <c r="C243" s="237">
        <v>3576001</v>
      </c>
      <c r="D243" s="237" t="s">
        <v>1081</v>
      </c>
      <c r="E243" s="237" t="s">
        <v>247</v>
      </c>
      <c r="F243" s="237" t="s">
        <v>482</v>
      </c>
      <c r="G243" s="237" t="s">
        <v>495</v>
      </c>
      <c r="H243" s="237" t="s">
        <v>495</v>
      </c>
      <c r="I243" s="237" t="s">
        <v>834</v>
      </c>
      <c r="J243" s="237" t="s">
        <v>1082</v>
      </c>
      <c r="K243" s="237" t="s">
        <v>93</v>
      </c>
      <c r="L243" s="237" t="s">
        <v>93</v>
      </c>
      <c r="M243" s="237" t="s">
        <v>93</v>
      </c>
      <c r="N243" s="237" t="s">
        <v>90</v>
      </c>
      <c r="O243" s="237" t="s">
        <v>486</v>
      </c>
      <c r="P243" s="237" t="s">
        <v>487</v>
      </c>
      <c r="Q243" s="238">
        <v>10067886</v>
      </c>
      <c r="R243" s="239">
        <v>43529</v>
      </c>
      <c r="S243" s="239">
        <v>43531</v>
      </c>
      <c r="T243" s="239">
        <v>43549</v>
      </c>
      <c r="U243" s="237" t="s">
        <v>488</v>
      </c>
      <c r="V243" s="237" t="s">
        <v>489</v>
      </c>
      <c r="W243" s="237">
        <v>2</v>
      </c>
      <c r="X243" s="237">
        <v>2</v>
      </c>
      <c r="Y243" s="237">
        <v>2</v>
      </c>
      <c r="Z243" s="237">
        <v>2</v>
      </c>
      <c r="AA243" s="237">
        <v>2</v>
      </c>
      <c r="AB243" s="237" t="s">
        <v>486</v>
      </c>
      <c r="AC243" s="237" t="s">
        <v>486</v>
      </c>
      <c r="AD243" s="237" t="s">
        <v>219</v>
      </c>
      <c r="AE243" s="237" t="s">
        <v>490</v>
      </c>
      <c r="AF243" s="237" t="s">
        <v>486</v>
      </c>
      <c r="AG243" s="237" t="s">
        <v>486</v>
      </c>
      <c r="AH243" s="237" t="s">
        <v>486</v>
      </c>
      <c r="AI243" s="237" t="s">
        <v>486</v>
      </c>
      <c r="AJ243" s="237" t="s">
        <v>486</v>
      </c>
      <c r="AK243" s="237" t="s">
        <v>486</v>
      </c>
      <c r="AL243" s="237" t="s">
        <v>486</v>
      </c>
      <c r="AM243" s="237" t="s">
        <v>491</v>
      </c>
      <c r="AN243" s="237" t="s">
        <v>231</v>
      </c>
      <c r="AO243" s="237" t="s">
        <v>231</v>
      </c>
      <c r="AP243" s="237" t="s">
        <v>231</v>
      </c>
      <c r="AQ243" s="237" t="s">
        <v>231</v>
      </c>
      <c r="AR243" s="237" t="s">
        <v>231</v>
      </c>
      <c r="AS243" s="237" t="s">
        <v>231</v>
      </c>
      <c r="AT243" s="237" t="s">
        <v>231</v>
      </c>
      <c r="AU243" s="237" t="s">
        <v>231</v>
      </c>
      <c r="AV243" s="237" t="s">
        <v>231</v>
      </c>
      <c r="AW243" s="237" t="s">
        <v>231</v>
      </c>
      <c r="AX243" s="237" t="s">
        <v>231</v>
      </c>
      <c r="AY243" s="237" t="s">
        <v>231</v>
      </c>
      <c r="AZ243" s="237" t="s">
        <v>231</v>
      </c>
      <c r="BA243" s="237" t="s">
        <v>231</v>
      </c>
      <c r="BB243" s="237" t="s">
        <v>231</v>
      </c>
      <c r="BC243" s="237" t="s">
        <v>231</v>
      </c>
      <c r="BD243" s="237" t="s">
        <v>492</v>
      </c>
      <c r="BE243" s="237" t="s">
        <v>231</v>
      </c>
      <c r="BF243" s="237" t="s">
        <v>231</v>
      </c>
      <c r="BG243" s="237" t="s">
        <v>231</v>
      </c>
      <c r="BH243" s="237" t="s">
        <v>492</v>
      </c>
      <c r="BI243" s="237" t="s">
        <v>492</v>
      </c>
      <c r="BJ243" s="237" t="s">
        <v>492</v>
      </c>
      <c r="BK243" s="237" t="s">
        <v>492</v>
      </c>
      <c r="BL243" s="237" t="s">
        <v>492</v>
      </c>
      <c r="BM243" s="237" t="s">
        <v>492</v>
      </c>
      <c r="BN243" s="237" t="s">
        <v>231</v>
      </c>
      <c r="BO243" s="237" t="s">
        <v>231</v>
      </c>
      <c r="BP243" s="237" t="s">
        <v>231</v>
      </c>
      <c r="BQ243" s="237" t="s">
        <v>231</v>
      </c>
      <c r="BR243" s="237" t="s">
        <v>231</v>
      </c>
      <c r="BS243" s="237" t="s">
        <v>231</v>
      </c>
      <c r="BT243" s="237" t="s">
        <v>231</v>
      </c>
      <c r="BU243" s="237" t="s">
        <v>231</v>
      </c>
      <c r="BV243" s="237" t="s">
        <v>231</v>
      </c>
      <c r="BW243" s="237" t="s">
        <v>231</v>
      </c>
      <c r="BX243" s="237" t="s">
        <v>231</v>
      </c>
      <c r="BY243" s="237" t="s">
        <v>231</v>
      </c>
      <c r="BZ243" s="237" t="s">
        <v>231</v>
      </c>
      <c r="CA243" s="237" t="s">
        <v>231</v>
      </c>
      <c r="CB243" s="237" t="s">
        <v>231</v>
      </c>
      <c r="CC243" s="237" t="s">
        <v>231</v>
      </c>
      <c r="CD243" s="237" t="s">
        <v>231</v>
      </c>
      <c r="CE243" s="237" t="s">
        <v>231</v>
      </c>
      <c r="CF243" s="237" t="s">
        <v>231</v>
      </c>
      <c r="CG243" s="237" t="s">
        <v>231</v>
      </c>
      <c r="CH243" s="237" t="s">
        <v>231</v>
      </c>
      <c r="CI243" s="237" t="s">
        <v>231</v>
      </c>
      <c r="CJ243" s="237" t="s">
        <v>231</v>
      </c>
      <c r="CK243" s="237" t="s">
        <v>231</v>
      </c>
      <c r="CL243" s="237" t="s">
        <v>231</v>
      </c>
      <c r="CM243" s="237" t="s">
        <v>231</v>
      </c>
      <c r="CN243" s="237" t="s">
        <v>231</v>
      </c>
      <c r="CO243" s="237" t="s">
        <v>231</v>
      </c>
      <c r="CP243" s="237" t="s">
        <v>231</v>
      </c>
      <c r="CQ243" s="237" t="s">
        <v>231</v>
      </c>
      <c r="CR243" s="237" t="s">
        <v>231</v>
      </c>
      <c r="CS243" s="237" t="s">
        <v>231</v>
      </c>
      <c r="CT243" s="237" t="s">
        <v>231</v>
      </c>
      <c r="CU243" s="237" t="s">
        <v>492</v>
      </c>
      <c r="CV243" s="237" t="s">
        <v>492</v>
      </c>
      <c r="CW243" s="237" t="s">
        <v>231</v>
      </c>
      <c r="CX243" s="237" t="s">
        <v>231</v>
      </c>
      <c r="CY243" s="237" t="s">
        <v>231</v>
      </c>
      <c r="CZ243" s="237" t="s">
        <v>231</v>
      </c>
      <c r="DA243" s="237" t="s">
        <v>231</v>
      </c>
      <c r="DB243" s="237" t="s">
        <v>231</v>
      </c>
      <c r="DC243" s="237" t="s">
        <v>231</v>
      </c>
      <c r="DD243" s="237" t="s">
        <v>231</v>
      </c>
      <c r="DE243" s="237" t="s">
        <v>231</v>
      </c>
      <c r="DF243" s="237" t="s">
        <v>231</v>
      </c>
      <c r="DG243" s="237" t="s">
        <v>231</v>
      </c>
      <c r="DH243" s="237" t="s">
        <v>231</v>
      </c>
      <c r="DI243" s="237" t="s">
        <v>231</v>
      </c>
      <c r="DJ243" s="237" t="s">
        <v>231</v>
      </c>
      <c r="DK243" s="237" t="s">
        <v>231</v>
      </c>
      <c r="DL243" s="237" t="s">
        <v>231</v>
      </c>
      <c r="DM243" s="237" t="s">
        <v>231</v>
      </c>
      <c r="DN243" s="237" t="s">
        <v>231</v>
      </c>
      <c r="DO243" s="237" t="s">
        <v>231</v>
      </c>
      <c r="DP243" s="237" t="s">
        <v>231</v>
      </c>
      <c r="DQ243" s="237" t="s">
        <v>231</v>
      </c>
      <c r="DR243" s="237" t="s">
        <v>231</v>
      </c>
      <c r="DS243" s="237" t="s">
        <v>231</v>
      </c>
      <c r="DT243" s="237" t="s">
        <v>492</v>
      </c>
      <c r="DU243" s="237" t="s">
        <v>231</v>
      </c>
      <c r="DV243" s="237" t="s">
        <v>231</v>
      </c>
      <c r="DW243" s="237" t="s">
        <v>231</v>
      </c>
      <c r="DX243" s="237" t="s">
        <v>231</v>
      </c>
      <c r="DY243" s="237" t="s">
        <v>231</v>
      </c>
      <c r="DZ243" s="237" t="s">
        <v>231</v>
      </c>
      <c r="EA243" s="237" t="s">
        <v>231</v>
      </c>
      <c r="EB243" s="237" t="s">
        <v>231</v>
      </c>
      <c r="EC243" s="237" t="s">
        <v>231</v>
      </c>
      <c r="ED243" s="237" t="s">
        <v>231</v>
      </c>
      <c r="EE243" s="237" t="s">
        <v>231</v>
      </c>
      <c r="EF243" s="237" t="s">
        <v>231</v>
      </c>
      <c r="EG243" s="237" t="s">
        <v>231</v>
      </c>
      <c r="EH243" s="237" t="s">
        <v>492</v>
      </c>
      <c r="EI243" s="237" t="s">
        <v>231</v>
      </c>
      <c r="EJ243" s="237" t="s">
        <v>231</v>
      </c>
      <c r="EK243" s="237" t="s">
        <v>231</v>
      </c>
      <c r="EL243" s="237" t="s">
        <v>231</v>
      </c>
      <c r="EM243" s="237" t="s">
        <v>231</v>
      </c>
      <c r="EN243" s="237" t="s">
        <v>231</v>
      </c>
      <c r="EO243" s="237" t="s">
        <v>231</v>
      </c>
      <c r="EP243" s="237" t="s">
        <v>231</v>
      </c>
      <c r="EQ243" s="237" t="s">
        <v>231</v>
      </c>
      <c r="ER243" s="237" t="s">
        <v>231</v>
      </c>
      <c r="ES243" s="237" t="s">
        <v>231</v>
      </c>
      <c r="ET243" s="237" t="s">
        <v>231</v>
      </c>
      <c r="EU243" s="237" t="s">
        <v>231</v>
      </c>
      <c r="EV243" s="237" t="s">
        <v>231</v>
      </c>
      <c r="EW243" s="237" t="s">
        <v>231</v>
      </c>
      <c r="EX243" s="237" t="s">
        <v>231</v>
      </c>
      <c r="EY243" s="237" t="s">
        <v>231</v>
      </c>
      <c r="EZ243" s="237" t="s">
        <v>231</v>
      </c>
      <c r="FA243" s="237" t="s">
        <v>231</v>
      </c>
      <c r="FB243" s="237" t="s">
        <v>231</v>
      </c>
      <c r="FC243" s="237" t="s">
        <v>231</v>
      </c>
      <c r="FD243" s="237" t="s">
        <v>231</v>
      </c>
      <c r="FE243" s="237" t="s">
        <v>231</v>
      </c>
      <c r="FF243" s="237" t="s">
        <v>231</v>
      </c>
      <c r="FG243" s="237" t="s">
        <v>231</v>
      </c>
      <c r="FH243" s="237" t="s">
        <v>231</v>
      </c>
      <c r="FI243" s="237" t="s">
        <v>231</v>
      </c>
      <c r="FJ243" s="237" t="s">
        <v>231</v>
      </c>
      <c r="FK243" s="237" t="s">
        <v>231</v>
      </c>
      <c r="FL243" s="237" t="s">
        <v>231</v>
      </c>
      <c r="FM243" s="237" t="s">
        <v>231</v>
      </c>
      <c r="FN243" s="237" t="s">
        <v>231</v>
      </c>
      <c r="FO243" s="237" t="s">
        <v>231</v>
      </c>
      <c r="FP243" s="237" t="s">
        <v>231</v>
      </c>
      <c r="FQ243" s="237" t="s">
        <v>231</v>
      </c>
      <c r="FR243" s="237" t="s">
        <v>231</v>
      </c>
      <c r="FS243" s="237" t="s">
        <v>231</v>
      </c>
      <c r="FT243" s="237" t="s">
        <v>231</v>
      </c>
      <c r="FU243" s="237" t="s">
        <v>231</v>
      </c>
      <c r="FV243" s="237" t="s">
        <v>231</v>
      </c>
      <c r="FW243" s="237" t="s">
        <v>231</v>
      </c>
      <c r="FX243" s="237" t="s">
        <v>492</v>
      </c>
      <c r="FY243" s="237" t="s">
        <v>231</v>
      </c>
      <c r="FZ243" s="237" t="s">
        <v>231</v>
      </c>
      <c r="GA243" s="237" t="s">
        <v>231</v>
      </c>
      <c r="GB243" s="237" t="s">
        <v>231</v>
      </c>
      <c r="GC243" s="237" t="s">
        <v>231</v>
      </c>
      <c r="GD243" s="237" t="s">
        <v>231</v>
      </c>
      <c r="GE243" s="237" t="s">
        <v>231</v>
      </c>
      <c r="GF243" s="237" t="s">
        <v>231</v>
      </c>
      <c r="GG243" s="237" t="s">
        <v>231</v>
      </c>
      <c r="GH243" s="237" t="s">
        <v>231</v>
      </c>
      <c r="GI243" s="237" t="s">
        <v>231</v>
      </c>
      <c r="GJ243" s="237" t="s">
        <v>231</v>
      </c>
      <c r="GK243" s="237" t="s">
        <v>231</v>
      </c>
      <c r="GL243" s="237" t="s">
        <v>231</v>
      </c>
      <c r="GM243" s="237" t="s">
        <v>231</v>
      </c>
      <c r="GN243" s="237" t="s">
        <v>231</v>
      </c>
      <c r="GO243" s="237" t="s">
        <v>231</v>
      </c>
      <c r="GP243" s="237" t="s">
        <v>492</v>
      </c>
      <c r="GQ243" s="237" t="s">
        <v>231</v>
      </c>
      <c r="GR243" s="237" t="s">
        <v>231</v>
      </c>
      <c r="GS243" s="237" t="s">
        <v>231</v>
      </c>
      <c r="GT243" s="237" t="s">
        <v>231</v>
      </c>
      <c r="GU243" s="237" t="s">
        <v>231</v>
      </c>
      <c r="GV243" s="237" t="s">
        <v>231</v>
      </c>
      <c r="GW243" s="237" t="s">
        <v>231</v>
      </c>
      <c r="GX243" s="237" t="s">
        <v>231</v>
      </c>
      <c r="GY243" s="237" t="s">
        <v>492</v>
      </c>
      <c r="GZ243" s="237" t="s">
        <v>492</v>
      </c>
      <c r="HA243" s="237" t="s">
        <v>231</v>
      </c>
      <c r="HB243" s="237" t="s">
        <v>231</v>
      </c>
      <c r="HC243" s="237" t="s">
        <v>231</v>
      </c>
      <c r="HD243" s="237" t="s">
        <v>231</v>
      </c>
      <c r="HE243" s="237" t="s">
        <v>231</v>
      </c>
      <c r="HF243" s="237" t="s">
        <v>231</v>
      </c>
      <c r="HG243" s="237" t="s">
        <v>231</v>
      </c>
      <c r="HH243" s="237" t="s">
        <v>231</v>
      </c>
      <c r="HI243" s="237" t="s">
        <v>231</v>
      </c>
      <c r="HJ243" s="237" t="s">
        <v>231</v>
      </c>
      <c r="HK243" s="237" t="s">
        <v>231</v>
      </c>
      <c r="HL243" s="237" t="s">
        <v>231</v>
      </c>
      <c r="HM243" s="237" t="s">
        <v>231</v>
      </c>
      <c r="HN243" s="237" t="s">
        <v>231</v>
      </c>
      <c r="HO243" s="237" t="s">
        <v>231</v>
      </c>
      <c r="HP243" s="237" t="s">
        <v>231</v>
      </c>
      <c r="HQ243" s="237" t="s">
        <v>231</v>
      </c>
      <c r="HR243" s="237" t="s">
        <v>231</v>
      </c>
      <c r="HS243" s="237" t="s">
        <v>231</v>
      </c>
      <c r="HT243" s="237" t="s">
        <v>231</v>
      </c>
      <c r="HU243" s="237" t="s">
        <v>231</v>
      </c>
      <c r="HV243" s="237" t="s">
        <v>231</v>
      </c>
      <c r="HW243" s="237" t="s">
        <v>231</v>
      </c>
      <c r="HX243" s="237" t="s">
        <v>231</v>
      </c>
      <c r="HY243" s="237" t="s">
        <v>231</v>
      </c>
      <c r="HZ243" s="237" t="s">
        <v>231</v>
      </c>
      <c r="IA243" s="237" t="s">
        <v>231</v>
      </c>
      <c r="IB243" s="237" t="s">
        <v>231</v>
      </c>
      <c r="IC243" s="237" t="s">
        <v>231</v>
      </c>
      <c r="ID243" s="237" t="s">
        <v>231</v>
      </c>
      <c r="IE243" s="237" t="s">
        <v>231</v>
      </c>
      <c r="IF243" s="237" t="s">
        <v>231</v>
      </c>
      <c r="IG243" s="237" t="s">
        <v>231</v>
      </c>
      <c r="IH243" s="237" t="s">
        <v>231</v>
      </c>
      <c r="II243" s="237" t="s">
        <v>231</v>
      </c>
      <c r="IJ243" s="237" t="s">
        <v>231</v>
      </c>
      <c r="IK243" s="237" t="s">
        <v>231</v>
      </c>
      <c r="IL243" s="237" t="s">
        <v>231</v>
      </c>
      <c r="IM243" s="237" t="s">
        <v>231</v>
      </c>
      <c r="IN243" s="237" t="s">
        <v>231</v>
      </c>
      <c r="IO243" s="237" t="s">
        <v>220</v>
      </c>
      <c r="IP243" s="237" t="s">
        <v>493</v>
      </c>
      <c r="IQ243" s="237" t="s">
        <v>219</v>
      </c>
      <c r="IR243" s="237" t="s">
        <v>490</v>
      </c>
      <c r="IS243" s="237" t="s">
        <v>492</v>
      </c>
      <c r="IT243" s="237" t="s">
        <v>492</v>
      </c>
    </row>
    <row r="244" spans="1:254" ht="15" x14ac:dyDescent="0.25">
      <c r="A244" s="259" t="str">
        <f>HYPERLINK("http://www.ofsted.gov.uk/inspection-reports/find-inspection-report/provider/ELS/142320 ","Ofsted School Webpage")</f>
        <v>Ofsted School Webpage</v>
      </c>
      <c r="B244" s="240">
        <v>142320</v>
      </c>
      <c r="C244" s="240">
        <v>3706000</v>
      </c>
      <c r="D244" s="240" t="s">
        <v>836</v>
      </c>
      <c r="E244" s="240" t="s">
        <v>248</v>
      </c>
      <c r="F244" s="240" t="s">
        <v>501</v>
      </c>
      <c r="G244" s="240" t="s">
        <v>523</v>
      </c>
      <c r="H244" s="240" t="s">
        <v>524</v>
      </c>
      <c r="I244" s="240" t="s">
        <v>1083</v>
      </c>
      <c r="J244" s="240" t="s">
        <v>1084</v>
      </c>
      <c r="K244" s="240" t="s">
        <v>93</v>
      </c>
      <c r="L244" s="240" t="s">
        <v>93</v>
      </c>
      <c r="M244" s="240" t="s">
        <v>93</v>
      </c>
      <c r="N244" s="240" t="s">
        <v>90</v>
      </c>
      <c r="O244" s="240" t="s">
        <v>486</v>
      </c>
      <c r="P244" s="240" t="s">
        <v>487</v>
      </c>
      <c r="Q244" s="241">
        <v>10061285</v>
      </c>
      <c r="R244" s="242">
        <v>43529</v>
      </c>
      <c r="S244" s="242">
        <v>43531</v>
      </c>
      <c r="T244" s="242">
        <v>43552</v>
      </c>
      <c r="U244" s="240" t="s">
        <v>488</v>
      </c>
      <c r="V244" s="240" t="s">
        <v>489</v>
      </c>
      <c r="W244" s="240">
        <v>2</v>
      </c>
      <c r="X244" s="240">
        <v>2</v>
      </c>
      <c r="Y244" s="240">
        <v>2</v>
      </c>
      <c r="Z244" s="240">
        <v>2</v>
      </c>
      <c r="AA244" s="240">
        <v>2</v>
      </c>
      <c r="AB244" s="240" t="s">
        <v>486</v>
      </c>
      <c r="AC244" s="240" t="s">
        <v>486</v>
      </c>
      <c r="AD244" s="240" t="s">
        <v>219</v>
      </c>
      <c r="AE244" s="240" t="s">
        <v>490</v>
      </c>
      <c r="AF244" s="240" t="s">
        <v>486</v>
      </c>
      <c r="AG244" s="240" t="s">
        <v>486</v>
      </c>
      <c r="AH244" s="240" t="s">
        <v>486</v>
      </c>
      <c r="AI244" s="240" t="s">
        <v>486</v>
      </c>
      <c r="AJ244" s="240" t="s">
        <v>486</v>
      </c>
      <c r="AK244" s="240" t="s">
        <v>486</v>
      </c>
      <c r="AL244" s="240" t="s">
        <v>486</v>
      </c>
      <c r="AM244" s="240" t="s">
        <v>491</v>
      </c>
      <c r="AN244" s="240" t="s">
        <v>231</v>
      </c>
      <c r="AO244" s="240" t="s">
        <v>231</v>
      </c>
      <c r="AP244" s="240" t="s">
        <v>231</v>
      </c>
      <c r="AQ244" s="240" t="s">
        <v>231</v>
      </c>
      <c r="AR244" s="240" t="s">
        <v>231</v>
      </c>
      <c r="AS244" s="240" t="s">
        <v>231</v>
      </c>
      <c r="AT244" s="240" t="s">
        <v>231</v>
      </c>
      <c r="AU244" s="240" t="s">
        <v>231</v>
      </c>
      <c r="AV244" s="240" t="s">
        <v>231</v>
      </c>
      <c r="AW244" s="240" t="s">
        <v>231</v>
      </c>
      <c r="AX244" s="240" t="s">
        <v>231</v>
      </c>
      <c r="AY244" s="240" t="s">
        <v>231</v>
      </c>
      <c r="AZ244" s="240" t="s">
        <v>231</v>
      </c>
      <c r="BA244" s="240" t="s">
        <v>231</v>
      </c>
      <c r="BB244" s="240" t="s">
        <v>231</v>
      </c>
      <c r="BC244" s="240" t="s">
        <v>231</v>
      </c>
      <c r="BD244" s="240" t="s">
        <v>492</v>
      </c>
      <c r="BE244" s="240" t="s">
        <v>231</v>
      </c>
      <c r="BF244" s="240" t="s">
        <v>231</v>
      </c>
      <c r="BG244" s="240" t="s">
        <v>231</v>
      </c>
      <c r="BH244" s="240" t="s">
        <v>231</v>
      </c>
      <c r="BI244" s="240" t="s">
        <v>231</v>
      </c>
      <c r="BJ244" s="240" t="s">
        <v>231</v>
      </c>
      <c r="BK244" s="240" t="s">
        <v>231</v>
      </c>
      <c r="BL244" s="240" t="s">
        <v>492</v>
      </c>
      <c r="BM244" s="240" t="s">
        <v>492</v>
      </c>
      <c r="BN244" s="240" t="s">
        <v>231</v>
      </c>
      <c r="BO244" s="240" t="s">
        <v>231</v>
      </c>
      <c r="BP244" s="240" t="s">
        <v>231</v>
      </c>
      <c r="BQ244" s="240" t="s">
        <v>231</v>
      </c>
      <c r="BR244" s="240" t="s">
        <v>231</v>
      </c>
      <c r="BS244" s="240" t="s">
        <v>231</v>
      </c>
      <c r="BT244" s="240" t="s">
        <v>231</v>
      </c>
      <c r="BU244" s="240" t="s">
        <v>231</v>
      </c>
      <c r="BV244" s="240" t="s">
        <v>231</v>
      </c>
      <c r="BW244" s="240" t="s">
        <v>231</v>
      </c>
      <c r="BX244" s="240" t="s">
        <v>231</v>
      </c>
      <c r="BY244" s="240" t="s">
        <v>231</v>
      </c>
      <c r="BZ244" s="240" t="s">
        <v>231</v>
      </c>
      <c r="CA244" s="240" t="s">
        <v>231</v>
      </c>
      <c r="CB244" s="240" t="s">
        <v>231</v>
      </c>
      <c r="CC244" s="240" t="s">
        <v>231</v>
      </c>
      <c r="CD244" s="240" t="s">
        <v>231</v>
      </c>
      <c r="CE244" s="240" t="s">
        <v>231</v>
      </c>
      <c r="CF244" s="240" t="s">
        <v>231</v>
      </c>
      <c r="CG244" s="240" t="s">
        <v>231</v>
      </c>
      <c r="CH244" s="240" t="s">
        <v>231</v>
      </c>
      <c r="CI244" s="240" t="s">
        <v>231</v>
      </c>
      <c r="CJ244" s="240" t="s">
        <v>231</v>
      </c>
      <c r="CK244" s="240" t="s">
        <v>231</v>
      </c>
      <c r="CL244" s="240" t="s">
        <v>231</v>
      </c>
      <c r="CM244" s="240" t="s">
        <v>231</v>
      </c>
      <c r="CN244" s="240" t="s">
        <v>231</v>
      </c>
      <c r="CO244" s="240" t="s">
        <v>231</v>
      </c>
      <c r="CP244" s="240" t="s">
        <v>231</v>
      </c>
      <c r="CQ244" s="240" t="s">
        <v>231</v>
      </c>
      <c r="CR244" s="240" t="s">
        <v>231</v>
      </c>
      <c r="CS244" s="240" t="s">
        <v>231</v>
      </c>
      <c r="CT244" s="240" t="s">
        <v>492</v>
      </c>
      <c r="CU244" s="240" t="s">
        <v>492</v>
      </c>
      <c r="CV244" s="240" t="s">
        <v>492</v>
      </c>
      <c r="CW244" s="240" t="s">
        <v>231</v>
      </c>
      <c r="CX244" s="240" t="s">
        <v>231</v>
      </c>
      <c r="CY244" s="240" t="s">
        <v>231</v>
      </c>
      <c r="CZ244" s="240" t="s">
        <v>231</v>
      </c>
      <c r="DA244" s="240" t="s">
        <v>231</v>
      </c>
      <c r="DB244" s="240" t="s">
        <v>231</v>
      </c>
      <c r="DC244" s="240" t="s">
        <v>231</v>
      </c>
      <c r="DD244" s="240" t="s">
        <v>231</v>
      </c>
      <c r="DE244" s="240" t="s">
        <v>231</v>
      </c>
      <c r="DF244" s="240" t="s">
        <v>231</v>
      </c>
      <c r="DG244" s="240" t="s">
        <v>231</v>
      </c>
      <c r="DH244" s="240" t="s">
        <v>231</v>
      </c>
      <c r="DI244" s="240" t="s">
        <v>231</v>
      </c>
      <c r="DJ244" s="240" t="s">
        <v>231</v>
      </c>
      <c r="DK244" s="240" t="s">
        <v>231</v>
      </c>
      <c r="DL244" s="240" t="s">
        <v>231</v>
      </c>
      <c r="DM244" s="240" t="s">
        <v>231</v>
      </c>
      <c r="DN244" s="240" t="s">
        <v>231</v>
      </c>
      <c r="DO244" s="240" t="s">
        <v>231</v>
      </c>
      <c r="DP244" s="240" t="s">
        <v>231</v>
      </c>
      <c r="DQ244" s="240" t="s">
        <v>231</v>
      </c>
      <c r="DR244" s="240" t="s">
        <v>231</v>
      </c>
      <c r="DS244" s="240" t="s">
        <v>492</v>
      </c>
      <c r="DT244" s="240" t="s">
        <v>492</v>
      </c>
      <c r="DU244" s="240" t="s">
        <v>231</v>
      </c>
      <c r="DV244" s="240" t="s">
        <v>231</v>
      </c>
      <c r="DW244" s="240" t="s">
        <v>231</v>
      </c>
      <c r="DX244" s="240" t="s">
        <v>231</v>
      </c>
      <c r="DY244" s="240" t="s">
        <v>231</v>
      </c>
      <c r="DZ244" s="240" t="s">
        <v>231</v>
      </c>
      <c r="EA244" s="240" t="s">
        <v>231</v>
      </c>
      <c r="EB244" s="240" t="s">
        <v>231</v>
      </c>
      <c r="EC244" s="240" t="s">
        <v>231</v>
      </c>
      <c r="ED244" s="240" t="s">
        <v>231</v>
      </c>
      <c r="EE244" s="240" t="s">
        <v>231</v>
      </c>
      <c r="EF244" s="240" t="s">
        <v>231</v>
      </c>
      <c r="EG244" s="240" t="s">
        <v>231</v>
      </c>
      <c r="EH244" s="240" t="s">
        <v>492</v>
      </c>
      <c r="EI244" s="240" t="s">
        <v>231</v>
      </c>
      <c r="EJ244" s="240" t="s">
        <v>231</v>
      </c>
      <c r="EK244" s="240" t="s">
        <v>231</v>
      </c>
      <c r="EL244" s="240" t="s">
        <v>231</v>
      </c>
      <c r="EM244" s="240" t="s">
        <v>231</v>
      </c>
      <c r="EN244" s="240" t="s">
        <v>231</v>
      </c>
      <c r="EO244" s="240" t="s">
        <v>231</v>
      </c>
      <c r="EP244" s="240" t="s">
        <v>231</v>
      </c>
      <c r="EQ244" s="240" t="s">
        <v>231</v>
      </c>
      <c r="ER244" s="240" t="s">
        <v>231</v>
      </c>
      <c r="ES244" s="240" t="s">
        <v>231</v>
      </c>
      <c r="ET244" s="240" t="s">
        <v>231</v>
      </c>
      <c r="EU244" s="240" t="s">
        <v>231</v>
      </c>
      <c r="EV244" s="240" t="s">
        <v>231</v>
      </c>
      <c r="EW244" s="240" t="s">
        <v>231</v>
      </c>
      <c r="EX244" s="240" t="s">
        <v>231</v>
      </c>
      <c r="EY244" s="240" t="s">
        <v>231</v>
      </c>
      <c r="EZ244" s="240" t="s">
        <v>231</v>
      </c>
      <c r="FA244" s="240" t="s">
        <v>231</v>
      </c>
      <c r="FB244" s="240" t="s">
        <v>231</v>
      </c>
      <c r="FC244" s="240" t="s">
        <v>231</v>
      </c>
      <c r="FD244" s="240" t="s">
        <v>231</v>
      </c>
      <c r="FE244" s="240" t="s">
        <v>231</v>
      </c>
      <c r="FF244" s="240" t="s">
        <v>492</v>
      </c>
      <c r="FG244" s="240" t="s">
        <v>231</v>
      </c>
      <c r="FH244" s="240" t="s">
        <v>231</v>
      </c>
      <c r="FI244" s="240" t="s">
        <v>231</v>
      </c>
      <c r="FJ244" s="240" t="s">
        <v>231</v>
      </c>
      <c r="FK244" s="240" t="s">
        <v>231</v>
      </c>
      <c r="FL244" s="240" t="s">
        <v>231</v>
      </c>
      <c r="FM244" s="240" t="s">
        <v>231</v>
      </c>
      <c r="FN244" s="240" t="s">
        <v>492</v>
      </c>
      <c r="FO244" s="240" t="s">
        <v>493</v>
      </c>
      <c r="FP244" s="240" t="s">
        <v>492</v>
      </c>
      <c r="FQ244" s="240" t="s">
        <v>231</v>
      </c>
      <c r="FR244" s="240" t="s">
        <v>231</v>
      </c>
      <c r="FS244" s="240" t="s">
        <v>231</v>
      </c>
      <c r="FT244" s="240" t="s">
        <v>231</v>
      </c>
      <c r="FU244" s="240" t="s">
        <v>231</v>
      </c>
      <c r="FV244" s="240" t="s">
        <v>231</v>
      </c>
      <c r="FW244" s="240" t="s">
        <v>231</v>
      </c>
      <c r="FX244" s="240" t="s">
        <v>492</v>
      </c>
      <c r="FY244" s="240" t="s">
        <v>231</v>
      </c>
      <c r="FZ244" s="240" t="s">
        <v>231</v>
      </c>
      <c r="GA244" s="240" t="s">
        <v>231</v>
      </c>
      <c r="GB244" s="240" t="s">
        <v>231</v>
      </c>
      <c r="GC244" s="240" t="s">
        <v>231</v>
      </c>
      <c r="GD244" s="240" t="s">
        <v>231</v>
      </c>
      <c r="GE244" s="240" t="s">
        <v>231</v>
      </c>
      <c r="GF244" s="240" t="s">
        <v>231</v>
      </c>
      <c r="GG244" s="240" t="s">
        <v>231</v>
      </c>
      <c r="GH244" s="240" t="s">
        <v>231</v>
      </c>
      <c r="GI244" s="240" t="s">
        <v>231</v>
      </c>
      <c r="GJ244" s="240" t="s">
        <v>231</v>
      </c>
      <c r="GK244" s="240" t="s">
        <v>231</v>
      </c>
      <c r="GL244" s="240" t="s">
        <v>231</v>
      </c>
      <c r="GM244" s="240" t="s">
        <v>231</v>
      </c>
      <c r="GN244" s="240" t="s">
        <v>231</v>
      </c>
      <c r="GO244" s="240" t="s">
        <v>231</v>
      </c>
      <c r="GP244" s="240" t="s">
        <v>492</v>
      </c>
      <c r="GQ244" s="240" t="s">
        <v>231</v>
      </c>
      <c r="GR244" s="240" t="s">
        <v>231</v>
      </c>
      <c r="GS244" s="240" t="s">
        <v>231</v>
      </c>
      <c r="GT244" s="240" t="s">
        <v>231</v>
      </c>
      <c r="GU244" s="240" t="s">
        <v>231</v>
      </c>
      <c r="GV244" s="240" t="s">
        <v>492</v>
      </c>
      <c r="GW244" s="240" t="s">
        <v>231</v>
      </c>
      <c r="GX244" s="240" t="s">
        <v>231</v>
      </c>
      <c r="GY244" s="240" t="s">
        <v>231</v>
      </c>
      <c r="GZ244" s="240" t="s">
        <v>231</v>
      </c>
      <c r="HA244" s="240" t="s">
        <v>231</v>
      </c>
      <c r="HB244" s="240" t="s">
        <v>231</v>
      </c>
      <c r="HC244" s="240" t="s">
        <v>231</v>
      </c>
      <c r="HD244" s="240" t="s">
        <v>231</v>
      </c>
      <c r="HE244" s="240" t="s">
        <v>492</v>
      </c>
      <c r="HF244" s="240" t="s">
        <v>231</v>
      </c>
      <c r="HG244" s="240" t="s">
        <v>231</v>
      </c>
      <c r="HH244" s="240" t="s">
        <v>231</v>
      </c>
      <c r="HI244" s="240" t="s">
        <v>231</v>
      </c>
      <c r="HJ244" s="240" t="s">
        <v>231</v>
      </c>
      <c r="HK244" s="240" t="s">
        <v>231</v>
      </c>
      <c r="HL244" s="240" t="s">
        <v>231</v>
      </c>
      <c r="HM244" s="240" t="s">
        <v>231</v>
      </c>
      <c r="HN244" s="240" t="s">
        <v>231</v>
      </c>
      <c r="HO244" s="240" t="s">
        <v>231</v>
      </c>
      <c r="HP244" s="240" t="s">
        <v>231</v>
      </c>
      <c r="HQ244" s="240" t="s">
        <v>231</v>
      </c>
      <c r="HR244" s="240" t="s">
        <v>231</v>
      </c>
      <c r="HS244" s="240" t="s">
        <v>231</v>
      </c>
      <c r="HT244" s="240" t="s">
        <v>231</v>
      </c>
      <c r="HU244" s="240" t="s">
        <v>231</v>
      </c>
      <c r="HV244" s="240" t="s">
        <v>231</v>
      </c>
      <c r="HW244" s="240" t="s">
        <v>231</v>
      </c>
      <c r="HX244" s="240" t="s">
        <v>231</v>
      </c>
      <c r="HY244" s="240" t="s">
        <v>231</v>
      </c>
      <c r="HZ244" s="240" t="s">
        <v>231</v>
      </c>
      <c r="IA244" s="240" t="s">
        <v>231</v>
      </c>
      <c r="IB244" s="240" t="s">
        <v>231</v>
      </c>
      <c r="IC244" s="240" t="s">
        <v>231</v>
      </c>
      <c r="ID244" s="240" t="s">
        <v>231</v>
      </c>
      <c r="IE244" s="240" t="s">
        <v>231</v>
      </c>
      <c r="IF244" s="240" t="s">
        <v>231</v>
      </c>
      <c r="IG244" s="240" t="s">
        <v>231</v>
      </c>
      <c r="IH244" s="240" t="s">
        <v>231</v>
      </c>
      <c r="II244" s="240" t="s">
        <v>231</v>
      </c>
      <c r="IJ244" s="240" t="s">
        <v>231</v>
      </c>
      <c r="IK244" s="240" t="s">
        <v>231</v>
      </c>
      <c r="IL244" s="240" t="s">
        <v>231</v>
      </c>
      <c r="IM244" s="240" t="s">
        <v>231</v>
      </c>
      <c r="IN244" s="240" t="s">
        <v>231</v>
      </c>
      <c r="IO244" s="240" t="s">
        <v>220</v>
      </c>
      <c r="IP244" s="240" t="s">
        <v>493</v>
      </c>
      <c r="IQ244" s="240" t="s">
        <v>219</v>
      </c>
      <c r="IR244" s="240" t="s">
        <v>490</v>
      </c>
      <c r="IS244" s="240" t="s">
        <v>492</v>
      </c>
      <c r="IT244" s="240" t="s">
        <v>492</v>
      </c>
    </row>
    <row r="245" spans="1:254" ht="15" x14ac:dyDescent="0.25">
      <c r="A245" s="258" t="str">
        <f>HYPERLINK("http://www.ofsted.gov.uk/inspection-reports/find-inspection-report/provider/ELS/125403 ","Ofsted School Webpage")</f>
        <v>Ofsted School Webpage</v>
      </c>
      <c r="B245" s="237">
        <v>125403</v>
      </c>
      <c r="C245" s="237">
        <v>9366420</v>
      </c>
      <c r="D245" s="237" t="s">
        <v>1085</v>
      </c>
      <c r="E245" s="237" t="s">
        <v>248</v>
      </c>
      <c r="F245" s="237" t="s">
        <v>501</v>
      </c>
      <c r="G245" s="237" t="s">
        <v>581</v>
      </c>
      <c r="H245" s="237" t="s">
        <v>581</v>
      </c>
      <c r="I245" s="237" t="s">
        <v>788</v>
      </c>
      <c r="J245" s="237" t="s">
        <v>1086</v>
      </c>
      <c r="K245" s="237" t="s">
        <v>72</v>
      </c>
      <c r="L245" s="237" t="s">
        <v>79</v>
      </c>
      <c r="M245" s="237" t="s">
        <v>72</v>
      </c>
      <c r="N245" s="237" t="s">
        <v>71</v>
      </c>
      <c r="O245" s="237" t="s">
        <v>486</v>
      </c>
      <c r="P245" s="237" t="s">
        <v>487</v>
      </c>
      <c r="Q245" s="238">
        <v>10056671</v>
      </c>
      <c r="R245" s="239">
        <v>43529</v>
      </c>
      <c r="S245" s="239">
        <v>43531</v>
      </c>
      <c r="T245" s="239">
        <v>43549</v>
      </c>
      <c r="U245" s="237" t="s">
        <v>624</v>
      </c>
      <c r="V245" s="237" t="s">
        <v>489</v>
      </c>
      <c r="W245" s="237">
        <v>1</v>
      </c>
      <c r="X245" s="237">
        <v>1</v>
      </c>
      <c r="Y245" s="237">
        <v>1</v>
      </c>
      <c r="Z245" s="237">
        <v>1</v>
      </c>
      <c r="AA245" s="237">
        <v>1</v>
      </c>
      <c r="AB245" s="237" t="s">
        <v>486</v>
      </c>
      <c r="AC245" s="237">
        <v>1</v>
      </c>
      <c r="AD245" s="237" t="s">
        <v>219</v>
      </c>
      <c r="AE245" s="237" t="s">
        <v>490</v>
      </c>
      <c r="AF245" s="237" t="s">
        <v>486</v>
      </c>
      <c r="AG245" s="237" t="s">
        <v>486</v>
      </c>
      <c r="AH245" s="237" t="s">
        <v>486</v>
      </c>
      <c r="AI245" s="237" t="s">
        <v>486</v>
      </c>
      <c r="AJ245" s="237" t="s">
        <v>486</v>
      </c>
      <c r="AK245" s="237" t="s">
        <v>486</v>
      </c>
      <c r="AL245" s="237" t="s">
        <v>486</v>
      </c>
      <c r="AM245" s="237" t="s">
        <v>491</v>
      </c>
      <c r="AN245" s="237" t="s">
        <v>231</v>
      </c>
      <c r="AO245" s="237" t="s">
        <v>231</v>
      </c>
      <c r="AP245" s="237" t="s">
        <v>231</v>
      </c>
      <c r="AQ245" s="237" t="s">
        <v>231</v>
      </c>
      <c r="AR245" s="237" t="s">
        <v>231</v>
      </c>
      <c r="AS245" s="237" t="s">
        <v>231</v>
      </c>
      <c r="AT245" s="237" t="s">
        <v>231</v>
      </c>
      <c r="AU245" s="237" t="s">
        <v>231</v>
      </c>
      <c r="AV245" s="237" t="s">
        <v>231</v>
      </c>
      <c r="AW245" s="237" t="s">
        <v>231</v>
      </c>
      <c r="AX245" s="237" t="s">
        <v>231</v>
      </c>
      <c r="AY245" s="237" t="s">
        <v>231</v>
      </c>
      <c r="AZ245" s="237" t="s">
        <v>231</v>
      </c>
      <c r="BA245" s="237" t="s">
        <v>231</v>
      </c>
      <c r="BB245" s="237" t="s">
        <v>492</v>
      </c>
      <c r="BC245" s="237" t="s">
        <v>231</v>
      </c>
      <c r="BD245" s="237" t="s">
        <v>492</v>
      </c>
      <c r="BE245" s="237" t="s">
        <v>231</v>
      </c>
      <c r="BF245" s="237" t="s">
        <v>231</v>
      </c>
      <c r="BG245" s="237" t="s">
        <v>231</v>
      </c>
      <c r="BH245" s="237" t="s">
        <v>231</v>
      </c>
      <c r="BI245" s="237" t="s">
        <v>231</v>
      </c>
      <c r="BJ245" s="237" t="s">
        <v>231</v>
      </c>
      <c r="BK245" s="237" t="s">
        <v>231</v>
      </c>
      <c r="BL245" s="237" t="s">
        <v>492</v>
      </c>
      <c r="BM245" s="237" t="s">
        <v>231</v>
      </c>
      <c r="BN245" s="237" t="s">
        <v>231</v>
      </c>
      <c r="BO245" s="237" t="s">
        <v>231</v>
      </c>
      <c r="BP245" s="237" t="s">
        <v>231</v>
      </c>
      <c r="BQ245" s="237" t="s">
        <v>231</v>
      </c>
      <c r="BR245" s="237" t="s">
        <v>231</v>
      </c>
      <c r="BS245" s="237" t="s">
        <v>231</v>
      </c>
      <c r="BT245" s="237" t="s">
        <v>231</v>
      </c>
      <c r="BU245" s="237" t="s">
        <v>231</v>
      </c>
      <c r="BV245" s="237" t="s">
        <v>231</v>
      </c>
      <c r="BW245" s="237" t="s">
        <v>231</v>
      </c>
      <c r="BX245" s="237" t="s">
        <v>231</v>
      </c>
      <c r="BY245" s="237" t="s">
        <v>231</v>
      </c>
      <c r="BZ245" s="237" t="s">
        <v>231</v>
      </c>
      <c r="CA245" s="237" t="s">
        <v>231</v>
      </c>
      <c r="CB245" s="237" t="s">
        <v>231</v>
      </c>
      <c r="CC245" s="237" t="s">
        <v>231</v>
      </c>
      <c r="CD245" s="237" t="s">
        <v>231</v>
      </c>
      <c r="CE245" s="237" t="s">
        <v>231</v>
      </c>
      <c r="CF245" s="237" t="s">
        <v>231</v>
      </c>
      <c r="CG245" s="237" t="s">
        <v>231</v>
      </c>
      <c r="CH245" s="237" t="s">
        <v>231</v>
      </c>
      <c r="CI245" s="237" t="s">
        <v>231</v>
      </c>
      <c r="CJ245" s="237" t="s">
        <v>231</v>
      </c>
      <c r="CK245" s="237" t="s">
        <v>231</v>
      </c>
      <c r="CL245" s="237" t="s">
        <v>231</v>
      </c>
      <c r="CM245" s="237" t="s">
        <v>231</v>
      </c>
      <c r="CN245" s="237" t="s">
        <v>231</v>
      </c>
      <c r="CO245" s="237" t="s">
        <v>231</v>
      </c>
      <c r="CP245" s="237" t="s">
        <v>231</v>
      </c>
      <c r="CQ245" s="237" t="s">
        <v>231</v>
      </c>
      <c r="CR245" s="237" t="s">
        <v>231</v>
      </c>
      <c r="CS245" s="237" t="s">
        <v>231</v>
      </c>
      <c r="CT245" s="237" t="s">
        <v>231</v>
      </c>
      <c r="CU245" s="237" t="s">
        <v>231</v>
      </c>
      <c r="CV245" s="237" t="s">
        <v>231</v>
      </c>
      <c r="CW245" s="237" t="s">
        <v>231</v>
      </c>
      <c r="CX245" s="237" t="s">
        <v>231</v>
      </c>
      <c r="CY245" s="237" t="s">
        <v>231</v>
      </c>
      <c r="CZ245" s="237" t="s">
        <v>231</v>
      </c>
      <c r="DA245" s="237" t="s">
        <v>231</v>
      </c>
      <c r="DB245" s="237" t="s">
        <v>231</v>
      </c>
      <c r="DC245" s="237" t="s">
        <v>231</v>
      </c>
      <c r="DD245" s="237" t="s">
        <v>231</v>
      </c>
      <c r="DE245" s="237" t="s">
        <v>231</v>
      </c>
      <c r="DF245" s="237" t="s">
        <v>231</v>
      </c>
      <c r="DG245" s="237" t="s">
        <v>231</v>
      </c>
      <c r="DH245" s="237" t="s">
        <v>231</v>
      </c>
      <c r="DI245" s="237" t="s">
        <v>231</v>
      </c>
      <c r="DJ245" s="237" t="s">
        <v>231</v>
      </c>
      <c r="DK245" s="237" t="s">
        <v>231</v>
      </c>
      <c r="DL245" s="237" t="s">
        <v>231</v>
      </c>
      <c r="DM245" s="237" t="s">
        <v>231</v>
      </c>
      <c r="DN245" s="237" t="s">
        <v>231</v>
      </c>
      <c r="DO245" s="237" t="s">
        <v>231</v>
      </c>
      <c r="DP245" s="237" t="s">
        <v>231</v>
      </c>
      <c r="DQ245" s="237" t="s">
        <v>231</v>
      </c>
      <c r="DR245" s="237" t="s">
        <v>231</v>
      </c>
      <c r="DS245" s="237" t="s">
        <v>231</v>
      </c>
      <c r="DT245" s="237" t="s">
        <v>231</v>
      </c>
      <c r="DU245" s="237" t="s">
        <v>231</v>
      </c>
      <c r="DV245" s="237" t="s">
        <v>231</v>
      </c>
      <c r="DW245" s="237" t="s">
        <v>231</v>
      </c>
      <c r="DX245" s="237" t="s">
        <v>231</v>
      </c>
      <c r="DY245" s="237" t="s">
        <v>231</v>
      </c>
      <c r="DZ245" s="237" t="s">
        <v>231</v>
      </c>
      <c r="EA245" s="237" t="s">
        <v>231</v>
      </c>
      <c r="EB245" s="237" t="s">
        <v>231</v>
      </c>
      <c r="EC245" s="237" t="s">
        <v>231</v>
      </c>
      <c r="ED245" s="237" t="s">
        <v>231</v>
      </c>
      <c r="EE245" s="237" t="s">
        <v>231</v>
      </c>
      <c r="EF245" s="237" t="s">
        <v>231</v>
      </c>
      <c r="EG245" s="237" t="s">
        <v>231</v>
      </c>
      <c r="EH245" s="237" t="s">
        <v>231</v>
      </c>
      <c r="EI245" s="237" t="s">
        <v>231</v>
      </c>
      <c r="EJ245" s="237" t="s">
        <v>231</v>
      </c>
      <c r="EK245" s="237" t="s">
        <v>231</v>
      </c>
      <c r="EL245" s="237" t="s">
        <v>231</v>
      </c>
      <c r="EM245" s="237" t="s">
        <v>231</v>
      </c>
      <c r="EN245" s="237" t="s">
        <v>231</v>
      </c>
      <c r="EO245" s="237" t="s">
        <v>231</v>
      </c>
      <c r="EP245" s="237" t="s">
        <v>231</v>
      </c>
      <c r="EQ245" s="237" t="s">
        <v>231</v>
      </c>
      <c r="ER245" s="237" t="s">
        <v>231</v>
      </c>
      <c r="ES245" s="237" t="s">
        <v>231</v>
      </c>
      <c r="ET245" s="237" t="s">
        <v>231</v>
      </c>
      <c r="EU245" s="237" t="s">
        <v>231</v>
      </c>
      <c r="EV245" s="237" t="s">
        <v>231</v>
      </c>
      <c r="EW245" s="237" t="s">
        <v>231</v>
      </c>
      <c r="EX245" s="237" t="s">
        <v>231</v>
      </c>
      <c r="EY245" s="237" t="s">
        <v>231</v>
      </c>
      <c r="EZ245" s="237" t="s">
        <v>231</v>
      </c>
      <c r="FA245" s="237" t="s">
        <v>231</v>
      </c>
      <c r="FB245" s="237" t="s">
        <v>231</v>
      </c>
      <c r="FC245" s="237" t="s">
        <v>231</v>
      </c>
      <c r="FD245" s="237" t="s">
        <v>231</v>
      </c>
      <c r="FE245" s="237" t="s">
        <v>231</v>
      </c>
      <c r="FF245" s="237" t="s">
        <v>231</v>
      </c>
      <c r="FG245" s="237" t="s">
        <v>231</v>
      </c>
      <c r="FH245" s="237" t="s">
        <v>231</v>
      </c>
      <c r="FI245" s="237" t="s">
        <v>231</v>
      </c>
      <c r="FJ245" s="237" t="s">
        <v>231</v>
      </c>
      <c r="FK245" s="237" t="s">
        <v>231</v>
      </c>
      <c r="FL245" s="237" t="s">
        <v>231</v>
      </c>
      <c r="FM245" s="237" t="s">
        <v>231</v>
      </c>
      <c r="FN245" s="237" t="s">
        <v>231</v>
      </c>
      <c r="FO245" s="237" t="s">
        <v>231</v>
      </c>
      <c r="FP245" s="237" t="s">
        <v>231</v>
      </c>
      <c r="FQ245" s="237" t="s">
        <v>231</v>
      </c>
      <c r="FR245" s="237" t="s">
        <v>231</v>
      </c>
      <c r="FS245" s="237" t="s">
        <v>231</v>
      </c>
      <c r="FT245" s="237" t="s">
        <v>231</v>
      </c>
      <c r="FU245" s="237" t="s">
        <v>231</v>
      </c>
      <c r="FV245" s="237" t="s">
        <v>231</v>
      </c>
      <c r="FW245" s="237" t="s">
        <v>231</v>
      </c>
      <c r="FX245" s="237" t="s">
        <v>492</v>
      </c>
      <c r="FY245" s="237" t="s">
        <v>231</v>
      </c>
      <c r="FZ245" s="237" t="s">
        <v>231</v>
      </c>
      <c r="GA245" s="237" t="s">
        <v>231</v>
      </c>
      <c r="GB245" s="237" t="s">
        <v>231</v>
      </c>
      <c r="GC245" s="237" t="s">
        <v>231</v>
      </c>
      <c r="GD245" s="237" t="s">
        <v>231</v>
      </c>
      <c r="GE245" s="237" t="s">
        <v>231</v>
      </c>
      <c r="GF245" s="237" t="s">
        <v>231</v>
      </c>
      <c r="GG245" s="237" t="s">
        <v>231</v>
      </c>
      <c r="GH245" s="237" t="s">
        <v>231</v>
      </c>
      <c r="GI245" s="237" t="s">
        <v>231</v>
      </c>
      <c r="GJ245" s="237" t="s">
        <v>231</v>
      </c>
      <c r="GK245" s="237" t="s">
        <v>231</v>
      </c>
      <c r="GL245" s="237" t="s">
        <v>231</v>
      </c>
      <c r="GM245" s="237" t="s">
        <v>231</v>
      </c>
      <c r="GN245" s="237" t="s">
        <v>231</v>
      </c>
      <c r="GO245" s="237" t="s">
        <v>231</v>
      </c>
      <c r="GP245" s="237" t="s">
        <v>231</v>
      </c>
      <c r="GQ245" s="237" t="s">
        <v>231</v>
      </c>
      <c r="GR245" s="237" t="s">
        <v>231</v>
      </c>
      <c r="GS245" s="237" t="s">
        <v>231</v>
      </c>
      <c r="GT245" s="237" t="s">
        <v>231</v>
      </c>
      <c r="GU245" s="237" t="s">
        <v>231</v>
      </c>
      <c r="GV245" s="237" t="s">
        <v>231</v>
      </c>
      <c r="GW245" s="237" t="s">
        <v>231</v>
      </c>
      <c r="GX245" s="237" t="s">
        <v>231</v>
      </c>
      <c r="GY245" s="237" t="s">
        <v>231</v>
      </c>
      <c r="GZ245" s="237" t="s">
        <v>231</v>
      </c>
      <c r="HA245" s="237" t="s">
        <v>231</v>
      </c>
      <c r="HB245" s="237" t="s">
        <v>231</v>
      </c>
      <c r="HC245" s="237" t="s">
        <v>231</v>
      </c>
      <c r="HD245" s="237" t="s">
        <v>231</v>
      </c>
      <c r="HE245" s="237" t="s">
        <v>492</v>
      </c>
      <c r="HF245" s="237" t="s">
        <v>231</v>
      </c>
      <c r="HG245" s="237" t="s">
        <v>231</v>
      </c>
      <c r="HH245" s="237" t="s">
        <v>231</v>
      </c>
      <c r="HI245" s="237" t="s">
        <v>231</v>
      </c>
      <c r="HJ245" s="237" t="s">
        <v>231</v>
      </c>
      <c r="HK245" s="237" t="s">
        <v>231</v>
      </c>
      <c r="HL245" s="237" t="s">
        <v>231</v>
      </c>
      <c r="HM245" s="237" t="s">
        <v>231</v>
      </c>
      <c r="HN245" s="237" t="s">
        <v>231</v>
      </c>
      <c r="HO245" s="237" t="s">
        <v>231</v>
      </c>
      <c r="HP245" s="237" t="s">
        <v>231</v>
      </c>
      <c r="HQ245" s="237" t="s">
        <v>231</v>
      </c>
      <c r="HR245" s="237" t="s">
        <v>231</v>
      </c>
      <c r="HS245" s="237" t="s">
        <v>231</v>
      </c>
      <c r="HT245" s="237" t="s">
        <v>231</v>
      </c>
      <c r="HU245" s="237" t="s">
        <v>231</v>
      </c>
      <c r="HV245" s="237" t="s">
        <v>231</v>
      </c>
      <c r="HW245" s="237" t="s">
        <v>231</v>
      </c>
      <c r="HX245" s="237" t="s">
        <v>231</v>
      </c>
      <c r="HY245" s="237" t="s">
        <v>231</v>
      </c>
      <c r="HZ245" s="237" t="s">
        <v>231</v>
      </c>
      <c r="IA245" s="237" t="s">
        <v>231</v>
      </c>
      <c r="IB245" s="237" t="s">
        <v>231</v>
      </c>
      <c r="IC245" s="237" t="s">
        <v>231</v>
      </c>
      <c r="ID245" s="237" t="s">
        <v>231</v>
      </c>
      <c r="IE245" s="237" t="s">
        <v>231</v>
      </c>
      <c r="IF245" s="237" t="s">
        <v>231</v>
      </c>
      <c r="IG245" s="237" t="s">
        <v>231</v>
      </c>
      <c r="IH245" s="237" t="s">
        <v>231</v>
      </c>
      <c r="II245" s="237" t="s">
        <v>231</v>
      </c>
      <c r="IJ245" s="237" t="s">
        <v>231</v>
      </c>
      <c r="IK245" s="237" t="s">
        <v>231</v>
      </c>
      <c r="IL245" s="237" t="s">
        <v>231</v>
      </c>
      <c r="IM245" s="237" t="s">
        <v>231</v>
      </c>
      <c r="IN245" s="237" t="s">
        <v>231</v>
      </c>
      <c r="IO245" s="237" t="s">
        <v>220</v>
      </c>
      <c r="IP245" s="237" t="s">
        <v>493</v>
      </c>
      <c r="IQ245" s="237" t="s">
        <v>219</v>
      </c>
      <c r="IR245" s="237" t="s">
        <v>490</v>
      </c>
      <c r="IS245" s="237" t="s">
        <v>492</v>
      </c>
      <c r="IT245" s="237" t="s">
        <v>492</v>
      </c>
    </row>
    <row r="246" spans="1:254" ht="15" x14ac:dyDescent="0.25">
      <c r="A246" s="259" t="str">
        <f>HYPERLINK("http://www.ofsted.gov.uk/inspection-reports/find-inspection-report/provider/ELS/102550 ","Ofsted School Webpage")</f>
        <v>Ofsted School Webpage</v>
      </c>
      <c r="B246" s="240">
        <v>102550</v>
      </c>
      <c r="C246" s="240">
        <v>3136063</v>
      </c>
      <c r="D246" s="240" t="s">
        <v>1087</v>
      </c>
      <c r="E246" s="240" t="s">
        <v>247</v>
      </c>
      <c r="F246" s="240" t="s">
        <v>482</v>
      </c>
      <c r="G246" s="240" t="s">
        <v>506</v>
      </c>
      <c r="H246" s="240" t="s">
        <v>506</v>
      </c>
      <c r="I246" s="240" t="s">
        <v>813</v>
      </c>
      <c r="J246" s="240" t="s">
        <v>1088</v>
      </c>
      <c r="K246" s="240" t="s">
        <v>93</v>
      </c>
      <c r="L246" s="240" t="s">
        <v>93</v>
      </c>
      <c r="M246" s="240" t="s">
        <v>93</v>
      </c>
      <c r="N246" s="240" t="s">
        <v>90</v>
      </c>
      <c r="O246" s="240" t="s">
        <v>486</v>
      </c>
      <c r="P246" s="240" t="s">
        <v>487</v>
      </c>
      <c r="Q246" s="241">
        <v>10067119</v>
      </c>
      <c r="R246" s="242">
        <v>43536</v>
      </c>
      <c r="S246" s="242">
        <v>43538</v>
      </c>
      <c r="T246" s="242">
        <v>43552</v>
      </c>
      <c r="U246" s="240" t="s">
        <v>488</v>
      </c>
      <c r="V246" s="240" t="s">
        <v>489</v>
      </c>
      <c r="W246" s="240">
        <v>2</v>
      </c>
      <c r="X246" s="240">
        <v>2</v>
      </c>
      <c r="Y246" s="240">
        <v>1</v>
      </c>
      <c r="Z246" s="240">
        <v>2</v>
      </c>
      <c r="AA246" s="240">
        <v>2</v>
      </c>
      <c r="AB246" s="240">
        <v>2</v>
      </c>
      <c r="AC246" s="240">
        <v>1</v>
      </c>
      <c r="AD246" s="240" t="s">
        <v>219</v>
      </c>
      <c r="AE246" s="240" t="s">
        <v>490</v>
      </c>
      <c r="AF246" s="240" t="s">
        <v>486</v>
      </c>
      <c r="AG246" s="240" t="s">
        <v>486</v>
      </c>
      <c r="AH246" s="240" t="s">
        <v>486</v>
      </c>
      <c r="AI246" s="240" t="s">
        <v>486</v>
      </c>
      <c r="AJ246" s="240" t="s">
        <v>486</v>
      </c>
      <c r="AK246" s="240" t="s">
        <v>486</v>
      </c>
      <c r="AL246" s="240" t="s">
        <v>486</v>
      </c>
      <c r="AM246" s="240" t="s">
        <v>491</v>
      </c>
      <c r="AN246" s="240" t="s">
        <v>231</v>
      </c>
      <c r="AO246" s="240" t="s">
        <v>231</v>
      </c>
      <c r="AP246" s="240" t="s">
        <v>231</v>
      </c>
      <c r="AQ246" s="240" t="s">
        <v>231</v>
      </c>
      <c r="AR246" s="240" t="s">
        <v>231</v>
      </c>
      <c r="AS246" s="240" t="s">
        <v>231</v>
      </c>
      <c r="AT246" s="240" t="s">
        <v>231</v>
      </c>
      <c r="AU246" s="240" t="s">
        <v>231</v>
      </c>
      <c r="AV246" s="240" t="s">
        <v>231</v>
      </c>
      <c r="AW246" s="240" t="s">
        <v>231</v>
      </c>
      <c r="AX246" s="240" t="s">
        <v>231</v>
      </c>
      <c r="AY246" s="240" t="s">
        <v>231</v>
      </c>
      <c r="AZ246" s="240" t="s">
        <v>231</v>
      </c>
      <c r="BA246" s="240" t="s">
        <v>231</v>
      </c>
      <c r="BB246" s="240" t="s">
        <v>231</v>
      </c>
      <c r="BC246" s="240" t="s">
        <v>231</v>
      </c>
      <c r="BD246" s="240" t="s">
        <v>492</v>
      </c>
      <c r="BE246" s="240" t="s">
        <v>231</v>
      </c>
      <c r="BF246" s="240" t="s">
        <v>231</v>
      </c>
      <c r="BG246" s="240" t="s">
        <v>231</v>
      </c>
      <c r="BH246" s="240" t="s">
        <v>231</v>
      </c>
      <c r="BI246" s="240" t="s">
        <v>231</v>
      </c>
      <c r="BJ246" s="240" t="s">
        <v>231</v>
      </c>
      <c r="BK246" s="240" t="s">
        <v>231</v>
      </c>
      <c r="BL246" s="240" t="s">
        <v>492</v>
      </c>
      <c r="BM246" s="240" t="s">
        <v>492</v>
      </c>
      <c r="BN246" s="240" t="s">
        <v>231</v>
      </c>
      <c r="BO246" s="240" t="s">
        <v>231</v>
      </c>
      <c r="BP246" s="240" t="s">
        <v>231</v>
      </c>
      <c r="BQ246" s="240" t="s">
        <v>231</v>
      </c>
      <c r="BR246" s="240" t="s">
        <v>231</v>
      </c>
      <c r="BS246" s="240" t="s">
        <v>231</v>
      </c>
      <c r="BT246" s="240" t="s">
        <v>231</v>
      </c>
      <c r="BU246" s="240" t="s">
        <v>231</v>
      </c>
      <c r="BV246" s="240" t="s">
        <v>231</v>
      </c>
      <c r="BW246" s="240" t="s">
        <v>231</v>
      </c>
      <c r="BX246" s="240" t="s">
        <v>231</v>
      </c>
      <c r="BY246" s="240" t="s">
        <v>231</v>
      </c>
      <c r="BZ246" s="240" t="s">
        <v>231</v>
      </c>
      <c r="CA246" s="240" t="s">
        <v>231</v>
      </c>
      <c r="CB246" s="240" t="s">
        <v>231</v>
      </c>
      <c r="CC246" s="240" t="s">
        <v>231</v>
      </c>
      <c r="CD246" s="240" t="s">
        <v>231</v>
      </c>
      <c r="CE246" s="240" t="s">
        <v>231</v>
      </c>
      <c r="CF246" s="240" t="s">
        <v>231</v>
      </c>
      <c r="CG246" s="240" t="s">
        <v>231</v>
      </c>
      <c r="CH246" s="240" t="s">
        <v>231</v>
      </c>
      <c r="CI246" s="240" t="s">
        <v>231</v>
      </c>
      <c r="CJ246" s="240" t="s">
        <v>231</v>
      </c>
      <c r="CK246" s="240" t="s">
        <v>231</v>
      </c>
      <c r="CL246" s="240" t="s">
        <v>231</v>
      </c>
      <c r="CM246" s="240" t="s">
        <v>231</v>
      </c>
      <c r="CN246" s="240" t="s">
        <v>231</v>
      </c>
      <c r="CO246" s="240" t="s">
        <v>231</v>
      </c>
      <c r="CP246" s="240" t="s">
        <v>231</v>
      </c>
      <c r="CQ246" s="240" t="s">
        <v>231</v>
      </c>
      <c r="CR246" s="240" t="s">
        <v>231</v>
      </c>
      <c r="CS246" s="240" t="s">
        <v>231</v>
      </c>
      <c r="CT246" s="240" t="s">
        <v>492</v>
      </c>
      <c r="CU246" s="240" t="s">
        <v>492</v>
      </c>
      <c r="CV246" s="240" t="s">
        <v>492</v>
      </c>
      <c r="CW246" s="240" t="s">
        <v>231</v>
      </c>
      <c r="CX246" s="240" t="s">
        <v>231</v>
      </c>
      <c r="CY246" s="240" t="s">
        <v>231</v>
      </c>
      <c r="CZ246" s="240" t="s">
        <v>231</v>
      </c>
      <c r="DA246" s="240" t="s">
        <v>231</v>
      </c>
      <c r="DB246" s="240" t="s">
        <v>231</v>
      </c>
      <c r="DC246" s="240" t="s">
        <v>231</v>
      </c>
      <c r="DD246" s="240" t="s">
        <v>231</v>
      </c>
      <c r="DE246" s="240" t="s">
        <v>231</v>
      </c>
      <c r="DF246" s="240" t="s">
        <v>231</v>
      </c>
      <c r="DG246" s="240" t="s">
        <v>231</v>
      </c>
      <c r="DH246" s="240" t="s">
        <v>231</v>
      </c>
      <c r="DI246" s="240" t="s">
        <v>231</v>
      </c>
      <c r="DJ246" s="240" t="s">
        <v>231</v>
      </c>
      <c r="DK246" s="240" t="s">
        <v>231</v>
      </c>
      <c r="DL246" s="240" t="s">
        <v>231</v>
      </c>
      <c r="DM246" s="240" t="s">
        <v>231</v>
      </c>
      <c r="DN246" s="240" t="s">
        <v>231</v>
      </c>
      <c r="DO246" s="240" t="s">
        <v>231</v>
      </c>
      <c r="DP246" s="240" t="s">
        <v>231</v>
      </c>
      <c r="DQ246" s="240" t="s">
        <v>231</v>
      </c>
      <c r="DR246" s="240" t="s">
        <v>231</v>
      </c>
      <c r="DS246" s="240" t="s">
        <v>231</v>
      </c>
      <c r="DT246" s="240" t="s">
        <v>231</v>
      </c>
      <c r="DU246" s="240" t="s">
        <v>231</v>
      </c>
      <c r="DV246" s="240" t="s">
        <v>231</v>
      </c>
      <c r="DW246" s="240" t="s">
        <v>231</v>
      </c>
      <c r="DX246" s="240" t="s">
        <v>231</v>
      </c>
      <c r="DY246" s="240" t="s">
        <v>231</v>
      </c>
      <c r="DZ246" s="240" t="s">
        <v>231</v>
      </c>
      <c r="EA246" s="240" t="s">
        <v>231</v>
      </c>
      <c r="EB246" s="240" t="s">
        <v>231</v>
      </c>
      <c r="EC246" s="240" t="s">
        <v>231</v>
      </c>
      <c r="ED246" s="240" t="s">
        <v>231</v>
      </c>
      <c r="EE246" s="240" t="s">
        <v>231</v>
      </c>
      <c r="EF246" s="240" t="s">
        <v>231</v>
      </c>
      <c r="EG246" s="240" t="s">
        <v>231</v>
      </c>
      <c r="EH246" s="240" t="s">
        <v>492</v>
      </c>
      <c r="EI246" s="240" t="s">
        <v>492</v>
      </c>
      <c r="EJ246" s="240" t="s">
        <v>231</v>
      </c>
      <c r="EK246" s="240" t="s">
        <v>231</v>
      </c>
      <c r="EL246" s="240" t="s">
        <v>231</v>
      </c>
      <c r="EM246" s="240" t="s">
        <v>231</v>
      </c>
      <c r="EN246" s="240" t="s">
        <v>231</v>
      </c>
      <c r="EO246" s="240" t="s">
        <v>231</v>
      </c>
      <c r="EP246" s="240" t="s">
        <v>231</v>
      </c>
      <c r="EQ246" s="240" t="s">
        <v>231</v>
      </c>
      <c r="ER246" s="240" t="s">
        <v>231</v>
      </c>
      <c r="ES246" s="240" t="s">
        <v>231</v>
      </c>
      <c r="ET246" s="240" t="s">
        <v>231</v>
      </c>
      <c r="EU246" s="240" t="s">
        <v>231</v>
      </c>
      <c r="EV246" s="240" t="s">
        <v>231</v>
      </c>
      <c r="EW246" s="240" t="s">
        <v>231</v>
      </c>
      <c r="EX246" s="240" t="s">
        <v>231</v>
      </c>
      <c r="EY246" s="240" t="s">
        <v>231</v>
      </c>
      <c r="EZ246" s="240" t="s">
        <v>231</v>
      </c>
      <c r="FA246" s="240" t="s">
        <v>231</v>
      </c>
      <c r="FB246" s="240" t="s">
        <v>231</v>
      </c>
      <c r="FC246" s="240" t="s">
        <v>231</v>
      </c>
      <c r="FD246" s="240" t="s">
        <v>231</v>
      </c>
      <c r="FE246" s="240" t="s">
        <v>231</v>
      </c>
      <c r="FF246" s="240" t="s">
        <v>231</v>
      </c>
      <c r="FG246" s="240" t="s">
        <v>231</v>
      </c>
      <c r="FH246" s="240" t="s">
        <v>231</v>
      </c>
      <c r="FI246" s="240" t="s">
        <v>231</v>
      </c>
      <c r="FJ246" s="240" t="s">
        <v>231</v>
      </c>
      <c r="FK246" s="240" t="s">
        <v>231</v>
      </c>
      <c r="FL246" s="240" t="s">
        <v>231</v>
      </c>
      <c r="FM246" s="240" t="s">
        <v>231</v>
      </c>
      <c r="FN246" s="240" t="s">
        <v>231</v>
      </c>
      <c r="FO246" s="240" t="s">
        <v>231</v>
      </c>
      <c r="FP246" s="240" t="s">
        <v>231</v>
      </c>
      <c r="FQ246" s="240" t="s">
        <v>231</v>
      </c>
      <c r="FR246" s="240" t="s">
        <v>231</v>
      </c>
      <c r="FS246" s="240" t="s">
        <v>231</v>
      </c>
      <c r="FT246" s="240" t="s">
        <v>231</v>
      </c>
      <c r="FU246" s="240" t="s">
        <v>231</v>
      </c>
      <c r="FV246" s="240" t="s">
        <v>231</v>
      </c>
      <c r="FW246" s="240" t="s">
        <v>231</v>
      </c>
      <c r="FX246" s="240" t="s">
        <v>492</v>
      </c>
      <c r="FY246" s="240" t="s">
        <v>492</v>
      </c>
      <c r="FZ246" s="240" t="s">
        <v>231</v>
      </c>
      <c r="GA246" s="240" t="s">
        <v>231</v>
      </c>
      <c r="GB246" s="240" t="s">
        <v>231</v>
      </c>
      <c r="GC246" s="240" t="s">
        <v>231</v>
      </c>
      <c r="GD246" s="240" t="s">
        <v>231</v>
      </c>
      <c r="GE246" s="240" t="s">
        <v>231</v>
      </c>
      <c r="GF246" s="240" t="s">
        <v>231</v>
      </c>
      <c r="GG246" s="240" t="s">
        <v>231</v>
      </c>
      <c r="GH246" s="240" t="s">
        <v>231</v>
      </c>
      <c r="GI246" s="240" t="s">
        <v>231</v>
      </c>
      <c r="GJ246" s="240" t="s">
        <v>231</v>
      </c>
      <c r="GK246" s="240" t="s">
        <v>231</v>
      </c>
      <c r="GL246" s="240" t="s">
        <v>231</v>
      </c>
      <c r="GM246" s="240" t="s">
        <v>231</v>
      </c>
      <c r="GN246" s="240" t="s">
        <v>231</v>
      </c>
      <c r="GO246" s="240" t="s">
        <v>231</v>
      </c>
      <c r="GP246" s="240" t="s">
        <v>492</v>
      </c>
      <c r="GQ246" s="240" t="s">
        <v>231</v>
      </c>
      <c r="GR246" s="240" t="s">
        <v>231</v>
      </c>
      <c r="GS246" s="240" t="s">
        <v>231</v>
      </c>
      <c r="GT246" s="240" t="s">
        <v>231</v>
      </c>
      <c r="GU246" s="240" t="s">
        <v>231</v>
      </c>
      <c r="GV246" s="240" t="s">
        <v>231</v>
      </c>
      <c r="GW246" s="240" t="s">
        <v>231</v>
      </c>
      <c r="GX246" s="240" t="s">
        <v>231</v>
      </c>
      <c r="GY246" s="240" t="s">
        <v>231</v>
      </c>
      <c r="GZ246" s="240" t="s">
        <v>492</v>
      </c>
      <c r="HA246" s="240" t="s">
        <v>492</v>
      </c>
      <c r="HB246" s="240" t="s">
        <v>231</v>
      </c>
      <c r="HC246" s="240" t="s">
        <v>231</v>
      </c>
      <c r="HD246" s="240" t="s">
        <v>231</v>
      </c>
      <c r="HE246" s="240" t="s">
        <v>492</v>
      </c>
      <c r="HF246" s="240" t="s">
        <v>231</v>
      </c>
      <c r="HG246" s="240" t="s">
        <v>231</v>
      </c>
      <c r="HH246" s="240" t="s">
        <v>231</v>
      </c>
      <c r="HI246" s="240" t="s">
        <v>231</v>
      </c>
      <c r="HJ246" s="240" t="s">
        <v>231</v>
      </c>
      <c r="HK246" s="240" t="s">
        <v>231</v>
      </c>
      <c r="HL246" s="240" t="s">
        <v>231</v>
      </c>
      <c r="HM246" s="240" t="s">
        <v>231</v>
      </c>
      <c r="HN246" s="240" t="s">
        <v>231</v>
      </c>
      <c r="HO246" s="240" t="s">
        <v>231</v>
      </c>
      <c r="HP246" s="240" t="s">
        <v>231</v>
      </c>
      <c r="HQ246" s="240" t="s">
        <v>492</v>
      </c>
      <c r="HR246" s="240" t="s">
        <v>492</v>
      </c>
      <c r="HS246" s="240" t="s">
        <v>492</v>
      </c>
      <c r="HT246" s="240" t="s">
        <v>492</v>
      </c>
      <c r="HU246" s="240" t="s">
        <v>231</v>
      </c>
      <c r="HV246" s="240" t="s">
        <v>231</v>
      </c>
      <c r="HW246" s="240" t="s">
        <v>231</v>
      </c>
      <c r="HX246" s="240" t="s">
        <v>231</v>
      </c>
      <c r="HY246" s="240" t="s">
        <v>231</v>
      </c>
      <c r="HZ246" s="240" t="s">
        <v>231</v>
      </c>
      <c r="IA246" s="240" t="s">
        <v>231</v>
      </c>
      <c r="IB246" s="240" t="s">
        <v>231</v>
      </c>
      <c r="IC246" s="240" t="s">
        <v>231</v>
      </c>
      <c r="ID246" s="240" t="s">
        <v>231</v>
      </c>
      <c r="IE246" s="240" t="s">
        <v>231</v>
      </c>
      <c r="IF246" s="240" t="s">
        <v>231</v>
      </c>
      <c r="IG246" s="240" t="s">
        <v>231</v>
      </c>
      <c r="IH246" s="240" t="s">
        <v>231</v>
      </c>
      <c r="II246" s="240" t="s">
        <v>231</v>
      </c>
      <c r="IJ246" s="240" t="s">
        <v>231</v>
      </c>
      <c r="IK246" s="240" t="s">
        <v>231</v>
      </c>
      <c r="IL246" s="240" t="s">
        <v>231</v>
      </c>
      <c r="IM246" s="240" t="s">
        <v>231</v>
      </c>
      <c r="IN246" s="240" t="s">
        <v>231</v>
      </c>
      <c r="IO246" s="240" t="s">
        <v>220</v>
      </c>
      <c r="IP246" s="240" t="s">
        <v>493</v>
      </c>
      <c r="IQ246" s="240" t="s">
        <v>219</v>
      </c>
      <c r="IR246" s="240" t="s">
        <v>490</v>
      </c>
      <c r="IS246" s="240" t="s">
        <v>231</v>
      </c>
      <c r="IT246" s="240" t="s">
        <v>231</v>
      </c>
    </row>
  </sheetData>
  <sheetProtection sheet="1" objects="1" scenarios="1" autoFilter="0"/>
  <autoFilter ref="A4:IT246" xr:uid="{97843D04-A653-4BFE-BCBE-682C60CFD811}"/>
  <conditionalFormatting sqref="B264:B1048576 B1:B3">
    <cfRule type="duplicateValues" dxfId="6" priority="5"/>
  </conditionalFormatting>
  <conditionalFormatting sqref="B247:B263">
    <cfRule type="duplicateValues" dxfId="5" priority="9"/>
  </conditionalFormatting>
  <conditionalFormatting sqref="B4:B6">
    <cfRule type="duplicateValues" dxfId="4" priority="2"/>
  </conditionalFormatting>
  <conditionalFormatting sqref="B7:B246">
    <cfRule type="duplicateValues" dxfId="3"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F1AEE-9BB0-4C5E-B1CC-2C0AA1AC9421}">
  <sheetPr>
    <tabColor theme="9" tint="0.79998168889431442"/>
  </sheetPr>
  <dimension ref="A1:IC191"/>
  <sheetViews>
    <sheetView workbookViewId="0"/>
  </sheetViews>
  <sheetFormatPr defaultColWidth="8.85546875" defaultRowHeight="12.75" x14ac:dyDescent="0.2"/>
  <cols>
    <col min="1" max="1" width="25.5703125" style="28" customWidth="1"/>
    <col min="2" max="2" width="7.28515625" style="28" customWidth="1"/>
    <col min="3" max="3" width="10.85546875" style="28" customWidth="1"/>
    <col min="4" max="4" width="40.140625" style="28" customWidth="1"/>
    <col min="5" max="5" width="31.85546875" style="28" customWidth="1"/>
    <col min="6" max="6" width="35" style="28" customWidth="1"/>
    <col min="7" max="7" width="27.42578125" style="28" customWidth="1"/>
    <col min="8" max="8" width="25.28515625" style="28" customWidth="1"/>
    <col min="9" max="9" width="11.42578125" style="28" customWidth="1"/>
    <col min="10" max="10" width="20.28515625" style="28" customWidth="1"/>
    <col min="11" max="11" width="17" style="28" customWidth="1"/>
    <col min="12" max="12" width="18.42578125" style="28" customWidth="1"/>
    <col min="13" max="13" width="17" style="28" customWidth="1"/>
    <col min="14" max="14" width="15.85546875" style="28" customWidth="1"/>
    <col min="15" max="15" width="14.42578125" style="28" customWidth="1"/>
    <col min="16" max="16" width="20.28515625" style="28" customWidth="1"/>
    <col min="17" max="17" width="23" style="28" customWidth="1"/>
    <col min="18" max="18" width="22.5703125" style="28" customWidth="1"/>
    <col min="19" max="19" width="17.85546875" style="28" customWidth="1"/>
    <col min="20" max="20" width="48" style="28" customWidth="1"/>
    <col min="21" max="29" width="34.42578125" style="28" customWidth="1"/>
    <col min="30" max="30" width="41.85546875" style="28" customWidth="1"/>
    <col min="31" max="31" width="36.42578125" style="28" customWidth="1"/>
    <col min="32" max="32" width="38.85546875" style="28" customWidth="1"/>
    <col min="33" max="33" width="39" style="28" customWidth="1"/>
    <col min="34" max="34" width="41.140625" style="28" customWidth="1"/>
    <col min="35" max="35" width="41.7109375" style="28" customWidth="1"/>
    <col min="36" max="36" width="36.42578125" style="28" customWidth="1"/>
    <col min="37" max="37" width="38.85546875" style="28" customWidth="1"/>
    <col min="38" max="38" width="39" style="28" customWidth="1"/>
    <col min="39" max="39" width="38.7109375" style="28" customWidth="1"/>
    <col min="40" max="40" width="39" style="28" customWidth="1"/>
    <col min="41" max="41" width="41.140625" style="28" customWidth="1"/>
    <col min="42" max="42" width="41.7109375" style="28" customWidth="1"/>
    <col min="43" max="43" width="39" style="28" customWidth="1"/>
    <col min="44" max="44" width="41.140625" style="28" customWidth="1"/>
    <col min="45" max="45" width="41.7109375" style="28" customWidth="1"/>
    <col min="46" max="46" width="42.28515625" style="28" customWidth="1"/>
    <col min="47" max="47" width="38.5703125" style="28" customWidth="1"/>
    <col min="48" max="48" width="38.85546875" style="28" customWidth="1"/>
    <col min="49" max="49" width="39" style="28" customWidth="1"/>
    <col min="50" max="50" width="38.42578125" style="28" customWidth="1"/>
    <col min="51" max="51" width="33.85546875" style="28" customWidth="1"/>
    <col min="52" max="52" width="36.42578125" style="28" customWidth="1"/>
    <col min="53" max="53" width="36.5703125" style="28" customWidth="1"/>
    <col min="54" max="54" width="36.28515625" style="28" customWidth="1"/>
    <col min="55" max="56" width="36.5703125" style="28" customWidth="1"/>
    <col min="57" max="57" width="36.140625" style="28" customWidth="1"/>
    <col min="58" max="58" width="36.42578125" style="28" customWidth="1"/>
    <col min="59" max="59" width="36.5703125" style="28" customWidth="1"/>
    <col min="60" max="61" width="35.85546875" style="28" customWidth="1"/>
    <col min="62" max="63" width="33.85546875" style="28" customWidth="1"/>
    <col min="64" max="64" width="36.42578125" style="28" customWidth="1"/>
    <col min="65" max="65" width="36.5703125" style="28" customWidth="1"/>
    <col min="66" max="66" width="38.5703125" style="28" customWidth="1"/>
    <col min="67" max="67" width="39.140625" style="28" customWidth="1"/>
    <col min="68" max="68" width="39.7109375" style="28" customWidth="1"/>
    <col min="69" max="69" width="39.5703125" style="28" customWidth="1"/>
    <col min="70" max="70" width="39" style="28" customWidth="1"/>
    <col min="71" max="71" width="39.5703125" style="28" customWidth="1"/>
    <col min="72" max="72" width="40.28515625" style="28" customWidth="1"/>
    <col min="73" max="73" width="36.28515625" style="28" customWidth="1"/>
    <col min="74" max="74" width="36.5703125" style="28" customWidth="1"/>
    <col min="75" max="75" width="38.5703125" style="28" customWidth="1"/>
    <col min="76" max="76" width="39.140625" style="28" customWidth="1"/>
    <col min="77" max="77" width="39.7109375" style="28" customWidth="1"/>
    <col min="78" max="78" width="33.85546875" style="28" customWidth="1"/>
    <col min="79" max="79" width="36.42578125" style="28" customWidth="1"/>
    <col min="80" max="80" width="36.5703125" style="28" customWidth="1"/>
    <col min="81" max="81" width="33.85546875" style="28" customWidth="1"/>
    <col min="82" max="82" width="36.42578125" style="28" customWidth="1"/>
    <col min="83" max="83" width="36.5703125" style="28" customWidth="1"/>
    <col min="84" max="84" width="33.85546875" style="28" customWidth="1"/>
    <col min="85" max="85" width="36.42578125" style="28" customWidth="1"/>
    <col min="86" max="86" width="36.5703125" style="28" customWidth="1"/>
    <col min="87" max="87" width="36.28515625" style="28" customWidth="1"/>
    <col min="88" max="94" width="34.85546875" style="28" customWidth="1"/>
    <col min="95" max="95" width="37.42578125" style="28" customWidth="1"/>
    <col min="96" max="96" width="37.5703125" style="28" customWidth="1"/>
    <col min="97" max="97" width="37.42578125" style="28" customWidth="1"/>
    <col min="98" max="98" width="39.85546875" style="28" customWidth="1"/>
    <col min="99" max="99" width="40" style="28" customWidth="1"/>
    <col min="100" max="100" width="39.7109375" style="28" customWidth="1"/>
    <col min="101" max="101" width="41.85546875" style="28" customWidth="1"/>
    <col min="102" max="102" width="42.42578125" style="28" customWidth="1"/>
    <col min="103" max="103" width="43" style="28" customWidth="1"/>
    <col min="104" max="104" width="42.85546875" style="28" customWidth="1"/>
    <col min="105" max="106" width="40" style="28" customWidth="1"/>
    <col min="107" max="107" width="39.5703125" style="28" customWidth="1"/>
    <col min="108" max="109" width="37.42578125" style="28" customWidth="1"/>
    <col min="110" max="110" width="39.85546875" style="28" customWidth="1"/>
    <col min="111" max="111" width="42" style="28" customWidth="1"/>
    <col min="112" max="112" width="45.5703125" style="28" customWidth="1"/>
    <col min="113" max="113" width="45.85546875" style="28" customWidth="1"/>
    <col min="114" max="114" width="45.28515625" style="28" customWidth="1"/>
    <col min="115" max="115" width="42.5703125" style="28" customWidth="1"/>
    <col min="116" max="116" width="40" style="28" customWidth="1"/>
    <col min="117" max="117" width="39.7109375" style="28" customWidth="1"/>
    <col min="118" max="118" width="40" style="28" customWidth="1"/>
    <col min="119" max="119" width="42.140625" style="28" customWidth="1"/>
    <col min="120" max="120" width="42.7109375" style="28" customWidth="1"/>
    <col min="121" max="121" width="40" style="28" customWidth="1"/>
    <col min="122" max="123" width="37.42578125" style="28" customWidth="1"/>
    <col min="124" max="124" width="39.85546875" style="28" customWidth="1"/>
    <col min="125" max="125" width="42" style="28" customWidth="1"/>
    <col min="126" max="126" width="42.5703125" style="28" customWidth="1"/>
    <col min="127" max="127" width="40" style="28" customWidth="1"/>
    <col min="128" max="128" width="42.140625" style="28" customWidth="1"/>
    <col min="129" max="129" width="42.7109375" style="28" customWidth="1"/>
    <col min="130" max="130" width="43.28515625" style="28" customWidth="1"/>
    <col min="131" max="131" width="49.7109375" style="28" customWidth="1"/>
    <col min="132" max="134" width="37.42578125" style="28" customWidth="1"/>
    <col min="135" max="135" width="39.85546875" style="28" customWidth="1"/>
    <col min="136" max="136" width="42" style="28" customWidth="1"/>
    <col min="137" max="137" width="42.5703125" style="28" customWidth="1"/>
    <col min="138" max="138" width="43.140625" style="28" customWidth="1"/>
    <col min="139" max="139" width="43" style="28" customWidth="1"/>
    <col min="140" max="140" width="42.42578125" style="28" customWidth="1"/>
    <col min="141" max="141" width="43" style="28" customWidth="1"/>
    <col min="142" max="142" width="43.5703125" style="28" customWidth="1"/>
    <col min="143" max="143" width="44.140625" style="28" customWidth="1"/>
    <col min="144" max="144" width="40" style="28" customWidth="1"/>
    <col min="145" max="146" width="37.42578125" style="28" customWidth="1"/>
    <col min="147" max="147" width="39.85546875" style="28" customWidth="1"/>
    <col min="148" max="148" width="42" style="28" customWidth="1"/>
    <col min="149" max="149" width="42.5703125" style="28" customWidth="1"/>
    <col min="150" max="150" width="40" style="28" customWidth="1"/>
    <col min="151" max="151" width="39.7109375" style="28" customWidth="1"/>
    <col min="152" max="153" width="37.42578125" style="28" customWidth="1"/>
    <col min="154" max="154" width="39.85546875" style="28" customWidth="1"/>
    <col min="155" max="155" width="40" style="28" customWidth="1"/>
    <col min="156" max="156" width="37.42578125" style="28" customWidth="1"/>
    <col min="157" max="157" width="39.85546875" style="28" customWidth="1"/>
    <col min="158" max="158" width="40" style="28" customWidth="1"/>
    <col min="159" max="159" width="39.7109375" style="28" customWidth="1"/>
    <col min="160" max="160" width="37.42578125" style="28" customWidth="1"/>
    <col min="161" max="161" width="39.85546875" style="28" customWidth="1"/>
    <col min="162" max="162" width="40" style="28" customWidth="1"/>
    <col min="163" max="163" width="39.7109375" style="28" customWidth="1"/>
    <col min="164" max="164" width="37.42578125" style="28" customWidth="1"/>
    <col min="165" max="167" width="34.85546875" style="28" customWidth="1"/>
    <col min="168" max="168" width="37.42578125" style="28" customWidth="1"/>
    <col min="169" max="169" width="37.5703125" style="28" customWidth="1"/>
    <col min="170" max="170" width="37.42578125" style="28" customWidth="1"/>
    <col min="171" max="171" width="39.85546875" style="28" customWidth="1"/>
    <col min="172" max="172" width="40" style="28" customWidth="1"/>
    <col min="173" max="173" width="39.7109375" style="28" customWidth="1"/>
    <col min="174" max="174" width="40" style="28" customWidth="1"/>
    <col min="175" max="175" width="37.42578125" style="28" customWidth="1"/>
    <col min="176" max="176" width="39.85546875" style="28" customWidth="1"/>
    <col min="177" max="177" width="40" style="28" customWidth="1"/>
    <col min="178" max="178" width="37.42578125" style="28" customWidth="1"/>
    <col min="179" max="179" width="39.85546875" style="28" customWidth="1"/>
    <col min="180" max="180" width="40" style="28" customWidth="1"/>
    <col min="181" max="181" width="34.85546875" style="28" customWidth="1"/>
    <col min="182" max="182" width="37.42578125" style="28" customWidth="1"/>
    <col min="183" max="183" width="39.85546875" style="28" customWidth="1"/>
    <col min="184" max="184" width="40" style="28" customWidth="1"/>
    <col min="185" max="185" width="39.7109375" style="28" customWidth="1"/>
    <col min="186" max="187" width="40" style="28" customWidth="1"/>
    <col min="188" max="188" width="39.5703125" style="28" customWidth="1"/>
    <col min="189" max="189" width="39.85546875" style="28" customWidth="1"/>
    <col min="190" max="190" width="40" style="28" customWidth="1"/>
    <col min="191" max="192" width="39.42578125" style="28" customWidth="1"/>
    <col min="193" max="193" width="37.42578125" style="28" customWidth="1"/>
    <col min="194" max="194" width="39.85546875" style="28" customWidth="1"/>
    <col min="195" max="195" width="40" style="28" customWidth="1"/>
    <col min="196" max="196" width="42.140625" style="28" customWidth="1"/>
    <col min="197" max="197" width="42.7109375" style="28" customWidth="1"/>
    <col min="198" max="198" width="39.7109375" style="28" customWidth="1"/>
    <col min="199" max="199" width="40" style="28" customWidth="1"/>
    <col min="200" max="200" width="37.42578125" style="28" customWidth="1"/>
    <col min="201" max="201" width="39.85546875" style="28" customWidth="1"/>
    <col min="202" max="202" width="40" style="28" customWidth="1"/>
    <col min="203" max="203" width="39.7109375" style="28" customWidth="1"/>
    <col min="204" max="205" width="40" style="28" customWidth="1"/>
    <col min="206" max="206" width="39.5703125" style="28" customWidth="1"/>
    <col min="207" max="207" width="39.85546875" style="28" customWidth="1"/>
    <col min="208" max="208" width="37.42578125" style="28" customWidth="1"/>
    <col min="209" max="209" width="39.85546875" style="28" customWidth="1"/>
    <col min="210" max="210" width="40" style="28" customWidth="1"/>
    <col min="211" max="211" width="39.7109375" style="28" customWidth="1"/>
    <col min="212" max="212" width="34.85546875" style="28" customWidth="1"/>
    <col min="213" max="213" width="37.42578125" style="28" customWidth="1"/>
    <col min="214" max="214" width="37.5703125" style="28" customWidth="1"/>
    <col min="215" max="215" width="37.28515625" style="28" customWidth="1"/>
    <col min="216" max="217" width="37.5703125" style="28" customWidth="1"/>
    <col min="218" max="218" width="37.140625" style="28" customWidth="1"/>
    <col min="219" max="219" width="37.42578125" style="28" customWidth="1"/>
    <col min="220" max="220" width="37.5703125" style="28" customWidth="1"/>
    <col min="221" max="221" width="37" style="28" customWidth="1"/>
    <col min="222" max="222" width="39" style="28" customWidth="1"/>
    <col min="223" max="223" width="39.5703125" style="28" customWidth="1"/>
    <col min="224" max="224" width="37" style="28" customWidth="1"/>
    <col min="225" max="225" width="39" style="28" customWidth="1"/>
    <col min="226" max="226" width="39.5703125" style="28" customWidth="1"/>
    <col min="227" max="228" width="37.42578125" style="28" customWidth="1"/>
    <col min="229" max="229" width="39.85546875" style="28" customWidth="1"/>
    <col min="230" max="230" width="40" style="28" customWidth="1"/>
    <col min="231" max="231" width="39.7109375" style="28" customWidth="1"/>
    <col min="232" max="234" width="26.28515625" style="28" customWidth="1"/>
    <col min="235" max="235" width="29.7109375" style="28" customWidth="1"/>
    <col min="236" max="236" width="29.42578125" style="28" customWidth="1"/>
    <col min="237" max="237" width="56.28515625" style="28" customWidth="1"/>
    <col min="238" max="16384" width="8.85546875" style="28"/>
  </cols>
  <sheetData>
    <row r="1" spans="1:237" ht="15" x14ac:dyDescent="0.2">
      <c r="A1" s="30" t="s">
        <v>1100</v>
      </c>
    </row>
    <row r="2" spans="1:237" x14ac:dyDescent="0.2">
      <c r="A2" s="233" t="s">
        <v>30</v>
      </c>
    </row>
    <row r="4" spans="1:237" s="264" customFormat="1" ht="27.75" customHeight="1" x14ac:dyDescent="0.2">
      <c r="A4" s="262" t="s">
        <v>99</v>
      </c>
      <c r="B4" s="263" t="s">
        <v>102</v>
      </c>
      <c r="C4" s="263" t="s">
        <v>104</v>
      </c>
      <c r="D4" s="263" t="s">
        <v>106</v>
      </c>
      <c r="E4" s="263" t="s">
        <v>108</v>
      </c>
      <c r="F4" s="263" t="s">
        <v>128</v>
      </c>
      <c r="G4" s="263" t="s">
        <v>131</v>
      </c>
      <c r="H4" s="263" t="s">
        <v>134</v>
      </c>
      <c r="I4" s="263" t="s">
        <v>137</v>
      </c>
      <c r="J4" s="263" t="s">
        <v>117</v>
      </c>
      <c r="K4" s="263" t="s">
        <v>119</v>
      </c>
      <c r="L4" s="263" t="s">
        <v>68</v>
      </c>
      <c r="M4" s="263" t="s">
        <v>69</v>
      </c>
      <c r="N4" s="263" t="s">
        <v>125</v>
      </c>
      <c r="O4" s="263" t="s">
        <v>140</v>
      </c>
      <c r="P4" s="263" t="s">
        <v>142</v>
      </c>
      <c r="Q4" s="263" t="s">
        <v>144</v>
      </c>
      <c r="R4" s="263" t="s">
        <v>146</v>
      </c>
      <c r="S4" s="263" t="s">
        <v>148</v>
      </c>
      <c r="T4" s="263" t="s">
        <v>150</v>
      </c>
      <c r="U4" s="263" t="s">
        <v>151</v>
      </c>
      <c r="V4" s="263" t="s">
        <v>259</v>
      </c>
      <c r="W4" s="263" t="s">
        <v>260</v>
      </c>
      <c r="X4" s="263" t="s">
        <v>261</v>
      </c>
      <c r="Y4" s="263" t="s">
        <v>262</v>
      </c>
      <c r="Z4" s="263" t="s">
        <v>263</v>
      </c>
      <c r="AA4" s="263" t="s">
        <v>264</v>
      </c>
      <c r="AB4" s="263" t="s">
        <v>265</v>
      </c>
      <c r="AC4" s="263" t="s">
        <v>266</v>
      </c>
      <c r="AD4" s="263" t="s">
        <v>1101</v>
      </c>
      <c r="AE4" s="263" t="s">
        <v>276</v>
      </c>
      <c r="AF4" s="263" t="s">
        <v>277</v>
      </c>
      <c r="AG4" s="263" t="s">
        <v>278</v>
      </c>
      <c r="AH4" s="263" t="s">
        <v>279</v>
      </c>
      <c r="AI4" s="263" t="s">
        <v>280</v>
      </c>
      <c r="AJ4" s="263" t="s">
        <v>281</v>
      </c>
      <c r="AK4" s="263" t="s">
        <v>282</v>
      </c>
      <c r="AL4" s="263" t="s">
        <v>283</v>
      </c>
      <c r="AM4" s="263" t="s">
        <v>284</v>
      </c>
      <c r="AN4" s="263" t="s">
        <v>285</v>
      </c>
      <c r="AO4" s="263" t="s">
        <v>286</v>
      </c>
      <c r="AP4" s="263" t="s">
        <v>287</v>
      </c>
      <c r="AQ4" s="263" t="s">
        <v>288</v>
      </c>
      <c r="AR4" s="263" t="s">
        <v>289</v>
      </c>
      <c r="AS4" s="263" t="s">
        <v>290</v>
      </c>
      <c r="AT4" s="263" t="s">
        <v>291</v>
      </c>
      <c r="AU4" s="263" t="s">
        <v>292</v>
      </c>
      <c r="AV4" s="263" t="s">
        <v>293</v>
      </c>
      <c r="AW4" s="263" t="s">
        <v>294</v>
      </c>
      <c r="AX4" s="263" t="s">
        <v>295</v>
      </c>
      <c r="AY4" s="263" t="s">
        <v>296</v>
      </c>
      <c r="AZ4" s="263" t="s">
        <v>297</v>
      </c>
      <c r="BA4" s="263" t="s">
        <v>298</v>
      </c>
      <c r="BB4" s="263" t="s">
        <v>299</v>
      </c>
      <c r="BC4" s="263" t="s">
        <v>300</v>
      </c>
      <c r="BD4" s="263" t="s">
        <v>301</v>
      </c>
      <c r="BE4" s="263" t="s">
        <v>302</v>
      </c>
      <c r="BF4" s="263" t="s">
        <v>303</v>
      </c>
      <c r="BG4" s="263" t="s">
        <v>304</v>
      </c>
      <c r="BH4" s="263" t="s">
        <v>305</v>
      </c>
      <c r="BI4" s="263" t="s">
        <v>306</v>
      </c>
      <c r="BJ4" s="263" t="s">
        <v>307</v>
      </c>
      <c r="BK4" s="263" t="s">
        <v>308</v>
      </c>
      <c r="BL4" s="263" t="s">
        <v>309</v>
      </c>
      <c r="BM4" s="263" t="s">
        <v>310</v>
      </c>
      <c r="BN4" s="263" t="s">
        <v>311</v>
      </c>
      <c r="BO4" s="263" t="s">
        <v>312</v>
      </c>
      <c r="BP4" s="263" t="s">
        <v>313</v>
      </c>
      <c r="BQ4" s="263" t="s">
        <v>314</v>
      </c>
      <c r="BR4" s="263" t="s">
        <v>315</v>
      </c>
      <c r="BS4" s="263" t="s">
        <v>316</v>
      </c>
      <c r="BT4" s="263" t="s">
        <v>317</v>
      </c>
      <c r="BU4" s="263" t="s">
        <v>318</v>
      </c>
      <c r="BV4" s="263" t="s">
        <v>319</v>
      </c>
      <c r="BW4" s="263" t="s">
        <v>320</v>
      </c>
      <c r="BX4" s="263" t="s">
        <v>321</v>
      </c>
      <c r="BY4" s="263" t="s">
        <v>322</v>
      </c>
      <c r="BZ4" s="263" t="s">
        <v>323</v>
      </c>
      <c r="CA4" s="263" t="s">
        <v>324</v>
      </c>
      <c r="CB4" s="263" t="s">
        <v>325</v>
      </c>
      <c r="CC4" s="263" t="s">
        <v>326</v>
      </c>
      <c r="CD4" s="263" t="s">
        <v>327</v>
      </c>
      <c r="CE4" s="263" t="s">
        <v>328</v>
      </c>
      <c r="CF4" s="263" t="s">
        <v>329</v>
      </c>
      <c r="CG4" s="263" t="s">
        <v>330</v>
      </c>
      <c r="CH4" s="263" t="s">
        <v>331</v>
      </c>
      <c r="CI4" s="263" t="s">
        <v>332</v>
      </c>
      <c r="CJ4" s="263" t="s">
        <v>333</v>
      </c>
      <c r="CK4" s="263" t="s">
        <v>334</v>
      </c>
      <c r="CL4" s="263" t="s">
        <v>335</v>
      </c>
      <c r="CM4" s="263" t="s">
        <v>336</v>
      </c>
      <c r="CN4" s="263" t="s">
        <v>337</v>
      </c>
      <c r="CO4" s="263" t="s">
        <v>338</v>
      </c>
      <c r="CP4" s="263" t="s">
        <v>339</v>
      </c>
      <c r="CQ4" s="263" t="s">
        <v>340</v>
      </c>
      <c r="CR4" s="263" t="s">
        <v>341</v>
      </c>
      <c r="CS4" s="263" t="s">
        <v>342</v>
      </c>
      <c r="CT4" s="263" t="s">
        <v>343</v>
      </c>
      <c r="CU4" s="263" t="s">
        <v>344</v>
      </c>
      <c r="CV4" s="263" t="s">
        <v>345</v>
      </c>
      <c r="CW4" s="263" t="s">
        <v>346</v>
      </c>
      <c r="CX4" s="263" t="s">
        <v>347</v>
      </c>
      <c r="CY4" s="263" t="s">
        <v>348</v>
      </c>
      <c r="CZ4" s="263" t="s">
        <v>349</v>
      </c>
      <c r="DA4" s="263" t="s">
        <v>350</v>
      </c>
      <c r="DB4" s="263" t="s">
        <v>351</v>
      </c>
      <c r="DC4" s="263" t="s">
        <v>352</v>
      </c>
      <c r="DD4" s="263" t="s">
        <v>353</v>
      </c>
      <c r="DE4" s="263" t="s">
        <v>354</v>
      </c>
      <c r="DF4" s="263" t="s">
        <v>355</v>
      </c>
      <c r="DG4" s="263" t="s">
        <v>356</v>
      </c>
      <c r="DH4" s="263" t="s">
        <v>357</v>
      </c>
      <c r="DI4" s="263" t="s">
        <v>358</v>
      </c>
      <c r="DJ4" s="263" t="s">
        <v>359</v>
      </c>
      <c r="DK4" s="263" t="s">
        <v>360</v>
      </c>
      <c r="DL4" s="263" t="s">
        <v>361</v>
      </c>
      <c r="DM4" s="263" t="s">
        <v>362</v>
      </c>
      <c r="DN4" s="263" t="s">
        <v>363</v>
      </c>
      <c r="DO4" s="263" t="s">
        <v>364</v>
      </c>
      <c r="DP4" s="263" t="s">
        <v>365</v>
      </c>
      <c r="DQ4" s="263" t="s">
        <v>366</v>
      </c>
      <c r="DR4" s="263" t="s">
        <v>367</v>
      </c>
      <c r="DS4" s="263" t="s">
        <v>368</v>
      </c>
      <c r="DT4" s="263" t="s">
        <v>369</v>
      </c>
      <c r="DU4" s="263" t="s">
        <v>370</v>
      </c>
      <c r="DV4" s="263" t="s">
        <v>371</v>
      </c>
      <c r="DW4" s="263" t="s">
        <v>372</v>
      </c>
      <c r="DX4" s="263" t="s">
        <v>373</v>
      </c>
      <c r="DY4" s="263" t="s">
        <v>374</v>
      </c>
      <c r="DZ4" s="263" t="s">
        <v>375</v>
      </c>
      <c r="EA4" s="263" t="s">
        <v>376</v>
      </c>
      <c r="EB4" s="263" t="s">
        <v>377</v>
      </c>
      <c r="EC4" s="263" t="s">
        <v>378</v>
      </c>
      <c r="ED4" s="263" t="s">
        <v>379</v>
      </c>
      <c r="EE4" s="263" t="s">
        <v>380</v>
      </c>
      <c r="EF4" s="263" t="s">
        <v>381</v>
      </c>
      <c r="EG4" s="263" t="s">
        <v>382</v>
      </c>
      <c r="EH4" s="263" t="s">
        <v>383</v>
      </c>
      <c r="EI4" s="263" t="s">
        <v>384</v>
      </c>
      <c r="EJ4" s="263" t="s">
        <v>385</v>
      </c>
      <c r="EK4" s="263" t="s">
        <v>386</v>
      </c>
      <c r="EL4" s="263" t="s">
        <v>387</v>
      </c>
      <c r="EM4" s="263" t="s">
        <v>388</v>
      </c>
      <c r="EN4" s="263" t="s">
        <v>389</v>
      </c>
      <c r="EO4" s="263" t="s">
        <v>390</v>
      </c>
      <c r="EP4" s="263" t="s">
        <v>391</v>
      </c>
      <c r="EQ4" s="263" t="s">
        <v>392</v>
      </c>
      <c r="ER4" s="263" t="s">
        <v>393</v>
      </c>
      <c r="ES4" s="263" t="s">
        <v>394</v>
      </c>
      <c r="ET4" s="263" t="s">
        <v>395</v>
      </c>
      <c r="EU4" s="263" t="s">
        <v>396</v>
      </c>
      <c r="EV4" s="263" t="s">
        <v>397</v>
      </c>
      <c r="EW4" s="263" t="s">
        <v>398</v>
      </c>
      <c r="EX4" s="263" t="s">
        <v>399</v>
      </c>
      <c r="EY4" s="263" t="s">
        <v>400</v>
      </c>
      <c r="EZ4" s="263" t="s">
        <v>401</v>
      </c>
      <c r="FA4" s="263" t="s">
        <v>402</v>
      </c>
      <c r="FB4" s="263" t="s">
        <v>403</v>
      </c>
      <c r="FC4" s="263" t="s">
        <v>404</v>
      </c>
      <c r="FD4" s="263" t="s">
        <v>405</v>
      </c>
      <c r="FE4" s="263" t="s">
        <v>406</v>
      </c>
      <c r="FF4" s="263" t="s">
        <v>407</v>
      </c>
      <c r="FG4" s="263" t="s">
        <v>408</v>
      </c>
      <c r="FH4" s="263" t="s">
        <v>409</v>
      </c>
      <c r="FI4" s="263" t="s">
        <v>410</v>
      </c>
      <c r="FJ4" s="263" t="s">
        <v>411</v>
      </c>
      <c r="FK4" s="263" t="s">
        <v>412</v>
      </c>
      <c r="FL4" s="263" t="s">
        <v>413</v>
      </c>
      <c r="FM4" s="263" t="s">
        <v>414</v>
      </c>
      <c r="FN4" s="263" t="s">
        <v>415</v>
      </c>
      <c r="FO4" s="263" t="s">
        <v>416</v>
      </c>
      <c r="FP4" s="263" t="s">
        <v>417</v>
      </c>
      <c r="FQ4" s="263" t="s">
        <v>418</v>
      </c>
      <c r="FR4" s="263" t="s">
        <v>419</v>
      </c>
      <c r="FS4" s="263" t="s">
        <v>420</v>
      </c>
      <c r="FT4" s="263" t="s">
        <v>421</v>
      </c>
      <c r="FU4" s="263" t="s">
        <v>422</v>
      </c>
      <c r="FV4" s="263" t="s">
        <v>423</v>
      </c>
      <c r="FW4" s="263" t="s">
        <v>424</v>
      </c>
      <c r="FX4" s="263" t="s">
        <v>425</v>
      </c>
      <c r="FY4" s="263" t="s">
        <v>426</v>
      </c>
      <c r="FZ4" s="263" t="s">
        <v>427</v>
      </c>
      <c r="GA4" s="263" t="s">
        <v>428</v>
      </c>
      <c r="GB4" s="263" t="s">
        <v>429</v>
      </c>
      <c r="GC4" s="263" t="s">
        <v>430</v>
      </c>
      <c r="GD4" s="263" t="s">
        <v>431</v>
      </c>
      <c r="GE4" s="263" t="s">
        <v>432</v>
      </c>
      <c r="GF4" s="263" t="s">
        <v>433</v>
      </c>
      <c r="GG4" s="263" t="s">
        <v>434</v>
      </c>
      <c r="GH4" s="263" t="s">
        <v>435</v>
      </c>
      <c r="GI4" s="263" t="s">
        <v>436</v>
      </c>
      <c r="GJ4" s="263" t="s">
        <v>437</v>
      </c>
      <c r="GK4" s="263" t="s">
        <v>438</v>
      </c>
      <c r="GL4" s="263" t="s">
        <v>439</v>
      </c>
      <c r="GM4" s="263" t="s">
        <v>440</v>
      </c>
      <c r="GN4" s="263" t="s">
        <v>441</v>
      </c>
      <c r="GO4" s="263" t="s">
        <v>442</v>
      </c>
      <c r="GP4" s="263" t="s">
        <v>443</v>
      </c>
      <c r="GQ4" s="263" t="s">
        <v>444</v>
      </c>
      <c r="GR4" s="263" t="s">
        <v>445</v>
      </c>
      <c r="GS4" s="263" t="s">
        <v>446</v>
      </c>
      <c r="GT4" s="263" t="s">
        <v>447</v>
      </c>
      <c r="GU4" s="263" t="s">
        <v>448</v>
      </c>
      <c r="GV4" s="263" t="s">
        <v>449</v>
      </c>
      <c r="GW4" s="263" t="s">
        <v>450</v>
      </c>
      <c r="GX4" s="263" t="s">
        <v>451</v>
      </c>
      <c r="GY4" s="263" t="s">
        <v>452</v>
      </c>
      <c r="GZ4" s="263" t="s">
        <v>453</v>
      </c>
      <c r="HA4" s="263" t="s">
        <v>454</v>
      </c>
      <c r="HB4" s="263" t="s">
        <v>455</v>
      </c>
      <c r="HC4" s="263" t="s">
        <v>456</v>
      </c>
      <c r="HD4" s="263" t="s">
        <v>457</v>
      </c>
      <c r="HE4" s="263" t="s">
        <v>458</v>
      </c>
      <c r="HF4" s="263" t="s">
        <v>459</v>
      </c>
      <c r="HG4" s="263" t="s">
        <v>460</v>
      </c>
      <c r="HH4" s="263" t="s">
        <v>461</v>
      </c>
      <c r="HI4" s="263" t="s">
        <v>462</v>
      </c>
      <c r="HJ4" s="263" t="s">
        <v>463</v>
      </c>
      <c r="HK4" s="263" t="s">
        <v>464</v>
      </c>
      <c r="HL4" s="263" t="s">
        <v>465</v>
      </c>
      <c r="HM4" s="263" t="s">
        <v>466</v>
      </c>
      <c r="HN4" s="263" t="s">
        <v>467</v>
      </c>
      <c r="HO4" s="263" t="s">
        <v>468</v>
      </c>
      <c r="HP4" s="263" t="s">
        <v>469</v>
      </c>
      <c r="HQ4" s="263" t="s">
        <v>470</v>
      </c>
      <c r="HR4" s="263" t="s">
        <v>471</v>
      </c>
      <c r="HS4" s="263" t="s">
        <v>472</v>
      </c>
      <c r="HT4" s="263" t="s">
        <v>473</v>
      </c>
      <c r="HU4" s="263" t="s">
        <v>474</v>
      </c>
      <c r="HV4" s="263" t="s">
        <v>475</v>
      </c>
      <c r="HW4" s="263" t="s">
        <v>476</v>
      </c>
      <c r="HX4" s="263" t="s">
        <v>477</v>
      </c>
      <c r="HY4" s="263" t="s">
        <v>478</v>
      </c>
      <c r="HZ4" s="263" t="s">
        <v>479</v>
      </c>
      <c r="IA4" s="263" t="s">
        <v>187</v>
      </c>
      <c r="IB4" s="263" t="s">
        <v>193</v>
      </c>
      <c r="IC4" s="263" t="s">
        <v>480</v>
      </c>
    </row>
    <row r="5" spans="1:237" ht="14.45" customHeight="1" x14ac:dyDescent="0.25">
      <c r="A5" s="243" t="str">
        <f>HYPERLINK("http://www.ofsted.gov.uk/inspection-reports/find-inspection-report/provider/ELS/139264 ","Ofsted School Webpage")</f>
        <v>Ofsted School Webpage</v>
      </c>
      <c r="B5" s="237">
        <v>139264</v>
      </c>
      <c r="C5" s="237">
        <v>9256005</v>
      </c>
      <c r="D5" s="237" t="s">
        <v>1102</v>
      </c>
      <c r="E5" s="237" t="s">
        <v>247</v>
      </c>
      <c r="F5" s="237" t="s">
        <v>572</v>
      </c>
      <c r="G5" s="237" t="s">
        <v>572</v>
      </c>
      <c r="H5" s="237" t="s">
        <v>929</v>
      </c>
      <c r="I5" s="237" t="s">
        <v>1103</v>
      </c>
      <c r="J5" s="237" t="s">
        <v>93</v>
      </c>
      <c r="K5" s="237" t="s">
        <v>93</v>
      </c>
      <c r="L5" s="237" t="s">
        <v>93</v>
      </c>
      <c r="M5" s="237" t="s">
        <v>90</v>
      </c>
      <c r="N5" s="237" t="s">
        <v>486</v>
      </c>
      <c r="O5" s="237" t="s">
        <v>487</v>
      </c>
      <c r="P5" s="237">
        <v>10068052</v>
      </c>
      <c r="Q5" s="239">
        <v>43346</v>
      </c>
      <c r="R5" s="239">
        <v>43346</v>
      </c>
      <c r="S5" s="239">
        <v>43377</v>
      </c>
      <c r="T5" s="237" t="s">
        <v>1104</v>
      </c>
      <c r="U5" s="237" t="s">
        <v>1105</v>
      </c>
      <c r="V5" s="237" t="s">
        <v>490</v>
      </c>
      <c r="W5" s="237" t="s">
        <v>486</v>
      </c>
      <c r="X5" s="237" t="s">
        <v>486</v>
      </c>
      <c r="Y5" s="237" t="s">
        <v>486</v>
      </c>
      <c r="Z5" s="237" t="s">
        <v>486</v>
      </c>
      <c r="AA5" s="237" t="s">
        <v>486</v>
      </c>
      <c r="AB5" s="237" t="s">
        <v>486</v>
      </c>
      <c r="AC5" s="237" t="s">
        <v>486</v>
      </c>
      <c r="AD5" s="237" t="s">
        <v>1106</v>
      </c>
      <c r="AE5" s="237" t="s">
        <v>231</v>
      </c>
      <c r="AF5" s="237" t="s">
        <v>231</v>
      </c>
      <c r="AG5" s="237" t="s">
        <v>231</v>
      </c>
      <c r="AH5" s="237" t="s">
        <v>231</v>
      </c>
      <c r="AI5" s="237" t="s">
        <v>231</v>
      </c>
      <c r="AJ5" s="237" t="s">
        <v>231</v>
      </c>
      <c r="AK5" s="237" t="s">
        <v>231</v>
      </c>
      <c r="AL5" s="237" t="s">
        <v>231</v>
      </c>
      <c r="AM5" s="237" t="s">
        <v>492</v>
      </c>
      <c r="AN5" s="237" t="s">
        <v>231</v>
      </c>
      <c r="AO5" s="237" t="s">
        <v>231</v>
      </c>
      <c r="AP5" s="237" t="s">
        <v>231</v>
      </c>
      <c r="AQ5" s="237" t="s">
        <v>231</v>
      </c>
      <c r="AR5" s="237" t="s">
        <v>231</v>
      </c>
      <c r="AS5" s="237" t="s">
        <v>231</v>
      </c>
      <c r="AT5" s="237" t="s">
        <v>231</v>
      </c>
      <c r="AU5" s="237" t="s">
        <v>492</v>
      </c>
      <c r="AV5" s="237" t="s">
        <v>231</v>
      </c>
      <c r="AW5" s="237" t="s">
        <v>231</v>
      </c>
      <c r="AX5" s="237" t="s">
        <v>231</v>
      </c>
      <c r="AY5" s="237" t="s">
        <v>231</v>
      </c>
      <c r="AZ5" s="237" t="s">
        <v>231</v>
      </c>
      <c r="BA5" s="237" t="s">
        <v>231</v>
      </c>
      <c r="BB5" s="237" t="s">
        <v>231</v>
      </c>
      <c r="BC5" s="237" t="s">
        <v>231</v>
      </c>
      <c r="BD5" s="237" t="s">
        <v>231</v>
      </c>
      <c r="BE5" s="237" t="s">
        <v>231</v>
      </c>
      <c r="BF5" s="237" t="s">
        <v>231</v>
      </c>
      <c r="BG5" s="237" t="s">
        <v>231</v>
      </c>
      <c r="BH5" s="237" t="s">
        <v>231</v>
      </c>
      <c r="BI5" s="237" t="s">
        <v>231</v>
      </c>
      <c r="BJ5" s="237" t="s">
        <v>231</v>
      </c>
      <c r="BK5" s="237" t="s">
        <v>1107</v>
      </c>
      <c r="BL5" s="237" t="s">
        <v>1107</v>
      </c>
      <c r="BM5" s="237" t="s">
        <v>1107</v>
      </c>
      <c r="BN5" s="237" t="s">
        <v>1107</v>
      </c>
      <c r="BO5" s="237" t="s">
        <v>1107</v>
      </c>
      <c r="BP5" s="237" t="s">
        <v>1107</v>
      </c>
      <c r="BQ5" s="237" t="s">
        <v>1107</v>
      </c>
      <c r="BR5" s="237" t="s">
        <v>1107</v>
      </c>
      <c r="BS5" s="237" t="s">
        <v>1107</v>
      </c>
      <c r="BT5" s="237" t="s">
        <v>1107</v>
      </c>
      <c r="BU5" s="237" t="s">
        <v>1107</v>
      </c>
      <c r="BV5" s="237" t="s">
        <v>1107</v>
      </c>
      <c r="BW5" s="237" t="s">
        <v>1107</v>
      </c>
      <c r="BX5" s="237" t="s">
        <v>1107</v>
      </c>
      <c r="BY5" s="237" t="s">
        <v>1107</v>
      </c>
      <c r="BZ5" s="237" t="s">
        <v>231</v>
      </c>
      <c r="CA5" s="237" t="s">
        <v>231</v>
      </c>
      <c r="CB5" s="237" t="s">
        <v>231</v>
      </c>
      <c r="CC5" s="237" t="s">
        <v>492</v>
      </c>
      <c r="CD5" s="237" t="s">
        <v>492</v>
      </c>
      <c r="CE5" s="237" t="s">
        <v>492</v>
      </c>
      <c r="CF5" s="237" t="s">
        <v>231</v>
      </c>
      <c r="CG5" s="237" t="s">
        <v>231</v>
      </c>
      <c r="CH5" s="237" t="s">
        <v>231</v>
      </c>
      <c r="CI5" s="237" t="s">
        <v>231</v>
      </c>
      <c r="CJ5" s="237" t="s">
        <v>231</v>
      </c>
      <c r="CK5" s="237" t="s">
        <v>231</v>
      </c>
      <c r="CL5" s="237" t="s">
        <v>231</v>
      </c>
      <c r="CM5" s="237" t="s">
        <v>231</v>
      </c>
      <c r="CN5" s="237" t="s">
        <v>231</v>
      </c>
      <c r="CO5" s="237" t="s">
        <v>231</v>
      </c>
      <c r="CP5" s="237" t="s">
        <v>231</v>
      </c>
      <c r="CQ5" s="237" t="s">
        <v>231</v>
      </c>
      <c r="CR5" s="237" t="s">
        <v>231</v>
      </c>
      <c r="CS5" s="237" t="s">
        <v>1107</v>
      </c>
      <c r="CT5" s="237" t="s">
        <v>1107</v>
      </c>
      <c r="CU5" s="237" t="s">
        <v>1107</v>
      </c>
      <c r="CV5" s="237" t="s">
        <v>1107</v>
      </c>
      <c r="CW5" s="237" t="s">
        <v>1107</v>
      </c>
      <c r="CX5" s="237" t="s">
        <v>1107</v>
      </c>
      <c r="CY5" s="237" t="s">
        <v>1107</v>
      </c>
      <c r="CZ5" s="237" t="s">
        <v>1107</v>
      </c>
      <c r="DA5" s="237" t="s">
        <v>1107</v>
      </c>
      <c r="DB5" s="237" t="s">
        <v>1107</v>
      </c>
      <c r="DC5" s="237" t="s">
        <v>1107</v>
      </c>
      <c r="DD5" s="237" t="s">
        <v>1107</v>
      </c>
      <c r="DE5" s="237" t="s">
        <v>1107</v>
      </c>
      <c r="DF5" s="237" t="s">
        <v>1107</v>
      </c>
      <c r="DG5" s="237" t="s">
        <v>1107</v>
      </c>
      <c r="DH5" s="237" t="s">
        <v>1107</v>
      </c>
      <c r="DI5" s="237" t="s">
        <v>1107</v>
      </c>
      <c r="DJ5" s="237" t="s">
        <v>1107</v>
      </c>
      <c r="DK5" s="237" t="s">
        <v>1107</v>
      </c>
      <c r="DL5" s="237" t="s">
        <v>1107</v>
      </c>
      <c r="DM5" s="237" t="s">
        <v>1107</v>
      </c>
      <c r="DN5" s="237" t="s">
        <v>1107</v>
      </c>
      <c r="DO5" s="237" t="s">
        <v>1107</v>
      </c>
      <c r="DP5" s="237" t="s">
        <v>1107</v>
      </c>
      <c r="DQ5" s="237" t="s">
        <v>1107</v>
      </c>
      <c r="DR5" s="237" t="s">
        <v>1107</v>
      </c>
      <c r="DS5" s="237" t="s">
        <v>1107</v>
      </c>
      <c r="DT5" s="237" t="s">
        <v>1107</v>
      </c>
      <c r="DU5" s="237" t="s">
        <v>1107</v>
      </c>
      <c r="DV5" s="237" t="s">
        <v>1107</v>
      </c>
      <c r="DW5" s="237" t="s">
        <v>1107</v>
      </c>
      <c r="DX5" s="237" t="s">
        <v>1107</v>
      </c>
      <c r="DY5" s="237" t="s">
        <v>1107</v>
      </c>
      <c r="DZ5" s="237" t="s">
        <v>1107</v>
      </c>
      <c r="EA5" s="237" t="s">
        <v>1107</v>
      </c>
      <c r="EB5" s="237" t="s">
        <v>1107</v>
      </c>
      <c r="EC5" s="237" t="s">
        <v>1107</v>
      </c>
      <c r="ED5" s="237" t="s">
        <v>1107</v>
      </c>
      <c r="EE5" s="237" t="s">
        <v>1107</v>
      </c>
      <c r="EF5" s="237" t="s">
        <v>1107</v>
      </c>
      <c r="EG5" s="237" t="s">
        <v>1107</v>
      </c>
      <c r="EH5" s="237" t="s">
        <v>1107</v>
      </c>
      <c r="EI5" s="237" t="s">
        <v>1107</v>
      </c>
      <c r="EJ5" s="237" t="s">
        <v>1107</v>
      </c>
      <c r="EK5" s="237" t="s">
        <v>1107</v>
      </c>
      <c r="EL5" s="237" t="s">
        <v>1107</v>
      </c>
      <c r="EM5" s="237" t="s">
        <v>1107</v>
      </c>
      <c r="EN5" s="237" t="s">
        <v>1107</v>
      </c>
      <c r="EO5" s="237" t="s">
        <v>1107</v>
      </c>
      <c r="EP5" s="237" t="s">
        <v>1107</v>
      </c>
      <c r="EQ5" s="237" t="s">
        <v>1107</v>
      </c>
      <c r="ER5" s="237" t="s">
        <v>1107</v>
      </c>
      <c r="ES5" s="237" t="s">
        <v>1107</v>
      </c>
      <c r="ET5" s="237" t="s">
        <v>1107</v>
      </c>
      <c r="EU5" s="237" t="s">
        <v>1107</v>
      </c>
      <c r="EV5" s="237" t="s">
        <v>1107</v>
      </c>
      <c r="EW5" s="237" t="s">
        <v>1107</v>
      </c>
      <c r="EX5" s="237" t="s">
        <v>1107</v>
      </c>
      <c r="EY5" s="237" t="s">
        <v>1107</v>
      </c>
      <c r="EZ5" s="237" t="s">
        <v>231</v>
      </c>
      <c r="FA5" s="237" t="s">
        <v>231</v>
      </c>
      <c r="FB5" s="237" t="s">
        <v>231</v>
      </c>
      <c r="FC5" s="237" t="s">
        <v>231</v>
      </c>
      <c r="FD5" s="237" t="s">
        <v>231</v>
      </c>
      <c r="FE5" s="237" t="s">
        <v>231</v>
      </c>
      <c r="FF5" s="237" t="s">
        <v>231</v>
      </c>
      <c r="FG5" s="237" t="s">
        <v>492</v>
      </c>
      <c r="FH5" s="237" t="s">
        <v>231</v>
      </c>
      <c r="FI5" s="237" t="s">
        <v>231</v>
      </c>
      <c r="FJ5" s="237" t="s">
        <v>231</v>
      </c>
      <c r="FK5" s="237" t="s">
        <v>231</v>
      </c>
      <c r="FL5" s="237" t="s">
        <v>231</v>
      </c>
      <c r="FM5" s="237" t="s">
        <v>231</v>
      </c>
      <c r="FN5" s="237" t="s">
        <v>231</v>
      </c>
      <c r="FO5" s="237" t="s">
        <v>231</v>
      </c>
      <c r="FP5" s="237" t="s">
        <v>231</v>
      </c>
      <c r="FQ5" s="237" t="s">
        <v>231</v>
      </c>
      <c r="FR5" s="237" t="s">
        <v>231</v>
      </c>
      <c r="FS5" s="237" t="s">
        <v>231</v>
      </c>
      <c r="FT5" s="237" t="s">
        <v>231</v>
      </c>
      <c r="FU5" s="237" t="s">
        <v>231</v>
      </c>
      <c r="FV5" s="237" t="s">
        <v>231</v>
      </c>
      <c r="FW5" s="237" t="s">
        <v>231</v>
      </c>
      <c r="FX5" s="237" t="s">
        <v>231</v>
      </c>
      <c r="FY5" s="237" t="s">
        <v>492</v>
      </c>
      <c r="FZ5" s="237" t="s">
        <v>1107</v>
      </c>
      <c r="GA5" s="237" t="s">
        <v>1107</v>
      </c>
      <c r="GB5" s="237" t="s">
        <v>1107</v>
      </c>
      <c r="GC5" s="237" t="s">
        <v>1107</v>
      </c>
      <c r="GD5" s="237" t="s">
        <v>1107</v>
      </c>
      <c r="GE5" s="237" t="s">
        <v>1107</v>
      </c>
      <c r="GF5" s="237" t="s">
        <v>1107</v>
      </c>
      <c r="GG5" s="237" t="s">
        <v>1107</v>
      </c>
      <c r="GH5" s="237" t="s">
        <v>1107</v>
      </c>
      <c r="GI5" s="237" t="s">
        <v>1107</v>
      </c>
      <c r="GJ5" s="237" t="s">
        <v>1107</v>
      </c>
      <c r="GK5" s="237" t="s">
        <v>1107</v>
      </c>
      <c r="GL5" s="237" t="s">
        <v>1107</v>
      </c>
      <c r="GM5" s="237" t="s">
        <v>1107</v>
      </c>
      <c r="GN5" s="237" t="s">
        <v>1107</v>
      </c>
      <c r="GO5" s="237" t="s">
        <v>1107</v>
      </c>
      <c r="GP5" s="237" t="s">
        <v>1107</v>
      </c>
      <c r="GQ5" s="237" t="s">
        <v>1107</v>
      </c>
      <c r="GR5" s="237" t="s">
        <v>1107</v>
      </c>
      <c r="GS5" s="237" t="s">
        <v>1107</v>
      </c>
      <c r="GT5" s="237" t="s">
        <v>1107</v>
      </c>
      <c r="GU5" s="237" t="s">
        <v>1107</v>
      </c>
      <c r="GV5" s="237" t="s">
        <v>1107</v>
      </c>
      <c r="GW5" s="237" t="s">
        <v>1107</v>
      </c>
      <c r="GX5" s="237" t="s">
        <v>1107</v>
      </c>
      <c r="GY5" s="237" t="s">
        <v>1107</v>
      </c>
      <c r="GZ5" s="237" t="s">
        <v>1107</v>
      </c>
      <c r="HA5" s="237" t="s">
        <v>1107</v>
      </c>
      <c r="HB5" s="237" t="s">
        <v>1107</v>
      </c>
      <c r="HC5" s="237" t="s">
        <v>1107</v>
      </c>
      <c r="HD5" s="237" t="s">
        <v>1107</v>
      </c>
      <c r="HE5" s="237" t="s">
        <v>1107</v>
      </c>
      <c r="HF5" s="237" t="s">
        <v>1107</v>
      </c>
      <c r="HG5" s="237" t="s">
        <v>1107</v>
      </c>
      <c r="HH5" s="237" t="s">
        <v>1107</v>
      </c>
      <c r="HI5" s="237" t="s">
        <v>1107</v>
      </c>
      <c r="HJ5" s="237" t="s">
        <v>1107</v>
      </c>
      <c r="HK5" s="237" t="s">
        <v>1107</v>
      </c>
      <c r="HL5" s="237" t="s">
        <v>1107</v>
      </c>
      <c r="HM5" s="237" t="s">
        <v>1107</v>
      </c>
      <c r="HN5" s="237" t="s">
        <v>1107</v>
      </c>
      <c r="HO5" s="237" t="s">
        <v>1107</v>
      </c>
      <c r="HP5" s="237" t="s">
        <v>1107</v>
      </c>
      <c r="HQ5" s="237" t="s">
        <v>1107</v>
      </c>
      <c r="HR5" s="237" t="s">
        <v>1107</v>
      </c>
      <c r="HS5" s="237" t="s">
        <v>1107</v>
      </c>
      <c r="HT5" s="237" t="s">
        <v>231</v>
      </c>
      <c r="HU5" s="237" t="s">
        <v>231</v>
      </c>
      <c r="HV5" s="237" t="s">
        <v>231</v>
      </c>
      <c r="HW5" s="237" t="s">
        <v>231</v>
      </c>
      <c r="HX5" s="237" t="s">
        <v>220</v>
      </c>
      <c r="HY5" s="237" t="s">
        <v>493</v>
      </c>
      <c r="HZ5" s="237" t="s">
        <v>219</v>
      </c>
      <c r="IA5" s="237" t="s">
        <v>490</v>
      </c>
      <c r="IB5" s="237" t="s">
        <v>492</v>
      </c>
      <c r="IC5" s="237" t="s">
        <v>492</v>
      </c>
    </row>
    <row r="6" spans="1:237" ht="15" x14ac:dyDescent="0.25">
      <c r="A6" s="244" t="str">
        <f>HYPERLINK("http://www.ofsted.gov.uk/inspection-reports/find-inspection-report/provider/ELS/123933 ","Ofsted School Webpage")</f>
        <v>Ofsted School Webpage</v>
      </c>
      <c r="B6" s="240">
        <v>123933</v>
      </c>
      <c r="C6" s="240">
        <v>9336185</v>
      </c>
      <c r="D6" s="240" t="s">
        <v>1108</v>
      </c>
      <c r="E6" s="240" t="s">
        <v>248</v>
      </c>
      <c r="F6" s="240" t="s">
        <v>483</v>
      </c>
      <c r="G6" s="240" t="s">
        <v>483</v>
      </c>
      <c r="H6" s="240" t="s">
        <v>531</v>
      </c>
      <c r="I6" s="240" t="s">
        <v>927</v>
      </c>
      <c r="J6" s="240" t="s">
        <v>93</v>
      </c>
      <c r="K6" s="240" t="s">
        <v>93</v>
      </c>
      <c r="L6" s="240" t="s">
        <v>93</v>
      </c>
      <c r="M6" s="240" t="s">
        <v>90</v>
      </c>
      <c r="N6" s="240" t="s">
        <v>486</v>
      </c>
      <c r="O6" s="240" t="s">
        <v>487</v>
      </c>
      <c r="P6" s="240">
        <v>10068265</v>
      </c>
      <c r="Q6" s="242">
        <v>43347</v>
      </c>
      <c r="R6" s="242">
        <v>43347</v>
      </c>
      <c r="S6" s="242">
        <v>43363</v>
      </c>
      <c r="T6" s="240" t="s">
        <v>1109</v>
      </c>
      <c r="U6" s="240" t="s">
        <v>1105</v>
      </c>
      <c r="V6" s="240" t="s">
        <v>490</v>
      </c>
      <c r="W6" s="240" t="s">
        <v>486</v>
      </c>
      <c r="X6" s="240" t="s">
        <v>486</v>
      </c>
      <c r="Y6" s="240" t="s">
        <v>486</v>
      </c>
      <c r="Z6" s="240" t="s">
        <v>486</v>
      </c>
      <c r="AA6" s="240" t="s">
        <v>486</v>
      </c>
      <c r="AB6" s="240" t="s">
        <v>486</v>
      </c>
      <c r="AC6" s="240" t="s">
        <v>486</v>
      </c>
      <c r="AD6" s="240" t="s">
        <v>1110</v>
      </c>
      <c r="AE6" s="240" t="s">
        <v>1107</v>
      </c>
      <c r="AF6" s="240" t="s">
        <v>1107</v>
      </c>
      <c r="AG6" s="240" t="s">
        <v>1107</v>
      </c>
      <c r="AH6" s="240" t="s">
        <v>1107</v>
      </c>
      <c r="AI6" s="240" t="s">
        <v>1107</v>
      </c>
      <c r="AJ6" s="240" t="s">
        <v>1107</v>
      </c>
      <c r="AK6" s="240" t="s">
        <v>1107</v>
      </c>
      <c r="AL6" s="240" t="s">
        <v>1107</v>
      </c>
      <c r="AM6" s="240" t="s">
        <v>1107</v>
      </c>
      <c r="AN6" s="240" t="s">
        <v>1107</v>
      </c>
      <c r="AO6" s="240" t="s">
        <v>1107</v>
      </c>
      <c r="AP6" s="240" t="s">
        <v>1107</v>
      </c>
      <c r="AQ6" s="240" t="s">
        <v>1107</v>
      </c>
      <c r="AR6" s="240" t="s">
        <v>1107</v>
      </c>
      <c r="AS6" s="240" t="s">
        <v>1107</v>
      </c>
      <c r="AT6" s="240" t="s">
        <v>1107</v>
      </c>
      <c r="AU6" s="240" t="s">
        <v>492</v>
      </c>
      <c r="AV6" s="240" t="s">
        <v>1107</v>
      </c>
      <c r="AW6" s="240" t="s">
        <v>1107</v>
      </c>
      <c r="AX6" s="240" t="s">
        <v>1107</v>
      </c>
      <c r="AY6" s="240" t="s">
        <v>1107</v>
      </c>
      <c r="AZ6" s="240" t="s">
        <v>1107</v>
      </c>
      <c r="BA6" s="240" t="s">
        <v>1107</v>
      </c>
      <c r="BB6" s="240" t="s">
        <v>1107</v>
      </c>
      <c r="BC6" s="240" t="s">
        <v>1107</v>
      </c>
      <c r="BD6" s="240" t="s">
        <v>1107</v>
      </c>
      <c r="BE6" s="240" t="s">
        <v>1107</v>
      </c>
      <c r="BF6" s="240" t="s">
        <v>1107</v>
      </c>
      <c r="BG6" s="240" t="s">
        <v>1107</v>
      </c>
      <c r="BH6" s="240" t="s">
        <v>1107</v>
      </c>
      <c r="BI6" s="240" t="s">
        <v>1107</v>
      </c>
      <c r="BJ6" s="240" t="s">
        <v>1107</v>
      </c>
      <c r="BK6" s="240" t="s">
        <v>1107</v>
      </c>
      <c r="BL6" s="240" t="s">
        <v>1107</v>
      </c>
      <c r="BM6" s="240" t="s">
        <v>1107</v>
      </c>
      <c r="BN6" s="240" t="s">
        <v>1107</v>
      </c>
      <c r="BO6" s="240" t="s">
        <v>1107</v>
      </c>
      <c r="BP6" s="240" t="s">
        <v>1107</v>
      </c>
      <c r="BQ6" s="240" t="s">
        <v>1107</v>
      </c>
      <c r="BR6" s="240" t="s">
        <v>1107</v>
      </c>
      <c r="BS6" s="240" t="s">
        <v>1107</v>
      </c>
      <c r="BT6" s="240" t="s">
        <v>1107</v>
      </c>
      <c r="BU6" s="240" t="s">
        <v>1107</v>
      </c>
      <c r="BV6" s="240" t="s">
        <v>1107</v>
      </c>
      <c r="BW6" s="240" t="s">
        <v>1107</v>
      </c>
      <c r="BX6" s="240" t="s">
        <v>1107</v>
      </c>
      <c r="BY6" s="240" t="s">
        <v>1107</v>
      </c>
      <c r="BZ6" s="240" t="s">
        <v>231</v>
      </c>
      <c r="CA6" s="240" t="s">
        <v>231</v>
      </c>
      <c r="CB6" s="240" t="s">
        <v>231</v>
      </c>
      <c r="CC6" s="240" t="s">
        <v>1107</v>
      </c>
      <c r="CD6" s="240" t="s">
        <v>492</v>
      </c>
      <c r="CE6" s="240" t="s">
        <v>492</v>
      </c>
      <c r="CF6" s="240" t="s">
        <v>1107</v>
      </c>
      <c r="CG6" s="240" t="s">
        <v>1107</v>
      </c>
      <c r="CH6" s="240" t="s">
        <v>1107</v>
      </c>
      <c r="CI6" s="240" t="s">
        <v>1107</v>
      </c>
      <c r="CJ6" s="240" t="s">
        <v>1107</v>
      </c>
      <c r="CK6" s="240" t="s">
        <v>1107</v>
      </c>
      <c r="CL6" s="240" t="s">
        <v>1107</v>
      </c>
      <c r="CM6" s="240" t="s">
        <v>1107</v>
      </c>
      <c r="CN6" s="240" t="s">
        <v>1107</v>
      </c>
      <c r="CO6" s="240" t="s">
        <v>1107</v>
      </c>
      <c r="CP6" s="240" t="s">
        <v>1107</v>
      </c>
      <c r="CQ6" s="240" t="s">
        <v>1107</v>
      </c>
      <c r="CR6" s="240" t="s">
        <v>1107</v>
      </c>
      <c r="CS6" s="240" t="s">
        <v>231</v>
      </c>
      <c r="CT6" s="240" t="s">
        <v>231</v>
      </c>
      <c r="CU6" s="240" t="s">
        <v>231</v>
      </c>
      <c r="CV6" s="240" t="s">
        <v>231</v>
      </c>
      <c r="CW6" s="240" t="s">
        <v>231</v>
      </c>
      <c r="CX6" s="240" t="s">
        <v>231</v>
      </c>
      <c r="CY6" s="240" t="s">
        <v>231</v>
      </c>
      <c r="CZ6" s="240" t="s">
        <v>231</v>
      </c>
      <c r="DA6" s="240" t="s">
        <v>231</v>
      </c>
      <c r="DB6" s="240" t="s">
        <v>231</v>
      </c>
      <c r="DC6" s="240" t="s">
        <v>492</v>
      </c>
      <c r="DD6" s="240" t="s">
        <v>231</v>
      </c>
      <c r="DE6" s="240" t="s">
        <v>492</v>
      </c>
      <c r="DF6" s="240" t="s">
        <v>492</v>
      </c>
      <c r="DG6" s="240" t="s">
        <v>492</v>
      </c>
      <c r="DH6" s="240" t="s">
        <v>492</v>
      </c>
      <c r="DI6" s="240" t="s">
        <v>492</v>
      </c>
      <c r="DJ6" s="240" t="s">
        <v>492</v>
      </c>
      <c r="DK6" s="240" t="s">
        <v>492</v>
      </c>
      <c r="DL6" s="240" t="s">
        <v>492</v>
      </c>
      <c r="DM6" s="240" t="s">
        <v>492</v>
      </c>
      <c r="DN6" s="240" t="s">
        <v>492</v>
      </c>
      <c r="DO6" s="240" t="s">
        <v>492</v>
      </c>
      <c r="DP6" s="240" t="s">
        <v>492</v>
      </c>
      <c r="DQ6" s="240" t="s">
        <v>492</v>
      </c>
      <c r="DR6" s="240" t="s">
        <v>231</v>
      </c>
      <c r="DS6" s="240" t="s">
        <v>231</v>
      </c>
      <c r="DT6" s="240" t="s">
        <v>231</v>
      </c>
      <c r="DU6" s="240" t="s">
        <v>231</v>
      </c>
      <c r="DV6" s="240" t="s">
        <v>231</v>
      </c>
      <c r="DW6" s="240" t="s">
        <v>231</v>
      </c>
      <c r="DX6" s="240" t="s">
        <v>231</v>
      </c>
      <c r="DY6" s="240" t="s">
        <v>231</v>
      </c>
      <c r="DZ6" s="240" t="s">
        <v>231</v>
      </c>
      <c r="EA6" s="240" t="s">
        <v>231</v>
      </c>
      <c r="EB6" s="240" t="s">
        <v>231</v>
      </c>
      <c r="EC6" s="240" t="s">
        <v>231</v>
      </c>
      <c r="ED6" s="240" t="s">
        <v>231</v>
      </c>
      <c r="EE6" s="240" t="s">
        <v>231</v>
      </c>
      <c r="EF6" s="240" t="s">
        <v>231</v>
      </c>
      <c r="EG6" s="240" t="s">
        <v>231</v>
      </c>
      <c r="EH6" s="240" t="s">
        <v>231</v>
      </c>
      <c r="EI6" s="240" t="s">
        <v>231</v>
      </c>
      <c r="EJ6" s="240" t="s">
        <v>231</v>
      </c>
      <c r="EK6" s="240" t="s">
        <v>231</v>
      </c>
      <c r="EL6" s="240" t="s">
        <v>231</v>
      </c>
      <c r="EM6" s="240" t="s">
        <v>231</v>
      </c>
      <c r="EN6" s="240" t="s">
        <v>231</v>
      </c>
      <c r="EO6" s="240" t="s">
        <v>231</v>
      </c>
      <c r="EP6" s="240" t="s">
        <v>492</v>
      </c>
      <c r="EQ6" s="240" t="s">
        <v>492</v>
      </c>
      <c r="ER6" s="240" t="s">
        <v>492</v>
      </c>
      <c r="ES6" s="240" t="s">
        <v>492</v>
      </c>
      <c r="ET6" s="240" t="s">
        <v>492</v>
      </c>
      <c r="EU6" s="240" t="s">
        <v>492</v>
      </c>
      <c r="EV6" s="240" t="s">
        <v>231</v>
      </c>
      <c r="EW6" s="240" t="s">
        <v>231</v>
      </c>
      <c r="EX6" s="240" t="s">
        <v>231</v>
      </c>
      <c r="EY6" s="240" t="s">
        <v>231</v>
      </c>
      <c r="EZ6" s="240" t="s">
        <v>1107</v>
      </c>
      <c r="FA6" s="240" t="s">
        <v>1107</v>
      </c>
      <c r="FB6" s="240" t="s">
        <v>1107</v>
      </c>
      <c r="FC6" s="240" t="s">
        <v>1107</v>
      </c>
      <c r="FD6" s="240" t="s">
        <v>1107</v>
      </c>
      <c r="FE6" s="240" t="s">
        <v>1107</v>
      </c>
      <c r="FF6" s="240" t="s">
        <v>1107</v>
      </c>
      <c r="FG6" s="240" t="s">
        <v>1107</v>
      </c>
      <c r="FH6" s="240" t="s">
        <v>1107</v>
      </c>
      <c r="FI6" s="240" t="s">
        <v>1107</v>
      </c>
      <c r="FJ6" s="240" t="s">
        <v>1107</v>
      </c>
      <c r="FK6" s="240" t="s">
        <v>1107</v>
      </c>
      <c r="FL6" s="240" t="s">
        <v>1107</v>
      </c>
      <c r="FM6" s="240" t="s">
        <v>1107</v>
      </c>
      <c r="FN6" s="240" t="s">
        <v>1107</v>
      </c>
      <c r="FO6" s="240" t="s">
        <v>1107</v>
      </c>
      <c r="FP6" s="240" t="s">
        <v>1107</v>
      </c>
      <c r="FQ6" s="240" t="s">
        <v>1107</v>
      </c>
      <c r="FR6" s="240" t="s">
        <v>1107</v>
      </c>
      <c r="FS6" s="240" t="s">
        <v>1107</v>
      </c>
      <c r="FT6" s="240" t="s">
        <v>1107</v>
      </c>
      <c r="FU6" s="240" t="s">
        <v>1107</v>
      </c>
      <c r="FV6" s="240" t="s">
        <v>1107</v>
      </c>
      <c r="FW6" s="240" t="s">
        <v>1107</v>
      </c>
      <c r="FX6" s="240" t="s">
        <v>1107</v>
      </c>
      <c r="FY6" s="240" t="s">
        <v>492</v>
      </c>
      <c r="FZ6" s="240" t="s">
        <v>1107</v>
      </c>
      <c r="GA6" s="240" t="s">
        <v>1107</v>
      </c>
      <c r="GB6" s="240" t="s">
        <v>1107</v>
      </c>
      <c r="GC6" s="240" t="s">
        <v>1107</v>
      </c>
      <c r="GD6" s="240" t="s">
        <v>1107</v>
      </c>
      <c r="GE6" s="240" t="s">
        <v>1107</v>
      </c>
      <c r="GF6" s="240" t="s">
        <v>1107</v>
      </c>
      <c r="GG6" s="240" t="s">
        <v>1107</v>
      </c>
      <c r="GH6" s="240" t="s">
        <v>1107</v>
      </c>
      <c r="GI6" s="240" t="s">
        <v>1107</v>
      </c>
      <c r="GJ6" s="240" t="s">
        <v>1107</v>
      </c>
      <c r="GK6" s="240" t="s">
        <v>1107</v>
      </c>
      <c r="GL6" s="240" t="s">
        <v>1107</v>
      </c>
      <c r="GM6" s="240" t="s">
        <v>1107</v>
      </c>
      <c r="GN6" s="240" t="s">
        <v>1107</v>
      </c>
      <c r="GO6" s="240" t="s">
        <v>1107</v>
      </c>
      <c r="GP6" s="240" t="s">
        <v>1107</v>
      </c>
      <c r="GQ6" s="240" t="s">
        <v>1107</v>
      </c>
      <c r="GR6" s="240" t="s">
        <v>1107</v>
      </c>
      <c r="GS6" s="240" t="s">
        <v>1107</v>
      </c>
      <c r="GT6" s="240" t="s">
        <v>1107</v>
      </c>
      <c r="GU6" s="240" t="s">
        <v>1107</v>
      </c>
      <c r="GV6" s="240" t="s">
        <v>1107</v>
      </c>
      <c r="GW6" s="240" t="s">
        <v>1107</v>
      </c>
      <c r="GX6" s="240" t="s">
        <v>1107</v>
      </c>
      <c r="GY6" s="240" t="s">
        <v>1107</v>
      </c>
      <c r="GZ6" s="240" t="s">
        <v>1107</v>
      </c>
      <c r="HA6" s="240" t="s">
        <v>1107</v>
      </c>
      <c r="HB6" s="240" t="s">
        <v>1107</v>
      </c>
      <c r="HC6" s="240" t="s">
        <v>1107</v>
      </c>
      <c r="HD6" s="240" t="s">
        <v>1107</v>
      </c>
      <c r="HE6" s="240" t="s">
        <v>1107</v>
      </c>
      <c r="HF6" s="240" t="s">
        <v>1107</v>
      </c>
      <c r="HG6" s="240" t="s">
        <v>1107</v>
      </c>
      <c r="HH6" s="240" t="s">
        <v>1107</v>
      </c>
      <c r="HI6" s="240" t="s">
        <v>1107</v>
      </c>
      <c r="HJ6" s="240" t="s">
        <v>1107</v>
      </c>
      <c r="HK6" s="240" t="s">
        <v>1107</v>
      </c>
      <c r="HL6" s="240" t="s">
        <v>1107</v>
      </c>
      <c r="HM6" s="240" t="s">
        <v>1107</v>
      </c>
      <c r="HN6" s="240" t="s">
        <v>1107</v>
      </c>
      <c r="HO6" s="240" t="s">
        <v>1107</v>
      </c>
      <c r="HP6" s="240" t="s">
        <v>1107</v>
      </c>
      <c r="HQ6" s="240" t="s">
        <v>1107</v>
      </c>
      <c r="HR6" s="240" t="s">
        <v>1107</v>
      </c>
      <c r="HS6" s="240" t="s">
        <v>1107</v>
      </c>
      <c r="HT6" s="240" t="s">
        <v>231</v>
      </c>
      <c r="HU6" s="240" t="s">
        <v>231</v>
      </c>
      <c r="HV6" s="240" t="s">
        <v>231</v>
      </c>
      <c r="HW6" s="240" t="s">
        <v>231</v>
      </c>
      <c r="HX6" s="240" t="s">
        <v>220</v>
      </c>
      <c r="HY6" s="240" t="s">
        <v>493</v>
      </c>
      <c r="HZ6" s="240" t="s">
        <v>219</v>
      </c>
      <c r="IA6" s="240" t="s">
        <v>490</v>
      </c>
      <c r="IB6" s="240" t="s">
        <v>492</v>
      </c>
      <c r="IC6" s="240" t="s">
        <v>492</v>
      </c>
    </row>
    <row r="7" spans="1:237" ht="15" x14ac:dyDescent="0.25">
      <c r="A7" s="243" t="str">
        <f>HYPERLINK("http://www.ofsted.gov.uk/inspection-reports/find-inspection-report/provider/ELS/134938 ","Ofsted School Webpage")</f>
        <v>Ofsted School Webpage</v>
      </c>
      <c r="B7" s="237">
        <v>134938</v>
      </c>
      <c r="C7" s="237">
        <v>8576005</v>
      </c>
      <c r="D7" s="237" t="s">
        <v>1111</v>
      </c>
      <c r="E7" s="237" t="s">
        <v>248</v>
      </c>
      <c r="F7" s="237" t="s">
        <v>572</v>
      </c>
      <c r="G7" s="237" t="s">
        <v>572</v>
      </c>
      <c r="H7" s="237" t="s">
        <v>1112</v>
      </c>
      <c r="I7" s="237" t="s">
        <v>1113</v>
      </c>
      <c r="J7" s="237" t="s">
        <v>93</v>
      </c>
      <c r="K7" s="237" t="s">
        <v>93</v>
      </c>
      <c r="L7" s="237" t="s">
        <v>93</v>
      </c>
      <c r="M7" s="237" t="s">
        <v>90</v>
      </c>
      <c r="N7" s="237" t="s">
        <v>486</v>
      </c>
      <c r="O7" s="237" t="s">
        <v>487</v>
      </c>
      <c r="P7" s="237">
        <v>10056728</v>
      </c>
      <c r="Q7" s="239">
        <v>43349</v>
      </c>
      <c r="R7" s="239">
        <v>43349</v>
      </c>
      <c r="S7" s="239">
        <v>43383</v>
      </c>
      <c r="T7" s="237" t="s">
        <v>1104</v>
      </c>
      <c r="U7" s="237" t="s">
        <v>1105</v>
      </c>
      <c r="V7" s="237" t="s">
        <v>490</v>
      </c>
      <c r="W7" s="237" t="s">
        <v>486</v>
      </c>
      <c r="X7" s="237" t="s">
        <v>486</v>
      </c>
      <c r="Y7" s="237" t="s">
        <v>486</v>
      </c>
      <c r="Z7" s="237" t="s">
        <v>486</v>
      </c>
      <c r="AA7" s="237" t="s">
        <v>486</v>
      </c>
      <c r="AB7" s="237" t="s">
        <v>486</v>
      </c>
      <c r="AC7" s="237" t="s">
        <v>486</v>
      </c>
      <c r="AD7" s="237" t="s">
        <v>1106</v>
      </c>
      <c r="AE7" s="237" t="s">
        <v>231</v>
      </c>
      <c r="AF7" s="237" t="s">
        <v>231</v>
      </c>
      <c r="AG7" s="237" t="s">
        <v>231</v>
      </c>
      <c r="AH7" s="237" t="s">
        <v>231</v>
      </c>
      <c r="AI7" s="237" t="s">
        <v>231</v>
      </c>
      <c r="AJ7" s="237" t="s">
        <v>231</v>
      </c>
      <c r="AK7" s="237" t="s">
        <v>231</v>
      </c>
      <c r="AL7" s="237" t="s">
        <v>231</v>
      </c>
      <c r="AM7" s="237" t="s">
        <v>492</v>
      </c>
      <c r="AN7" s="237" t="s">
        <v>231</v>
      </c>
      <c r="AO7" s="237" t="s">
        <v>231</v>
      </c>
      <c r="AP7" s="237" t="s">
        <v>231</v>
      </c>
      <c r="AQ7" s="237" t="s">
        <v>231</v>
      </c>
      <c r="AR7" s="237" t="s">
        <v>231</v>
      </c>
      <c r="AS7" s="237" t="s">
        <v>231</v>
      </c>
      <c r="AT7" s="237" t="s">
        <v>231</v>
      </c>
      <c r="AU7" s="237" t="s">
        <v>492</v>
      </c>
      <c r="AV7" s="237" t="s">
        <v>231</v>
      </c>
      <c r="AW7" s="237" t="s">
        <v>231</v>
      </c>
      <c r="AX7" s="237" t="s">
        <v>231</v>
      </c>
      <c r="AY7" s="237" t="s">
        <v>231</v>
      </c>
      <c r="AZ7" s="237" t="s">
        <v>231</v>
      </c>
      <c r="BA7" s="237" t="s">
        <v>231</v>
      </c>
      <c r="BB7" s="237" t="s">
        <v>231</v>
      </c>
      <c r="BC7" s="237" t="s">
        <v>231</v>
      </c>
      <c r="BD7" s="237" t="s">
        <v>231</v>
      </c>
      <c r="BE7" s="237" t="s">
        <v>231</v>
      </c>
      <c r="BF7" s="237" t="s">
        <v>231</v>
      </c>
      <c r="BG7" s="237" t="s">
        <v>231</v>
      </c>
      <c r="BH7" s="237" t="s">
        <v>231</v>
      </c>
      <c r="BI7" s="237" t="s">
        <v>231</v>
      </c>
      <c r="BJ7" s="237" t="s">
        <v>231</v>
      </c>
      <c r="BK7" s="237" t="s">
        <v>1107</v>
      </c>
      <c r="BL7" s="237" t="s">
        <v>1107</v>
      </c>
      <c r="BM7" s="237" t="s">
        <v>1107</v>
      </c>
      <c r="BN7" s="237" t="s">
        <v>1107</v>
      </c>
      <c r="BO7" s="237" t="s">
        <v>1107</v>
      </c>
      <c r="BP7" s="237" t="s">
        <v>1107</v>
      </c>
      <c r="BQ7" s="237" t="s">
        <v>1107</v>
      </c>
      <c r="BR7" s="237" t="s">
        <v>1107</v>
      </c>
      <c r="BS7" s="237" t="s">
        <v>1107</v>
      </c>
      <c r="BT7" s="237" t="s">
        <v>1107</v>
      </c>
      <c r="BU7" s="237" t="s">
        <v>1107</v>
      </c>
      <c r="BV7" s="237" t="s">
        <v>1107</v>
      </c>
      <c r="BW7" s="237" t="s">
        <v>1107</v>
      </c>
      <c r="BX7" s="237" t="s">
        <v>1107</v>
      </c>
      <c r="BY7" s="237" t="s">
        <v>1107</v>
      </c>
      <c r="BZ7" s="237" t="s">
        <v>231</v>
      </c>
      <c r="CA7" s="237" t="s">
        <v>231</v>
      </c>
      <c r="CB7" s="237" t="s">
        <v>231</v>
      </c>
      <c r="CC7" s="237" t="s">
        <v>1107</v>
      </c>
      <c r="CD7" s="237" t="s">
        <v>1107</v>
      </c>
      <c r="CE7" s="237" t="s">
        <v>1107</v>
      </c>
      <c r="CF7" s="237" t="s">
        <v>231</v>
      </c>
      <c r="CG7" s="237" t="s">
        <v>231</v>
      </c>
      <c r="CH7" s="237" t="s">
        <v>231</v>
      </c>
      <c r="CI7" s="237" t="s">
        <v>231</v>
      </c>
      <c r="CJ7" s="237" t="s">
        <v>231</v>
      </c>
      <c r="CK7" s="237" t="s">
        <v>231</v>
      </c>
      <c r="CL7" s="237" t="s">
        <v>231</v>
      </c>
      <c r="CM7" s="237" t="s">
        <v>231</v>
      </c>
      <c r="CN7" s="237" t="s">
        <v>231</v>
      </c>
      <c r="CO7" s="237" t="s">
        <v>231</v>
      </c>
      <c r="CP7" s="237" t="s">
        <v>231</v>
      </c>
      <c r="CQ7" s="237" t="s">
        <v>231</v>
      </c>
      <c r="CR7" s="237" t="s">
        <v>231</v>
      </c>
      <c r="CS7" s="237" t="s">
        <v>1107</v>
      </c>
      <c r="CT7" s="237" t="s">
        <v>1107</v>
      </c>
      <c r="CU7" s="237" t="s">
        <v>1107</v>
      </c>
      <c r="CV7" s="237" t="s">
        <v>1107</v>
      </c>
      <c r="CW7" s="237" t="s">
        <v>1107</v>
      </c>
      <c r="CX7" s="237" t="s">
        <v>1107</v>
      </c>
      <c r="CY7" s="237" t="s">
        <v>1107</v>
      </c>
      <c r="CZ7" s="237" t="s">
        <v>1107</v>
      </c>
      <c r="DA7" s="237" t="s">
        <v>1107</v>
      </c>
      <c r="DB7" s="237" t="s">
        <v>1107</v>
      </c>
      <c r="DC7" s="237" t="s">
        <v>1107</v>
      </c>
      <c r="DD7" s="237" t="s">
        <v>1107</v>
      </c>
      <c r="DE7" s="237" t="s">
        <v>1107</v>
      </c>
      <c r="DF7" s="237" t="s">
        <v>1107</v>
      </c>
      <c r="DG7" s="237" t="s">
        <v>1107</v>
      </c>
      <c r="DH7" s="237" t="s">
        <v>1107</v>
      </c>
      <c r="DI7" s="237" t="s">
        <v>1107</v>
      </c>
      <c r="DJ7" s="237" t="s">
        <v>1107</v>
      </c>
      <c r="DK7" s="237" t="s">
        <v>1107</v>
      </c>
      <c r="DL7" s="237" t="s">
        <v>1107</v>
      </c>
      <c r="DM7" s="237" t="s">
        <v>1107</v>
      </c>
      <c r="DN7" s="237" t="s">
        <v>1107</v>
      </c>
      <c r="DO7" s="237" t="s">
        <v>1107</v>
      </c>
      <c r="DP7" s="237" t="s">
        <v>1107</v>
      </c>
      <c r="DQ7" s="237" t="s">
        <v>1107</v>
      </c>
      <c r="DR7" s="237" t="s">
        <v>1107</v>
      </c>
      <c r="DS7" s="237" t="s">
        <v>1107</v>
      </c>
      <c r="DT7" s="237" t="s">
        <v>1107</v>
      </c>
      <c r="DU7" s="237" t="s">
        <v>1107</v>
      </c>
      <c r="DV7" s="237" t="s">
        <v>1107</v>
      </c>
      <c r="DW7" s="237" t="s">
        <v>1107</v>
      </c>
      <c r="DX7" s="237" t="s">
        <v>1107</v>
      </c>
      <c r="DY7" s="237" t="s">
        <v>1107</v>
      </c>
      <c r="DZ7" s="237" t="s">
        <v>1107</v>
      </c>
      <c r="EA7" s="237" t="s">
        <v>1107</v>
      </c>
      <c r="EB7" s="237" t="s">
        <v>1107</v>
      </c>
      <c r="EC7" s="237" t="s">
        <v>1107</v>
      </c>
      <c r="ED7" s="237" t="s">
        <v>1107</v>
      </c>
      <c r="EE7" s="237" t="s">
        <v>1107</v>
      </c>
      <c r="EF7" s="237" t="s">
        <v>1107</v>
      </c>
      <c r="EG7" s="237" t="s">
        <v>1107</v>
      </c>
      <c r="EH7" s="237" t="s">
        <v>1107</v>
      </c>
      <c r="EI7" s="237" t="s">
        <v>1107</v>
      </c>
      <c r="EJ7" s="237" t="s">
        <v>1107</v>
      </c>
      <c r="EK7" s="237" t="s">
        <v>1107</v>
      </c>
      <c r="EL7" s="237" t="s">
        <v>1107</v>
      </c>
      <c r="EM7" s="237" t="s">
        <v>1107</v>
      </c>
      <c r="EN7" s="237" t="s">
        <v>1107</v>
      </c>
      <c r="EO7" s="237" t="s">
        <v>1107</v>
      </c>
      <c r="EP7" s="237" t="s">
        <v>1107</v>
      </c>
      <c r="EQ7" s="237" t="s">
        <v>1107</v>
      </c>
      <c r="ER7" s="237" t="s">
        <v>1107</v>
      </c>
      <c r="ES7" s="237" t="s">
        <v>1107</v>
      </c>
      <c r="ET7" s="237" t="s">
        <v>1107</v>
      </c>
      <c r="EU7" s="237" t="s">
        <v>1107</v>
      </c>
      <c r="EV7" s="237" t="s">
        <v>1107</v>
      </c>
      <c r="EW7" s="237" t="s">
        <v>1107</v>
      </c>
      <c r="EX7" s="237" t="s">
        <v>1107</v>
      </c>
      <c r="EY7" s="237" t="s">
        <v>1107</v>
      </c>
      <c r="EZ7" s="237" t="s">
        <v>231</v>
      </c>
      <c r="FA7" s="237" t="s">
        <v>231</v>
      </c>
      <c r="FB7" s="237" t="s">
        <v>231</v>
      </c>
      <c r="FC7" s="237" t="s">
        <v>231</v>
      </c>
      <c r="FD7" s="237" t="s">
        <v>231</v>
      </c>
      <c r="FE7" s="237" t="s">
        <v>231</v>
      </c>
      <c r="FF7" s="237" t="s">
        <v>231</v>
      </c>
      <c r="FG7" s="237" t="s">
        <v>492</v>
      </c>
      <c r="FH7" s="237" t="s">
        <v>231</v>
      </c>
      <c r="FI7" s="237" t="s">
        <v>231</v>
      </c>
      <c r="FJ7" s="237" t="s">
        <v>231</v>
      </c>
      <c r="FK7" s="237" t="s">
        <v>231</v>
      </c>
      <c r="FL7" s="237" t="s">
        <v>231</v>
      </c>
      <c r="FM7" s="237" t="s">
        <v>231</v>
      </c>
      <c r="FN7" s="237" t="s">
        <v>231</v>
      </c>
      <c r="FO7" s="237" t="s">
        <v>231</v>
      </c>
      <c r="FP7" s="237" t="s">
        <v>231</v>
      </c>
      <c r="FQ7" s="237" t="s">
        <v>231</v>
      </c>
      <c r="FR7" s="237" t="s">
        <v>231</v>
      </c>
      <c r="FS7" s="237" t="s">
        <v>231</v>
      </c>
      <c r="FT7" s="237" t="s">
        <v>231</v>
      </c>
      <c r="FU7" s="237" t="s">
        <v>231</v>
      </c>
      <c r="FV7" s="237" t="s">
        <v>231</v>
      </c>
      <c r="FW7" s="237" t="s">
        <v>231</v>
      </c>
      <c r="FX7" s="237" t="s">
        <v>231</v>
      </c>
      <c r="FY7" s="237" t="s">
        <v>1107</v>
      </c>
      <c r="FZ7" s="237" t="s">
        <v>1107</v>
      </c>
      <c r="GA7" s="237" t="s">
        <v>1107</v>
      </c>
      <c r="GB7" s="237" t="s">
        <v>1107</v>
      </c>
      <c r="GC7" s="237" t="s">
        <v>1107</v>
      </c>
      <c r="GD7" s="237" t="s">
        <v>1107</v>
      </c>
      <c r="GE7" s="237" t="s">
        <v>1107</v>
      </c>
      <c r="GF7" s="237" t="s">
        <v>1107</v>
      </c>
      <c r="GG7" s="237" t="s">
        <v>1107</v>
      </c>
      <c r="GH7" s="237" t="s">
        <v>1107</v>
      </c>
      <c r="GI7" s="237" t="s">
        <v>1107</v>
      </c>
      <c r="GJ7" s="237" t="s">
        <v>1107</v>
      </c>
      <c r="GK7" s="237" t="s">
        <v>1107</v>
      </c>
      <c r="GL7" s="237" t="s">
        <v>1107</v>
      </c>
      <c r="GM7" s="237" t="s">
        <v>1107</v>
      </c>
      <c r="GN7" s="237" t="s">
        <v>1107</v>
      </c>
      <c r="GO7" s="237" t="s">
        <v>1107</v>
      </c>
      <c r="GP7" s="237" t="s">
        <v>1107</v>
      </c>
      <c r="GQ7" s="237" t="s">
        <v>1107</v>
      </c>
      <c r="GR7" s="237" t="s">
        <v>1107</v>
      </c>
      <c r="GS7" s="237" t="s">
        <v>1107</v>
      </c>
      <c r="GT7" s="237" t="s">
        <v>1107</v>
      </c>
      <c r="GU7" s="237" t="s">
        <v>1107</v>
      </c>
      <c r="GV7" s="237" t="s">
        <v>1107</v>
      </c>
      <c r="GW7" s="237" t="s">
        <v>1107</v>
      </c>
      <c r="GX7" s="237" t="s">
        <v>1107</v>
      </c>
      <c r="GY7" s="237" t="s">
        <v>1107</v>
      </c>
      <c r="GZ7" s="237" t="s">
        <v>1107</v>
      </c>
      <c r="HA7" s="237" t="s">
        <v>1107</v>
      </c>
      <c r="HB7" s="237" t="s">
        <v>1107</v>
      </c>
      <c r="HC7" s="237" t="s">
        <v>1107</v>
      </c>
      <c r="HD7" s="237" t="s">
        <v>1107</v>
      </c>
      <c r="HE7" s="237" t="s">
        <v>1107</v>
      </c>
      <c r="HF7" s="237" t="s">
        <v>1107</v>
      </c>
      <c r="HG7" s="237" t="s">
        <v>1107</v>
      </c>
      <c r="HH7" s="237" t="s">
        <v>1107</v>
      </c>
      <c r="HI7" s="237" t="s">
        <v>1107</v>
      </c>
      <c r="HJ7" s="237" t="s">
        <v>1107</v>
      </c>
      <c r="HK7" s="237" t="s">
        <v>1107</v>
      </c>
      <c r="HL7" s="237" t="s">
        <v>1107</v>
      </c>
      <c r="HM7" s="237" t="s">
        <v>1107</v>
      </c>
      <c r="HN7" s="237" t="s">
        <v>1107</v>
      </c>
      <c r="HO7" s="237" t="s">
        <v>1107</v>
      </c>
      <c r="HP7" s="237" t="s">
        <v>1107</v>
      </c>
      <c r="HQ7" s="237" t="s">
        <v>1107</v>
      </c>
      <c r="HR7" s="237" t="s">
        <v>1107</v>
      </c>
      <c r="HS7" s="237" t="s">
        <v>1107</v>
      </c>
      <c r="HT7" s="237" t="s">
        <v>231</v>
      </c>
      <c r="HU7" s="237" t="s">
        <v>231</v>
      </c>
      <c r="HV7" s="237" t="s">
        <v>231</v>
      </c>
      <c r="HW7" s="237" t="s">
        <v>231</v>
      </c>
      <c r="HX7" s="237" t="s">
        <v>220</v>
      </c>
      <c r="HY7" s="237" t="s">
        <v>493</v>
      </c>
      <c r="HZ7" s="237" t="s">
        <v>219</v>
      </c>
      <c r="IA7" s="237" t="s">
        <v>490</v>
      </c>
      <c r="IB7" s="237" t="s">
        <v>492</v>
      </c>
      <c r="IC7" s="237" t="s">
        <v>492</v>
      </c>
    </row>
    <row r="8" spans="1:237" ht="15" x14ac:dyDescent="0.25">
      <c r="A8" s="244" t="str">
        <f>HYPERLINK("http://www.ofsted.gov.uk/inspection-reports/find-inspection-report/provider/ELS/143039 ","Ofsted School Webpage")</f>
        <v>Ofsted School Webpage</v>
      </c>
      <c r="B8" s="240">
        <v>143039</v>
      </c>
      <c r="C8" s="240">
        <v>3306026</v>
      </c>
      <c r="D8" s="240" t="s">
        <v>1114</v>
      </c>
      <c r="E8" s="240" t="s">
        <v>247</v>
      </c>
      <c r="F8" s="240" t="s">
        <v>502</v>
      </c>
      <c r="G8" s="240" t="s">
        <v>502</v>
      </c>
      <c r="H8" s="240" t="s">
        <v>909</v>
      </c>
      <c r="I8" s="240" t="s">
        <v>1115</v>
      </c>
      <c r="J8" s="240" t="s">
        <v>93</v>
      </c>
      <c r="K8" s="240" t="s">
        <v>93</v>
      </c>
      <c r="L8" s="240" t="s">
        <v>93</v>
      </c>
      <c r="M8" s="240" t="s">
        <v>90</v>
      </c>
      <c r="N8" s="240" t="s">
        <v>486</v>
      </c>
      <c r="O8" s="240" t="s">
        <v>487</v>
      </c>
      <c r="P8" s="240">
        <v>10077517</v>
      </c>
      <c r="Q8" s="242">
        <v>43349</v>
      </c>
      <c r="R8" s="242">
        <v>43349</v>
      </c>
      <c r="S8" s="242">
        <v>43388</v>
      </c>
      <c r="T8" s="240" t="s">
        <v>1104</v>
      </c>
      <c r="U8" s="240" t="s">
        <v>1105</v>
      </c>
      <c r="V8" s="240" t="s">
        <v>490</v>
      </c>
      <c r="W8" s="240" t="s">
        <v>486</v>
      </c>
      <c r="X8" s="240" t="s">
        <v>486</v>
      </c>
      <c r="Y8" s="240" t="s">
        <v>486</v>
      </c>
      <c r="Z8" s="240" t="s">
        <v>486</v>
      </c>
      <c r="AA8" s="240" t="s">
        <v>486</v>
      </c>
      <c r="AB8" s="240" t="s">
        <v>486</v>
      </c>
      <c r="AC8" s="240" t="s">
        <v>486</v>
      </c>
      <c r="AD8" s="240" t="s">
        <v>1106</v>
      </c>
      <c r="AE8" s="240" t="s">
        <v>231</v>
      </c>
      <c r="AF8" s="240" t="s">
        <v>231</v>
      </c>
      <c r="AG8" s="240" t="s">
        <v>231</v>
      </c>
      <c r="AH8" s="240" t="s">
        <v>231</v>
      </c>
      <c r="AI8" s="240" t="s">
        <v>231</v>
      </c>
      <c r="AJ8" s="240" t="s">
        <v>231</v>
      </c>
      <c r="AK8" s="240" t="s">
        <v>231</v>
      </c>
      <c r="AL8" s="240" t="s">
        <v>231</v>
      </c>
      <c r="AM8" s="240" t="s">
        <v>231</v>
      </c>
      <c r="AN8" s="240" t="s">
        <v>231</v>
      </c>
      <c r="AO8" s="240" t="s">
        <v>231</v>
      </c>
      <c r="AP8" s="240" t="s">
        <v>231</v>
      </c>
      <c r="AQ8" s="240" t="s">
        <v>231</v>
      </c>
      <c r="AR8" s="240" t="s">
        <v>231</v>
      </c>
      <c r="AS8" s="240" t="s">
        <v>231</v>
      </c>
      <c r="AT8" s="240" t="s">
        <v>231</v>
      </c>
      <c r="AU8" s="240" t="s">
        <v>492</v>
      </c>
      <c r="AV8" s="240" t="s">
        <v>492</v>
      </c>
      <c r="AW8" s="240" t="s">
        <v>231</v>
      </c>
      <c r="AX8" s="240" t="s">
        <v>231</v>
      </c>
      <c r="AY8" s="240" t="s">
        <v>231</v>
      </c>
      <c r="AZ8" s="240" t="s">
        <v>231</v>
      </c>
      <c r="BA8" s="240" t="s">
        <v>231</v>
      </c>
      <c r="BB8" s="240" t="s">
        <v>231</v>
      </c>
      <c r="BC8" s="240" t="s">
        <v>231</v>
      </c>
      <c r="BD8" s="240" t="s">
        <v>231</v>
      </c>
      <c r="BE8" s="240" t="s">
        <v>231</v>
      </c>
      <c r="BF8" s="240" t="s">
        <v>231</v>
      </c>
      <c r="BG8" s="240" t="s">
        <v>231</v>
      </c>
      <c r="BH8" s="240" t="s">
        <v>231</v>
      </c>
      <c r="BI8" s="240" t="s">
        <v>231</v>
      </c>
      <c r="BJ8" s="240" t="s">
        <v>231</v>
      </c>
      <c r="BK8" s="240" t="s">
        <v>1107</v>
      </c>
      <c r="BL8" s="240" t="s">
        <v>1107</v>
      </c>
      <c r="BM8" s="240" t="s">
        <v>1107</v>
      </c>
      <c r="BN8" s="240" t="s">
        <v>1107</v>
      </c>
      <c r="BO8" s="240" t="s">
        <v>1107</v>
      </c>
      <c r="BP8" s="240" t="s">
        <v>1107</v>
      </c>
      <c r="BQ8" s="240" t="s">
        <v>1107</v>
      </c>
      <c r="BR8" s="240" t="s">
        <v>1107</v>
      </c>
      <c r="BS8" s="240" t="s">
        <v>1107</v>
      </c>
      <c r="BT8" s="240" t="s">
        <v>1107</v>
      </c>
      <c r="BU8" s="240" t="s">
        <v>1107</v>
      </c>
      <c r="BV8" s="240" t="s">
        <v>1107</v>
      </c>
      <c r="BW8" s="240" t="s">
        <v>1107</v>
      </c>
      <c r="BX8" s="240" t="s">
        <v>1107</v>
      </c>
      <c r="BY8" s="240" t="s">
        <v>1107</v>
      </c>
      <c r="BZ8" s="240" t="s">
        <v>231</v>
      </c>
      <c r="CA8" s="240" t="s">
        <v>231</v>
      </c>
      <c r="CB8" s="240" t="s">
        <v>231</v>
      </c>
      <c r="CC8" s="240" t="s">
        <v>492</v>
      </c>
      <c r="CD8" s="240" t="s">
        <v>492</v>
      </c>
      <c r="CE8" s="240" t="s">
        <v>492</v>
      </c>
      <c r="CF8" s="240" t="s">
        <v>1107</v>
      </c>
      <c r="CG8" s="240" t="s">
        <v>1107</v>
      </c>
      <c r="CH8" s="240" t="s">
        <v>1107</v>
      </c>
      <c r="CI8" s="240" t="s">
        <v>1107</v>
      </c>
      <c r="CJ8" s="240" t="s">
        <v>1107</v>
      </c>
      <c r="CK8" s="240" t="s">
        <v>231</v>
      </c>
      <c r="CL8" s="240" t="s">
        <v>231</v>
      </c>
      <c r="CM8" s="240" t="s">
        <v>1107</v>
      </c>
      <c r="CN8" s="240" t="s">
        <v>231</v>
      </c>
      <c r="CO8" s="240" t="s">
        <v>1107</v>
      </c>
      <c r="CP8" s="240" t="s">
        <v>231</v>
      </c>
      <c r="CQ8" s="240" t="s">
        <v>231</v>
      </c>
      <c r="CR8" s="240" t="s">
        <v>231</v>
      </c>
      <c r="CS8" s="240" t="s">
        <v>231</v>
      </c>
      <c r="CT8" s="240" t="s">
        <v>231</v>
      </c>
      <c r="CU8" s="240" t="s">
        <v>231</v>
      </c>
      <c r="CV8" s="240" t="s">
        <v>231</v>
      </c>
      <c r="CW8" s="240" t="s">
        <v>231</v>
      </c>
      <c r="CX8" s="240" t="s">
        <v>231</v>
      </c>
      <c r="CY8" s="240" t="s">
        <v>231</v>
      </c>
      <c r="CZ8" s="240" t="s">
        <v>231</v>
      </c>
      <c r="DA8" s="240" t="s">
        <v>231</v>
      </c>
      <c r="DB8" s="240" t="s">
        <v>231</v>
      </c>
      <c r="DC8" s="240" t="s">
        <v>231</v>
      </c>
      <c r="DD8" s="240" t="s">
        <v>231</v>
      </c>
      <c r="DE8" s="240" t="s">
        <v>231</v>
      </c>
      <c r="DF8" s="240" t="s">
        <v>231</v>
      </c>
      <c r="DG8" s="240" t="s">
        <v>231</v>
      </c>
      <c r="DH8" s="240" t="s">
        <v>231</v>
      </c>
      <c r="DI8" s="240" t="s">
        <v>231</v>
      </c>
      <c r="DJ8" s="240" t="s">
        <v>231</v>
      </c>
      <c r="DK8" s="240" t="s">
        <v>231</v>
      </c>
      <c r="DL8" s="240" t="s">
        <v>231</v>
      </c>
      <c r="DM8" s="240" t="s">
        <v>231</v>
      </c>
      <c r="DN8" s="240" t="s">
        <v>231</v>
      </c>
      <c r="DO8" s="240" t="s">
        <v>231</v>
      </c>
      <c r="DP8" s="240" t="s">
        <v>231</v>
      </c>
      <c r="DQ8" s="240" t="s">
        <v>492</v>
      </c>
      <c r="DR8" s="240" t="s">
        <v>492</v>
      </c>
      <c r="DS8" s="240" t="s">
        <v>231</v>
      </c>
      <c r="DT8" s="240" t="s">
        <v>231</v>
      </c>
      <c r="DU8" s="240" t="s">
        <v>231</v>
      </c>
      <c r="DV8" s="240" t="s">
        <v>231</v>
      </c>
      <c r="DW8" s="240" t="s">
        <v>231</v>
      </c>
      <c r="DX8" s="240" t="s">
        <v>231</v>
      </c>
      <c r="DY8" s="240" t="s">
        <v>231</v>
      </c>
      <c r="DZ8" s="240" t="s">
        <v>231</v>
      </c>
      <c r="EA8" s="240" t="s">
        <v>231</v>
      </c>
      <c r="EB8" s="240" t="s">
        <v>1107</v>
      </c>
      <c r="EC8" s="240" t="s">
        <v>231</v>
      </c>
      <c r="ED8" s="240" t="s">
        <v>231</v>
      </c>
      <c r="EE8" s="240" t="s">
        <v>231</v>
      </c>
      <c r="EF8" s="240" t="s">
        <v>231</v>
      </c>
      <c r="EG8" s="240" t="s">
        <v>231</v>
      </c>
      <c r="EH8" s="240" t="s">
        <v>231</v>
      </c>
      <c r="EI8" s="240" t="s">
        <v>231</v>
      </c>
      <c r="EJ8" s="240" t="s">
        <v>231</v>
      </c>
      <c r="EK8" s="240" t="s">
        <v>231</v>
      </c>
      <c r="EL8" s="240" t="s">
        <v>231</v>
      </c>
      <c r="EM8" s="240" t="s">
        <v>231</v>
      </c>
      <c r="EN8" s="240" t="s">
        <v>231</v>
      </c>
      <c r="EO8" s="240" t="s">
        <v>231</v>
      </c>
      <c r="EP8" s="240" t="s">
        <v>231</v>
      </c>
      <c r="EQ8" s="240" t="s">
        <v>231</v>
      </c>
      <c r="ER8" s="240" t="s">
        <v>231</v>
      </c>
      <c r="ES8" s="240" t="s">
        <v>231</v>
      </c>
      <c r="ET8" s="240" t="s">
        <v>231</v>
      </c>
      <c r="EU8" s="240" t="s">
        <v>231</v>
      </c>
      <c r="EV8" s="240" t="s">
        <v>231</v>
      </c>
      <c r="EW8" s="240" t="s">
        <v>231</v>
      </c>
      <c r="EX8" s="240" t="s">
        <v>231</v>
      </c>
      <c r="EY8" s="240" t="s">
        <v>231</v>
      </c>
      <c r="EZ8" s="240" t="s">
        <v>231</v>
      </c>
      <c r="FA8" s="240" t="s">
        <v>231</v>
      </c>
      <c r="FB8" s="240" t="s">
        <v>231</v>
      </c>
      <c r="FC8" s="240" t="s">
        <v>231</v>
      </c>
      <c r="FD8" s="240" t="s">
        <v>231</v>
      </c>
      <c r="FE8" s="240" t="s">
        <v>231</v>
      </c>
      <c r="FF8" s="240" t="s">
        <v>231</v>
      </c>
      <c r="FG8" s="240" t="s">
        <v>492</v>
      </c>
      <c r="FH8" s="240" t="s">
        <v>231</v>
      </c>
      <c r="FI8" s="240" t="s">
        <v>231</v>
      </c>
      <c r="FJ8" s="240" t="s">
        <v>231</v>
      </c>
      <c r="FK8" s="240" t="s">
        <v>231</v>
      </c>
      <c r="FL8" s="240" t="s">
        <v>231</v>
      </c>
      <c r="FM8" s="240" t="s">
        <v>231</v>
      </c>
      <c r="FN8" s="240" t="s">
        <v>231</v>
      </c>
      <c r="FO8" s="240" t="s">
        <v>231</v>
      </c>
      <c r="FP8" s="240" t="s">
        <v>231</v>
      </c>
      <c r="FQ8" s="240" t="s">
        <v>231</v>
      </c>
      <c r="FR8" s="240" t="s">
        <v>231</v>
      </c>
      <c r="FS8" s="240" t="s">
        <v>231</v>
      </c>
      <c r="FT8" s="240" t="s">
        <v>231</v>
      </c>
      <c r="FU8" s="240" t="s">
        <v>231</v>
      </c>
      <c r="FV8" s="240" t="s">
        <v>231</v>
      </c>
      <c r="FW8" s="240" t="s">
        <v>231</v>
      </c>
      <c r="FX8" s="240" t="s">
        <v>231</v>
      </c>
      <c r="FY8" s="240" t="s">
        <v>492</v>
      </c>
      <c r="FZ8" s="240" t="s">
        <v>231</v>
      </c>
      <c r="GA8" s="240" t="s">
        <v>1107</v>
      </c>
      <c r="GB8" s="240" t="s">
        <v>1107</v>
      </c>
      <c r="GC8" s="240" t="s">
        <v>231</v>
      </c>
      <c r="GD8" s="240" t="s">
        <v>1107</v>
      </c>
      <c r="GE8" s="240" t="s">
        <v>1107</v>
      </c>
      <c r="GF8" s="240" t="s">
        <v>1107</v>
      </c>
      <c r="GG8" s="240" t="s">
        <v>1107</v>
      </c>
      <c r="GH8" s="240" t="s">
        <v>1107</v>
      </c>
      <c r="GI8" s="240" t="s">
        <v>1107</v>
      </c>
      <c r="GJ8" s="240" t="s">
        <v>1107</v>
      </c>
      <c r="GK8" s="240" t="s">
        <v>1107</v>
      </c>
      <c r="GL8" s="240" t="s">
        <v>1107</v>
      </c>
      <c r="GM8" s="240" t="s">
        <v>1107</v>
      </c>
      <c r="GN8" s="240" t="s">
        <v>1107</v>
      </c>
      <c r="GO8" s="240" t="s">
        <v>1107</v>
      </c>
      <c r="GP8" s="240" t="s">
        <v>1107</v>
      </c>
      <c r="GQ8" s="240" t="s">
        <v>1107</v>
      </c>
      <c r="GR8" s="240" t="s">
        <v>1107</v>
      </c>
      <c r="GS8" s="240" t="s">
        <v>1107</v>
      </c>
      <c r="GT8" s="240" t="s">
        <v>1107</v>
      </c>
      <c r="GU8" s="240" t="s">
        <v>1107</v>
      </c>
      <c r="GV8" s="240" t="s">
        <v>1107</v>
      </c>
      <c r="GW8" s="240" t="s">
        <v>1107</v>
      </c>
      <c r="GX8" s="240" t="s">
        <v>1107</v>
      </c>
      <c r="GY8" s="240" t="s">
        <v>1107</v>
      </c>
      <c r="GZ8" s="240" t="s">
        <v>1107</v>
      </c>
      <c r="HA8" s="240" t="s">
        <v>1107</v>
      </c>
      <c r="HB8" s="240" t="s">
        <v>1107</v>
      </c>
      <c r="HC8" s="240" t="s">
        <v>1107</v>
      </c>
      <c r="HD8" s="240" t="s">
        <v>1107</v>
      </c>
      <c r="HE8" s="240" t="s">
        <v>1107</v>
      </c>
      <c r="HF8" s="240" t="s">
        <v>1107</v>
      </c>
      <c r="HG8" s="240" t="s">
        <v>1107</v>
      </c>
      <c r="HH8" s="240" t="s">
        <v>1107</v>
      </c>
      <c r="HI8" s="240" t="s">
        <v>1107</v>
      </c>
      <c r="HJ8" s="240" t="s">
        <v>1107</v>
      </c>
      <c r="HK8" s="240" t="s">
        <v>1107</v>
      </c>
      <c r="HL8" s="240" t="s">
        <v>1107</v>
      </c>
      <c r="HM8" s="240" t="s">
        <v>1107</v>
      </c>
      <c r="HN8" s="240" t="s">
        <v>1107</v>
      </c>
      <c r="HO8" s="240" t="s">
        <v>1107</v>
      </c>
      <c r="HP8" s="240" t="s">
        <v>1107</v>
      </c>
      <c r="HQ8" s="240" t="s">
        <v>1107</v>
      </c>
      <c r="HR8" s="240" t="s">
        <v>1107</v>
      </c>
      <c r="HS8" s="240" t="s">
        <v>1107</v>
      </c>
      <c r="HT8" s="240" t="s">
        <v>231</v>
      </c>
      <c r="HU8" s="240" t="s">
        <v>231</v>
      </c>
      <c r="HV8" s="240" t="s">
        <v>231</v>
      </c>
      <c r="HW8" s="240" t="s">
        <v>231</v>
      </c>
      <c r="HX8" s="240" t="s">
        <v>220</v>
      </c>
      <c r="HY8" s="240" t="s">
        <v>493</v>
      </c>
      <c r="HZ8" s="240" t="s">
        <v>219</v>
      </c>
      <c r="IA8" s="240" t="s">
        <v>490</v>
      </c>
      <c r="IB8" s="240" t="s">
        <v>492</v>
      </c>
      <c r="IC8" s="240" t="s">
        <v>492</v>
      </c>
    </row>
    <row r="9" spans="1:237" ht="15" x14ac:dyDescent="0.25">
      <c r="A9" s="243" t="str">
        <f>HYPERLINK("http://www.ofsted.gov.uk/inspection-reports/find-inspection-report/provider/ELS/140354 ","Ofsted School Webpage")</f>
        <v>Ofsted School Webpage</v>
      </c>
      <c r="B9" s="237">
        <v>140354</v>
      </c>
      <c r="C9" s="237">
        <v>9376008</v>
      </c>
      <c r="D9" s="237" t="s">
        <v>1116</v>
      </c>
      <c r="E9" s="237" t="s">
        <v>248</v>
      </c>
      <c r="F9" s="237" t="s">
        <v>502</v>
      </c>
      <c r="G9" s="237" t="s">
        <v>502</v>
      </c>
      <c r="H9" s="237" t="s">
        <v>503</v>
      </c>
      <c r="I9" s="237" t="s">
        <v>1117</v>
      </c>
      <c r="J9" s="237" t="s">
        <v>93</v>
      </c>
      <c r="K9" s="237" t="s">
        <v>93</v>
      </c>
      <c r="L9" s="237" t="s">
        <v>93</v>
      </c>
      <c r="M9" s="237" t="s">
        <v>90</v>
      </c>
      <c r="N9" s="237" t="s">
        <v>486</v>
      </c>
      <c r="O9" s="237" t="s">
        <v>487</v>
      </c>
      <c r="P9" s="237">
        <v>10068615</v>
      </c>
      <c r="Q9" s="239">
        <v>43354</v>
      </c>
      <c r="R9" s="239">
        <v>43354</v>
      </c>
      <c r="S9" s="239">
        <v>43374</v>
      </c>
      <c r="T9" s="237" t="s">
        <v>1109</v>
      </c>
      <c r="U9" s="237" t="s">
        <v>1105</v>
      </c>
      <c r="V9" s="237" t="s">
        <v>490</v>
      </c>
      <c r="W9" s="237" t="s">
        <v>486</v>
      </c>
      <c r="X9" s="237" t="s">
        <v>486</v>
      </c>
      <c r="Y9" s="237" t="s">
        <v>486</v>
      </c>
      <c r="Z9" s="237" t="s">
        <v>486</v>
      </c>
      <c r="AA9" s="237" t="s">
        <v>486</v>
      </c>
      <c r="AB9" s="237" t="s">
        <v>486</v>
      </c>
      <c r="AC9" s="237" t="s">
        <v>486</v>
      </c>
      <c r="AD9" s="237" t="s">
        <v>1110</v>
      </c>
      <c r="AE9" s="237" t="s">
        <v>1107</v>
      </c>
      <c r="AF9" s="237" t="s">
        <v>1107</v>
      </c>
      <c r="AG9" s="237" t="s">
        <v>1107</v>
      </c>
      <c r="AH9" s="237" t="s">
        <v>1107</v>
      </c>
      <c r="AI9" s="237" t="s">
        <v>1107</v>
      </c>
      <c r="AJ9" s="237" t="s">
        <v>1107</v>
      </c>
      <c r="AK9" s="237" t="s">
        <v>1107</v>
      </c>
      <c r="AL9" s="237" t="s">
        <v>1107</v>
      </c>
      <c r="AM9" s="237" t="s">
        <v>492</v>
      </c>
      <c r="AN9" s="237" t="s">
        <v>1107</v>
      </c>
      <c r="AO9" s="237" t="s">
        <v>1107</v>
      </c>
      <c r="AP9" s="237" t="s">
        <v>1107</v>
      </c>
      <c r="AQ9" s="237" t="s">
        <v>1107</v>
      </c>
      <c r="AR9" s="237" t="s">
        <v>1107</v>
      </c>
      <c r="AS9" s="237" t="s">
        <v>1107</v>
      </c>
      <c r="AT9" s="237" t="s">
        <v>1107</v>
      </c>
      <c r="AU9" s="237" t="s">
        <v>492</v>
      </c>
      <c r="AV9" s="237" t="s">
        <v>1107</v>
      </c>
      <c r="AW9" s="237" t="s">
        <v>1107</v>
      </c>
      <c r="AX9" s="237" t="s">
        <v>1107</v>
      </c>
      <c r="AY9" s="237" t="s">
        <v>1107</v>
      </c>
      <c r="AZ9" s="237" t="s">
        <v>1107</v>
      </c>
      <c r="BA9" s="237" t="s">
        <v>1107</v>
      </c>
      <c r="BB9" s="237" t="s">
        <v>1107</v>
      </c>
      <c r="BC9" s="237" t="s">
        <v>1107</v>
      </c>
      <c r="BD9" s="237" t="s">
        <v>1107</v>
      </c>
      <c r="BE9" s="237" t="s">
        <v>1107</v>
      </c>
      <c r="BF9" s="237" t="s">
        <v>1107</v>
      </c>
      <c r="BG9" s="237" t="s">
        <v>1107</v>
      </c>
      <c r="BH9" s="237" t="s">
        <v>1107</v>
      </c>
      <c r="BI9" s="237" t="s">
        <v>1107</v>
      </c>
      <c r="BJ9" s="237" t="s">
        <v>1107</v>
      </c>
      <c r="BK9" s="237" t="s">
        <v>1107</v>
      </c>
      <c r="BL9" s="237" t="s">
        <v>1107</v>
      </c>
      <c r="BM9" s="237" t="s">
        <v>1107</v>
      </c>
      <c r="BN9" s="237" t="s">
        <v>1107</v>
      </c>
      <c r="BO9" s="237" t="s">
        <v>1107</v>
      </c>
      <c r="BP9" s="237" t="s">
        <v>1107</v>
      </c>
      <c r="BQ9" s="237" t="s">
        <v>1107</v>
      </c>
      <c r="BR9" s="237" t="s">
        <v>1107</v>
      </c>
      <c r="BS9" s="237" t="s">
        <v>1107</v>
      </c>
      <c r="BT9" s="237" t="s">
        <v>1107</v>
      </c>
      <c r="BU9" s="237" t="s">
        <v>1107</v>
      </c>
      <c r="BV9" s="237" t="s">
        <v>1107</v>
      </c>
      <c r="BW9" s="237" t="s">
        <v>1107</v>
      </c>
      <c r="BX9" s="237" t="s">
        <v>1107</v>
      </c>
      <c r="BY9" s="237" t="s">
        <v>1107</v>
      </c>
      <c r="BZ9" s="237" t="s">
        <v>231</v>
      </c>
      <c r="CA9" s="237" t="s">
        <v>231</v>
      </c>
      <c r="CB9" s="237" t="s">
        <v>231</v>
      </c>
      <c r="CC9" s="237" t="s">
        <v>492</v>
      </c>
      <c r="CD9" s="237" t="s">
        <v>492</v>
      </c>
      <c r="CE9" s="237" t="s">
        <v>492</v>
      </c>
      <c r="CF9" s="237" t="s">
        <v>231</v>
      </c>
      <c r="CG9" s="237" t="s">
        <v>231</v>
      </c>
      <c r="CH9" s="237" t="s">
        <v>231</v>
      </c>
      <c r="CI9" s="237" t="s">
        <v>231</v>
      </c>
      <c r="CJ9" s="237" t="s">
        <v>231</v>
      </c>
      <c r="CK9" s="237" t="s">
        <v>1107</v>
      </c>
      <c r="CL9" s="237" t="s">
        <v>1107</v>
      </c>
      <c r="CM9" s="237" t="s">
        <v>1107</v>
      </c>
      <c r="CN9" s="237" t="s">
        <v>1107</v>
      </c>
      <c r="CO9" s="237" t="s">
        <v>1107</v>
      </c>
      <c r="CP9" s="237" t="s">
        <v>231</v>
      </c>
      <c r="CQ9" s="237" t="s">
        <v>231</v>
      </c>
      <c r="CR9" s="237" t="s">
        <v>231</v>
      </c>
      <c r="CS9" s="237" t="s">
        <v>231</v>
      </c>
      <c r="CT9" s="237" t="s">
        <v>231</v>
      </c>
      <c r="CU9" s="237" t="s">
        <v>231</v>
      </c>
      <c r="CV9" s="237" t="s">
        <v>231</v>
      </c>
      <c r="CW9" s="237" t="s">
        <v>231</v>
      </c>
      <c r="CX9" s="237" t="s">
        <v>231</v>
      </c>
      <c r="CY9" s="237" t="s">
        <v>231</v>
      </c>
      <c r="CZ9" s="237" t="s">
        <v>231</v>
      </c>
      <c r="DA9" s="237" t="s">
        <v>231</v>
      </c>
      <c r="DB9" s="237" t="s">
        <v>492</v>
      </c>
      <c r="DC9" s="237" t="s">
        <v>492</v>
      </c>
      <c r="DD9" s="237" t="s">
        <v>231</v>
      </c>
      <c r="DE9" s="237" t="s">
        <v>492</v>
      </c>
      <c r="DF9" s="237" t="s">
        <v>492</v>
      </c>
      <c r="DG9" s="237" t="s">
        <v>492</v>
      </c>
      <c r="DH9" s="237" t="s">
        <v>492</v>
      </c>
      <c r="DI9" s="237" t="s">
        <v>492</v>
      </c>
      <c r="DJ9" s="237" t="s">
        <v>492</v>
      </c>
      <c r="DK9" s="237" t="s">
        <v>492</v>
      </c>
      <c r="DL9" s="237" t="s">
        <v>492</v>
      </c>
      <c r="DM9" s="237" t="s">
        <v>492</v>
      </c>
      <c r="DN9" s="237" t="s">
        <v>492</v>
      </c>
      <c r="DO9" s="237" t="s">
        <v>492</v>
      </c>
      <c r="DP9" s="237" t="s">
        <v>492</v>
      </c>
      <c r="DQ9" s="237" t="s">
        <v>492</v>
      </c>
      <c r="DR9" s="237" t="s">
        <v>492</v>
      </c>
      <c r="DS9" s="237" t="s">
        <v>231</v>
      </c>
      <c r="DT9" s="237" t="s">
        <v>231</v>
      </c>
      <c r="DU9" s="237" t="s">
        <v>231</v>
      </c>
      <c r="DV9" s="237" t="s">
        <v>231</v>
      </c>
      <c r="DW9" s="237" t="s">
        <v>231</v>
      </c>
      <c r="DX9" s="237" t="s">
        <v>231</v>
      </c>
      <c r="DY9" s="237" t="s">
        <v>231</v>
      </c>
      <c r="DZ9" s="237" t="s">
        <v>492</v>
      </c>
      <c r="EA9" s="237" t="s">
        <v>231</v>
      </c>
      <c r="EB9" s="237" t="s">
        <v>231</v>
      </c>
      <c r="EC9" s="237" t="s">
        <v>231</v>
      </c>
      <c r="ED9" s="237" t="s">
        <v>231</v>
      </c>
      <c r="EE9" s="237" t="s">
        <v>231</v>
      </c>
      <c r="EF9" s="237" t="s">
        <v>231</v>
      </c>
      <c r="EG9" s="237" t="s">
        <v>231</v>
      </c>
      <c r="EH9" s="237" t="s">
        <v>231</v>
      </c>
      <c r="EI9" s="237" t="s">
        <v>231</v>
      </c>
      <c r="EJ9" s="237" t="s">
        <v>231</v>
      </c>
      <c r="EK9" s="237" t="s">
        <v>231</v>
      </c>
      <c r="EL9" s="237" t="s">
        <v>231</v>
      </c>
      <c r="EM9" s="237" t="s">
        <v>231</v>
      </c>
      <c r="EN9" s="237" t="s">
        <v>231</v>
      </c>
      <c r="EO9" s="237" t="s">
        <v>231</v>
      </c>
      <c r="EP9" s="237" t="s">
        <v>492</v>
      </c>
      <c r="EQ9" s="237" t="s">
        <v>492</v>
      </c>
      <c r="ER9" s="237" t="s">
        <v>492</v>
      </c>
      <c r="ES9" s="237" t="s">
        <v>492</v>
      </c>
      <c r="ET9" s="237" t="s">
        <v>492</v>
      </c>
      <c r="EU9" s="237" t="s">
        <v>492</v>
      </c>
      <c r="EV9" s="237" t="s">
        <v>231</v>
      </c>
      <c r="EW9" s="237" t="s">
        <v>231</v>
      </c>
      <c r="EX9" s="237" t="s">
        <v>231</v>
      </c>
      <c r="EY9" s="237" t="s">
        <v>231</v>
      </c>
      <c r="EZ9" s="237" t="s">
        <v>1107</v>
      </c>
      <c r="FA9" s="237" t="s">
        <v>1107</v>
      </c>
      <c r="FB9" s="237" t="s">
        <v>1107</v>
      </c>
      <c r="FC9" s="237" t="s">
        <v>1107</v>
      </c>
      <c r="FD9" s="237" t="s">
        <v>1107</v>
      </c>
      <c r="FE9" s="237" t="s">
        <v>1107</v>
      </c>
      <c r="FF9" s="237" t="s">
        <v>1107</v>
      </c>
      <c r="FG9" s="237" t="s">
        <v>1107</v>
      </c>
      <c r="FH9" s="237" t="s">
        <v>1107</v>
      </c>
      <c r="FI9" s="237" t="s">
        <v>1107</v>
      </c>
      <c r="FJ9" s="237" t="s">
        <v>1107</v>
      </c>
      <c r="FK9" s="237" t="s">
        <v>1107</v>
      </c>
      <c r="FL9" s="237" t="s">
        <v>1107</v>
      </c>
      <c r="FM9" s="237" t="s">
        <v>1107</v>
      </c>
      <c r="FN9" s="237" t="s">
        <v>1107</v>
      </c>
      <c r="FO9" s="237" t="s">
        <v>1107</v>
      </c>
      <c r="FP9" s="237" t="s">
        <v>1107</v>
      </c>
      <c r="FQ9" s="237" t="s">
        <v>1107</v>
      </c>
      <c r="FR9" s="237" t="s">
        <v>1107</v>
      </c>
      <c r="FS9" s="237" t="s">
        <v>1107</v>
      </c>
      <c r="FT9" s="237" t="s">
        <v>1107</v>
      </c>
      <c r="FU9" s="237" t="s">
        <v>1107</v>
      </c>
      <c r="FV9" s="237" t="s">
        <v>1107</v>
      </c>
      <c r="FW9" s="237" t="s">
        <v>1107</v>
      </c>
      <c r="FX9" s="237" t="s">
        <v>1107</v>
      </c>
      <c r="FY9" s="237" t="s">
        <v>492</v>
      </c>
      <c r="FZ9" s="237" t="s">
        <v>1107</v>
      </c>
      <c r="GA9" s="237" t="s">
        <v>1107</v>
      </c>
      <c r="GB9" s="237" t="s">
        <v>1107</v>
      </c>
      <c r="GC9" s="237" t="s">
        <v>231</v>
      </c>
      <c r="GD9" s="237" t="s">
        <v>1107</v>
      </c>
      <c r="GE9" s="237" t="s">
        <v>1107</v>
      </c>
      <c r="GF9" s="237" t="s">
        <v>1107</v>
      </c>
      <c r="GG9" s="237" t="s">
        <v>1107</v>
      </c>
      <c r="GH9" s="237" t="s">
        <v>1107</v>
      </c>
      <c r="GI9" s="237" t="s">
        <v>1107</v>
      </c>
      <c r="GJ9" s="237" t="s">
        <v>1107</v>
      </c>
      <c r="GK9" s="237" t="s">
        <v>1107</v>
      </c>
      <c r="GL9" s="237" t="s">
        <v>1107</v>
      </c>
      <c r="GM9" s="237" t="s">
        <v>1107</v>
      </c>
      <c r="GN9" s="237" t="s">
        <v>1107</v>
      </c>
      <c r="GO9" s="237" t="s">
        <v>1107</v>
      </c>
      <c r="GP9" s="237" t="s">
        <v>1107</v>
      </c>
      <c r="GQ9" s="237" t="s">
        <v>1107</v>
      </c>
      <c r="GR9" s="237" t="s">
        <v>1107</v>
      </c>
      <c r="GS9" s="237" t="s">
        <v>1107</v>
      </c>
      <c r="GT9" s="237" t="s">
        <v>1107</v>
      </c>
      <c r="GU9" s="237" t="s">
        <v>1107</v>
      </c>
      <c r="GV9" s="237" t="s">
        <v>1107</v>
      </c>
      <c r="GW9" s="237" t="s">
        <v>1107</v>
      </c>
      <c r="GX9" s="237" t="s">
        <v>1107</v>
      </c>
      <c r="GY9" s="237" t="s">
        <v>1107</v>
      </c>
      <c r="GZ9" s="237" t="s">
        <v>1107</v>
      </c>
      <c r="HA9" s="237" t="s">
        <v>1107</v>
      </c>
      <c r="HB9" s="237" t="s">
        <v>1107</v>
      </c>
      <c r="HC9" s="237" t="s">
        <v>1107</v>
      </c>
      <c r="HD9" s="237" t="s">
        <v>1107</v>
      </c>
      <c r="HE9" s="237" t="s">
        <v>1107</v>
      </c>
      <c r="HF9" s="237" t="s">
        <v>1107</v>
      </c>
      <c r="HG9" s="237" t="s">
        <v>1107</v>
      </c>
      <c r="HH9" s="237" t="s">
        <v>1107</v>
      </c>
      <c r="HI9" s="237" t="s">
        <v>1107</v>
      </c>
      <c r="HJ9" s="237" t="s">
        <v>1107</v>
      </c>
      <c r="HK9" s="237" t="s">
        <v>1107</v>
      </c>
      <c r="HL9" s="237" t="s">
        <v>1107</v>
      </c>
      <c r="HM9" s="237" t="s">
        <v>1107</v>
      </c>
      <c r="HN9" s="237" t="s">
        <v>1107</v>
      </c>
      <c r="HO9" s="237" t="s">
        <v>1107</v>
      </c>
      <c r="HP9" s="237" t="s">
        <v>1107</v>
      </c>
      <c r="HQ9" s="237" t="s">
        <v>1107</v>
      </c>
      <c r="HR9" s="237" t="s">
        <v>1107</v>
      </c>
      <c r="HS9" s="237" t="s">
        <v>1107</v>
      </c>
      <c r="HT9" s="237" t="s">
        <v>231</v>
      </c>
      <c r="HU9" s="237" t="s">
        <v>231</v>
      </c>
      <c r="HV9" s="237" t="s">
        <v>231</v>
      </c>
      <c r="HW9" s="237" t="s">
        <v>231</v>
      </c>
      <c r="HX9" s="237" t="s">
        <v>219</v>
      </c>
      <c r="HY9" s="237" t="s">
        <v>220</v>
      </c>
      <c r="HZ9" s="237" t="s">
        <v>219</v>
      </c>
      <c r="IA9" s="237" t="s">
        <v>490</v>
      </c>
      <c r="IB9" s="237" t="s">
        <v>492</v>
      </c>
      <c r="IC9" s="237" t="s">
        <v>492</v>
      </c>
    </row>
    <row r="10" spans="1:237" ht="15" x14ac:dyDescent="0.25">
      <c r="A10" s="244" t="str">
        <f>HYPERLINK("http://www.ofsted.gov.uk/inspection-reports/find-inspection-report/provider/ELS/133540 ","Ofsted School Webpage")</f>
        <v>Ofsted School Webpage</v>
      </c>
      <c r="B10" s="240">
        <v>133540</v>
      </c>
      <c r="C10" s="240">
        <v>8886050</v>
      </c>
      <c r="D10" s="240" t="s">
        <v>1118</v>
      </c>
      <c r="E10" s="240" t="s">
        <v>248</v>
      </c>
      <c r="F10" s="240" t="s">
        <v>495</v>
      </c>
      <c r="G10" s="240" t="s">
        <v>495</v>
      </c>
      <c r="H10" s="240" t="s">
        <v>534</v>
      </c>
      <c r="I10" s="240" t="s">
        <v>1119</v>
      </c>
      <c r="J10" s="240" t="s">
        <v>93</v>
      </c>
      <c r="K10" s="240" t="s">
        <v>93</v>
      </c>
      <c r="L10" s="240" t="s">
        <v>93</v>
      </c>
      <c r="M10" s="240" t="s">
        <v>90</v>
      </c>
      <c r="N10" s="240" t="s">
        <v>486</v>
      </c>
      <c r="O10" s="240" t="s">
        <v>487</v>
      </c>
      <c r="P10" s="240">
        <v>10077539</v>
      </c>
      <c r="Q10" s="242">
        <v>43354</v>
      </c>
      <c r="R10" s="242">
        <v>43354</v>
      </c>
      <c r="S10" s="242">
        <v>43388</v>
      </c>
      <c r="T10" s="240" t="s">
        <v>1104</v>
      </c>
      <c r="U10" s="240" t="s">
        <v>1105</v>
      </c>
      <c r="V10" s="240" t="s">
        <v>490</v>
      </c>
      <c r="W10" s="240" t="s">
        <v>486</v>
      </c>
      <c r="X10" s="240" t="s">
        <v>486</v>
      </c>
      <c r="Y10" s="240" t="s">
        <v>486</v>
      </c>
      <c r="Z10" s="240" t="s">
        <v>486</v>
      </c>
      <c r="AA10" s="240" t="s">
        <v>486</v>
      </c>
      <c r="AB10" s="240" t="s">
        <v>486</v>
      </c>
      <c r="AC10" s="240" t="s">
        <v>486</v>
      </c>
      <c r="AD10" s="240" t="s">
        <v>1106</v>
      </c>
      <c r="AE10" s="240" t="s">
        <v>1107</v>
      </c>
      <c r="AF10" s="240" t="s">
        <v>1107</v>
      </c>
      <c r="AG10" s="240" t="s">
        <v>1107</v>
      </c>
      <c r="AH10" s="240" t="s">
        <v>1107</v>
      </c>
      <c r="AI10" s="240" t="s">
        <v>1107</v>
      </c>
      <c r="AJ10" s="240" t="s">
        <v>1107</v>
      </c>
      <c r="AK10" s="240" t="s">
        <v>1107</v>
      </c>
      <c r="AL10" s="240" t="s">
        <v>1107</v>
      </c>
      <c r="AM10" s="240" t="s">
        <v>1107</v>
      </c>
      <c r="AN10" s="240" t="s">
        <v>1107</v>
      </c>
      <c r="AO10" s="240" t="s">
        <v>1107</v>
      </c>
      <c r="AP10" s="240" t="s">
        <v>1107</v>
      </c>
      <c r="AQ10" s="240" t="s">
        <v>1107</v>
      </c>
      <c r="AR10" s="240" t="s">
        <v>1107</v>
      </c>
      <c r="AS10" s="240" t="s">
        <v>1107</v>
      </c>
      <c r="AT10" s="240" t="s">
        <v>1107</v>
      </c>
      <c r="AU10" s="240" t="s">
        <v>1107</v>
      </c>
      <c r="AV10" s="240" t="s">
        <v>1107</v>
      </c>
      <c r="AW10" s="240" t="s">
        <v>1107</v>
      </c>
      <c r="AX10" s="240" t="s">
        <v>1107</v>
      </c>
      <c r="AY10" s="240" t="s">
        <v>1107</v>
      </c>
      <c r="AZ10" s="240" t="s">
        <v>1107</v>
      </c>
      <c r="BA10" s="240" t="s">
        <v>1107</v>
      </c>
      <c r="BB10" s="240" t="s">
        <v>1107</v>
      </c>
      <c r="BC10" s="240" t="s">
        <v>1107</v>
      </c>
      <c r="BD10" s="240" t="s">
        <v>1107</v>
      </c>
      <c r="BE10" s="240" t="s">
        <v>1107</v>
      </c>
      <c r="BF10" s="240" t="s">
        <v>1107</v>
      </c>
      <c r="BG10" s="240" t="s">
        <v>1107</v>
      </c>
      <c r="BH10" s="240" t="s">
        <v>1107</v>
      </c>
      <c r="BI10" s="240" t="s">
        <v>1107</v>
      </c>
      <c r="BJ10" s="240" t="s">
        <v>1107</v>
      </c>
      <c r="BK10" s="240" t="s">
        <v>1107</v>
      </c>
      <c r="BL10" s="240" t="s">
        <v>1107</v>
      </c>
      <c r="BM10" s="240" t="s">
        <v>1107</v>
      </c>
      <c r="BN10" s="240" t="s">
        <v>1107</v>
      </c>
      <c r="BO10" s="240" t="s">
        <v>1107</v>
      </c>
      <c r="BP10" s="240" t="s">
        <v>1107</v>
      </c>
      <c r="BQ10" s="240" t="s">
        <v>1107</v>
      </c>
      <c r="BR10" s="240" t="s">
        <v>1107</v>
      </c>
      <c r="BS10" s="240" t="s">
        <v>1107</v>
      </c>
      <c r="BT10" s="240" t="s">
        <v>1107</v>
      </c>
      <c r="BU10" s="240" t="s">
        <v>1107</v>
      </c>
      <c r="BV10" s="240" t="s">
        <v>1107</v>
      </c>
      <c r="BW10" s="240" t="s">
        <v>1107</v>
      </c>
      <c r="BX10" s="240" t="s">
        <v>1107</v>
      </c>
      <c r="BY10" s="240" t="s">
        <v>1107</v>
      </c>
      <c r="BZ10" s="240" t="s">
        <v>231</v>
      </c>
      <c r="CA10" s="240" t="s">
        <v>231</v>
      </c>
      <c r="CB10" s="240" t="s">
        <v>231</v>
      </c>
      <c r="CC10" s="240" t="s">
        <v>1107</v>
      </c>
      <c r="CD10" s="240" t="s">
        <v>1107</v>
      </c>
      <c r="CE10" s="240" t="s">
        <v>1107</v>
      </c>
      <c r="CF10" s="240" t="s">
        <v>1107</v>
      </c>
      <c r="CG10" s="240" t="s">
        <v>1107</v>
      </c>
      <c r="CH10" s="240" t="s">
        <v>1107</v>
      </c>
      <c r="CI10" s="240" t="s">
        <v>1107</v>
      </c>
      <c r="CJ10" s="240" t="s">
        <v>1107</v>
      </c>
      <c r="CK10" s="240" t="s">
        <v>231</v>
      </c>
      <c r="CL10" s="240" t="s">
        <v>231</v>
      </c>
      <c r="CM10" s="240" t="s">
        <v>1107</v>
      </c>
      <c r="CN10" s="240" t="s">
        <v>231</v>
      </c>
      <c r="CO10" s="240" t="s">
        <v>1107</v>
      </c>
      <c r="CP10" s="240" t="s">
        <v>231</v>
      </c>
      <c r="CQ10" s="240" t="s">
        <v>231</v>
      </c>
      <c r="CR10" s="240" t="s">
        <v>231</v>
      </c>
      <c r="CS10" s="240" t="s">
        <v>231</v>
      </c>
      <c r="CT10" s="240" t="s">
        <v>231</v>
      </c>
      <c r="CU10" s="240" t="s">
        <v>231</v>
      </c>
      <c r="CV10" s="240" t="s">
        <v>231</v>
      </c>
      <c r="CW10" s="240" t="s">
        <v>231</v>
      </c>
      <c r="CX10" s="240" t="s">
        <v>231</v>
      </c>
      <c r="CY10" s="240" t="s">
        <v>231</v>
      </c>
      <c r="CZ10" s="240" t="s">
        <v>231</v>
      </c>
      <c r="DA10" s="240" t="s">
        <v>231</v>
      </c>
      <c r="DB10" s="240" t="s">
        <v>231</v>
      </c>
      <c r="DC10" s="240" t="s">
        <v>492</v>
      </c>
      <c r="DD10" s="240" t="s">
        <v>231</v>
      </c>
      <c r="DE10" s="240" t="s">
        <v>231</v>
      </c>
      <c r="DF10" s="240" t="s">
        <v>231</v>
      </c>
      <c r="DG10" s="240" t="s">
        <v>231</v>
      </c>
      <c r="DH10" s="240" t="s">
        <v>231</v>
      </c>
      <c r="DI10" s="240" t="s">
        <v>231</v>
      </c>
      <c r="DJ10" s="240" t="s">
        <v>231</v>
      </c>
      <c r="DK10" s="240" t="s">
        <v>231</v>
      </c>
      <c r="DL10" s="240" t="s">
        <v>231</v>
      </c>
      <c r="DM10" s="240" t="s">
        <v>231</v>
      </c>
      <c r="DN10" s="240" t="s">
        <v>231</v>
      </c>
      <c r="DO10" s="240" t="s">
        <v>231</v>
      </c>
      <c r="DP10" s="240" t="s">
        <v>231</v>
      </c>
      <c r="DQ10" s="240" t="s">
        <v>231</v>
      </c>
      <c r="DR10" s="240" t="s">
        <v>231</v>
      </c>
      <c r="DS10" s="240" t="s">
        <v>231</v>
      </c>
      <c r="DT10" s="240" t="s">
        <v>231</v>
      </c>
      <c r="DU10" s="240" t="s">
        <v>231</v>
      </c>
      <c r="DV10" s="240" t="s">
        <v>231</v>
      </c>
      <c r="DW10" s="240" t="s">
        <v>231</v>
      </c>
      <c r="DX10" s="240" t="s">
        <v>231</v>
      </c>
      <c r="DY10" s="240" t="s">
        <v>231</v>
      </c>
      <c r="DZ10" s="240" t="s">
        <v>231</v>
      </c>
      <c r="EA10" s="240" t="s">
        <v>231</v>
      </c>
      <c r="EB10" s="240" t="s">
        <v>231</v>
      </c>
      <c r="EC10" s="240" t="s">
        <v>231</v>
      </c>
      <c r="ED10" s="240" t="s">
        <v>231</v>
      </c>
      <c r="EE10" s="240" t="s">
        <v>231</v>
      </c>
      <c r="EF10" s="240" t="s">
        <v>231</v>
      </c>
      <c r="EG10" s="240" t="s">
        <v>231</v>
      </c>
      <c r="EH10" s="240" t="s">
        <v>231</v>
      </c>
      <c r="EI10" s="240" t="s">
        <v>231</v>
      </c>
      <c r="EJ10" s="240" t="s">
        <v>231</v>
      </c>
      <c r="EK10" s="240" t="s">
        <v>231</v>
      </c>
      <c r="EL10" s="240" t="s">
        <v>231</v>
      </c>
      <c r="EM10" s="240" t="s">
        <v>231</v>
      </c>
      <c r="EN10" s="240" t="s">
        <v>231</v>
      </c>
      <c r="EO10" s="240" t="s">
        <v>231</v>
      </c>
      <c r="EP10" s="240" t="s">
        <v>231</v>
      </c>
      <c r="EQ10" s="240" t="s">
        <v>231</v>
      </c>
      <c r="ER10" s="240" t="s">
        <v>231</v>
      </c>
      <c r="ES10" s="240" t="s">
        <v>231</v>
      </c>
      <c r="ET10" s="240" t="s">
        <v>231</v>
      </c>
      <c r="EU10" s="240" t="s">
        <v>231</v>
      </c>
      <c r="EV10" s="240" t="s">
        <v>231</v>
      </c>
      <c r="EW10" s="240" t="s">
        <v>231</v>
      </c>
      <c r="EX10" s="240" t="s">
        <v>231</v>
      </c>
      <c r="EY10" s="240" t="s">
        <v>231</v>
      </c>
      <c r="EZ10" s="240" t="s">
        <v>231</v>
      </c>
      <c r="FA10" s="240" t="s">
        <v>231</v>
      </c>
      <c r="FB10" s="240" t="s">
        <v>231</v>
      </c>
      <c r="FC10" s="240" t="s">
        <v>231</v>
      </c>
      <c r="FD10" s="240" t="s">
        <v>231</v>
      </c>
      <c r="FE10" s="240" t="s">
        <v>231</v>
      </c>
      <c r="FF10" s="240" t="s">
        <v>231</v>
      </c>
      <c r="FG10" s="240" t="s">
        <v>231</v>
      </c>
      <c r="FH10" s="240" t="s">
        <v>231</v>
      </c>
      <c r="FI10" s="240" t="s">
        <v>231</v>
      </c>
      <c r="FJ10" s="240" t="s">
        <v>231</v>
      </c>
      <c r="FK10" s="240" t="s">
        <v>231</v>
      </c>
      <c r="FL10" s="240" t="s">
        <v>231</v>
      </c>
      <c r="FM10" s="240" t="s">
        <v>231</v>
      </c>
      <c r="FN10" s="240" t="s">
        <v>231</v>
      </c>
      <c r="FO10" s="240" t="s">
        <v>231</v>
      </c>
      <c r="FP10" s="240" t="s">
        <v>231</v>
      </c>
      <c r="FQ10" s="240" t="s">
        <v>231</v>
      </c>
      <c r="FR10" s="240" t="s">
        <v>231</v>
      </c>
      <c r="FS10" s="240" t="s">
        <v>231</v>
      </c>
      <c r="FT10" s="240" t="s">
        <v>231</v>
      </c>
      <c r="FU10" s="240" t="s">
        <v>231</v>
      </c>
      <c r="FV10" s="240" t="s">
        <v>231</v>
      </c>
      <c r="FW10" s="240" t="s">
        <v>231</v>
      </c>
      <c r="FX10" s="240" t="s">
        <v>231</v>
      </c>
      <c r="FY10" s="240" t="s">
        <v>231</v>
      </c>
      <c r="FZ10" s="240" t="s">
        <v>1107</v>
      </c>
      <c r="GA10" s="240" t="s">
        <v>1107</v>
      </c>
      <c r="GB10" s="240" t="s">
        <v>1107</v>
      </c>
      <c r="GC10" s="240" t="s">
        <v>231</v>
      </c>
      <c r="GD10" s="240" t="s">
        <v>1107</v>
      </c>
      <c r="GE10" s="240" t="s">
        <v>1107</v>
      </c>
      <c r="GF10" s="240" t="s">
        <v>1107</v>
      </c>
      <c r="GG10" s="240" t="s">
        <v>1107</v>
      </c>
      <c r="GH10" s="240" t="s">
        <v>1107</v>
      </c>
      <c r="GI10" s="240" t="s">
        <v>1107</v>
      </c>
      <c r="GJ10" s="240" t="s">
        <v>1107</v>
      </c>
      <c r="GK10" s="240" t="s">
        <v>1107</v>
      </c>
      <c r="GL10" s="240" t="s">
        <v>1107</v>
      </c>
      <c r="GM10" s="240" t="s">
        <v>1107</v>
      </c>
      <c r="GN10" s="240" t="s">
        <v>1107</v>
      </c>
      <c r="GO10" s="240" t="s">
        <v>1107</v>
      </c>
      <c r="GP10" s="240" t="s">
        <v>1107</v>
      </c>
      <c r="GQ10" s="240" t="s">
        <v>1107</v>
      </c>
      <c r="GR10" s="240" t="s">
        <v>1107</v>
      </c>
      <c r="GS10" s="240" t="s">
        <v>1107</v>
      </c>
      <c r="GT10" s="240" t="s">
        <v>1107</v>
      </c>
      <c r="GU10" s="240" t="s">
        <v>1107</v>
      </c>
      <c r="GV10" s="240" t="s">
        <v>231</v>
      </c>
      <c r="GW10" s="240" t="s">
        <v>1107</v>
      </c>
      <c r="GX10" s="240" t="s">
        <v>1107</v>
      </c>
      <c r="GY10" s="240" t="s">
        <v>1107</v>
      </c>
      <c r="GZ10" s="240" t="s">
        <v>1107</v>
      </c>
      <c r="HA10" s="240" t="s">
        <v>1107</v>
      </c>
      <c r="HB10" s="240" t="s">
        <v>1107</v>
      </c>
      <c r="HC10" s="240" t="s">
        <v>1107</v>
      </c>
      <c r="HD10" s="240" t="s">
        <v>1107</v>
      </c>
      <c r="HE10" s="240" t="s">
        <v>1107</v>
      </c>
      <c r="HF10" s="240" t="s">
        <v>1107</v>
      </c>
      <c r="HG10" s="240" t="s">
        <v>1107</v>
      </c>
      <c r="HH10" s="240" t="s">
        <v>1107</v>
      </c>
      <c r="HI10" s="240" t="s">
        <v>1107</v>
      </c>
      <c r="HJ10" s="240" t="s">
        <v>1107</v>
      </c>
      <c r="HK10" s="240" t="s">
        <v>1107</v>
      </c>
      <c r="HL10" s="240" t="s">
        <v>1107</v>
      </c>
      <c r="HM10" s="240" t="s">
        <v>1107</v>
      </c>
      <c r="HN10" s="240" t="s">
        <v>1107</v>
      </c>
      <c r="HO10" s="240" t="s">
        <v>1107</v>
      </c>
      <c r="HP10" s="240" t="s">
        <v>1107</v>
      </c>
      <c r="HQ10" s="240" t="s">
        <v>1107</v>
      </c>
      <c r="HR10" s="240" t="s">
        <v>1107</v>
      </c>
      <c r="HS10" s="240" t="s">
        <v>1107</v>
      </c>
      <c r="HT10" s="240" t="s">
        <v>231</v>
      </c>
      <c r="HU10" s="240" t="s">
        <v>231</v>
      </c>
      <c r="HV10" s="240" t="s">
        <v>231</v>
      </c>
      <c r="HW10" s="240" t="s">
        <v>231</v>
      </c>
      <c r="HX10" s="240" t="s">
        <v>220</v>
      </c>
      <c r="HY10" s="240" t="s">
        <v>493</v>
      </c>
      <c r="HZ10" s="240" t="s">
        <v>219</v>
      </c>
      <c r="IA10" s="240" t="s">
        <v>490</v>
      </c>
      <c r="IB10" s="240" t="s">
        <v>231</v>
      </c>
      <c r="IC10" s="240" t="s">
        <v>1107</v>
      </c>
    </row>
    <row r="11" spans="1:237" ht="15" x14ac:dyDescent="0.25">
      <c r="A11" s="243" t="str">
        <f>HYPERLINK("http://www.ofsted.gov.uk/inspection-reports/find-inspection-report/provider/ELS/131018 ","Ofsted School Webpage")</f>
        <v>Ofsted School Webpage</v>
      </c>
      <c r="B11" s="237">
        <v>131018</v>
      </c>
      <c r="C11" s="237">
        <v>8576004</v>
      </c>
      <c r="D11" s="237" t="s">
        <v>1120</v>
      </c>
      <c r="E11" s="237" t="s">
        <v>248</v>
      </c>
      <c r="F11" s="237" t="s">
        <v>572</v>
      </c>
      <c r="G11" s="237" t="s">
        <v>572</v>
      </c>
      <c r="H11" s="237" t="s">
        <v>1112</v>
      </c>
      <c r="I11" s="237" t="s">
        <v>1121</v>
      </c>
      <c r="J11" s="237" t="s">
        <v>93</v>
      </c>
      <c r="K11" s="237" t="s">
        <v>93</v>
      </c>
      <c r="L11" s="237" t="s">
        <v>93</v>
      </c>
      <c r="M11" s="237" t="s">
        <v>90</v>
      </c>
      <c r="N11" s="237" t="s">
        <v>486</v>
      </c>
      <c r="O11" s="237" t="s">
        <v>487</v>
      </c>
      <c r="P11" s="237">
        <v>10070479</v>
      </c>
      <c r="Q11" s="239">
        <v>43354</v>
      </c>
      <c r="R11" s="239">
        <v>43354</v>
      </c>
      <c r="S11" s="239">
        <v>43378</v>
      </c>
      <c r="T11" s="237" t="s">
        <v>1109</v>
      </c>
      <c r="U11" s="237" t="s">
        <v>1105</v>
      </c>
      <c r="V11" s="237" t="s">
        <v>490</v>
      </c>
      <c r="W11" s="237" t="s">
        <v>486</v>
      </c>
      <c r="X11" s="237" t="s">
        <v>486</v>
      </c>
      <c r="Y11" s="237" t="s">
        <v>486</v>
      </c>
      <c r="Z11" s="237" t="s">
        <v>486</v>
      </c>
      <c r="AA11" s="237" t="s">
        <v>486</v>
      </c>
      <c r="AB11" s="237" t="s">
        <v>486</v>
      </c>
      <c r="AC11" s="237" t="s">
        <v>486</v>
      </c>
      <c r="AD11" s="237" t="s">
        <v>1110</v>
      </c>
      <c r="AE11" s="237" t="s">
        <v>1107</v>
      </c>
      <c r="AF11" s="237" t="s">
        <v>1107</v>
      </c>
      <c r="AG11" s="237" t="s">
        <v>1107</v>
      </c>
      <c r="AH11" s="237" t="s">
        <v>1107</v>
      </c>
      <c r="AI11" s="237" t="s">
        <v>1107</v>
      </c>
      <c r="AJ11" s="237" t="s">
        <v>1107</v>
      </c>
      <c r="AK11" s="237" t="s">
        <v>1107</v>
      </c>
      <c r="AL11" s="237" t="s">
        <v>1107</v>
      </c>
      <c r="AM11" s="237" t="s">
        <v>1107</v>
      </c>
      <c r="AN11" s="237" t="s">
        <v>1107</v>
      </c>
      <c r="AO11" s="237" t="s">
        <v>1107</v>
      </c>
      <c r="AP11" s="237" t="s">
        <v>1107</v>
      </c>
      <c r="AQ11" s="237" t="s">
        <v>1107</v>
      </c>
      <c r="AR11" s="237" t="s">
        <v>1107</v>
      </c>
      <c r="AS11" s="237" t="s">
        <v>1107</v>
      </c>
      <c r="AT11" s="237" t="s">
        <v>1107</v>
      </c>
      <c r="AU11" s="237" t="s">
        <v>1107</v>
      </c>
      <c r="AV11" s="237" t="s">
        <v>1107</v>
      </c>
      <c r="AW11" s="237" t="s">
        <v>1107</v>
      </c>
      <c r="AX11" s="237" t="s">
        <v>1107</v>
      </c>
      <c r="AY11" s="237" t="s">
        <v>1107</v>
      </c>
      <c r="AZ11" s="237" t="s">
        <v>1107</v>
      </c>
      <c r="BA11" s="237" t="s">
        <v>1107</v>
      </c>
      <c r="BB11" s="237" t="s">
        <v>1107</v>
      </c>
      <c r="BC11" s="237" t="s">
        <v>1107</v>
      </c>
      <c r="BD11" s="237" t="s">
        <v>1107</v>
      </c>
      <c r="BE11" s="237" t="s">
        <v>1107</v>
      </c>
      <c r="BF11" s="237" t="s">
        <v>1107</v>
      </c>
      <c r="BG11" s="237" t="s">
        <v>1107</v>
      </c>
      <c r="BH11" s="237" t="s">
        <v>1107</v>
      </c>
      <c r="BI11" s="237" t="s">
        <v>1107</v>
      </c>
      <c r="BJ11" s="237" t="s">
        <v>1107</v>
      </c>
      <c r="BK11" s="237" t="s">
        <v>1107</v>
      </c>
      <c r="BL11" s="237" t="s">
        <v>1107</v>
      </c>
      <c r="BM11" s="237" t="s">
        <v>1107</v>
      </c>
      <c r="BN11" s="237" t="s">
        <v>1107</v>
      </c>
      <c r="BO11" s="237" t="s">
        <v>1107</v>
      </c>
      <c r="BP11" s="237" t="s">
        <v>1107</v>
      </c>
      <c r="BQ11" s="237" t="s">
        <v>1107</v>
      </c>
      <c r="BR11" s="237" t="s">
        <v>1107</v>
      </c>
      <c r="BS11" s="237" t="s">
        <v>1107</v>
      </c>
      <c r="BT11" s="237" t="s">
        <v>1107</v>
      </c>
      <c r="BU11" s="237" t="s">
        <v>1107</v>
      </c>
      <c r="BV11" s="237" t="s">
        <v>1107</v>
      </c>
      <c r="BW11" s="237" t="s">
        <v>1107</v>
      </c>
      <c r="BX11" s="237" t="s">
        <v>1107</v>
      </c>
      <c r="BY11" s="237" t="s">
        <v>1107</v>
      </c>
      <c r="BZ11" s="237" t="s">
        <v>231</v>
      </c>
      <c r="CA11" s="237" t="s">
        <v>231</v>
      </c>
      <c r="CB11" s="237" t="s">
        <v>231</v>
      </c>
      <c r="CC11" s="237" t="s">
        <v>1107</v>
      </c>
      <c r="CD11" s="237" t="s">
        <v>1107</v>
      </c>
      <c r="CE11" s="237" t="s">
        <v>1107</v>
      </c>
      <c r="CF11" s="237" t="s">
        <v>1107</v>
      </c>
      <c r="CG11" s="237" t="s">
        <v>1107</v>
      </c>
      <c r="CH11" s="237" t="s">
        <v>1107</v>
      </c>
      <c r="CI11" s="237" t="s">
        <v>1107</v>
      </c>
      <c r="CJ11" s="237" t="s">
        <v>1107</v>
      </c>
      <c r="CK11" s="237" t="s">
        <v>1107</v>
      </c>
      <c r="CL11" s="237" t="s">
        <v>1107</v>
      </c>
      <c r="CM11" s="237" t="s">
        <v>1107</v>
      </c>
      <c r="CN11" s="237" t="s">
        <v>1107</v>
      </c>
      <c r="CO11" s="237" t="s">
        <v>1107</v>
      </c>
      <c r="CP11" s="237" t="s">
        <v>231</v>
      </c>
      <c r="CQ11" s="237" t="s">
        <v>231</v>
      </c>
      <c r="CR11" s="237" t="s">
        <v>231</v>
      </c>
      <c r="CS11" s="237" t="s">
        <v>1107</v>
      </c>
      <c r="CT11" s="237" t="s">
        <v>1107</v>
      </c>
      <c r="CU11" s="237" t="s">
        <v>1107</v>
      </c>
      <c r="CV11" s="237" t="s">
        <v>1107</v>
      </c>
      <c r="CW11" s="237" t="s">
        <v>1107</v>
      </c>
      <c r="CX11" s="237" t="s">
        <v>1107</v>
      </c>
      <c r="CY11" s="237" t="s">
        <v>1107</v>
      </c>
      <c r="CZ11" s="237" t="s">
        <v>1107</v>
      </c>
      <c r="DA11" s="237" t="s">
        <v>1107</v>
      </c>
      <c r="DB11" s="237" t="s">
        <v>1107</v>
      </c>
      <c r="DC11" s="237" t="s">
        <v>1107</v>
      </c>
      <c r="DD11" s="237" t="s">
        <v>1107</v>
      </c>
      <c r="DE11" s="237" t="s">
        <v>1107</v>
      </c>
      <c r="DF11" s="237" t="s">
        <v>1107</v>
      </c>
      <c r="DG11" s="237" t="s">
        <v>1107</v>
      </c>
      <c r="DH11" s="237" t="s">
        <v>1107</v>
      </c>
      <c r="DI11" s="237" t="s">
        <v>1107</v>
      </c>
      <c r="DJ11" s="237" t="s">
        <v>1107</v>
      </c>
      <c r="DK11" s="237" t="s">
        <v>1107</v>
      </c>
      <c r="DL11" s="237" t="s">
        <v>1107</v>
      </c>
      <c r="DM11" s="237" t="s">
        <v>1107</v>
      </c>
      <c r="DN11" s="237" t="s">
        <v>1107</v>
      </c>
      <c r="DO11" s="237" t="s">
        <v>1107</v>
      </c>
      <c r="DP11" s="237" t="s">
        <v>1107</v>
      </c>
      <c r="DQ11" s="237" t="s">
        <v>1107</v>
      </c>
      <c r="DR11" s="237" t="s">
        <v>1107</v>
      </c>
      <c r="DS11" s="237" t="s">
        <v>1107</v>
      </c>
      <c r="DT11" s="237" t="s">
        <v>1107</v>
      </c>
      <c r="DU11" s="237" t="s">
        <v>1107</v>
      </c>
      <c r="DV11" s="237" t="s">
        <v>1107</v>
      </c>
      <c r="DW11" s="237" t="s">
        <v>1107</v>
      </c>
      <c r="DX11" s="237" t="s">
        <v>1107</v>
      </c>
      <c r="DY11" s="237" t="s">
        <v>1107</v>
      </c>
      <c r="DZ11" s="237" t="s">
        <v>1107</v>
      </c>
      <c r="EA11" s="237" t="s">
        <v>1107</v>
      </c>
      <c r="EB11" s="237" t="s">
        <v>1107</v>
      </c>
      <c r="EC11" s="237" t="s">
        <v>1107</v>
      </c>
      <c r="ED11" s="237" t="s">
        <v>1107</v>
      </c>
      <c r="EE11" s="237" t="s">
        <v>1107</v>
      </c>
      <c r="EF11" s="237" t="s">
        <v>1107</v>
      </c>
      <c r="EG11" s="237" t="s">
        <v>1107</v>
      </c>
      <c r="EH11" s="237" t="s">
        <v>1107</v>
      </c>
      <c r="EI11" s="237" t="s">
        <v>1107</v>
      </c>
      <c r="EJ11" s="237" t="s">
        <v>1107</v>
      </c>
      <c r="EK11" s="237" t="s">
        <v>1107</v>
      </c>
      <c r="EL11" s="237" t="s">
        <v>1107</v>
      </c>
      <c r="EM11" s="237" t="s">
        <v>1107</v>
      </c>
      <c r="EN11" s="237" t="s">
        <v>1107</v>
      </c>
      <c r="EO11" s="237" t="s">
        <v>1107</v>
      </c>
      <c r="EP11" s="237" t="s">
        <v>1107</v>
      </c>
      <c r="EQ11" s="237" t="s">
        <v>1107</v>
      </c>
      <c r="ER11" s="237" t="s">
        <v>1107</v>
      </c>
      <c r="ES11" s="237" t="s">
        <v>1107</v>
      </c>
      <c r="ET11" s="237" t="s">
        <v>1107</v>
      </c>
      <c r="EU11" s="237" t="s">
        <v>1107</v>
      </c>
      <c r="EV11" s="237" t="s">
        <v>1107</v>
      </c>
      <c r="EW11" s="237" t="s">
        <v>1107</v>
      </c>
      <c r="EX11" s="237" t="s">
        <v>1107</v>
      </c>
      <c r="EY11" s="237" t="s">
        <v>1107</v>
      </c>
      <c r="EZ11" s="237" t="s">
        <v>1107</v>
      </c>
      <c r="FA11" s="237" t="s">
        <v>1107</v>
      </c>
      <c r="FB11" s="237" t="s">
        <v>1107</v>
      </c>
      <c r="FC11" s="237" t="s">
        <v>1107</v>
      </c>
      <c r="FD11" s="237" t="s">
        <v>1107</v>
      </c>
      <c r="FE11" s="237" t="s">
        <v>1107</v>
      </c>
      <c r="FF11" s="237" t="s">
        <v>1107</v>
      </c>
      <c r="FG11" s="237" t="s">
        <v>1107</v>
      </c>
      <c r="FH11" s="237" t="s">
        <v>1107</v>
      </c>
      <c r="FI11" s="237" t="s">
        <v>1107</v>
      </c>
      <c r="FJ11" s="237" t="s">
        <v>1107</v>
      </c>
      <c r="FK11" s="237" t="s">
        <v>1107</v>
      </c>
      <c r="FL11" s="237" t="s">
        <v>1107</v>
      </c>
      <c r="FM11" s="237" t="s">
        <v>1107</v>
      </c>
      <c r="FN11" s="237" t="s">
        <v>1107</v>
      </c>
      <c r="FO11" s="237" t="s">
        <v>1107</v>
      </c>
      <c r="FP11" s="237" t="s">
        <v>1107</v>
      </c>
      <c r="FQ11" s="237" t="s">
        <v>1107</v>
      </c>
      <c r="FR11" s="237" t="s">
        <v>1107</v>
      </c>
      <c r="FS11" s="237" t="s">
        <v>1107</v>
      </c>
      <c r="FT11" s="237" t="s">
        <v>1107</v>
      </c>
      <c r="FU11" s="237" t="s">
        <v>1107</v>
      </c>
      <c r="FV11" s="237" t="s">
        <v>1107</v>
      </c>
      <c r="FW11" s="237" t="s">
        <v>1107</v>
      </c>
      <c r="FX11" s="237" t="s">
        <v>1107</v>
      </c>
      <c r="FY11" s="237" t="s">
        <v>1107</v>
      </c>
      <c r="FZ11" s="237" t="s">
        <v>231</v>
      </c>
      <c r="GA11" s="237" t="s">
        <v>1107</v>
      </c>
      <c r="GB11" s="237" t="s">
        <v>231</v>
      </c>
      <c r="GC11" s="237" t="s">
        <v>231</v>
      </c>
      <c r="GD11" s="237" t="s">
        <v>1107</v>
      </c>
      <c r="GE11" s="237" t="s">
        <v>1107</v>
      </c>
      <c r="GF11" s="237" t="s">
        <v>1107</v>
      </c>
      <c r="GG11" s="237" t="s">
        <v>1107</v>
      </c>
      <c r="GH11" s="237" t="s">
        <v>1107</v>
      </c>
      <c r="GI11" s="237" t="s">
        <v>1107</v>
      </c>
      <c r="GJ11" s="237" t="s">
        <v>1107</v>
      </c>
      <c r="GK11" s="237" t="s">
        <v>1107</v>
      </c>
      <c r="GL11" s="237" t="s">
        <v>1107</v>
      </c>
      <c r="GM11" s="237" t="s">
        <v>1107</v>
      </c>
      <c r="GN11" s="237" t="s">
        <v>1107</v>
      </c>
      <c r="GO11" s="237" t="s">
        <v>1107</v>
      </c>
      <c r="GP11" s="237" t="s">
        <v>1107</v>
      </c>
      <c r="GQ11" s="237" t="s">
        <v>1107</v>
      </c>
      <c r="GR11" s="237" t="s">
        <v>231</v>
      </c>
      <c r="GS11" s="237" t="s">
        <v>1107</v>
      </c>
      <c r="GT11" s="237" t="s">
        <v>1107</v>
      </c>
      <c r="GU11" s="237" t="s">
        <v>1107</v>
      </c>
      <c r="GV11" s="237" t="s">
        <v>1107</v>
      </c>
      <c r="GW11" s="237" t="s">
        <v>1107</v>
      </c>
      <c r="GX11" s="237" t="s">
        <v>231</v>
      </c>
      <c r="GY11" s="237" t="s">
        <v>1107</v>
      </c>
      <c r="GZ11" s="237" t="s">
        <v>1107</v>
      </c>
      <c r="HA11" s="237" t="s">
        <v>1107</v>
      </c>
      <c r="HB11" s="237" t="s">
        <v>1107</v>
      </c>
      <c r="HC11" s="237" t="s">
        <v>1107</v>
      </c>
      <c r="HD11" s="237" t="s">
        <v>231</v>
      </c>
      <c r="HE11" s="237" t="s">
        <v>1107</v>
      </c>
      <c r="HF11" s="237" t="s">
        <v>1107</v>
      </c>
      <c r="HG11" s="237" t="s">
        <v>1107</v>
      </c>
      <c r="HH11" s="237" t="s">
        <v>1107</v>
      </c>
      <c r="HI11" s="237" t="s">
        <v>1107</v>
      </c>
      <c r="HJ11" s="237" t="s">
        <v>1107</v>
      </c>
      <c r="HK11" s="237" t="s">
        <v>1107</v>
      </c>
      <c r="HL11" s="237" t="s">
        <v>1107</v>
      </c>
      <c r="HM11" s="237" t="s">
        <v>1107</v>
      </c>
      <c r="HN11" s="237" t="s">
        <v>1107</v>
      </c>
      <c r="HO11" s="237" t="s">
        <v>1107</v>
      </c>
      <c r="HP11" s="237" t="s">
        <v>231</v>
      </c>
      <c r="HQ11" s="237" t="s">
        <v>1107</v>
      </c>
      <c r="HR11" s="237" t="s">
        <v>231</v>
      </c>
      <c r="HS11" s="237" t="s">
        <v>1107</v>
      </c>
      <c r="HT11" s="237" t="s">
        <v>231</v>
      </c>
      <c r="HU11" s="237" t="s">
        <v>231</v>
      </c>
      <c r="HV11" s="237" t="s">
        <v>231</v>
      </c>
      <c r="HW11" s="237" t="s">
        <v>231</v>
      </c>
      <c r="HX11" s="237" t="s">
        <v>220</v>
      </c>
      <c r="HY11" s="237" t="s">
        <v>493</v>
      </c>
      <c r="HZ11" s="237" t="s">
        <v>219</v>
      </c>
      <c r="IA11" s="237" t="s">
        <v>490</v>
      </c>
      <c r="IB11" s="237" t="s">
        <v>1107</v>
      </c>
      <c r="IC11" s="237" t="s">
        <v>1107</v>
      </c>
    </row>
    <row r="12" spans="1:237" ht="15" x14ac:dyDescent="0.25">
      <c r="A12" s="244" t="str">
        <f>HYPERLINK("http://www.ofsted.gov.uk/inspection-reports/find-inspection-report/provider/ELS/143840 ","Ofsted School Webpage")</f>
        <v>Ofsted School Webpage</v>
      </c>
      <c r="B12" s="240">
        <v>143840</v>
      </c>
      <c r="C12" s="240">
        <v>2046017</v>
      </c>
      <c r="D12" s="240" t="s">
        <v>1122</v>
      </c>
      <c r="E12" s="240" t="s">
        <v>247</v>
      </c>
      <c r="F12" s="240" t="s">
        <v>506</v>
      </c>
      <c r="G12" s="240" t="s">
        <v>506</v>
      </c>
      <c r="H12" s="240" t="s">
        <v>617</v>
      </c>
      <c r="I12" s="240" t="s">
        <v>1123</v>
      </c>
      <c r="J12" s="240" t="s">
        <v>93</v>
      </c>
      <c r="K12" s="240" t="s">
        <v>93</v>
      </c>
      <c r="L12" s="240" t="s">
        <v>93</v>
      </c>
      <c r="M12" s="240" t="s">
        <v>90</v>
      </c>
      <c r="N12" s="240" t="s">
        <v>486</v>
      </c>
      <c r="O12" s="240" t="s">
        <v>487</v>
      </c>
      <c r="P12" s="240">
        <v>10077581</v>
      </c>
      <c r="Q12" s="242">
        <v>43354</v>
      </c>
      <c r="R12" s="242">
        <v>43354</v>
      </c>
      <c r="S12" s="242">
        <v>43406</v>
      </c>
      <c r="T12" s="240" t="s">
        <v>1124</v>
      </c>
      <c r="U12" s="240" t="s">
        <v>1105</v>
      </c>
      <c r="V12" s="240" t="s">
        <v>490</v>
      </c>
      <c r="W12" s="240" t="s">
        <v>486</v>
      </c>
      <c r="X12" s="240" t="s">
        <v>486</v>
      </c>
      <c r="Y12" s="240" t="s">
        <v>486</v>
      </c>
      <c r="Z12" s="240" t="s">
        <v>486</v>
      </c>
      <c r="AA12" s="240" t="s">
        <v>486</v>
      </c>
      <c r="AB12" s="240" t="s">
        <v>486</v>
      </c>
      <c r="AC12" s="240" t="s">
        <v>486</v>
      </c>
      <c r="AD12" s="240" t="s">
        <v>1125</v>
      </c>
      <c r="AE12" s="240" t="s">
        <v>486</v>
      </c>
      <c r="AF12" s="240" t="s">
        <v>486</v>
      </c>
      <c r="AG12" s="240" t="s">
        <v>486</v>
      </c>
      <c r="AH12" s="240" t="s">
        <v>486</v>
      </c>
      <c r="AI12" s="240" t="s">
        <v>486</v>
      </c>
      <c r="AJ12" s="240" t="s">
        <v>486</v>
      </c>
      <c r="AK12" s="240" t="s">
        <v>486</v>
      </c>
      <c r="AL12" s="240" t="s">
        <v>486</v>
      </c>
      <c r="AM12" s="240" t="s">
        <v>486</v>
      </c>
      <c r="AN12" s="240" t="s">
        <v>486</v>
      </c>
      <c r="AO12" s="240" t="s">
        <v>486</v>
      </c>
      <c r="AP12" s="240" t="s">
        <v>486</v>
      </c>
      <c r="AQ12" s="240" t="s">
        <v>486</v>
      </c>
      <c r="AR12" s="240" t="s">
        <v>486</v>
      </c>
      <c r="AS12" s="240" t="s">
        <v>486</v>
      </c>
      <c r="AT12" s="240" t="s">
        <v>486</v>
      </c>
      <c r="AU12" s="240" t="s">
        <v>486</v>
      </c>
      <c r="AV12" s="240" t="s">
        <v>486</v>
      </c>
      <c r="AW12" s="240" t="s">
        <v>486</v>
      </c>
      <c r="AX12" s="240" t="s">
        <v>486</v>
      </c>
      <c r="AY12" s="240" t="s">
        <v>486</v>
      </c>
      <c r="AZ12" s="240" t="s">
        <v>486</v>
      </c>
      <c r="BA12" s="240" t="s">
        <v>486</v>
      </c>
      <c r="BB12" s="240" t="s">
        <v>486</v>
      </c>
      <c r="BC12" s="240" t="s">
        <v>486</v>
      </c>
      <c r="BD12" s="240" t="s">
        <v>486</v>
      </c>
      <c r="BE12" s="240" t="s">
        <v>486</v>
      </c>
      <c r="BF12" s="240" t="s">
        <v>486</v>
      </c>
      <c r="BG12" s="240" t="s">
        <v>486</v>
      </c>
      <c r="BH12" s="240" t="s">
        <v>486</v>
      </c>
      <c r="BI12" s="240" t="s">
        <v>486</v>
      </c>
      <c r="BJ12" s="240" t="s">
        <v>486</v>
      </c>
      <c r="BK12" s="240" t="s">
        <v>486</v>
      </c>
      <c r="BL12" s="240" t="s">
        <v>486</v>
      </c>
      <c r="BM12" s="240" t="s">
        <v>486</v>
      </c>
      <c r="BN12" s="240" t="s">
        <v>486</v>
      </c>
      <c r="BO12" s="240" t="s">
        <v>486</v>
      </c>
      <c r="BP12" s="240" t="s">
        <v>486</v>
      </c>
      <c r="BQ12" s="240" t="s">
        <v>486</v>
      </c>
      <c r="BR12" s="240" t="s">
        <v>486</v>
      </c>
      <c r="BS12" s="240" t="s">
        <v>486</v>
      </c>
      <c r="BT12" s="240" t="s">
        <v>486</v>
      </c>
      <c r="BU12" s="240" t="s">
        <v>486</v>
      </c>
      <c r="BV12" s="240" t="s">
        <v>486</v>
      </c>
      <c r="BW12" s="240" t="s">
        <v>486</v>
      </c>
      <c r="BX12" s="240" t="s">
        <v>486</v>
      </c>
      <c r="BY12" s="240" t="s">
        <v>486</v>
      </c>
      <c r="BZ12" s="240" t="s">
        <v>486</v>
      </c>
      <c r="CA12" s="240" t="s">
        <v>486</v>
      </c>
      <c r="CB12" s="240" t="s">
        <v>486</v>
      </c>
      <c r="CC12" s="240" t="s">
        <v>486</v>
      </c>
      <c r="CD12" s="240" t="s">
        <v>486</v>
      </c>
      <c r="CE12" s="240" t="s">
        <v>486</v>
      </c>
      <c r="CF12" s="240" t="s">
        <v>486</v>
      </c>
      <c r="CG12" s="240" t="s">
        <v>486</v>
      </c>
      <c r="CH12" s="240" t="s">
        <v>486</v>
      </c>
      <c r="CI12" s="240" t="s">
        <v>486</v>
      </c>
      <c r="CJ12" s="240" t="s">
        <v>486</v>
      </c>
      <c r="CK12" s="240" t="s">
        <v>486</v>
      </c>
      <c r="CL12" s="240" t="s">
        <v>486</v>
      </c>
      <c r="CM12" s="240" t="s">
        <v>486</v>
      </c>
      <c r="CN12" s="240" t="s">
        <v>486</v>
      </c>
      <c r="CO12" s="240" t="s">
        <v>486</v>
      </c>
      <c r="CP12" s="240" t="s">
        <v>486</v>
      </c>
      <c r="CQ12" s="240" t="s">
        <v>486</v>
      </c>
      <c r="CR12" s="240" t="s">
        <v>486</v>
      </c>
      <c r="CS12" s="240" t="s">
        <v>486</v>
      </c>
      <c r="CT12" s="240" t="s">
        <v>486</v>
      </c>
      <c r="CU12" s="240" t="s">
        <v>486</v>
      </c>
      <c r="CV12" s="240" t="s">
        <v>486</v>
      </c>
      <c r="CW12" s="240" t="s">
        <v>486</v>
      </c>
      <c r="CX12" s="240" t="s">
        <v>486</v>
      </c>
      <c r="CY12" s="240" t="s">
        <v>486</v>
      </c>
      <c r="CZ12" s="240" t="s">
        <v>486</v>
      </c>
      <c r="DA12" s="240" t="s">
        <v>486</v>
      </c>
      <c r="DB12" s="240" t="s">
        <v>486</v>
      </c>
      <c r="DC12" s="240" t="s">
        <v>486</v>
      </c>
      <c r="DD12" s="240" t="s">
        <v>486</v>
      </c>
      <c r="DE12" s="240" t="s">
        <v>486</v>
      </c>
      <c r="DF12" s="240" t="s">
        <v>486</v>
      </c>
      <c r="DG12" s="240" t="s">
        <v>486</v>
      </c>
      <c r="DH12" s="240" t="s">
        <v>486</v>
      </c>
      <c r="DI12" s="240" t="s">
        <v>486</v>
      </c>
      <c r="DJ12" s="240" t="s">
        <v>486</v>
      </c>
      <c r="DK12" s="240" t="s">
        <v>486</v>
      </c>
      <c r="DL12" s="240" t="s">
        <v>486</v>
      </c>
      <c r="DM12" s="240" t="s">
        <v>486</v>
      </c>
      <c r="DN12" s="240" t="s">
        <v>486</v>
      </c>
      <c r="DO12" s="240" t="s">
        <v>486</v>
      </c>
      <c r="DP12" s="240" t="s">
        <v>486</v>
      </c>
      <c r="DQ12" s="240" t="s">
        <v>486</v>
      </c>
      <c r="DR12" s="240" t="s">
        <v>486</v>
      </c>
      <c r="DS12" s="240" t="s">
        <v>486</v>
      </c>
      <c r="DT12" s="240" t="s">
        <v>486</v>
      </c>
      <c r="DU12" s="240" t="s">
        <v>486</v>
      </c>
      <c r="DV12" s="240" t="s">
        <v>486</v>
      </c>
      <c r="DW12" s="240" t="s">
        <v>486</v>
      </c>
      <c r="DX12" s="240" t="s">
        <v>486</v>
      </c>
      <c r="DY12" s="240" t="s">
        <v>486</v>
      </c>
      <c r="DZ12" s="240" t="s">
        <v>486</v>
      </c>
      <c r="EA12" s="240" t="s">
        <v>486</v>
      </c>
      <c r="EB12" s="240" t="s">
        <v>486</v>
      </c>
      <c r="EC12" s="240" t="s">
        <v>486</v>
      </c>
      <c r="ED12" s="240" t="s">
        <v>486</v>
      </c>
      <c r="EE12" s="240" t="s">
        <v>486</v>
      </c>
      <c r="EF12" s="240" t="s">
        <v>486</v>
      </c>
      <c r="EG12" s="240" t="s">
        <v>486</v>
      </c>
      <c r="EH12" s="240" t="s">
        <v>486</v>
      </c>
      <c r="EI12" s="240" t="s">
        <v>486</v>
      </c>
      <c r="EJ12" s="240" t="s">
        <v>486</v>
      </c>
      <c r="EK12" s="240" t="s">
        <v>486</v>
      </c>
      <c r="EL12" s="240" t="s">
        <v>486</v>
      </c>
      <c r="EM12" s="240" t="s">
        <v>486</v>
      </c>
      <c r="EN12" s="240" t="s">
        <v>486</v>
      </c>
      <c r="EO12" s="240" t="s">
        <v>486</v>
      </c>
      <c r="EP12" s="240" t="s">
        <v>486</v>
      </c>
      <c r="EQ12" s="240" t="s">
        <v>486</v>
      </c>
      <c r="ER12" s="240" t="s">
        <v>486</v>
      </c>
      <c r="ES12" s="240" t="s">
        <v>486</v>
      </c>
      <c r="ET12" s="240" t="s">
        <v>486</v>
      </c>
      <c r="EU12" s="240" t="s">
        <v>486</v>
      </c>
      <c r="EV12" s="240" t="s">
        <v>486</v>
      </c>
      <c r="EW12" s="240" t="s">
        <v>486</v>
      </c>
      <c r="EX12" s="240" t="s">
        <v>486</v>
      </c>
      <c r="EY12" s="240" t="s">
        <v>486</v>
      </c>
      <c r="EZ12" s="240" t="s">
        <v>486</v>
      </c>
      <c r="FA12" s="240" t="s">
        <v>486</v>
      </c>
      <c r="FB12" s="240" t="s">
        <v>486</v>
      </c>
      <c r="FC12" s="240" t="s">
        <v>486</v>
      </c>
      <c r="FD12" s="240" t="s">
        <v>486</v>
      </c>
      <c r="FE12" s="240" t="s">
        <v>486</v>
      </c>
      <c r="FF12" s="240" t="s">
        <v>486</v>
      </c>
      <c r="FG12" s="240" t="s">
        <v>486</v>
      </c>
      <c r="FH12" s="240" t="s">
        <v>486</v>
      </c>
      <c r="FI12" s="240" t="s">
        <v>486</v>
      </c>
      <c r="FJ12" s="240" t="s">
        <v>486</v>
      </c>
      <c r="FK12" s="240" t="s">
        <v>486</v>
      </c>
      <c r="FL12" s="240" t="s">
        <v>486</v>
      </c>
      <c r="FM12" s="240" t="s">
        <v>486</v>
      </c>
      <c r="FN12" s="240" t="s">
        <v>486</v>
      </c>
      <c r="FO12" s="240" t="s">
        <v>486</v>
      </c>
      <c r="FP12" s="240" t="s">
        <v>486</v>
      </c>
      <c r="FQ12" s="240" t="s">
        <v>486</v>
      </c>
      <c r="FR12" s="240" t="s">
        <v>486</v>
      </c>
      <c r="FS12" s="240" t="s">
        <v>486</v>
      </c>
      <c r="FT12" s="240" t="s">
        <v>486</v>
      </c>
      <c r="FU12" s="240" t="s">
        <v>486</v>
      </c>
      <c r="FV12" s="240" t="s">
        <v>486</v>
      </c>
      <c r="FW12" s="240" t="s">
        <v>486</v>
      </c>
      <c r="FX12" s="240" t="s">
        <v>486</v>
      </c>
      <c r="FY12" s="240" t="s">
        <v>486</v>
      </c>
      <c r="FZ12" s="240" t="s">
        <v>486</v>
      </c>
      <c r="GA12" s="240" t="s">
        <v>486</v>
      </c>
      <c r="GB12" s="240" t="s">
        <v>486</v>
      </c>
      <c r="GC12" s="240" t="s">
        <v>486</v>
      </c>
      <c r="GD12" s="240" t="s">
        <v>486</v>
      </c>
      <c r="GE12" s="240" t="s">
        <v>486</v>
      </c>
      <c r="GF12" s="240" t="s">
        <v>486</v>
      </c>
      <c r="GG12" s="240" t="s">
        <v>486</v>
      </c>
      <c r="GH12" s="240" t="s">
        <v>486</v>
      </c>
      <c r="GI12" s="240" t="s">
        <v>486</v>
      </c>
      <c r="GJ12" s="240" t="s">
        <v>486</v>
      </c>
      <c r="GK12" s="240" t="s">
        <v>486</v>
      </c>
      <c r="GL12" s="240" t="s">
        <v>486</v>
      </c>
      <c r="GM12" s="240" t="s">
        <v>486</v>
      </c>
      <c r="GN12" s="240" t="s">
        <v>486</v>
      </c>
      <c r="GO12" s="240" t="s">
        <v>486</v>
      </c>
      <c r="GP12" s="240" t="s">
        <v>486</v>
      </c>
      <c r="GQ12" s="240" t="s">
        <v>486</v>
      </c>
      <c r="GR12" s="240" t="s">
        <v>486</v>
      </c>
      <c r="GS12" s="240" t="s">
        <v>486</v>
      </c>
      <c r="GT12" s="240" t="s">
        <v>486</v>
      </c>
      <c r="GU12" s="240" t="s">
        <v>486</v>
      </c>
      <c r="GV12" s="240" t="s">
        <v>486</v>
      </c>
      <c r="GW12" s="240" t="s">
        <v>486</v>
      </c>
      <c r="GX12" s="240" t="s">
        <v>486</v>
      </c>
      <c r="GY12" s="240" t="s">
        <v>486</v>
      </c>
      <c r="GZ12" s="240" t="s">
        <v>486</v>
      </c>
      <c r="HA12" s="240" t="s">
        <v>486</v>
      </c>
      <c r="HB12" s="240" t="s">
        <v>486</v>
      </c>
      <c r="HC12" s="240" t="s">
        <v>486</v>
      </c>
      <c r="HD12" s="240" t="s">
        <v>486</v>
      </c>
      <c r="HE12" s="240" t="s">
        <v>486</v>
      </c>
      <c r="HF12" s="240" t="s">
        <v>486</v>
      </c>
      <c r="HG12" s="240" t="s">
        <v>486</v>
      </c>
      <c r="HH12" s="240" t="s">
        <v>486</v>
      </c>
      <c r="HI12" s="240" t="s">
        <v>486</v>
      </c>
      <c r="HJ12" s="240" t="s">
        <v>486</v>
      </c>
      <c r="HK12" s="240" t="s">
        <v>486</v>
      </c>
      <c r="HL12" s="240" t="s">
        <v>486</v>
      </c>
      <c r="HM12" s="240" t="s">
        <v>486</v>
      </c>
      <c r="HN12" s="240" t="s">
        <v>486</v>
      </c>
      <c r="HO12" s="240" t="s">
        <v>486</v>
      </c>
      <c r="HP12" s="240" t="s">
        <v>486</v>
      </c>
      <c r="HQ12" s="240" t="s">
        <v>486</v>
      </c>
      <c r="HR12" s="240" t="s">
        <v>486</v>
      </c>
      <c r="HS12" s="240" t="s">
        <v>486</v>
      </c>
      <c r="HT12" s="240" t="s">
        <v>486</v>
      </c>
      <c r="HU12" s="240" t="s">
        <v>486</v>
      </c>
      <c r="HV12" s="240" t="s">
        <v>486</v>
      </c>
      <c r="HW12" s="240" t="s">
        <v>486</v>
      </c>
      <c r="HX12" s="240" t="s">
        <v>486</v>
      </c>
      <c r="HY12" s="240" t="s">
        <v>486</v>
      </c>
      <c r="HZ12" s="240" t="s">
        <v>486</v>
      </c>
      <c r="IA12" s="240" t="s">
        <v>486</v>
      </c>
      <c r="IB12" s="240" t="s">
        <v>486</v>
      </c>
      <c r="IC12" s="240" t="s">
        <v>486</v>
      </c>
    </row>
    <row r="13" spans="1:237" ht="15" x14ac:dyDescent="0.25">
      <c r="A13" s="243" t="str">
        <f>HYPERLINK("http://www.ofsted.gov.uk/inspection-reports/find-inspection-report/provider/ELS/142416 ","Ofsted School Webpage")</f>
        <v>Ofsted School Webpage</v>
      </c>
      <c r="B13" s="237">
        <v>142416</v>
      </c>
      <c r="C13" s="237">
        <v>9366006</v>
      </c>
      <c r="D13" s="237" t="s">
        <v>1126</v>
      </c>
      <c r="E13" s="237" t="s">
        <v>248</v>
      </c>
      <c r="F13" s="237" t="s">
        <v>581</v>
      </c>
      <c r="G13" s="237" t="s">
        <v>581</v>
      </c>
      <c r="H13" s="237" t="s">
        <v>788</v>
      </c>
      <c r="I13" s="237" t="s">
        <v>1127</v>
      </c>
      <c r="J13" s="237" t="s">
        <v>93</v>
      </c>
      <c r="K13" s="237" t="s">
        <v>93</v>
      </c>
      <c r="L13" s="237" t="s">
        <v>93</v>
      </c>
      <c r="M13" s="237" t="s">
        <v>90</v>
      </c>
      <c r="N13" s="237" t="s">
        <v>486</v>
      </c>
      <c r="O13" s="237" t="s">
        <v>487</v>
      </c>
      <c r="P13" s="237">
        <v>10068168</v>
      </c>
      <c r="Q13" s="239">
        <v>43354</v>
      </c>
      <c r="R13" s="239">
        <v>43354</v>
      </c>
      <c r="S13" s="239">
        <v>43384</v>
      </c>
      <c r="T13" s="237" t="s">
        <v>1104</v>
      </c>
      <c r="U13" s="237" t="s">
        <v>1105</v>
      </c>
      <c r="V13" s="237" t="s">
        <v>512</v>
      </c>
      <c r="W13" s="237" t="s">
        <v>486</v>
      </c>
      <c r="X13" s="237" t="s">
        <v>490</v>
      </c>
      <c r="Y13" s="237" t="s">
        <v>486</v>
      </c>
      <c r="Z13" s="237" t="s">
        <v>490</v>
      </c>
      <c r="AA13" s="237" t="s">
        <v>486</v>
      </c>
      <c r="AB13" s="237" t="s">
        <v>486</v>
      </c>
      <c r="AC13" s="237" t="s">
        <v>486</v>
      </c>
      <c r="AD13" s="237" t="s">
        <v>1128</v>
      </c>
      <c r="AE13" s="237" t="s">
        <v>1107</v>
      </c>
      <c r="AF13" s="237" t="s">
        <v>1107</v>
      </c>
      <c r="AG13" s="237" t="s">
        <v>1107</v>
      </c>
      <c r="AH13" s="237" t="s">
        <v>1107</v>
      </c>
      <c r="AI13" s="237" t="s">
        <v>1107</v>
      </c>
      <c r="AJ13" s="237" t="s">
        <v>1107</v>
      </c>
      <c r="AK13" s="237" t="s">
        <v>1107</v>
      </c>
      <c r="AL13" s="237" t="s">
        <v>1107</v>
      </c>
      <c r="AM13" s="237" t="s">
        <v>1107</v>
      </c>
      <c r="AN13" s="237" t="s">
        <v>1107</v>
      </c>
      <c r="AO13" s="237" t="s">
        <v>1107</v>
      </c>
      <c r="AP13" s="237" t="s">
        <v>1107</v>
      </c>
      <c r="AQ13" s="237" t="s">
        <v>1107</v>
      </c>
      <c r="AR13" s="237" t="s">
        <v>1107</v>
      </c>
      <c r="AS13" s="237" t="s">
        <v>1107</v>
      </c>
      <c r="AT13" s="237" t="s">
        <v>1107</v>
      </c>
      <c r="AU13" s="237" t="s">
        <v>1107</v>
      </c>
      <c r="AV13" s="237" t="s">
        <v>1107</v>
      </c>
      <c r="AW13" s="237" t="s">
        <v>1107</v>
      </c>
      <c r="AX13" s="237" t="s">
        <v>1107</v>
      </c>
      <c r="AY13" s="237" t="s">
        <v>1107</v>
      </c>
      <c r="AZ13" s="237" t="s">
        <v>1107</v>
      </c>
      <c r="BA13" s="237" t="s">
        <v>1107</v>
      </c>
      <c r="BB13" s="237" t="s">
        <v>1107</v>
      </c>
      <c r="BC13" s="237" t="s">
        <v>1107</v>
      </c>
      <c r="BD13" s="237" t="s">
        <v>1107</v>
      </c>
      <c r="BE13" s="237" t="s">
        <v>1107</v>
      </c>
      <c r="BF13" s="237" t="s">
        <v>1107</v>
      </c>
      <c r="BG13" s="237" t="s">
        <v>1107</v>
      </c>
      <c r="BH13" s="237" t="s">
        <v>1107</v>
      </c>
      <c r="BI13" s="237" t="s">
        <v>1107</v>
      </c>
      <c r="BJ13" s="237" t="s">
        <v>1107</v>
      </c>
      <c r="BK13" s="237" t="s">
        <v>1107</v>
      </c>
      <c r="BL13" s="237" t="s">
        <v>1107</v>
      </c>
      <c r="BM13" s="237" t="s">
        <v>1107</v>
      </c>
      <c r="BN13" s="237" t="s">
        <v>1107</v>
      </c>
      <c r="BO13" s="237" t="s">
        <v>1107</v>
      </c>
      <c r="BP13" s="237" t="s">
        <v>1107</v>
      </c>
      <c r="BQ13" s="237" t="s">
        <v>1107</v>
      </c>
      <c r="BR13" s="237" t="s">
        <v>1107</v>
      </c>
      <c r="BS13" s="237" t="s">
        <v>1107</v>
      </c>
      <c r="BT13" s="237" t="s">
        <v>1107</v>
      </c>
      <c r="BU13" s="237" t="s">
        <v>1107</v>
      </c>
      <c r="BV13" s="237" t="s">
        <v>1107</v>
      </c>
      <c r="BW13" s="237" t="s">
        <v>1107</v>
      </c>
      <c r="BX13" s="237" t="s">
        <v>1107</v>
      </c>
      <c r="BY13" s="237" t="s">
        <v>1107</v>
      </c>
      <c r="BZ13" s="237" t="s">
        <v>232</v>
      </c>
      <c r="CA13" s="237" t="s">
        <v>231</v>
      </c>
      <c r="CB13" s="237" t="s">
        <v>232</v>
      </c>
      <c r="CC13" s="237" t="s">
        <v>1107</v>
      </c>
      <c r="CD13" s="237" t="s">
        <v>1107</v>
      </c>
      <c r="CE13" s="237" t="s">
        <v>1107</v>
      </c>
      <c r="CF13" s="237" t="s">
        <v>1107</v>
      </c>
      <c r="CG13" s="237" t="s">
        <v>1107</v>
      </c>
      <c r="CH13" s="237" t="s">
        <v>1107</v>
      </c>
      <c r="CI13" s="237" t="s">
        <v>1107</v>
      </c>
      <c r="CJ13" s="237" t="s">
        <v>1107</v>
      </c>
      <c r="CK13" s="237" t="s">
        <v>231</v>
      </c>
      <c r="CL13" s="237" t="s">
        <v>232</v>
      </c>
      <c r="CM13" s="237" t="s">
        <v>1107</v>
      </c>
      <c r="CN13" s="237" t="s">
        <v>231</v>
      </c>
      <c r="CO13" s="237" t="s">
        <v>1107</v>
      </c>
      <c r="CP13" s="237" t="s">
        <v>231</v>
      </c>
      <c r="CQ13" s="237" t="s">
        <v>231</v>
      </c>
      <c r="CR13" s="237" t="s">
        <v>231</v>
      </c>
      <c r="CS13" s="237" t="s">
        <v>232</v>
      </c>
      <c r="CT13" s="237" t="s">
        <v>231</v>
      </c>
      <c r="CU13" s="237" t="s">
        <v>232</v>
      </c>
      <c r="CV13" s="237" t="s">
        <v>231</v>
      </c>
      <c r="CW13" s="237" t="s">
        <v>231</v>
      </c>
      <c r="CX13" s="237" t="s">
        <v>231</v>
      </c>
      <c r="CY13" s="237" t="s">
        <v>231</v>
      </c>
      <c r="CZ13" s="237" t="s">
        <v>231</v>
      </c>
      <c r="DA13" s="237" t="s">
        <v>231</v>
      </c>
      <c r="DB13" s="237" t="s">
        <v>231</v>
      </c>
      <c r="DC13" s="237" t="s">
        <v>492</v>
      </c>
      <c r="DD13" s="237" t="s">
        <v>231</v>
      </c>
      <c r="DE13" s="237" t="s">
        <v>492</v>
      </c>
      <c r="DF13" s="237" t="s">
        <v>492</v>
      </c>
      <c r="DG13" s="237" t="s">
        <v>492</v>
      </c>
      <c r="DH13" s="237" t="s">
        <v>492</v>
      </c>
      <c r="DI13" s="237" t="s">
        <v>492</v>
      </c>
      <c r="DJ13" s="237" t="s">
        <v>492</v>
      </c>
      <c r="DK13" s="237" t="s">
        <v>492</v>
      </c>
      <c r="DL13" s="237" t="s">
        <v>492</v>
      </c>
      <c r="DM13" s="237" t="s">
        <v>492</v>
      </c>
      <c r="DN13" s="237" t="s">
        <v>492</v>
      </c>
      <c r="DO13" s="237" t="s">
        <v>492</v>
      </c>
      <c r="DP13" s="237" t="s">
        <v>492</v>
      </c>
      <c r="DQ13" s="237" t="s">
        <v>492</v>
      </c>
      <c r="DR13" s="237" t="s">
        <v>492</v>
      </c>
      <c r="DS13" s="237" t="s">
        <v>492</v>
      </c>
      <c r="DT13" s="237" t="s">
        <v>492</v>
      </c>
      <c r="DU13" s="237" t="s">
        <v>492</v>
      </c>
      <c r="DV13" s="237" t="s">
        <v>492</v>
      </c>
      <c r="DW13" s="237" t="s">
        <v>492</v>
      </c>
      <c r="DX13" s="237" t="s">
        <v>492</v>
      </c>
      <c r="DY13" s="237" t="s">
        <v>492</v>
      </c>
      <c r="DZ13" s="237" t="s">
        <v>492</v>
      </c>
      <c r="EA13" s="237" t="s">
        <v>492</v>
      </c>
      <c r="EB13" s="237" t="s">
        <v>232</v>
      </c>
      <c r="EC13" s="237" t="s">
        <v>231</v>
      </c>
      <c r="ED13" s="237" t="s">
        <v>232</v>
      </c>
      <c r="EE13" s="237" t="s">
        <v>232</v>
      </c>
      <c r="EF13" s="237" t="s">
        <v>231</v>
      </c>
      <c r="EG13" s="237" t="s">
        <v>231</v>
      </c>
      <c r="EH13" s="237" t="s">
        <v>232</v>
      </c>
      <c r="EI13" s="237" t="s">
        <v>231</v>
      </c>
      <c r="EJ13" s="237" t="s">
        <v>231</v>
      </c>
      <c r="EK13" s="237" t="s">
        <v>231</v>
      </c>
      <c r="EL13" s="237" t="s">
        <v>231</v>
      </c>
      <c r="EM13" s="237" t="s">
        <v>231</v>
      </c>
      <c r="EN13" s="237" t="s">
        <v>232</v>
      </c>
      <c r="EO13" s="237" t="s">
        <v>492</v>
      </c>
      <c r="EP13" s="237" t="s">
        <v>492</v>
      </c>
      <c r="EQ13" s="237" t="s">
        <v>492</v>
      </c>
      <c r="ER13" s="237" t="s">
        <v>492</v>
      </c>
      <c r="ES13" s="237" t="s">
        <v>492</v>
      </c>
      <c r="ET13" s="237" t="s">
        <v>492</v>
      </c>
      <c r="EU13" s="237" t="s">
        <v>492</v>
      </c>
      <c r="EV13" s="237" t="s">
        <v>492</v>
      </c>
      <c r="EW13" s="237" t="s">
        <v>492</v>
      </c>
      <c r="EX13" s="237" t="s">
        <v>492</v>
      </c>
      <c r="EY13" s="237" t="s">
        <v>492</v>
      </c>
      <c r="EZ13" s="237" t="s">
        <v>232</v>
      </c>
      <c r="FA13" s="237" t="s">
        <v>232</v>
      </c>
      <c r="FB13" s="237" t="s">
        <v>231</v>
      </c>
      <c r="FC13" s="237" t="s">
        <v>231</v>
      </c>
      <c r="FD13" s="237" t="s">
        <v>232</v>
      </c>
      <c r="FE13" s="237" t="s">
        <v>232</v>
      </c>
      <c r="FF13" s="237" t="s">
        <v>232</v>
      </c>
      <c r="FG13" s="237" t="s">
        <v>492</v>
      </c>
      <c r="FH13" s="237" t="s">
        <v>492</v>
      </c>
      <c r="FI13" s="237" t="s">
        <v>232</v>
      </c>
      <c r="FJ13" s="237" t="s">
        <v>231</v>
      </c>
      <c r="FK13" s="237" t="s">
        <v>232</v>
      </c>
      <c r="FL13" s="237" t="s">
        <v>232</v>
      </c>
      <c r="FM13" s="237" t="s">
        <v>231</v>
      </c>
      <c r="FN13" s="237" t="s">
        <v>231</v>
      </c>
      <c r="FO13" s="237" t="s">
        <v>231</v>
      </c>
      <c r="FP13" s="237" t="s">
        <v>231</v>
      </c>
      <c r="FQ13" s="237" t="s">
        <v>231</v>
      </c>
      <c r="FR13" s="237" t="s">
        <v>231</v>
      </c>
      <c r="FS13" s="237" t="s">
        <v>231</v>
      </c>
      <c r="FT13" s="237" t="s">
        <v>231</v>
      </c>
      <c r="FU13" s="237" t="s">
        <v>231</v>
      </c>
      <c r="FV13" s="237" t="s">
        <v>231</v>
      </c>
      <c r="FW13" s="237" t="s">
        <v>231</v>
      </c>
      <c r="FX13" s="237" t="s">
        <v>231</v>
      </c>
      <c r="FY13" s="237" t="s">
        <v>492</v>
      </c>
      <c r="FZ13" s="237" t="s">
        <v>232</v>
      </c>
      <c r="GA13" s="237" t="s">
        <v>1107</v>
      </c>
      <c r="GB13" s="237" t="s">
        <v>1107</v>
      </c>
      <c r="GC13" s="237" t="s">
        <v>232</v>
      </c>
      <c r="GD13" s="237" t="s">
        <v>1107</v>
      </c>
      <c r="GE13" s="237" t="s">
        <v>1107</v>
      </c>
      <c r="GF13" s="237" t="s">
        <v>1107</v>
      </c>
      <c r="GG13" s="237" t="s">
        <v>1107</v>
      </c>
      <c r="GH13" s="237" t="s">
        <v>1107</v>
      </c>
      <c r="GI13" s="237" t="s">
        <v>1107</v>
      </c>
      <c r="GJ13" s="237" t="s">
        <v>1107</v>
      </c>
      <c r="GK13" s="237" t="s">
        <v>1107</v>
      </c>
      <c r="GL13" s="237" t="s">
        <v>1107</v>
      </c>
      <c r="GM13" s="237" t="s">
        <v>1107</v>
      </c>
      <c r="GN13" s="237" t="s">
        <v>1107</v>
      </c>
      <c r="GO13" s="237" t="s">
        <v>1107</v>
      </c>
      <c r="GP13" s="237" t="s">
        <v>1107</v>
      </c>
      <c r="GQ13" s="237" t="s">
        <v>1107</v>
      </c>
      <c r="GR13" s="237" t="s">
        <v>1107</v>
      </c>
      <c r="GS13" s="237" t="s">
        <v>1107</v>
      </c>
      <c r="GT13" s="237" t="s">
        <v>1107</v>
      </c>
      <c r="GU13" s="237" t="s">
        <v>1107</v>
      </c>
      <c r="GV13" s="237" t="s">
        <v>1107</v>
      </c>
      <c r="GW13" s="237" t="s">
        <v>1107</v>
      </c>
      <c r="GX13" s="237" t="s">
        <v>1107</v>
      </c>
      <c r="GY13" s="237" t="s">
        <v>1107</v>
      </c>
      <c r="GZ13" s="237" t="s">
        <v>1107</v>
      </c>
      <c r="HA13" s="237" t="s">
        <v>1107</v>
      </c>
      <c r="HB13" s="237" t="s">
        <v>1107</v>
      </c>
      <c r="HC13" s="237" t="s">
        <v>1107</v>
      </c>
      <c r="HD13" s="237" t="s">
        <v>1107</v>
      </c>
      <c r="HE13" s="237" t="s">
        <v>1107</v>
      </c>
      <c r="HF13" s="237" t="s">
        <v>1107</v>
      </c>
      <c r="HG13" s="237" t="s">
        <v>1107</v>
      </c>
      <c r="HH13" s="237" t="s">
        <v>1107</v>
      </c>
      <c r="HI13" s="237" t="s">
        <v>1107</v>
      </c>
      <c r="HJ13" s="237" t="s">
        <v>1107</v>
      </c>
      <c r="HK13" s="237" t="s">
        <v>1107</v>
      </c>
      <c r="HL13" s="237" t="s">
        <v>1107</v>
      </c>
      <c r="HM13" s="237" t="s">
        <v>1107</v>
      </c>
      <c r="HN13" s="237" t="s">
        <v>1107</v>
      </c>
      <c r="HO13" s="237" t="s">
        <v>1107</v>
      </c>
      <c r="HP13" s="237" t="s">
        <v>1107</v>
      </c>
      <c r="HQ13" s="237" t="s">
        <v>1107</v>
      </c>
      <c r="HR13" s="237" t="s">
        <v>1107</v>
      </c>
      <c r="HS13" s="237" t="s">
        <v>1107</v>
      </c>
      <c r="HT13" s="237" t="s">
        <v>232</v>
      </c>
      <c r="HU13" s="237" t="s">
        <v>232</v>
      </c>
      <c r="HV13" s="237" t="s">
        <v>232</v>
      </c>
      <c r="HW13" s="237" t="s">
        <v>231</v>
      </c>
      <c r="HX13" s="237" t="s">
        <v>220</v>
      </c>
      <c r="HY13" s="237" t="s">
        <v>493</v>
      </c>
      <c r="HZ13" s="237" t="s">
        <v>219</v>
      </c>
      <c r="IA13" s="237" t="s">
        <v>490</v>
      </c>
      <c r="IB13" s="237" t="s">
        <v>1107</v>
      </c>
      <c r="IC13" s="237" t="s">
        <v>1107</v>
      </c>
    </row>
    <row r="14" spans="1:237" ht="15" x14ac:dyDescent="0.25">
      <c r="A14" s="244" t="str">
        <f>HYPERLINK("http://www.ofsted.gov.uk/inspection-reports/find-inspection-report/provider/ELS/113026 ","Ofsted School Webpage")</f>
        <v>Ofsted School Webpage</v>
      </c>
      <c r="B14" s="240">
        <v>113026</v>
      </c>
      <c r="C14" s="240">
        <v>8306013</v>
      </c>
      <c r="D14" s="240" t="s">
        <v>687</v>
      </c>
      <c r="E14" s="240" t="s">
        <v>248</v>
      </c>
      <c r="F14" s="240" t="s">
        <v>572</v>
      </c>
      <c r="G14" s="240" t="s">
        <v>572</v>
      </c>
      <c r="H14" s="240" t="s">
        <v>573</v>
      </c>
      <c r="I14" s="240" t="s">
        <v>688</v>
      </c>
      <c r="J14" s="240" t="s">
        <v>93</v>
      </c>
      <c r="K14" s="240" t="s">
        <v>93</v>
      </c>
      <c r="L14" s="240" t="s">
        <v>93</v>
      </c>
      <c r="M14" s="240" t="s">
        <v>90</v>
      </c>
      <c r="N14" s="240" t="s">
        <v>486</v>
      </c>
      <c r="O14" s="240" t="s">
        <v>487</v>
      </c>
      <c r="P14" s="240">
        <v>10067558</v>
      </c>
      <c r="Q14" s="242">
        <v>43354</v>
      </c>
      <c r="R14" s="242">
        <v>43354</v>
      </c>
      <c r="S14" s="242">
        <v>43384</v>
      </c>
      <c r="T14" s="240" t="s">
        <v>1104</v>
      </c>
      <c r="U14" s="240" t="s">
        <v>1105</v>
      </c>
      <c r="V14" s="240" t="s">
        <v>490</v>
      </c>
      <c r="W14" s="240" t="s">
        <v>486</v>
      </c>
      <c r="X14" s="240" t="s">
        <v>486</v>
      </c>
      <c r="Y14" s="240" t="s">
        <v>486</v>
      </c>
      <c r="Z14" s="240" t="s">
        <v>486</v>
      </c>
      <c r="AA14" s="240" t="s">
        <v>486</v>
      </c>
      <c r="AB14" s="240" t="s">
        <v>486</v>
      </c>
      <c r="AC14" s="240" t="s">
        <v>486</v>
      </c>
      <c r="AD14" s="240" t="s">
        <v>1106</v>
      </c>
      <c r="AE14" s="240" t="s">
        <v>231</v>
      </c>
      <c r="AF14" s="240" t="s">
        <v>231</v>
      </c>
      <c r="AG14" s="240" t="s">
        <v>231</v>
      </c>
      <c r="AH14" s="240" t="s">
        <v>231</v>
      </c>
      <c r="AI14" s="240" t="s">
        <v>231</v>
      </c>
      <c r="AJ14" s="240" t="s">
        <v>231</v>
      </c>
      <c r="AK14" s="240" t="s">
        <v>231</v>
      </c>
      <c r="AL14" s="240" t="s">
        <v>231</v>
      </c>
      <c r="AM14" s="240" t="s">
        <v>231</v>
      </c>
      <c r="AN14" s="240" t="s">
        <v>231</v>
      </c>
      <c r="AO14" s="240" t="s">
        <v>231</v>
      </c>
      <c r="AP14" s="240" t="s">
        <v>231</v>
      </c>
      <c r="AQ14" s="240" t="s">
        <v>231</v>
      </c>
      <c r="AR14" s="240" t="s">
        <v>231</v>
      </c>
      <c r="AS14" s="240" t="s">
        <v>231</v>
      </c>
      <c r="AT14" s="240" t="s">
        <v>231</v>
      </c>
      <c r="AU14" s="240" t="s">
        <v>492</v>
      </c>
      <c r="AV14" s="240" t="s">
        <v>492</v>
      </c>
      <c r="AW14" s="240" t="s">
        <v>231</v>
      </c>
      <c r="AX14" s="240" t="s">
        <v>231</v>
      </c>
      <c r="AY14" s="240" t="s">
        <v>231</v>
      </c>
      <c r="AZ14" s="240" t="s">
        <v>231</v>
      </c>
      <c r="BA14" s="240" t="s">
        <v>231</v>
      </c>
      <c r="BB14" s="240" t="s">
        <v>231</v>
      </c>
      <c r="BC14" s="240" t="s">
        <v>231</v>
      </c>
      <c r="BD14" s="240" t="s">
        <v>231</v>
      </c>
      <c r="BE14" s="240" t="s">
        <v>231</v>
      </c>
      <c r="BF14" s="240" t="s">
        <v>231</v>
      </c>
      <c r="BG14" s="240" t="s">
        <v>231</v>
      </c>
      <c r="BH14" s="240" t="s">
        <v>231</v>
      </c>
      <c r="BI14" s="240" t="s">
        <v>231</v>
      </c>
      <c r="BJ14" s="240" t="s">
        <v>231</v>
      </c>
      <c r="BK14" s="240" t="s">
        <v>1107</v>
      </c>
      <c r="BL14" s="240" t="s">
        <v>1107</v>
      </c>
      <c r="BM14" s="240" t="s">
        <v>1107</v>
      </c>
      <c r="BN14" s="240" t="s">
        <v>1107</v>
      </c>
      <c r="BO14" s="240" t="s">
        <v>1107</v>
      </c>
      <c r="BP14" s="240" t="s">
        <v>1107</v>
      </c>
      <c r="BQ14" s="240" t="s">
        <v>1107</v>
      </c>
      <c r="BR14" s="240" t="s">
        <v>1107</v>
      </c>
      <c r="BS14" s="240" t="s">
        <v>1107</v>
      </c>
      <c r="BT14" s="240" t="s">
        <v>1107</v>
      </c>
      <c r="BU14" s="240" t="s">
        <v>1107</v>
      </c>
      <c r="BV14" s="240" t="s">
        <v>1107</v>
      </c>
      <c r="BW14" s="240" t="s">
        <v>1107</v>
      </c>
      <c r="BX14" s="240" t="s">
        <v>1107</v>
      </c>
      <c r="BY14" s="240" t="s">
        <v>1107</v>
      </c>
      <c r="BZ14" s="240" t="s">
        <v>231</v>
      </c>
      <c r="CA14" s="240" t="s">
        <v>231</v>
      </c>
      <c r="CB14" s="240" t="s">
        <v>231</v>
      </c>
      <c r="CC14" s="240" t="s">
        <v>492</v>
      </c>
      <c r="CD14" s="240" t="s">
        <v>492</v>
      </c>
      <c r="CE14" s="240" t="s">
        <v>492</v>
      </c>
      <c r="CF14" s="240" t="s">
        <v>231</v>
      </c>
      <c r="CG14" s="240" t="s">
        <v>231</v>
      </c>
      <c r="CH14" s="240" t="s">
        <v>231</v>
      </c>
      <c r="CI14" s="240" t="s">
        <v>231</v>
      </c>
      <c r="CJ14" s="240" t="s">
        <v>231</v>
      </c>
      <c r="CK14" s="240" t="s">
        <v>231</v>
      </c>
      <c r="CL14" s="240" t="s">
        <v>231</v>
      </c>
      <c r="CM14" s="240" t="s">
        <v>231</v>
      </c>
      <c r="CN14" s="240" t="s">
        <v>231</v>
      </c>
      <c r="CO14" s="240" t="s">
        <v>231</v>
      </c>
      <c r="CP14" s="240" t="s">
        <v>231</v>
      </c>
      <c r="CQ14" s="240" t="s">
        <v>231</v>
      </c>
      <c r="CR14" s="240" t="s">
        <v>231</v>
      </c>
      <c r="CS14" s="240" t="s">
        <v>1107</v>
      </c>
      <c r="CT14" s="240" t="s">
        <v>1107</v>
      </c>
      <c r="CU14" s="240" t="s">
        <v>1107</v>
      </c>
      <c r="CV14" s="240" t="s">
        <v>1107</v>
      </c>
      <c r="CW14" s="240" t="s">
        <v>1107</v>
      </c>
      <c r="CX14" s="240" t="s">
        <v>1107</v>
      </c>
      <c r="CY14" s="240" t="s">
        <v>1107</v>
      </c>
      <c r="CZ14" s="240" t="s">
        <v>1107</v>
      </c>
      <c r="DA14" s="240" t="s">
        <v>1107</v>
      </c>
      <c r="DB14" s="240" t="s">
        <v>1107</v>
      </c>
      <c r="DC14" s="240" t="s">
        <v>1107</v>
      </c>
      <c r="DD14" s="240" t="s">
        <v>1107</v>
      </c>
      <c r="DE14" s="240" t="s">
        <v>1107</v>
      </c>
      <c r="DF14" s="240" t="s">
        <v>1107</v>
      </c>
      <c r="DG14" s="240" t="s">
        <v>1107</v>
      </c>
      <c r="DH14" s="240" t="s">
        <v>1107</v>
      </c>
      <c r="DI14" s="240" t="s">
        <v>1107</v>
      </c>
      <c r="DJ14" s="240" t="s">
        <v>1107</v>
      </c>
      <c r="DK14" s="240" t="s">
        <v>1107</v>
      </c>
      <c r="DL14" s="240" t="s">
        <v>1107</v>
      </c>
      <c r="DM14" s="240" t="s">
        <v>1107</v>
      </c>
      <c r="DN14" s="240" t="s">
        <v>1107</v>
      </c>
      <c r="DO14" s="240" t="s">
        <v>1107</v>
      </c>
      <c r="DP14" s="240" t="s">
        <v>1107</v>
      </c>
      <c r="DQ14" s="240" t="s">
        <v>1107</v>
      </c>
      <c r="DR14" s="240" t="s">
        <v>1107</v>
      </c>
      <c r="DS14" s="240" t="s">
        <v>1107</v>
      </c>
      <c r="DT14" s="240" t="s">
        <v>1107</v>
      </c>
      <c r="DU14" s="240" t="s">
        <v>1107</v>
      </c>
      <c r="DV14" s="240" t="s">
        <v>1107</v>
      </c>
      <c r="DW14" s="240" t="s">
        <v>1107</v>
      </c>
      <c r="DX14" s="240" t="s">
        <v>1107</v>
      </c>
      <c r="DY14" s="240" t="s">
        <v>1107</v>
      </c>
      <c r="DZ14" s="240" t="s">
        <v>1107</v>
      </c>
      <c r="EA14" s="240" t="s">
        <v>1107</v>
      </c>
      <c r="EB14" s="240" t="s">
        <v>1107</v>
      </c>
      <c r="EC14" s="240" t="s">
        <v>1107</v>
      </c>
      <c r="ED14" s="240" t="s">
        <v>1107</v>
      </c>
      <c r="EE14" s="240" t="s">
        <v>1107</v>
      </c>
      <c r="EF14" s="240" t="s">
        <v>1107</v>
      </c>
      <c r="EG14" s="240" t="s">
        <v>1107</v>
      </c>
      <c r="EH14" s="240" t="s">
        <v>1107</v>
      </c>
      <c r="EI14" s="240" t="s">
        <v>1107</v>
      </c>
      <c r="EJ14" s="240" t="s">
        <v>1107</v>
      </c>
      <c r="EK14" s="240" t="s">
        <v>1107</v>
      </c>
      <c r="EL14" s="240" t="s">
        <v>1107</v>
      </c>
      <c r="EM14" s="240" t="s">
        <v>1107</v>
      </c>
      <c r="EN14" s="240" t="s">
        <v>1107</v>
      </c>
      <c r="EO14" s="240" t="s">
        <v>1107</v>
      </c>
      <c r="EP14" s="240" t="s">
        <v>1107</v>
      </c>
      <c r="EQ14" s="240" t="s">
        <v>1107</v>
      </c>
      <c r="ER14" s="240" t="s">
        <v>1107</v>
      </c>
      <c r="ES14" s="240" t="s">
        <v>1107</v>
      </c>
      <c r="ET14" s="240" t="s">
        <v>1107</v>
      </c>
      <c r="EU14" s="240" t="s">
        <v>1107</v>
      </c>
      <c r="EV14" s="240" t="s">
        <v>1107</v>
      </c>
      <c r="EW14" s="240" t="s">
        <v>1107</v>
      </c>
      <c r="EX14" s="240" t="s">
        <v>1107</v>
      </c>
      <c r="EY14" s="240" t="s">
        <v>1107</v>
      </c>
      <c r="EZ14" s="240" t="s">
        <v>231</v>
      </c>
      <c r="FA14" s="240" t="s">
        <v>231</v>
      </c>
      <c r="FB14" s="240" t="s">
        <v>231</v>
      </c>
      <c r="FC14" s="240" t="s">
        <v>231</v>
      </c>
      <c r="FD14" s="240" t="s">
        <v>231</v>
      </c>
      <c r="FE14" s="240" t="s">
        <v>231</v>
      </c>
      <c r="FF14" s="240" t="s">
        <v>231</v>
      </c>
      <c r="FG14" s="240" t="s">
        <v>492</v>
      </c>
      <c r="FH14" s="240" t="s">
        <v>231</v>
      </c>
      <c r="FI14" s="240" t="s">
        <v>231</v>
      </c>
      <c r="FJ14" s="240" t="s">
        <v>231</v>
      </c>
      <c r="FK14" s="240" t="s">
        <v>231</v>
      </c>
      <c r="FL14" s="240" t="s">
        <v>231</v>
      </c>
      <c r="FM14" s="240" t="s">
        <v>231</v>
      </c>
      <c r="FN14" s="240" t="s">
        <v>231</v>
      </c>
      <c r="FO14" s="240" t="s">
        <v>231</v>
      </c>
      <c r="FP14" s="240" t="s">
        <v>231</v>
      </c>
      <c r="FQ14" s="240" t="s">
        <v>231</v>
      </c>
      <c r="FR14" s="240" t="s">
        <v>231</v>
      </c>
      <c r="FS14" s="240" t="s">
        <v>231</v>
      </c>
      <c r="FT14" s="240" t="s">
        <v>231</v>
      </c>
      <c r="FU14" s="240" t="s">
        <v>231</v>
      </c>
      <c r="FV14" s="240" t="s">
        <v>231</v>
      </c>
      <c r="FW14" s="240" t="s">
        <v>231</v>
      </c>
      <c r="FX14" s="240" t="s">
        <v>231</v>
      </c>
      <c r="FY14" s="240" t="s">
        <v>231</v>
      </c>
      <c r="FZ14" s="240" t="s">
        <v>1107</v>
      </c>
      <c r="GA14" s="240" t="s">
        <v>1107</v>
      </c>
      <c r="GB14" s="240" t="s">
        <v>1107</v>
      </c>
      <c r="GC14" s="240" t="s">
        <v>1107</v>
      </c>
      <c r="GD14" s="240" t="s">
        <v>1107</v>
      </c>
      <c r="GE14" s="240" t="s">
        <v>1107</v>
      </c>
      <c r="GF14" s="240" t="s">
        <v>1107</v>
      </c>
      <c r="GG14" s="240" t="s">
        <v>1107</v>
      </c>
      <c r="GH14" s="240" t="s">
        <v>1107</v>
      </c>
      <c r="GI14" s="240" t="s">
        <v>1107</v>
      </c>
      <c r="GJ14" s="240" t="s">
        <v>1107</v>
      </c>
      <c r="GK14" s="240" t="s">
        <v>1107</v>
      </c>
      <c r="GL14" s="240" t="s">
        <v>1107</v>
      </c>
      <c r="GM14" s="240" t="s">
        <v>1107</v>
      </c>
      <c r="GN14" s="240" t="s">
        <v>1107</v>
      </c>
      <c r="GO14" s="240" t="s">
        <v>1107</v>
      </c>
      <c r="GP14" s="240" t="s">
        <v>1107</v>
      </c>
      <c r="GQ14" s="240" t="s">
        <v>1107</v>
      </c>
      <c r="GR14" s="240" t="s">
        <v>1107</v>
      </c>
      <c r="GS14" s="240" t="s">
        <v>1107</v>
      </c>
      <c r="GT14" s="240" t="s">
        <v>1107</v>
      </c>
      <c r="GU14" s="240" t="s">
        <v>1107</v>
      </c>
      <c r="GV14" s="240" t="s">
        <v>1107</v>
      </c>
      <c r="GW14" s="240" t="s">
        <v>1107</v>
      </c>
      <c r="GX14" s="240" t="s">
        <v>1107</v>
      </c>
      <c r="GY14" s="240" t="s">
        <v>1107</v>
      </c>
      <c r="GZ14" s="240" t="s">
        <v>1107</v>
      </c>
      <c r="HA14" s="240" t="s">
        <v>1107</v>
      </c>
      <c r="HB14" s="240" t="s">
        <v>1107</v>
      </c>
      <c r="HC14" s="240" t="s">
        <v>1107</v>
      </c>
      <c r="HD14" s="240" t="s">
        <v>1107</v>
      </c>
      <c r="HE14" s="240" t="s">
        <v>1107</v>
      </c>
      <c r="HF14" s="240" t="s">
        <v>1107</v>
      </c>
      <c r="HG14" s="240" t="s">
        <v>1107</v>
      </c>
      <c r="HH14" s="240" t="s">
        <v>1107</v>
      </c>
      <c r="HI14" s="240" t="s">
        <v>1107</v>
      </c>
      <c r="HJ14" s="240" t="s">
        <v>1107</v>
      </c>
      <c r="HK14" s="240" t="s">
        <v>1107</v>
      </c>
      <c r="HL14" s="240" t="s">
        <v>1107</v>
      </c>
      <c r="HM14" s="240" t="s">
        <v>1107</v>
      </c>
      <c r="HN14" s="240" t="s">
        <v>1107</v>
      </c>
      <c r="HO14" s="240" t="s">
        <v>1107</v>
      </c>
      <c r="HP14" s="240" t="s">
        <v>1107</v>
      </c>
      <c r="HQ14" s="240" t="s">
        <v>1107</v>
      </c>
      <c r="HR14" s="240" t="s">
        <v>1107</v>
      </c>
      <c r="HS14" s="240" t="s">
        <v>1107</v>
      </c>
      <c r="HT14" s="240" t="s">
        <v>231</v>
      </c>
      <c r="HU14" s="240" t="s">
        <v>231</v>
      </c>
      <c r="HV14" s="240" t="s">
        <v>231</v>
      </c>
      <c r="HW14" s="240" t="s">
        <v>231</v>
      </c>
      <c r="HX14" s="240" t="s">
        <v>219</v>
      </c>
      <c r="HY14" s="240" t="s">
        <v>219</v>
      </c>
      <c r="HZ14" s="240" t="s">
        <v>219</v>
      </c>
      <c r="IA14" s="240" t="s">
        <v>490</v>
      </c>
      <c r="IB14" s="240" t="s">
        <v>1107</v>
      </c>
      <c r="IC14" s="240" t="s">
        <v>1107</v>
      </c>
    </row>
    <row r="15" spans="1:237" ht="15" x14ac:dyDescent="0.25">
      <c r="A15" s="243" t="str">
        <f>HYPERLINK("http://www.ofsted.gov.uk/inspection-reports/find-inspection-report/provider/ELS/102869 ","Ofsted School Webpage")</f>
        <v>Ofsted School Webpage</v>
      </c>
      <c r="B15" s="237">
        <v>102869</v>
      </c>
      <c r="C15" s="237">
        <v>3176055</v>
      </c>
      <c r="D15" s="237" t="s">
        <v>1129</v>
      </c>
      <c r="E15" s="237" t="s">
        <v>247</v>
      </c>
      <c r="F15" s="237" t="s">
        <v>506</v>
      </c>
      <c r="G15" s="237" t="s">
        <v>506</v>
      </c>
      <c r="H15" s="237" t="s">
        <v>731</v>
      </c>
      <c r="I15" s="237" t="s">
        <v>1130</v>
      </c>
      <c r="J15" s="237" t="s">
        <v>93</v>
      </c>
      <c r="K15" s="237" t="s">
        <v>93</v>
      </c>
      <c r="L15" s="237" t="s">
        <v>93</v>
      </c>
      <c r="M15" s="237" t="s">
        <v>90</v>
      </c>
      <c r="N15" s="237" t="s">
        <v>486</v>
      </c>
      <c r="O15" s="237" t="s">
        <v>487</v>
      </c>
      <c r="P15" s="237">
        <v>10067102</v>
      </c>
      <c r="Q15" s="239">
        <v>43354</v>
      </c>
      <c r="R15" s="239">
        <v>43354</v>
      </c>
      <c r="S15" s="239">
        <v>43388</v>
      </c>
      <c r="T15" s="237" t="s">
        <v>1109</v>
      </c>
      <c r="U15" s="237" t="s">
        <v>1105</v>
      </c>
      <c r="V15" s="237" t="s">
        <v>490</v>
      </c>
      <c r="W15" s="237" t="s">
        <v>486</v>
      </c>
      <c r="X15" s="237" t="s">
        <v>486</v>
      </c>
      <c r="Y15" s="237" t="s">
        <v>486</v>
      </c>
      <c r="Z15" s="237" t="s">
        <v>486</v>
      </c>
      <c r="AA15" s="237" t="s">
        <v>486</v>
      </c>
      <c r="AB15" s="237" t="s">
        <v>486</v>
      </c>
      <c r="AC15" s="237" t="s">
        <v>486</v>
      </c>
      <c r="AD15" s="237" t="s">
        <v>1110</v>
      </c>
      <c r="AE15" s="237" t="s">
        <v>1107</v>
      </c>
      <c r="AF15" s="237" t="s">
        <v>1107</v>
      </c>
      <c r="AG15" s="237" t="s">
        <v>1107</v>
      </c>
      <c r="AH15" s="237" t="s">
        <v>1107</v>
      </c>
      <c r="AI15" s="237" t="s">
        <v>1107</v>
      </c>
      <c r="AJ15" s="237" t="s">
        <v>1107</v>
      </c>
      <c r="AK15" s="237" t="s">
        <v>1107</v>
      </c>
      <c r="AL15" s="237" t="s">
        <v>1107</v>
      </c>
      <c r="AM15" s="237" t="s">
        <v>1107</v>
      </c>
      <c r="AN15" s="237" t="s">
        <v>1107</v>
      </c>
      <c r="AO15" s="237" t="s">
        <v>1107</v>
      </c>
      <c r="AP15" s="237" t="s">
        <v>1107</v>
      </c>
      <c r="AQ15" s="237" t="s">
        <v>1107</v>
      </c>
      <c r="AR15" s="237" t="s">
        <v>1107</v>
      </c>
      <c r="AS15" s="237" t="s">
        <v>1107</v>
      </c>
      <c r="AT15" s="237" t="s">
        <v>1107</v>
      </c>
      <c r="AU15" s="237" t="s">
        <v>1107</v>
      </c>
      <c r="AV15" s="237" t="s">
        <v>1107</v>
      </c>
      <c r="AW15" s="237" t="s">
        <v>1107</v>
      </c>
      <c r="AX15" s="237" t="s">
        <v>1107</v>
      </c>
      <c r="AY15" s="237" t="s">
        <v>1107</v>
      </c>
      <c r="AZ15" s="237" t="s">
        <v>1107</v>
      </c>
      <c r="BA15" s="237" t="s">
        <v>1107</v>
      </c>
      <c r="BB15" s="237" t="s">
        <v>1107</v>
      </c>
      <c r="BC15" s="237" t="s">
        <v>1107</v>
      </c>
      <c r="BD15" s="237" t="s">
        <v>1107</v>
      </c>
      <c r="BE15" s="237" t="s">
        <v>1107</v>
      </c>
      <c r="BF15" s="237" t="s">
        <v>1107</v>
      </c>
      <c r="BG15" s="237" t="s">
        <v>1107</v>
      </c>
      <c r="BH15" s="237" t="s">
        <v>1107</v>
      </c>
      <c r="BI15" s="237" t="s">
        <v>1107</v>
      </c>
      <c r="BJ15" s="237" t="s">
        <v>1107</v>
      </c>
      <c r="BK15" s="237" t="s">
        <v>1107</v>
      </c>
      <c r="BL15" s="237" t="s">
        <v>1107</v>
      </c>
      <c r="BM15" s="237" t="s">
        <v>1107</v>
      </c>
      <c r="BN15" s="237" t="s">
        <v>1107</v>
      </c>
      <c r="BO15" s="237" t="s">
        <v>1107</v>
      </c>
      <c r="BP15" s="237" t="s">
        <v>1107</v>
      </c>
      <c r="BQ15" s="237" t="s">
        <v>1107</v>
      </c>
      <c r="BR15" s="237" t="s">
        <v>1107</v>
      </c>
      <c r="BS15" s="237" t="s">
        <v>1107</v>
      </c>
      <c r="BT15" s="237" t="s">
        <v>1107</v>
      </c>
      <c r="BU15" s="237" t="s">
        <v>1107</v>
      </c>
      <c r="BV15" s="237" t="s">
        <v>1107</v>
      </c>
      <c r="BW15" s="237" t="s">
        <v>1107</v>
      </c>
      <c r="BX15" s="237" t="s">
        <v>1107</v>
      </c>
      <c r="BY15" s="237" t="s">
        <v>1107</v>
      </c>
      <c r="BZ15" s="237" t="s">
        <v>231</v>
      </c>
      <c r="CA15" s="237" t="s">
        <v>231</v>
      </c>
      <c r="CB15" s="237" t="s">
        <v>231</v>
      </c>
      <c r="CC15" s="237" t="s">
        <v>492</v>
      </c>
      <c r="CD15" s="237" t="s">
        <v>492</v>
      </c>
      <c r="CE15" s="237" t="s">
        <v>492</v>
      </c>
      <c r="CF15" s="237" t="s">
        <v>1107</v>
      </c>
      <c r="CG15" s="237" t="s">
        <v>1107</v>
      </c>
      <c r="CH15" s="237" t="s">
        <v>1107</v>
      </c>
      <c r="CI15" s="237" t="s">
        <v>1107</v>
      </c>
      <c r="CJ15" s="237" t="s">
        <v>1107</v>
      </c>
      <c r="CK15" s="237" t="s">
        <v>1107</v>
      </c>
      <c r="CL15" s="237" t="s">
        <v>231</v>
      </c>
      <c r="CM15" s="237" t="s">
        <v>231</v>
      </c>
      <c r="CN15" s="237" t="s">
        <v>1107</v>
      </c>
      <c r="CO15" s="237" t="s">
        <v>1107</v>
      </c>
      <c r="CP15" s="237" t="s">
        <v>231</v>
      </c>
      <c r="CQ15" s="237" t="s">
        <v>231</v>
      </c>
      <c r="CR15" s="237" t="s">
        <v>231</v>
      </c>
      <c r="CS15" s="237" t="s">
        <v>1107</v>
      </c>
      <c r="CT15" s="237" t="s">
        <v>1107</v>
      </c>
      <c r="CU15" s="237" t="s">
        <v>1107</v>
      </c>
      <c r="CV15" s="237" t="s">
        <v>1107</v>
      </c>
      <c r="CW15" s="237" t="s">
        <v>1107</v>
      </c>
      <c r="CX15" s="237" t="s">
        <v>1107</v>
      </c>
      <c r="CY15" s="237" t="s">
        <v>1107</v>
      </c>
      <c r="CZ15" s="237" t="s">
        <v>1107</v>
      </c>
      <c r="DA15" s="237" t="s">
        <v>1107</v>
      </c>
      <c r="DB15" s="237" t="s">
        <v>1107</v>
      </c>
      <c r="DC15" s="237" t="s">
        <v>492</v>
      </c>
      <c r="DD15" s="237" t="s">
        <v>1107</v>
      </c>
      <c r="DE15" s="237" t="s">
        <v>1107</v>
      </c>
      <c r="DF15" s="237" t="s">
        <v>1107</v>
      </c>
      <c r="DG15" s="237" t="s">
        <v>1107</v>
      </c>
      <c r="DH15" s="237" t="s">
        <v>1107</v>
      </c>
      <c r="DI15" s="237" t="s">
        <v>1107</v>
      </c>
      <c r="DJ15" s="237" t="s">
        <v>1107</v>
      </c>
      <c r="DK15" s="237" t="s">
        <v>1107</v>
      </c>
      <c r="DL15" s="237" t="s">
        <v>1107</v>
      </c>
      <c r="DM15" s="237" t="s">
        <v>1107</v>
      </c>
      <c r="DN15" s="237" t="s">
        <v>1107</v>
      </c>
      <c r="DO15" s="237" t="s">
        <v>1107</v>
      </c>
      <c r="DP15" s="237" t="s">
        <v>1107</v>
      </c>
      <c r="DQ15" s="237" t="s">
        <v>492</v>
      </c>
      <c r="DR15" s="237" t="s">
        <v>1107</v>
      </c>
      <c r="DS15" s="237" t="s">
        <v>1107</v>
      </c>
      <c r="DT15" s="237" t="s">
        <v>1107</v>
      </c>
      <c r="DU15" s="237" t="s">
        <v>1107</v>
      </c>
      <c r="DV15" s="237" t="s">
        <v>1107</v>
      </c>
      <c r="DW15" s="237" t="s">
        <v>1107</v>
      </c>
      <c r="DX15" s="237" t="s">
        <v>1107</v>
      </c>
      <c r="DY15" s="237" t="s">
        <v>1107</v>
      </c>
      <c r="DZ15" s="237" t="s">
        <v>1107</v>
      </c>
      <c r="EA15" s="237" t="s">
        <v>1107</v>
      </c>
      <c r="EB15" s="237" t="s">
        <v>1107</v>
      </c>
      <c r="EC15" s="237" t="s">
        <v>1107</v>
      </c>
      <c r="ED15" s="237" t="s">
        <v>1107</v>
      </c>
      <c r="EE15" s="237" t="s">
        <v>1107</v>
      </c>
      <c r="EF15" s="237" t="s">
        <v>1107</v>
      </c>
      <c r="EG15" s="237" t="s">
        <v>1107</v>
      </c>
      <c r="EH15" s="237" t="s">
        <v>1107</v>
      </c>
      <c r="EI15" s="237" t="s">
        <v>1107</v>
      </c>
      <c r="EJ15" s="237" t="s">
        <v>1107</v>
      </c>
      <c r="EK15" s="237" t="s">
        <v>1107</v>
      </c>
      <c r="EL15" s="237" t="s">
        <v>1107</v>
      </c>
      <c r="EM15" s="237" t="s">
        <v>1107</v>
      </c>
      <c r="EN15" s="237" t="s">
        <v>1107</v>
      </c>
      <c r="EO15" s="237" t="s">
        <v>1107</v>
      </c>
      <c r="EP15" s="237" t="s">
        <v>1107</v>
      </c>
      <c r="EQ15" s="237" t="s">
        <v>1107</v>
      </c>
      <c r="ER15" s="237" t="s">
        <v>1107</v>
      </c>
      <c r="ES15" s="237" t="s">
        <v>1107</v>
      </c>
      <c r="ET15" s="237" t="s">
        <v>1107</v>
      </c>
      <c r="EU15" s="237" t="s">
        <v>1107</v>
      </c>
      <c r="EV15" s="237" t="s">
        <v>1107</v>
      </c>
      <c r="EW15" s="237" t="s">
        <v>1107</v>
      </c>
      <c r="EX15" s="237" t="s">
        <v>1107</v>
      </c>
      <c r="EY15" s="237" t="s">
        <v>1107</v>
      </c>
      <c r="EZ15" s="237" t="s">
        <v>1107</v>
      </c>
      <c r="FA15" s="237" t="s">
        <v>1107</v>
      </c>
      <c r="FB15" s="237" t="s">
        <v>1107</v>
      </c>
      <c r="FC15" s="237" t="s">
        <v>1107</v>
      </c>
      <c r="FD15" s="237" t="s">
        <v>1107</v>
      </c>
      <c r="FE15" s="237" t="s">
        <v>1107</v>
      </c>
      <c r="FF15" s="237" t="s">
        <v>1107</v>
      </c>
      <c r="FG15" s="237" t="s">
        <v>1107</v>
      </c>
      <c r="FH15" s="237" t="s">
        <v>231</v>
      </c>
      <c r="FI15" s="237" t="s">
        <v>1107</v>
      </c>
      <c r="FJ15" s="237" t="s">
        <v>1107</v>
      </c>
      <c r="FK15" s="237" t="s">
        <v>1107</v>
      </c>
      <c r="FL15" s="237" t="s">
        <v>1107</v>
      </c>
      <c r="FM15" s="237" t="s">
        <v>1107</v>
      </c>
      <c r="FN15" s="237" t="s">
        <v>1107</v>
      </c>
      <c r="FO15" s="237" t="s">
        <v>1107</v>
      </c>
      <c r="FP15" s="237" t="s">
        <v>1107</v>
      </c>
      <c r="FQ15" s="237" t="s">
        <v>1107</v>
      </c>
      <c r="FR15" s="237" t="s">
        <v>1107</v>
      </c>
      <c r="FS15" s="237" t="s">
        <v>1107</v>
      </c>
      <c r="FT15" s="237" t="s">
        <v>1107</v>
      </c>
      <c r="FU15" s="237" t="s">
        <v>1107</v>
      </c>
      <c r="FV15" s="237" t="s">
        <v>1107</v>
      </c>
      <c r="FW15" s="237" t="s">
        <v>1107</v>
      </c>
      <c r="FX15" s="237" t="s">
        <v>1107</v>
      </c>
      <c r="FY15" s="237" t="s">
        <v>492</v>
      </c>
      <c r="FZ15" s="237" t="s">
        <v>231</v>
      </c>
      <c r="GA15" s="237" t="s">
        <v>1107</v>
      </c>
      <c r="GB15" s="237" t="s">
        <v>1107</v>
      </c>
      <c r="GC15" s="237" t="s">
        <v>231</v>
      </c>
      <c r="GD15" s="237" t="s">
        <v>1107</v>
      </c>
      <c r="GE15" s="237" t="s">
        <v>1107</v>
      </c>
      <c r="GF15" s="237" t="s">
        <v>1107</v>
      </c>
      <c r="GG15" s="237" t="s">
        <v>1107</v>
      </c>
      <c r="GH15" s="237" t="s">
        <v>1107</v>
      </c>
      <c r="GI15" s="237" t="s">
        <v>1107</v>
      </c>
      <c r="GJ15" s="237" t="s">
        <v>1107</v>
      </c>
      <c r="GK15" s="237" t="s">
        <v>1107</v>
      </c>
      <c r="GL15" s="237" t="s">
        <v>1107</v>
      </c>
      <c r="GM15" s="237" t="s">
        <v>1107</v>
      </c>
      <c r="GN15" s="237" t="s">
        <v>1107</v>
      </c>
      <c r="GO15" s="237" t="s">
        <v>1107</v>
      </c>
      <c r="GP15" s="237" t="s">
        <v>1107</v>
      </c>
      <c r="GQ15" s="237" t="s">
        <v>1107</v>
      </c>
      <c r="GR15" s="237" t="s">
        <v>1107</v>
      </c>
      <c r="GS15" s="237" t="s">
        <v>1107</v>
      </c>
      <c r="GT15" s="237" t="s">
        <v>1107</v>
      </c>
      <c r="GU15" s="237" t="s">
        <v>1107</v>
      </c>
      <c r="GV15" s="237" t="s">
        <v>1107</v>
      </c>
      <c r="GW15" s="237" t="s">
        <v>1107</v>
      </c>
      <c r="GX15" s="237" t="s">
        <v>1107</v>
      </c>
      <c r="GY15" s="237" t="s">
        <v>1107</v>
      </c>
      <c r="GZ15" s="237" t="s">
        <v>1107</v>
      </c>
      <c r="HA15" s="237" t="s">
        <v>1107</v>
      </c>
      <c r="HB15" s="237" t="s">
        <v>1107</v>
      </c>
      <c r="HC15" s="237" t="s">
        <v>1107</v>
      </c>
      <c r="HD15" s="237" t="s">
        <v>1107</v>
      </c>
      <c r="HE15" s="237" t="s">
        <v>1107</v>
      </c>
      <c r="HF15" s="237" t="s">
        <v>1107</v>
      </c>
      <c r="HG15" s="237" t="s">
        <v>1107</v>
      </c>
      <c r="HH15" s="237" t="s">
        <v>1107</v>
      </c>
      <c r="HI15" s="237" t="s">
        <v>1107</v>
      </c>
      <c r="HJ15" s="237" t="s">
        <v>1107</v>
      </c>
      <c r="HK15" s="237" t="s">
        <v>1107</v>
      </c>
      <c r="HL15" s="237" t="s">
        <v>1107</v>
      </c>
      <c r="HM15" s="237" t="s">
        <v>1107</v>
      </c>
      <c r="HN15" s="237" t="s">
        <v>1107</v>
      </c>
      <c r="HO15" s="237" t="s">
        <v>1107</v>
      </c>
      <c r="HP15" s="237" t="s">
        <v>1107</v>
      </c>
      <c r="HQ15" s="237" t="s">
        <v>1107</v>
      </c>
      <c r="HR15" s="237" t="s">
        <v>1107</v>
      </c>
      <c r="HS15" s="237" t="s">
        <v>1107</v>
      </c>
      <c r="HT15" s="237" t="s">
        <v>231</v>
      </c>
      <c r="HU15" s="237" t="s">
        <v>231</v>
      </c>
      <c r="HV15" s="237" t="s">
        <v>231</v>
      </c>
      <c r="HW15" s="237" t="s">
        <v>231</v>
      </c>
      <c r="HX15" s="237" t="s">
        <v>220</v>
      </c>
      <c r="HY15" s="237" t="s">
        <v>493</v>
      </c>
      <c r="HZ15" s="237" t="s">
        <v>219</v>
      </c>
      <c r="IA15" s="237" t="s">
        <v>490</v>
      </c>
      <c r="IB15" s="237" t="s">
        <v>231</v>
      </c>
      <c r="IC15" s="237" t="s">
        <v>1107</v>
      </c>
    </row>
    <row r="16" spans="1:237" ht="15" x14ac:dyDescent="0.25">
      <c r="A16" s="244" t="str">
        <f>HYPERLINK("http://www.ofsted.gov.uk/inspection-reports/find-inspection-report/provider/ELS/116567 ","Ofsted School Webpage")</f>
        <v>Ofsted School Webpage</v>
      </c>
      <c r="B16" s="240">
        <v>116567</v>
      </c>
      <c r="C16" s="240">
        <v>8526003</v>
      </c>
      <c r="D16" s="240" t="s">
        <v>1131</v>
      </c>
      <c r="E16" s="240" t="s">
        <v>247</v>
      </c>
      <c r="F16" s="240" t="s">
        <v>581</v>
      </c>
      <c r="G16" s="240" t="s">
        <v>581</v>
      </c>
      <c r="H16" s="240" t="s">
        <v>1132</v>
      </c>
      <c r="I16" s="240" t="s">
        <v>1133</v>
      </c>
      <c r="J16" s="240" t="s">
        <v>93</v>
      </c>
      <c r="K16" s="240" t="s">
        <v>79</v>
      </c>
      <c r="L16" s="240" t="s">
        <v>79</v>
      </c>
      <c r="M16" s="240" t="s">
        <v>71</v>
      </c>
      <c r="N16" s="240" t="s">
        <v>486</v>
      </c>
      <c r="O16" s="240" t="s">
        <v>487</v>
      </c>
      <c r="P16" s="240">
        <v>10068080</v>
      </c>
      <c r="Q16" s="242">
        <v>43354</v>
      </c>
      <c r="R16" s="242">
        <v>43354</v>
      </c>
      <c r="S16" s="242">
        <v>43375</v>
      </c>
      <c r="T16" s="240" t="s">
        <v>1109</v>
      </c>
      <c r="U16" s="240" t="s">
        <v>1105</v>
      </c>
      <c r="V16" s="240" t="s">
        <v>490</v>
      </c>
      <c r="W16" s="240" t="s">
        <v>486</v>
      </c>
      <c r="X16" s="240" t="s">
        <v>486</v>
      </c>
      <c r="Y16" s="240" t="s">
        <v>486</v>
      </c>
      <c r="Z16" s="240" t="s">
        <v>486</v>
      </c>
      <c r="AA16" s="240" t="s">
        <v>486</v>
      </c>
      <c r="AB16" s="240" t="s">
        <v>486</v>
      </c>
      <c r="AC16" s="240" t="s">
        <v>486</v>
      </c>
      <c r="AD16" s="240" t="s">
        <v>1110</v>
      </c>
      <c r="AE16" s="240" t="s">
        <v>1107</v>
      </c>
      <c r="AF16" s="240" t="s">
        <v>1107</v>
      </c>
      <c r="AG16" s="240" t="s">
        <v>1107</v>
      </c>
      <c r="AH16" s="240" t="s">
        <v>1107</v>
      </c>
      <c r="AI16" s="240" t="s">
        <v>1107</v>
      </c>
      <c r="AJ16" s="240" t="s">
        <v>1107</v>
      </c>
      <c r="AK16" s="240" t="s">
        <v>1107</v>
      </c>
      <c r="AL16" s="240" t="s">
        <v>1107</v>
      </c>
      <c r="AM16" s="240" t="s">
        <v>1107</v>
      </c>
      <c r="AN16" s="240" t="s">
        <v>1107</v>
      </c>
      <c r="AO16" s="240" t="s">
        <v>1107</v>
      </c>
      <c r="AP16" s="240" t="s">
        <v>1107</v>
      </c>
      <c r="AQ16" s="240" t="s">
        <v>1107</v>
      </c>
      <c r="AR16" s="240" t="s">
        <v>1107</v>
      </c>
      <c r="AS16" s="240" t="s">
        <v>1107</v>
      </c>
      <c r="AT16" s="240" t="s">
        <v>1107</v>
      </c>
      <c r="AU16" s="240" t="s">
        <v>1107</v>
      </c>
      <c r="AV16" s="240" t="s">
        <v>1107</v>
      </c>
      <c r="AW16" s="240" t="s">
        <v>1107</v>
      </c>
      <c r="AX16" s="240" t="s">
        <v>1107</v>
      </c>
      <c r="AY16" s="240" t="s">
        <v>1107</v>
      </c>
      <c r="AZ16" s="240" t="s">
        <v>1107</v>
      </c>
      <c r="BA16" s="240" t="s">
        <v>1107</v>
      </c>
      <c r="BB16" s="240" t="s">
        <v>1107</v>
      </c>
      <c r="BC16" s="240" t="s">
        <v>1107</v>
      </c>
      <c r="BD16" s="240" t="s">
        <v>1107</v>
      </c>
      <c r="BE16" s="240" t="s">
        <v>1107</v>
      </c>
      <c r="BF16" s="240" t="s">
        <v>1107</v>
      </c>
      <c r="BG16" s="240" t="s">
        <v>1107</v>
      </c>
      <c r="BH16" s="240" t="s">
        <v>1107</v>
      </c>
      <c r="BI16" s="240" t="s">
        <v>1107</v>
      </c>
      <c r="BJ16" s="240" t="s">
        <v>1107</v>
      </c>
      <c r="BK16" s="240" t="s">
        <v>1107</v>
      </c>
      <c r="BL16" s="240" t="s">
        <v>1107</v>
      </c>
      <c r="BM16" s="240" t="s">
        <v>1107</v>
      </c>
      <c r="BN16" s="240" t="s">
        <v>1107</v>
      </c>
      <c r="BO16" s="240" t="s">
        <v>1107</v>
      </c>
      <c r="BP16" s="240" t="s">
        <v>1107</v>
      </c>
      <c r="BQ16" s="240" t="s">
        <v>1107</v>
      </c>
      <c r="BR16" s="240" t="s">
        <v>1107</v>
      </c>
      <c r="BS16" s="240" t="s">
        <v>1107</v>
      </c>
      <c r="BT16" s="240" t="s">
        <v>1107</v>
      </c>
      <c r="BU16" s="240" t="s">
        <v>1107</v>
      </c>
      <c r="BV16" s="240" t="s">
        <v>1107</v>
      </c>
      <c r="BW16" s="240" t="s">
        <v>1107</v>
      </c>
      <c r="BX16" s="240" t="s">
        <v>1107</v>
      </c>
      <c r="BY16" s="240" t="s">
        <v>1107</v>
      </c>
      <c r="BZ16" s="240" t="s">
        <v>486</v>
      </c>
      <c r="CA16" s="240" t="s">
        <v>1107</v>
      </c>
      <c r="CB16" s="240" t="s">
        <v>1107</v>
      </c>
      <c r="CC16" s="240" t="s">
        <v>1107</v>
      </c>
      <c r="CD16" s="240" t="s">
        <v>1107</v>
      </c>
      <c r="CE16" s="240" t="s">
        <v>1107</v>
      </c>
      <c r="CF16" s="240" t="s">
        <v>1107</v>
      </c>
      <c r="CG16" s="240" t="s">
        <v>1107</v>
      </c>
      <c r="CH16" s="240" t="s">
        <v>1107</v>
      </c>
      <c r="CI16" s="240" t="s">
        <v>1107</v>
      </c>
      <c r="CJ16" s="240" t="s">
        <v>1107</v>
      </c>
      <c r="CK16" s="240" t="s">
        <v>231</v>
      </c>
      <c r="CL16" s="240" t="s">
        <v>231</v>
      </c>
      <c r="CM16" s="240" t="s">
        <v>1107</v>
      </c>
      <c r="CN16" s="240" t="s">
        <v>1107</v>
      </c>
      <c r="CO16" s="240" t="s">
        <v>1107</v>
      </c>
      <c r="CP16" s="240" t="s">
        <v>1107</v>
      </c>
      <c r="CQ16" s="240" t="s">
        <v>1107</v>
      </c>
      <c r="CR16" s="240" t="s">
        <v>1107</v>
      </c>
      <c r="CS16" s="240" t="s">
        <v>1107</v>
      </c>
      <c r="CT16" s="240" t="s">
        <v>1107</v>
      </c>
      <c r="CU16" s="240" t="s">
        <v>1107</v>
      </c>
      <c r="CV16" s="240" t="s">
        <v>1107</v>
      </c>
      <c r="CW16" s="240" t="s">
        <v>1107</v>
      </c>
      <c r="CX16" s="240" t="s">
        <v>1107</v>
      </c>
      <c r="CY16" s="240" t="s">
        <v>1107</v>
      </c>
      <c r="CZ16" s="240" t="s">
        <v>1107</v>
      </c>
      <c r="DA16" s="240" t="s">
        <v>1107</v>
      </c>
      <c r="DB16" s="240" t="s">
        <v>1107</v>
      </c>
      <c r="DC16" s="240" t="s">
        <v>1107</v>
      </c>
      <c r="DD16" s="240" t="s">
        <v>1107</v>
      </c>
      <c r="DE16" s="240" t="s">
        <v>1107</v>
      </c>
      <c r="DF16" s="240" t="s">
        <v>1107</v>
      </c>
      <c r="DG16" s="240" t="s">
        <v>1107</v>
      </c>
      <c r="DH16" s="240" t="s">
        <v>1107</v>
      </c>
      <c r="DI16" s="240" t="s">
        <v>1107</v>
      </c>
      <c r="DJ16" s="240" t="s">
        <v>1107</v>
      </c>
      <c r="DK16" s="240" t="s">
        <v>1107</v>
      </c>
      <c r="DL16" s="240" t="s">
        <v>1107</v>
      </c>
      <c r="DM16" s="240" t="s">
        <v>1107</v>
      </c>
      <c r="DN16" s="240" t="s">
        <v>1107</v>
      </c>
      <c r="DO16" s="240" t="s">
        <v>1107</v>
      </c>
      <c r="DP16" s="240" t="s">
        <v>1107</v>
      </c>
      <c r="DQ16" s="240" t="s">
        <v>1107</v>
      </c>
      <c r="DR16" s="240" t="s">
        <v>1107</v>
      </c>
      <c r="DS16" s="240" t="s">
        <v>1107</v>
      </c>
      <c r="DT16" s="240" t="s">
        <v>1107</v>
      </c>
      <c r="DU16" s="240" t="s">
        <v>1107</v>
      </c>
      <c r="DV16" s="240" t="s">
        <v>1107</v>
      </c>
      <c r="DW16" s="240" t="s">
        <v>1107</v>
      </c>
      <c r="DX16" s="240" t="s">
        <v>1107</v>
      </c>
      <c r="DY16" s="240" t="s">
        <v>1107</v>
      </c>
      <c r="DZ16" s="240" t="s">
        <v>1107</v>
      </c>
      <c r="EA16" s="240" t="s">
        <v>1107</v>
      </c>
      <c r="EB16" s="240" t="s">
        <v>1107</v>
      </c>
      <c r="EC16" s="240" t="s">
        <v>1107</v>
      </c>
      <c r="ED16" s="240" t="s">
        <v>1107</v>
      </c>
      <c r="EE16" s="240" t="s">
        <v>1107</v>
      </c>
      <c r="EF16" s="240" t="s">
        <v>1107</v>
      </c>
      <c r="EG16" s="240" t="s">
        <v>1107</v>
      </c>
      <c r="EH16" s="240" t="s">
        <v>1107</v>
      </c>
      <c r="EI16" s="240" t="s">
        <v>1107</v>
      </c>
      <c r="EJ16" s="240" t="s">
        <v>1107</v>
      </c>
      <c r="EK16" s="240" t="s">
        <v>1107</v>
      </c>
      <c r="EL16" s="240" t="s">
        <v>1107</v>
      </c>
      <c r="EM16" s="240" t="s">
        <v>1107</v>
      </c>
      <c r="EN16" s="240" t="s">
        <v>1107</v>
      </c>
      <c r="EO16" s="240" t="s">
        <v>1107</v>
      </c>
      <c r="EP16" s="240" t="s">
        <v>1107</v>
      </c>
      <c r="EQ16" s="240" t="s">
        <v>1107</v>
      </c>
      <c r="ER16" s="240" t="s">
        <v>1107</v>
      </c>
      <c r="ES16" s="240" t="s">
        <v>1107</v>
      </c>
      <c r="ET16" s="240" t="s">
        <v>1107</v>
      </c>
      <c r="EU16" s="240" t="s">
        <v>1107</v>
      </c>
      <c r="EV16" s="240" t="s">
        <v>1107</v>
      </c>
      <c r="EW16" s="240" t="s">
        <v>1107</v>
      </c>
      <c r="EX16" s="240" t="s">
        <v>1107</v>
      </c>
      <c r="EY16" s="240" t="s">
        <v>1107</v>
      </c>
      <c r="EZ16" s="240" t="s">
        <v>1107</v>
      </c>
      <c r="FA16" s="240" t="s">
        <v>1107</v>
      </c>
      <c r="FB16" s="240" t="s">
        <v>1107</v>
      </c>
      <c r="FC16" s="240" t="s">
        <v>1107</v>
      </c>
      <c r="FD16" s="240" t="s">
        <v>231</v>
      </c>
      <c r="FE16" s="240" t="s">
        <v>231</v>
      </c>
      <c r="FF16" s="240" t="s">
        <v>231</v>
      </c>
      <c r="FG16" s="240" t="s">
        <v>1107</v>
      </c>
      <c r="FH16" s="240" t="s">
        <v>1107</v>
      </c>
      <c r="FI16" s="240" t="s">
        <v>231</v>
      </c>
      <c r="FJ16" s="240" t="s">
        <v>1107</v>
      </c>
      <c r="FK16" s="240" t="s">
        <v>1107</v>
      </c>
      <c r="FL16" s="240" t="s">
        <v>1107</v>
      </c>
      <c r="FM16" s="240" t="s">
        <v>1107</v>
      </c>
      <c r="FN16" s="240" t="s">
        <v>1107</v>
      </c>
      <c r="FO16" s="240" t="s">
        <v>1107</v>
      </c>
      <c r="FP16" s="240" t="s">
        <v>1107</v>
      </c>
      <c r="FQ16" s="240" t="s">
        <v>1107</v>
      </c>
      <c r="FR16" s="240" t="s">
        <v>1107</v>
      </c>
      <c r="FS16" s="240" t="s">
        <v>1107</v>
      </c>
      <c r="FT16" s="240" t="s">
        <v>1107</v>
      </c>
      <c r="FU16" s="240" t="s">
        <v>1107</v>
      </c>
      <c r="FV16" s="240" t="s">
        <v>1107</v>
      </c>
      <c r="FW16" s="240" t="s">
        <v>1107</v>
      </c>
      <c r="FX16" s="240" t="s">
        <v>1107</v>
      </c>
      <c r="FY16" s="240" t="s">
        <v>1107</v>
      </c>
      <c r="FZ16" s="240" t="s">
        <v>1107</v>
      </c>
      <c r="GA16" s="240" t="s">
        <v>1107</v>
      </c>
      <c r="GB16" s="240" t="s">
        <v>1107</v>
      </c>
      <c r="GC16" s="240" t="s">
        <v>1107</v>
      </c>
      <c r="GD16" s="240" t="s">
        <v>1107</v>
      </c>
      <c r="GE16" s="240" t="s">
        <v>1107</v>
      </c>
      <c r="GF16" s="240" t="s">
        <v>1107</v>
      </c>
      <c r="GG16" s="240" t="s">
        <v>1107</v>
      </c>
      <c r="GH16" s="240" t="s">
        <v>1107</v>
      </c>
      <c r="GI16" s="240" t="s">
        <v>1107</v>
      </c>
      <c r="GJ16" s="240" t="s">
        <v>1107</v>
      </c>
      <c r="GK16" s="240" t="s">
        <v>1107</v>
      </c>
      <c r="GL16" s="240" t="s">
        <v>1107</v>
      </c>
      <c r="GM16" s="240" t="s">
        <v>1107</v>
      </c>
      <c r="GN16" s="240" t="s">
        <v>1107</v>
      </c>
      <c r="GO16" s="240" t="s">
        <v>1107</v>
      </c>
      <c r="GP16" s="240" t="s">
        <v>1107</v>
      </c>
      <c r="GQ16" s="240" t="s">
        <v>1107</v>
      </c>
      <c r="GR16" s="240" t="s">
        <v>1107</v>
      </c>
      <c r="GS16" s="240" t="s">
        <v>1107</v>
      </c>
      <c r="GT16" s="240" t="s">
        <v>1107</v>
      </c>
      <c r="GU16" s="240" t="s">
        <v>1107</v>
      </c>
      <c r="GV16" s="240" t="s">
        <v>1107</v>
      </c>
      <c r="GW16" s="240" t="s">
        <v>1107</v>
      </c>
      <c r="GX16" s="240" t="s">
        <v>1107</v>
      </c>
      <c r="GY16" s="240" t="s">
        <v>1107</v>
      </c>
      <c r="GZ16" s="240" t="s">
        <v>1107</v>
      </c>
      <c r="HA16" s="240" t="s">
        <v>1107</v>
      </c>
      <c r="HB16" s="240" t="s">
        <v>1107</v>
      </c>
      <c r="HC16" s="240" t="s">
        <v>1107</v>
      </c>
      <c r="HD16" s="240" t="s">
        <v>231</v>
      </c>
      <c r="HE16" s="240" t="s">
        <v>1107</v>
      </c>
      <c r="HF16" s="240" t="s">
        <v>1107</v>
      </c>
      <c r="HG16" s="240" t="s">
        <v>1107</v>
      </c>
      <c r="HH16" s="240" t="s">
        <v>1107</v>
      </c>
      <c r="HI16" s="240" t="s">
        <v>1107</v>
      </c>
      <c r="HJ16" s="240" t="s">
        <v>1107</v>
      </c>
      <c r="HK16" s="240" t="s">
        <v>1107</v>
      </c>
      <c r="HL16" s="240" t="s">
        <v>1107</v>
      </c>
      <c r="HM16" s="240" t="s">
        <v>231</v>
      </c>
      <c r="HN16" s="240" t="s">
        <v>1107</v>
      </c>
      <c r="HO16" s="240" t="s">
        <v>231</v>
      </c>
      <c r="HP16" s="240" t="s">
        <v>231</v>
      </c>
      <c r="HQ16" s="240" t="s">
        <v>231</v>
      </c>
      <c r="HR16" s="240" t="s">
        <v>231</v>
      </c>
      <c r="HS16" s="240" t="s">
        <v>1107</v>
      </c>
      <c r="HT16" s="240" t="s">
        <v>231</v>
      </c>
      <c r="HU16" s="240" t="s">
        <v>231</v>
      </c>
      <c r="HV16" s="240" t="s">
        <v>231</v>
      </c>
      <c r="HW16" s="240" t="s">
        <v>1107</v>
      </c>
      <c r="HX16" s="240" t="s">
        <v>220</v>
      </c>
      <c r="HY16" s="240" t="s">
        <v>493</v>
      </c>
      <c r="HZ16" s="240" t="s">
        <v>219</v>
      </c>
      <c r="IA16" s="240" t="s">
        <v>490</v>
      </c>
      <c r="IB16" s="240" t="s">
        <v>231</v>
      </c>
      <c r="IC16" s="240" t="s">
        <v>231</v>
      </c>
    </row>
    <row r="17" spans="1:237" ht="15" x14ac:dyDescent="0.25">
      <c r="A17" s="243" t="str">
        <f>HYPERLINK("http://www.ofsted.gov.uk/inspection-reports/find-inspection-report/provider/ELS/135278 ","Ofsted School Webpage")</f>
        <v>Ofsted School Webpage</v>
      </c>
      <c r="B17" s="237">
        <v>135278</v>
      </c>
      <c r="C17" s="237">
        <v>9336215</v>
      </c>
      <c r="D17" s="237" t="s">
        <v>1134</v>
      </c>
      <c r="E17" s="237" t="s">
        <v>248</v>
      </c>
      <c r="F17" s="237" t="s">
        <v>483</v>
      </c>
      <c r="G17" s="237" t="s">
        <v>483</v>
      </c>
      <c r="H17" s="237" t="s">
        <v>531</v>
      </c>
      <c r="I17" s="237" t="s">
        <v>1135</v>
      </c>
      <c r="J17" s="237" t="s">
        <v>93</v>
      </c>
      <c r="K17" s="237" t="s">
        <v>93</v>
      </c>
      <c r="L17" s="237" t="s">
        <v>93</v>
      </c>
      <c r="M17" s="237" t="s">
        <v>90</v>
      </c>
      <c r="N17" s="237" t="s">
        <v>486</v>
      </c>
      <c r="O17" s="237" t="s">
        <v>487</v>
      </c>
      <c r="P17" s="237">
        <v>10068087</v>
      </c>
      <c r="Q17" s="239">
        <v>43354</v>
      </c>
      <c r="R17" s="239">
        <v>43354</v>
      </c>
      <c r="S17" s="239">
        <v>43388</v>
      </c>
      <c r="T17" s="237" t="s">
        <v>1109</v>
      </c>
      <c r="U17" s="237" t="s">
        <v>1105</v>
      </c>
      <c r="V17" s="237" t="s">
        <v>512</v>
      </c>
      <c r="W17" s="237" t="s">
        <v>490</v>
      </c>
      <c r="X17" s="237" t="s">
        <v>486</v>
      </c>
      <c r="Y17" s="237" t="s">
        <v>486</v>
      </c>
      <c r="Z17" s="237" t="s">
        <v>486</v>
      </c>
      <c r="AA17" s="237" t="s">
        <v>486</v>
      </c>
      <c r="AB17" s="237" t="s">
        <v>486</v>
      </c>
      <c r="AC17" s="237" t="s">
        <v>486</v>
      </c>
      <c r="AD17" s="237" t="s">
        <v>1136</v>
      </c>
      <c r="AE17" s="237" t="s">
        <v>231</v>
      </c>
      <c r="AF17" s="237" t="s">
        <v>231</v>
      </c>
      <c r="AG17" s="237" t="s">
        <v>1107</v>
      </c>
      <c r="AH17" s="237" t="s">
        <v>1107</v>
      </c>
      <c r="AI17" s="237" t="s">
        <v>1107</v>
      </c>
      <c r="AJ17" s="237" t="s">
        <v>231</v>
      </c>
      <c r="AK17" s="237" t="s">
        <v>1107</v>
      </c>
      <c r="AL17" s="237" t="s">
        <v>1107</v>
      </c>
      <c r="AM17" s="237" t="s">
        <v>1107</v>
      </c>
      <c r="AN17" s="237" t="s">
        <v>1107</v>
      </c>
      <c r="AO17" s="237" t="s">
        <v>1107</v>
      </c>
      <c r="AP17" s="237" t="s">
        <v>1107</v>
      </c>
      <c r="AQ17" s="237" t="s">
        <v>231</v>
      </c>
      <c r="AR17" s="237" t="s">
        <v>231</v>
      </c>
      <c r="AS17" s="237" t="s">
        <v>231</v>
      </c>
      <c r="AT17" s="237" t="s">
        <v>1107</v>
      </c>
      <c r="AU17" s="237" t="s">
        <v>492</v>
      </c>
      <c r="AV17" s="237" t="s">
        <v>492</v>
      </c>
      <c r="AW17" s="237" t="s">
        <v>1107</v>
      </c>
      <c r="AX17" s="237" t="s">
        <v>1107</v>
      </c>
      <c r="AY17" s="237" t="s">
        <v>231</v>
      </c>
      <c r="AZ17" s="237" t="s">
        <v>231</v>
      </c>
      <c r="BA17" s="237" t="s">
        <v>1107</v>
      </c>
      <c r="BB17" s="237" t="s">
        <v>231</v>
      </c>
      <c r="BC17" s="237" t="s">
        <v>231</v>
      </c>
      <c r="BD17" s="237" t="s">
        <v>231</v>
      </c>
      <c r="BE17" s="237" t="s">
        <v>231</v>
      </c>
      <c r="BF17" s="237" t="s">
        <v>231</v>
      </c>
      <c r="BG17" s="237" t="s">
        <v>1107</v>
      </c>
      <c r="BH17" s="237" t="s">
        <v>1107</v>
      </c>
      <c r="BI17" s="237" t="s">
        <v>1107</v>
      </c>
      <c r="BJ17" s="237" t="s">
        <v>231</v>
      </c>
      <c r="BK17" s="237" t="s">
        <v>231</v>
      </c>
      <c r="BL17" s="237" t="s">
        <v>1107</v>
      </c>
      <c r="BM17" s="237" t="s">
        <v>231</v>
      </c>
      <c r="BN17" s="237" t="s">
        <v>1107</v>
      </c>
      <c r="BO17" s="237" t="s">
        <v>1107</v>
      </c>
      <c r="BP17" s="237" t="s">
        <v>1107</v>
      </c>
      <c r="BQ17" s="237" t="s">
        <v>1107</v>
      </c>
      <c r="BR17" s="237" t="s">
        <v>231</v>
      </c>
      <c r="BS17" s="237" t="s">
        <v>1107</v>
      </c>
      <c r="BT17" s="237" t="s">
        <v>1107</v>
      </c>
      <c r="BU17" s="237" t="s">
        <v>1107</v>
      </c>
      <c r="BV17" s="237" t="s">
        <v>1107</v>
      </c>
      <c r="BW17" s="237" t="s">
        <v>1107</v>
      </c>
      <c r="BX17" s="237" t="s">
        <v>1107</v>
      </c>
      <c r="BY17" s="237" t="s">
        <v>1107</v>
      </c>
      <c r="BZ17" s="237" t="s">
        <v>232</v>
      </c>
      <c r="CA17" s="237" t="s">
        <v>232</v>
      </c>
      <c r="CB17" s="237" t="s">
        <v>232</v>
      </c>
      <c r="CC17" s="237" t="s">
        <v>492</v>
      </c>
      <c r="CD17" s="237" t="s">
        <v>492</v>
      </c>
      <c r="CE17" s="237" t="s">
        <v>492</v>
      </c>
      <c r="CF17" s="237" t="s">
        <v>1107</v>
      </c>
      <c r="CG17" s="237" t="s">
        <v>1107</v>
      </c>
      <c r="CH17" s="237" t="s">
        <v>1107</v>
      </c>
      <c r="CI17" s="237" t="s">
        <v>1107</v>
      </c>
      <c r="CJ17" s="237" t="s">
        <v>1107</v>
      </c>
      <c r="CK17" s="237" t="s">
        <v>1107</v>
      </c>
      <c r="CL17" s="237" t="s">
        <v>1107</v>
      </c>
      <c r="CM17" s="237" t="s">
        <v>1107</v>
      </c>
      <c r="CN17" s="237" t="s">
        <v>1107</v>
      </c>
      <c r="CO17" s="237" t="s">
        <v>1107</v>
      </c>
      <c r="CP17" s="237" t="s">
        <v>232</v>
      </c>
      <c r="CQ17" s="237" t="s">
        <v>232</v>
      </c>
      <c r="CR17" s="237" t="s">
        <v>232</v>
      </c>
      <c r="CS17" s="237" t="s">
        <v>232</v>
      </c>
      <c r="CT17" s="237" t="s">
        <v>231</v>
      </c>
      <c r="CU17" s="237" t="s">
        <v>232</v>
      </c>
      <c r="CV17" s="237" t="s">
        <v>231</v>
      </c>
      <c r="CW17" s="237" t="s">
        <v>231</v>
      </c>
      <c r="CX17" s="237" t="s">
        <v>231</v>
      </c>
      <c r="CY17" s="237" t="s">
        <v>231</v>
      </c>
      <c r="CZ17" s="237" t="s">
        <v>231</v>
      </c>
      <c r="DA17" s="237" t="s">
        <v>231</v>
      </c>
      <c r="DB17" s="237" t="s">
        <v>231</v>
      </c>
      <c r="DC17" s="237" t="s">
        <v>492</v>
      </c>
      <c r="DD17" s="237" t="s">
        <v>231</v>
      </c>
      <c r="DE17" s="237" t="s">
        <v>492</v>
      </c>
      <c r="DF17" s="237" t="s">
        <v>492</v>
      </c>
      <c r="DG17" s="237" t="s">
        <v>492</v>
      </c>
      <c r="DH17" s="237" t="s">
        <v>492</v>
      </c>
      <c r="DI17" s="237" t="s">
        <v>492</v>
      </c>
      <c r="DJ17" s="237" t="s">
        <v>492</v>
      </c>
      <c r="DK17" s="237" t="s">
        <v>492</v>
      </c>
      <c r="DL17" s="237" t="s">
        <v>492</v>
      </c>
      <c r="DM17" s="237" t="s">
        <v>492</v>
      </c>
      <c r="DN17" s="237" t="s">
        <v>492</v>
      </c>
      <c r="DO17" s="237" t="s">
        <v>492</v>
      </c>
      <c r="DP17" s="237" t="s">
        <v>492</v>
      </c>
      <c r="DQ17" s="237" t="s">
        <v>492</v>
      </c>
      <c r="DR17" s="237" t="s">
        <v>492</v>
      </c>
      <c r="DS17" s="237" t="s">
        <v>232</v>
      </c>
      <c r="DT17" s="237" t="s">
        <v>232</v>
      </c>
      <c r="DU17" s="237" t="s">
        <v>231</v>
      </c>
      <c r="DV17" s="237" t="s">
        <v>232</v>
      </c>
      <c r="DW17" s="237" t="s">
        <v>232</v>
      </c>
      <c r="DX17" s="237" t="s">
        <v>231</v>
      </c>
      <c r="DY17" s="237" t="s">
        <v>231</v>
      </c>
      <c r="DZ17" s="237" t="s">
        <v>231</v>
      </c>
      <c r="EA17" s="237" t="s">
        <v>232</v>
      </c>
      <c r="EB17" s="237" t="s">
        <v>232</v>
      </c>
      <c r="EC17" s="237" t="s">
        <v>231</v>
      </c>
      <c r="ED17" s="237" t="s">
        <v>232</v>
      </c>
      <c r="EE17" s="237" t="s">
        <v>232</v>
      </c>
      <c r="EF17" s="237" t="s">
        <v>231</v>
      </c>
      <c r="EG17" s="237" t="s">
        <v>231</v>
      </c>
      <c r="EH17" s="237" t="s">
        <v>232</v>
      </c>
      <c r="EI17" s="237" t="s">
        <v>231</v>
      </c>
      <c r="EJ17" s="237" t="s">
        <v>231</v>
      </c>
      <c r="EK17" s="237" t="s">
        <v>231</v>
      </c>
      <c r="EL17" s="237" t="s">
        <v>231</v>
      </c>
      <c r="EM17" s="237" t="s">
        <v>231</v>
      </c>
      <c r="EN17" s="237" t="s">
        <v>232</v>
      </c>
      <c r="EO17" s="237" t="s">
        <v>231</v>
      </c>
      <c r="EP17" s="237" t="s">
        <v>492</v>
      </c>
      <c r="EQ17" s="237" t="s">
        <v>492</v>
      </c>
      <c r="ER17" s="237" t="s">
        <v>492</v>
      </c>
      <c r="ES17" s="237" t="s">
        <v>492</v>
      </c>
      <c r="ET17" s="237" t="s">
        <v>492</v>
      </c>
      <c r="EU17" s="237" t="s">
        <v>492</v>
      </c>
      <c r="EV17" s="237" t="s">
        <v>232</v>
      </c>
      <c r="EW17" s="237" t="s">
        <v>492</v>
      </c>
      <c r="EX17" s="237" t="s">
        <v>492</v>
      </c>
      <c r="EY17" s="237" t="s">
        <v>492</v>
      </c>
      <c r="EZ17" s="237" t="s">
        <v>1107</v>
      </c>
      <c r="FA17" s="237" t="s">
        <v>1107</v>
      </c>
      <c r="FB17" s="237" t="s">
        <v>1107</v>
      </c>
      <c r="FC17" s="237" t="s">
        <v>1107</v>
      </c>
      <c r="FD17" s="237" t="s">
        <v>1107</v>
      </c>
      <c r="FE17" s="237" t="s">
        <v>1107</v>
      </c>
      <c r="FF17" s="237" t="s">
        <v>1107</v>
      </c>
      <c r="FG17" s="237" t="s">
        <v>492</v>
      </c>
      <c r="FH17" s="237" t="s">
        <v>1107</v>
      </c>
      <c r="FI17" s="237" t="s">
        <v>1107</v>
      </c>
      <c r="FJ17" s="237" t="s">
        <v>1107</v>
      </c>
      <c r="FK17" s="237" t="s">
        <v>1107</v>
      </c>
      <c r="FL17" s="237" t="s">
        <v>1107</v>
      </c>
      <c r="FM17" s="237" t="s">
        <v>1107</v>
      </c>
      <c r="FN17" s="237" t="s">
        <v>1107</v>
      </c>
      <c r="FO17" s="237" t="s">
        <v>1107</v>
      </c>
      <c r="FP17" s="237" t="s">
        <v>1107</v>
      </c>
      <c r="FQ17" s="237" t="s">
        <v>1107</v>
      </c>
      <c r="FR17" s="237" t="s">
        <v>1107</v>
      </c>
      <c r="FS17" s="237" t="s">
        <v>1107</v>
      </c>
      <c r="FT17" s="237" t="s">
        <v>1107</v>
      </c>
      <c r="FU17" s="237" t="s">
        <v>1107</v>
      </c>
      <c r="FV17" s="237" t="s">
        <v>1107</v>
      </c>
      <c r="FW17" s="237" t="s">
        <v>1107</v>
      </c>
      <c r="FX17" s="237" t="s">
        <v>1107</v>
      </c>
      <c r="FY17" s="237" t="s">
        <v>492</v>
      </c>
      <c r="FZ17" s="237" t="s">
        <v>1107</v>
      </c>
      <c r="GA17" s="237" t="s">
        <v>1107</v>
      </c>
      <c r="GB17" s="237" t="s">
        <v>1107</v>
      </c>
      <c r="GC17" s="237" t="s">
        <v>1107</v>
      </c>
      <c r="GD17" s="237" t="s">
        <v>1107</v>
      </c>
      <c r="GE17" s="237" t="s">
        <v>1107</v>
      </c>
      <c r="GF17" s="237" t="s">
        <v>1107</v>
      </c>
      <c r="GG17" s="237" t="s">
        <v>1107</v>
      </c>
      <c r="GH17" s="237" t="s">
        <v>1107</v>
      </c>
      <c r="GI17" s="237" t="s">
        <v>1107</v>
      </c>
      <c r="GJ17" s="237" t="s">
        <v>1107</v>
      </c>
      <c r="GK17" s="237" t="s">
        <v>1107</v>
      </c>
      <c r="GL17" s="237" t="s">
        <v>1107</v>
      </c>
      <c r="GM17" s="237" t="s">
        <v>1107</v>
      </c>
      <c r="GN17" s="237" t="s">
        <v>1107</v>
      </c>
      <c r="GO17" s="237" t="s">
        <v>1107</v>
      </c>
      <c r="GP17" s="237" t="s">
        <v>1107</v>
      </c>
      <c r="GQ17" s="237" t="s">
        <v>1107</v>
      </c>
      <c r="GR17" s="237" t="s">
        <v>1107</v>
      </c>
      <c r="GS17" s="237" t="s">
        <v>1107</v>
      </c>
      <c r="GT17" s="237" t="s">
        <v>1107</v>
      </c>
      <c r="GU17" s="237" t="s">
        <v>1107</v>
      </c>
      <c r="GV17" s="237" t="s">
        <v>1107</v>
      </c>
      <c r="GW17" s="237" t="s">
        <v>1107</v>
      </c>
      <c r="GX17" s="237" t="s">
        <v>1107</v>
      </c>
      <c r="GY17" s="237" t="s">
        <v>1107</v>
      </c>
      <c r="GZ17" s="237" t="s">
        <v>1107</v>
      </c>
      <c r="HA17" s="237" t="s">
        <v>1107</v>
      </c>
      <c r="HB17" s="237" t="s">
        <v>1107</v>
      </c>
      <c r="HC17" s="237" t="s">
        <v>1107</v>
      </c>
      <c r="HD17" s="237" t="s">
        <v>1107</v>
      </c>
      <c r="HE17" s="237" t="s">
        <v>1107</v>
      </c>
      <c r="HF17" s="237" t="s">
        <v>1107</v>
      </c>
      <c r="HG17" s="237" t="s">
        <v>1107</v>
      </c>
      <c r="HH17" s="237" t="s">
        <v>1107</v>
      </c>
      <c r="HI17" s="237" t="s">
        <v>1107</v>
      </c>
      <c r="HJ17" s="237" t="s">
        <v>1107</v>
      </c>
      <c r="HK17" s="237" t="s">
        <v>1107</v>
      </c>
      <c r="HL17" s="237" t="s">
        <v>1107</v>
      </c>
      <c r="HM17" s="237" t="s">
        <v>1107</v>
      </c>
      <c r="HN17" s="237" t="s">
        <v>1107</v>
      </c>
      <c r="HO17" s="237" t="s">
        <v>1107</v>
      </c>
      <c r="HP17" s="237" t="s">
        <v>1107</v>
      </c>
      <c r="HQ17" s="237" t="s">
        <v>1107</v>
      </c>
      <c r="HR17" s="237" t="s">
        <v>1107</v>
      </c>
      <c r="HS17" s="237" t="s">
        <v>1107</v>
      </c>
      <c r="HT17" s="237" t="s">
        <v>232</v>
      </c>
      <c r="HU17" s="237" t="s">
        <v>232</v>
      </c>
      <c r="HV17" s="237" t="s">
        <v>232</v>
      </c>
      <c r="HW17" s="237" t="s">
        <v>232</v>
      </c>
      <c r="HX17" s="237" t="s">
        <v>220</v>
      </c>
      <c r="HY17" s="237" t="s">
        <v>493</v>
      </c>
      <c r="HZ17" s="237" t="s">
        <v>219</v>
      </c>
      <c r="IA17" s="237" t="s">
        <v>490</v>
      </c>
      <c r="IB17" s="237" t="s">
        <v>492</v>
      </c>
      <c r="IC17" s="237" t="s">
        <v>492</v>
      </c>
    </row>
    <row r="18" spans="1:237" ht="15" x14ac:dyDescent="0.25">
      <c r="A18" s="244" t="str">
        <f>HYPERLINK("http://www.ofsted.gov.uk/inspection-reports/find-inspection-report/provider/ELS/135091 ","Ofsted School Webpage")</f>
        <v>Ofsted School Webpage</v>
      </c>
      <c r="B18" s="240">
        <v>135091</v>
      </c>
      <c r="C18" s="240">
        <v>3166067</v>
      </c>
      <c r="D18" s="240" t="s">
        <v>1137</v>
      </c>
      <c r="E18" s="240" t="s">
        <v>247</v>
      </c>
      <c r="F18" s="240" t="s">
        <v>506</v>
      </c>
      <c r="G18" s="240" t="s">
        <v>506</v>
      </c>
      <c r="H18" s="240" t="s">
        <v>799</v>
      </c>
      <c r="I18" s="240" t="s">
        <v>1138</v>
      </c>
      <c r="J18" s="240" t="s">
        <v>71</v>
      </c>
      <c r="K18" s="240" t="s">
        <v>71</v>
      </c>
      <c r="L18" s="240" t="s">
        <v>71</v>
      </c>
      <c r="M18" s="240" t="s">
        <v>71</v>
      </c>
      <c r="N18" s="240" t="s">
        <v>486</v>
      </c>
      <c r="O18" s="240" t="s">
        <v>487</v>
      </c>
      <c r="P18" s="240">
        <v>10056323</v>
      </c>
      <c r="Q18" s="242">
        <v>43354</v>
      </c>
      <c r="R18" s="242">
        <v>43354</v>
      </c>
      <c r="S18" s="242">
        <v>43402</v>
      </c>
      <c r="T18" s="240" t="s">
        <v>1109</v>
      </c>
      <c r="U18" s="240" t="s">
        <v>1105</v>
      </c>
      <c r="V18" s="240" t="s">
        <v>512</v>
      </c>
      <c r="W18" s="240" t="s">
        <v>490</v>
      </c>
      <c r="X18" s="240" t="s">
        <v>486</v>
      </c>
      <c r="Y18" s="240" t="s">
        <v>486</v>
      </c>
      <c r="Z18" s="240" t="s">
        <v>486</v>
      </c>
      <c r="AA18" s="240" t="s">
        <v>486</v>
      </c>
      <c r="AB18" s="240" t="s">
        <v>486</v>
      </c>
      <c r="AC18" s="240" t="s">
        <v>486</v>
      </c>
      <c r="AD18" s="240" t="s">
        <v>1136</v>
      </c>
      <c r="AE18" s="240" t="s">
        <v>1107</v>
      </c>
      <c r="AF18" s="240" t="s">
        <v>1107</v>
      </c>
      <c r="AG18" s="240" t="s">
        <v>1107</v>
      </c>
      <c r="AH18" s="240" t="s">
        <v>1107</v>
      </c>
      <c r="AI18" s="240" t="s">
        <v>1107</v>
      </c>
      <c r="AJ18" s="240" t="s">
        <v>231</v>
      </c>
      <c r="AK18" s="240" t="s">
        <v>1107</v>
      </c>
      <c r="AL18" s="240" t="s">
        <v>1107</v>
      </c>
      <c r="AM18" s="240" t="s">
        <v>1107</v>
      </c>
      <c r="AN18" s="240" t="s">
        <v>1107</v>
      </c>
      <c r="AO18" s="240" t="s">
        <v>1107</v>
      </c>
      <c r="AP18" s="240" t="s">
        <v>1107</v>
      </c>
      <c r="AQ18" s="240" t="s">
        <v>231</v>
      </c>
      <c r="AR18" s="240" t="s">
        <v>231</v>
      </c>
      <c r="AS18" s="240" t="s">
        <v>231</v>
      </c>
      <c r="AT18" s="240" t="s">
        <v>231</v>
      </c>
      <c r="AU18" s="240" t="s">
        <v>1107</v>
      </c>
      <c r="AV18" s="240" t="s">
        <v>1107</v>
      </c>
      <c r="AW18" s="240" t="s">
        <v>1107</v>
      </c>
      <c r="AX18" s="240" t="s">
        <v>1107</v>
      </c>
      <c r="AY18" s="240" t="s">
        <v>232</v>
      </c>
      <c r="AZ18" s="240" t="s">
        <v>1107</v>
      </c>
      <c r="BA18" s="240" t="s">
        <v>1107</v>
      </c>
      <c r="BB18" s="240" t="s">
        <v>1107</v>
      </c>
      <c r="BC18" s="240" t="s">
        <v>1107</v>
      </c>
      <c r="BD18" s="240" t="s">
        <v>1107</v>
      </c>
      <c r="BE18" s="240" t="s">
        <v>232</v>
      </c>
      <c r="BF18" s="240" t="s">
        <v>1107</v>
      </c>
      <c r="BG18" s="240" t="s">
        <v>1107</v>
      </c>
      <c r="BH18" s="240" t="s">
        <v>1107</v>
      </c>
      <c r="BI18" s="240" t="s">
        <v>1107</v>
      </c>
      <c r="BJ18" s="240" t="s">
        <v>1107</v>
      </c>
      <c r="BK18" s="240" t="s">
        <v>1107</v>
      </c>
      <c r="BL18" s="240" t="s">
        <v>1107</v>
      </c>
      <c r="BM18" s="240" t="s">
        <v>1107</v>
      </c>
      <c r="BN18" s="240" t="s">
        <v>1107</v>
      </c>
      <c r="BO18" s="240" t="s">
        <v>1107</v>
      </c>
      <c r="BP18" s="240" t="s">
        <v>1107</v>
      </c>
      <c r="BQ18" s="240" t="s">
        <v>1107</v>
      </c>
      <c r="BR18" s="240" t="s">
        <v>1107</v>
      </c>
      <c r="BS18" s="240" t="s">
        <v>1107</v>
      </c>
      <c r="BT18" s="240" t="s">
        <v>1107</v>
      </c>
      <c r="BU18" s="240" t="s">
        <v>1107</v>
      </c>
      <c r="BV18" s="240" t="s">
        <v>1107</v>
      </c>
      <c r="BW18" s="240" t="s">
        <v>1107</v>
      </c>
      <c r="BX18" s="240" t="s">
        <v>1107</v>
      </c>
      <c r="BY18" s="240" t="s">
        <v>1107</v>
      </c>
      <c r="BZ18" s="240" t="s">
        <v>232</v>
      </c>
      <c r="CA18" s="240" t="s">
        <v>232</v>
      </c>
      <c r="CB18" s="240" t="s">
        <v>232</v>
      </c>
      <c r="CC18" s="240" t="s">
        <v>492</v>
      </c>
      <c r="CD18" s="240" t="s">
        <v>492</v>
      </c>
      <c r="CE18" s="240" t="s">
        <v>492</v>
      </c>
      <c r="CF18" s="240" t="s">
        <v>232</v>
      </c>
      <c r="CG18" s="240" t="s">
        <v>232</v>
      </c>
      <c r="CH18" s="240" t="s">
        <v>232</v>
      </c>
      <c r="CI18" s="240" t="s">
        <v>231</v>
      </c>
      <c r="CJ18" s="240" t="s">
        <v>231</v>
      </c>
      <c r="CK18" s="240" t="s">
        <v>1107</v>
      </c>
      <c r="CL18" s="240" t="s">
        <v>1107</v>
      </c>
      <c r="CM18" s="240" t="s">
        <v>1107</v>
      </c>
      <c r="CN18" s="240" t="s">
        <v>1107</v>
      </c>
      <c r="CO18" s="240" t="s">
        <v>232</v>
      </c>
      <c r="CP18" s="240" t="s">
        <v>1107</v>
      </c>
      <c r="CQ18" s="240" t="s">
        <v>1107</v>
      </c>
      <c r="CR18" s="240" t="s">
        <v>1107</v>
      </c>
      <c r="CS18" s="240" t="s">
        <v>231</v>
      </c>
      <c r="CT18" s="240" t="s">
        <v>1107</v>
      </c>
      <c r="CU18" s="240" t="s">
        <v>231</v>
      </c>
      <c r="CV18" s="240" t="s">
        <v>1107</v>
      </c>
      <c r="CW18" s="240" t="s">
        <v>1107</v>
      </c>
      <c r="CX18" s="240" t="s">
        <v>1107</v>
      </c>
      <c r="CY18" s="240" t="s">
        <v>1107</v>
      </c>
      <c r="CZ18" s="240" t="s">
        <v>1107</v>
      </c>
      <c r="DA18" s="240" t="s">
        <v>1107</v>
      </c>
      <c r="DB18" s="240" t="s">
        <v>1107</v>
      </c>
      <c r="DC18" s="240" t="s">
        <v>1107</v>
      </c>
      <c r="DD18" s="240" t="s">
        <v>1107</v>
      </c>
      <c r="DE18" s="240" t="s">
        <v>1107</v>
      </c>
      <c r="DF18" s="240" t="s">
        <v>1107</v>
      </c>
      <c r="DG18" s="240" t="s">
        <v>1107</v>
      </c>
      <c r="DH18" s="240" t="s">
        <v>1107</v>
      </c>
      <c r="DI18" s="240" t="s">
        <v>1107</v>
      </c>
      <c r="DJ18" s="240" t="s">
        <v>1107</v>
      </c>
      <c r="DK18" s="240" t="s">
        <v>1107</v>
      </c>
      <c r="DL18" s="240" t="s">
        <v>1107</v>
      </c>
      <c r="DM18" s="240" t="s">
        <v>1107</v>
      </c>
      <c r="DN18" s="240" t="s">
        <v>1107</v>
      </c>
      <c r="DO18" s="240" t="s">
        <v>1107</v>
      </c>
      <c r="DP18" s="240" t="s">
        <v>1107</v>
      </c>
      <c r="DQ18" s="240" t="s">
        <v>1107</v>
      </c>
      <c r="DR18" s="240" t="s">
        <v>1107</v>
      </c>
      <c r="DS18" s="240" t="s">
        <v>231</v>
      </c>
      <c r="DT18" s="240" t="s">
        <v>231</v>
      </c>
      <c r="DU18" s="240" t="s">
        <v>1107</v>
      </c>
      <c r="DV18" s="240" t="s">
        <v>231</v>
      </c>
      <c r="DW18" s="240" t="s">
        <v>231</v>
      </c>
      <c r="DX18" s="240" t="s">
        <v>231</v>
      </c>
      <c r="DY18" s="240" t="s">
        <v>231</v>
      </c>
      <c r="DZ18" s="240" t="s">
        <v>231</v>
      </c>
      <c r="EA18" s="240" t="s">
        <v>1107</v>
      </c>
      <c r="EB18" s="240" t="s">
        <v>231</v>
      </c>
      <c r="EC18" s="240" t="s">
        <v>231</v>
      </c>
      <c r="ED18" s="240" t="s">
        <v>231</v>
      </c>
      <c r="EE18" s="240" t="s">
        <v>231</v>
      </c>
      <c r="EF18" s="240" t="s">
        <v>231</v>
      </c>
      <c r="EG18" s="240" t="s">
        <v>231</v>
      </c>
      <c r="EH18" s="240" t="s">
        <v>231</v>
      </c>
      <c r="EI18" s="240" t="s">
        <v>231</v>
      </c>
      <c r="EJ18" s="240" t="s">
        <v>231</v>
      </c>
      <c r="EK18" s="240" t="s">
        <v>231</v>
      </c>
      <c r="EL18" s="240" t="s">
        <v>231</v>
      </c>
      <c r="EM18" s="240" t="s">
        <v>231</v>
      </c>
      <c r="EN18" s="240" t="s">
        <v>231</v>
      </c>
      <c r="EO18" s="240" t="s">
        <v>231</v>
      </c>
      <c r="EP18" s="240" t="s">
        <v>1107</v>
      </c>
      <c r="EQ18" s="240" t="s">
        <v>1107</v>
      </c>
      <c r="ER18" s="240" t="s">
        <v>1107</v>
      </c>
      <c r="ES18" s="240" t="s">
        <v>1107</v>
      </c>
      <c r="ET18" s="240" t="s">
        <v>1107</v>
      </c>
      <c r="EU18" s="240" t="s">
        <v>1107</v>
      </c>
      <c r="EV18" s="240" t="s">
        <v>231</v>
      </c>
      <c r="EW18" s="240" t="s">
        <v>231</v>
      </c>
      <c r="EX18" s="240" t="s">
        <v>231</v>
      </c>
      <c r="EY18" s="240" t="s">
        <v>231</v>
      </c>
      <c r="EZ18" s="240" t="s">
        <v>1107</v>
      </c>
      <c r="FA18" s="240" t="s">
        <v>1107</v>
      </c>
      <c r="FB18" s="240" t="s">
        <v>1107</v>
      </c>
      <c r="FC18" s="240" t="s">
        <v>1107</v>
      </c>
      <c r="FD18" s="240" t="s">
        <v>1107</v>
      </c>
      <c r="FE18" s="240" t="s">
        <v>1107</v>
      </c>
      <c r="FF18" s="240" t="s">
        <v>1107</v>
      </c>
      <c r="FG18" s="240" t="s">
        <v>492</v>
      </c>
      <c r="FH18" s="240" t="s">
        <v>1107</v>
      </c>
      <c r="FI18" s="240" t="s">
        <v>231</v>
      </c>
      <c r="FJ18" s="240" t="s">
        <v>1107</v>
      </c>
      <c r="FK18" s="240" t="s">
        <v>1107</v>
      </c>
      <c r="FL18" s="240" t="s">
        <v>1107</v>
      </c>
      <c r="FM18" s="240" t="s">
        <v>1107</v>
      </c>
      <c r="FN18" s="240" t="s">
        <v>1107</v>
      </c>
      <c r="FO18" s="240" t="s">
        <v>1107</v>
      </c>
      <c r="FP18" s="240" t="s">
        <v>1107</v>
      </c>
      <c r="FQ18" s="240" t="s">
        <v>1107</v>
      </c>
      <c r="FR18" s="240" t="s">
        <v>1107</v>
      </c>
      <c r="FS18" s="240" t="s">
        <v>1107</v>
      </c>
      <c r="FT18" s="240" t="s">
        <v>1107</v>
      </c>
      <c r="FU18" s="240" t="s">
        <v>1107</v>
      </c>
      <c r="FV18" s="240" t="s">
        <v>232</v>
      </c>
      <c r="FW18" s="240" t="s">
        <v>1107</v>
      </c>
      <c r="FX18" s="240" t="s">
        <v>232</v>
      </c>
      <c r="FY18" s="240" t="s">
        <v>492</v>
      </c>
      <c r="FZ18" s="240" t="s">
        <v>232</v>
      </c>
      <c r="GA18" s="240" t="s">
        <v>232</v>
      </c>
      <c r="GB18" s="240" t="s">
        <v>232</v>
      </c>
      <c r="GC18" s="240" t="s">
        <v>231</v>
      </c>
      <c r="GD18" s="240" t="s">
        <v>1107</v>
      </c>
      <c r="GE18" s="240" t="s">
        <v>1107</v>
      </c>
      <c r="GF18" s="240" t="s">
        <v>1107</v>
      </c>
      <c r="GG18" s="240" t="s">
        <v>1107</v>
      </c>
      <c r="GH18" s="240" t="s">
        <v>1107</v>
      </c>
      <c r="GI18" s="240" t="s">
        <v>1107</v>
      </c>
      <c r="GJ18" s="240" t="s">
        <v>1107</v>
      </c>
      <c r="GK18" s="240" t="s">
        <v>232</v>
      </c>
      <c r="GL18" s="240" t="s">
        <v>1107</v>
      </c>
      <c r="GM18" s="240" t="s">
        <v>231</v>
      </c>
      <c r="GN18" s="240" t="s">
        <v>492</v>
      </c>
      <c r="GO18" s="240" t="s">
        <v>231</v>
      </c>
      <c r="GP18" s="240" t="s">
        <v>232</v>
      </c>
      <c r="GQ18" s="240" t="s">
        <v>1107</v>
      </c>
      <c r="GR18" s="240" t="s">
        <v>232</v>
      </c>
      <c r="GS18" s="240" t="s">
        <v>1107</v>
      </c>
      <c r="GT18" s="240" t="s">
        <v>232</v>
      </c>
      <c r="GU18" s="240" t="s">
        <v>1107</v>
      </c>
      <c r="GV18" s="240" t="s">
        <v>1107</v>
      </c>
      <c r="GW18" s="240" t="s">
        <v>1107</v>
      </c>
      <c r="GX18" s="240" t="s">
        <v>1107</v>
      </c>
      <c r="GY18" s="240" t="s">
        <v>1107</v>
      </c>
      <c r="GZ18" s="240" t="s">
        <v>1107</v>
      </c>
      <c r="HA18" s="240" t="s">
        <v>1107</v>
      </c>
      <c r="HB18" s="240" t="s">
        <v>1107</v>
      </c>
      <c r="HC18" s="240" t="s">
        <v>1107</v>
      </c>
      <c r="HD18" s="240" t="s">
        <v>231</v>
      </c>
      <c r="HE18" s="240" t="s">
        <v>1107</v>
      </c>
      <c r="HF18" s="240" t="s">
        <v>1107</v>
      </c>
      <c r="HG18" s="240" t="s">
        <v>1107</v>
      </c>
      <c r="HH18" s="240" t="s">
        <v>1107</v>
      </c>
      <c r="HI18" s="240" t="s">
        <v>1107</v>
      </c>
      <c r="HJ18" s="240" t="s">
        <v>1107</v>
      </c>
      <c r="HK18" s="240" t="s">
        <v>1107</v>
      </c>
      <c r="HL18" s="240" t="s">
        <v>1107</v>
      </c>
      <c r="HM18" s="240" t="s">
        <v>1107</v>
      </c>
      <c r="HN18" s="240" t="s">
        <v>1107</v>
      </c>
      <c r="HO18" s="240" t="s">
        <v>1107</v>
      </c>
      <c r="HP18" s="240" t="s">
        <v>231</v>
      </c>
      <c r="HQ18" s="240" t="s">
        <v>231</v>
      </c>
      <c r="HR18" s="240" t="s">
        <v>1107</v>
      </c>
      <c r="HS18" s="240" t="s">
        <v>1107</v>
      </c>
      <c r="HT18" s="240" t="s">
        <v>232</v>
      </c>
      <c r="HU18" s="240" t="s">
        <v>232</v>
      </c>
      <c r="HV18" s="240" t="s">
        <v>232</v>
      </c>
      <c r="HW18" s="240" t="s">
        <v>232</v>
      </c>
      <c r="HX18" s="240" t="s">
        <v>220</v>
      </c>
      <c r="HY18" s="240" t="s">
        <v>493</v>
      </c>
      <c r="HZ18" s="240" t="s">
        <v>219</v>
      </c>
      <c r="IA18" s="240" t="s">
        <v>490</v>
      </c>
      <c r="IB18" s="240" t="s">
        <v>232</v>
      </c>
      <c r="IC18" s="240" t="s">
        <v>1107</v>
      </c>
    </row>
    <row r="19" spans="1:237" ht="15" x14ac:dyDescent="0.25">
      <c r="A19" s="243" t="str">
        <f>HYPERLINK("http://www.ofsted.gov.uk/inspection-reports/find-inspection-report/provider/ELS/137273 ","Ofsted School Webpage")</f>
        <v>Ofsted School Webpage</v>
      </c>
      <c r="B19" s="237">
        <v>137273</v>
      </c>
      <c r="C19" s="237">
        <v>3126003</v>
      </c>
      <c r="D19" s="237" t="s">
        <v>1139</v>
      </c>
      <c r="E19" s="237" t="s">
        <v>247</v>
      </c>
      <c r="F19" s="237" t="s">
        <v>506</v>
      </c>
      <c r="G19" s="237" t="s">
        <v>506</v>
      </c>
      <c r="H19" s="237" t="s">
        <v>813</v>
      </c>
      <c r="I19" s="237" t="s">
        <v>1140</v>
      </c>
      <c r="J19" s="237" t="s">
        <v>93</v>
      </c>
      <c r="K19" s="237" t="s">
        <v>84</v>
      </c>
      <c r="L19" s="237" t="s">
        <v>84</v>
      </c>
      <c r="M19" s="237" t="s">
        <v>84</v>
      </c>
      <c r="N19" s="237" t="s">
        <v>486</v>
      </c>
      <c r="O19" s="237" t="s">
        <v>487</v>
      </c>
      <c r="P19" s="237">
        <v>10055167</v>
      </c>
      <c r="Q19" s="239">
        <v>43360</v>
      </c>
      <c r="R19" s="239">
        <v>43360</v>
      </c>
      <c r="S19" s="239">
        <v>43395</v>
      </c>
      <c r="T19" s="237" t="s">
        <v>1109</v>
      </c>
      <c r="U19" s="237" t="s">
        <v>1105</v>
      </c>
      <c r="V19" s="237" t="s">
        <v>490</v>
      </c>
      <c r="W19" s="237" t="s">
        <v>486</v>
      </c>
      <c r="X19" s="237" t="s">
        <v>486</v>
      </c>
      <c r="Y19" s="237" t="s">
        <v>486</v>
      </c>
      <c r="Z19" s="237" t="s">
        <v>486</v>
      </c>
      <c r="AA19" s="237" t="s">
        <v>486</v>
      </c>
      <c r="AB19" s="237" t="s">
        <v>486</v>
      </c>
      <c r="AC19" s="237" t="s">
        <v>486</v>
      </c>
      <c r="AD19" s="237" t="s">
        <v>1110</v>
      </c>
      <c r="AE19" s="237" t="s">
        <v>1107</v>
      </c>
      <c r="AF19" s="237" t="s">
        <v>1107</v>
      </c>
      <c r="AG19" s="237" t="s">
        <v>1107</v>
      </c>
      <c r="AH19" s="237" t="s">
        <v>1107</v>
      </c>
      <c r="AI19" s="237" t="s">
        <v>1107</v>
      </c>
      <c r="AJ19" s="237" t="s">
        <v>1107</v>
      </c>
      <c r="AK19" s="237" t="s">
        <v>1107</v>
      </c>
      <c r="AL19" s="237" t="s">
        <v>1107</v>
      </c>
      <c r="AM19" s="237" t="s">
        <v>1107</v>
      </c>
      <c r="AN19" s="237" t="s">
        <v>1107</v>
      </c>
      <c r="AO19" s="237" t="s">
        <v>1107</v>
      </c>
      <c r="AP19" s="237" t="s">
        <v>1107</v>
      </c>
      <c r="AQ19" s="237" t="s">
        <v>1107</v>
      </c>
      <c r="AR19" s="237" t="s">
        <v>1107</v>
      </c>
      <c r="AS19" s="237" t="s">
        <v>1107</v>
      </c>
      <c r="AT19" s="237" t="s">
        <v>1107</v>
      </c>
      <c r="AU19" s="237" t="s">
        <v>1107</v>
      </c>
      <c r="AV19" s="237" t="s">
        <v>1107</v>
      </c>
      <c r="AW19" s="237" t="s">
        <v>1107</v>
      </c>
      <c r="AX19" s="237" t="s">
        <v>1107</v>
      </c>
      <c r="AY19" s="237" t="s">
        <v>1107</v>
      </c>
      <c r="AZ19" s="237" t="s">
        <v>1107</v>
      </c>
      <c r="BA19" s="237" t="s">
        <v>1107</v>
      </c>
      <c r="BB19" s="237" t="s">
        <v>1107</v>
      </c>
      <c r="BC19" s="237" t="s">
        <v>1107</v>
      </c>
      <c r="BD19" s="237" t="s">
        <v>1107</v>
      </c>
      <c r="BE19" s="237" t="s">
        <v>1107</v>
      </c>
      <c r="BF19" s="237" t="s">
        <v>1107</v>
      </c>
      <c r="BG19" s="237" t="s">
        <v>1107</v>
      </c>
      <c r="BH19" s="237" t="s">
        <v>1107</v>
      </c>
      <c r="BI19" s="237" t="s">
        <v>1107</v>
      </c>
      <c r="BJ19" s="237" t="s">
        <v>1107</v>
      </c>
      <c r="BK19" s="237" t="s">
        <v>1107</v>
      </c>
      <c r="BL19" s="237" t="s">
        <v>1107</v>
      </c>
      <c r="BM19" s="237" t="s">
        <v>1107</v>
      </c>
      <c r="BN19" s="237" t="s">
        <v>1107</v>
      </c>
      <c r="BO19" s="237" t="s">
        <v>1107</v>
      </c>
      <c r="BP19" s="237" t="s">
        <v>1107</v>
      </c>
      <c r="BQ19" s="237" t="s">
        <v>1107</v>
      </c>
      <c r="BR19" s="237" t="s">
        <v>1107</v>
      </c>
      <c r="BS19" s="237" t="s">
        <v>1107</v>
      </c>
      <c r="BT19" s="237" t="s">
        <v>1107</v>
      </c>
      <c r="BU19" s="237" t="s">
        <v>1107</v>
      </c>
      <c r="BV19" s="237" t="s">
        <v>1107</v>
      </c>
      <c r="BW19" s="237" t="s">
        <v>1107</v>
      </c>
      <c r="BX19" s="237" t="s">
        <v>1107</v>
      </c>
      <c r="BY19" s="237" t="s">
        <v>1107</v>
      </c>
      <c r="BZ19" s="237" t="s">
        <v>231</v>
      </c>
      <c r="CA19" s="237" t="s">
        <v>231</v>
      </c>
      <c r="CB19" s="237" t="s">
        <v>231</v>
      </c>
      <c r="CC19" s="237" t="s">
        <v>492</v>
      </c>
      <c r="CD19" s="237" t="s">
        <v>492</v>
      </c>
      <c r="CE19" s="237" t="s">
        <v>492</v>
      </c>
      <c r="CF19" s="237" t="s">
        <v>1107</v>
      </c>
      <c r="CG19" s="237" t="s">
        <v>1107</v>
      </c>
      <c r="CH19" s="237" t="s">
        <v>1107</v>
      </c>
      <c r="CI19" s="237" t="s">
        <v>1107</v>
      </c>
      <c r="CJ19" s="237" t="s">
        <v>1107</v>
      </c>
      <c r="CK19" s="237" t="s">
        <v>231</v>
      </c>
      <c r="CL19" s="237" t="s">
        <v>231</v>
      </c>
      <c r="CM19" s="237" t="s">
        <v>231</v>
      </c>
      <c r="CN19" s="237" t="s">
        <v>231</v>
      </c>
      <c r="CO19" s="237" t="s">
        <v>1107</v>
      </c>
      <c r="CP19" s="237" t="s">
        <v>231</v>
      </c>
      <c r="CQ19" s="237" t="s">
        <v>231</v>
      </c>
      <c r="CR19" s="237" t="s">
        <v>231</v>
      </c>
      <c r="CS19" s="237" t="s">
        <v>1107</v>
      </c>
      <c r="CT19" s="237" t="s">
        <v>1107</v>
      </c>
      <c r="CU19" s="237" t="s">
        <v>1107</v>
      </c>
      <c r="CV19" s="237" t="s">
        <v>1107</v>
      </c>
      <c r="CW19" s="237" t="s">
        <v>1107</v>
      </c>
      <c r="CX19" s="237" t="s">
        <v>1107</v>
      </c>
      <c r="CY19" s="237" t="s">
        <v>1107</v>
      </c>
      <c r="CZ19" s="237" t="s">
        <v>1107</v>
      </c>
      <c r="DA19" s="237" t="s">
        <v>1107</v>
      </c>
      <c r="DB19" s="237" t="s">
        <v>1107</v>
      </c>
      <c r="DC19" s="237" t="s">
        <v>1107</v>
      </c>
      <c r="DD19" s="237" t="s">
        <v>1107</v>
      </c>
      <c r="DE19" s="237" t="s">
        <v>1107</v>
      </c>
      <c r="DF19" s="237" t="s">
        <v>1107</v>
      </c>
      <c r="DG19" s="237" t="s">
        <v>1107</v>
      </c>
      <c r="DH19" s="237" t="s">
        <v>1107</v>
      </c>
      <c r="DI19" s="237" t="s">
        <v>1107</v>
      </c>
      <c r="DJ19" s="237" t="s">
        <v>1107</v>
      </c>
      <c r="DK19" s="237" t="s">
        <v>1107</v>
      </c>
      <c r="DL19" s="237" t="s">
        <v>1107</v>
      </c>
      <c r="DM19" s="237" t="s">
        <v>1107</v>
      </c>
      <c r="DN19" s="237" t="s">
        <v>1107</v>
      </c>
      <c r="DO19" s="237" t="s">
        <v>1107</v>
      </c>
      <c r="DP19" s="237" t="s">
        <v>1107</v>
      </c>
      <c r="DQ19" s="237" t="s">
        <v>1107</v>
      </c>
      <c r="DR19" s="237" t="s">
        <v>1107</v>
      </c>
      <c r="DS19" s="237" t="s">
        <v>1107</v>
      </c>
      <c r="DT19" s="237" t="s">
        <v>1107</v>
      </c>
      <c r="DU19" s="237" t="s">
        <v>1107</v>
      </c>
      <c r="DV19" s="237" t="s">
        <v>1107</v>
      </c>
      <c r="DW19" s="237" t="s">
        <v>1107</v>
      </c>
      <c r="DX19" s="237" t="s">
        <v>1107</v>
      </c>
      <c r="DY19" s="237" t="s">
        <v>1107</v>
      </c>
      <c r="DZ19" s="237" t="s">
        <v>1107</v>
      </c>
      <c r="EA19" s="237" t="s">
        <v>1107</v>
      </c>
      <c r="EB19" s="237" t="s">
        <v>1107</v>
      </c>
      <c r="EC19" s="237" t="s">
        <v>1107</v>
      </c>
      <c r="ED19" s="237" t="s">
        <v>1107</v>
      </c>
      <c r="EE19" s="237" t="s">
        <v>1107</v>
      </c>
      <c r="EF19" s="237" t="s">
        <v>1107</v>
      </c>
      <c r="EG19" s="237" t="s">
        <v>1107</v>
      </c>
      <c r="EH19" s="237" t="s">
        <v>1107</v>
      </c>
      <c r="EI19" s="237" t="s">
        <v>1107</v>
      </c>
      <c r="EJ19" s="237" t="s">
        <v>1107</v>
      </c>
      <c r="EK19" s="237" t="s">
        <v>1107</v>
      </c>
      <c r="EL19" s="237" t="s">
        <v>1107</v>
      </c>
      <c r="EM19" s="237" t="s">
        <v>1107</v>
      </c>
      <c r="EN19" s="237" t="s">
        <v>1107</v>
      </c>
      <c r="EO19" s="237" t="s">
        <v>1107</v>
      </c>
      <c r="EP19" s="237" t="s">
        <v>1107</v>
      </c>
      <c r="EQ19" s="237" t="s">
        <v>1107</v>
      </c>
      <c r="ER19" s="237" t="s">
        <v>1107</v>
      </c>
      <c r="ES19" s="237" t="s">
        <v>1107</v>
      </c>
      <c r="ET19" s="237" t="s">
        <v>1107</v>
      </c>
      <c r="EU19" s="237" t="s">
        <v>1107</v>
      </c>
      <c r="EV19" s="237" t="s">
        <v>1107</v>
      </c>
      <c r="EW19" s="237" t="s">
        <v>1107</v>
      </c>
      <c r="EX19" s="237" t="s">
        <v>1107</v>
      </c>
      <c r="EY19" s="237" t="s">
        <v>1107</v>
      </c>
      <c r="EZ19" s="237" t="s">
        <v>231</v>
      </c>
      <c r="FA19" s="237" t="s">
        <v>231</v>
      </c>
      <c r="FB19" s="237" t="s">
        <v>492</v>
      </c>
      <c r="FC19" s="237" t="s">
        <v>492</v>
      </c>
      <c r="FD19" s="237" t="s">
        <v>231</v>
      </c>
      <c r="FE19" s="237" t="s">
        <v>231</v>
      </c>
      <c r="FF19" s="237" t="s">
        <v>231</v>
      </c>
      <c r="FG19" s="237" t="s">
        <v>492</v>
      </c>
      <c r="FH19" s="237" t="s">
        <v>231</v>
      </c>
      <c r="FI19" s="237" t="s">
        <v>231</v>
      </c>
      <c r="FJ19" s="237" t="s">
        <v>231</v>
      </c>
      <c r="FK19" s="237" t="s">
        <v>231</v>
      </c>
      <c r="FL19" s="237" t="s">
        <v>231</v>
      </c>
      <c r="FM19" s="237" t="s">
        <v>231</v>
      </c>
      <c r="FN19" s="237" t="s">
        <v>231</v>
      </c>
      <c r="FO19" s="237" t="s">
        <v>231</v>
      </c>
      <c r="FP19" s="237" t="s">
        <v>231</v>
      </c>
      <c r="FQ19" s="237" t="s">
        <v>231</v>
      </c>
      <c r="FR19" s="237" t="s">
        <v>231</v>
      </c>
      <c r="FS19" s="237" t="s">
        <v>231</v>
      </c>
      <c r="FT19" s="237" t="s">
        <v>231</v>
      </c>
      <c r="FU19" s="237" t="s">
        <v>231</v>
      </c>
      <c r="FV19" s="237" t="s">
        <v>231</v>
      </c>
      <c r="FW19" s="237" t="s">
        <v>231</v>
      </c>
      <c r="FX19" s="237" t="s">
        <v>231</v>
      </c>
      <c r="FY19" s="237" t="s">
        <v>492</v>
      </c>
      <c r="FZ19" s="237" t="s">
        <v>231</v>
      </c>
      <c r="GA19" s="237" t="s">
        <v>1107</v>
      </c>
      <c r="GB19" s="237" t="s">
        <v>1107</v>
      </c>
      <c r="GC19" s="237" t="s">
        <v>231</v>
      </c>
      <c r="GD19" s="237" t="s">
        <v>1107</v>
      </c>
      <c r="GE19" s="237" t="s">
        <v>1107</v>
      </c>
      <c r="GF19" s="237" t="s">
        <v>1107</v>
      </c>
      <c r="GG19" s="237" t="s">
        <v>1107</v>
      </c>
      <c r="GH19" s="237" t="s">
        <v>1107</v>
      </c>
      <c r="GI19" s="237" t="s">
        <v>1107</v>
      </c>
      <c r="GJ19" s="237" t="s">
        <v>1107</v>
      </c>
      <c r="GK19" s="237" t="s">
        <v>1107</v>
      </c>
      <c r="GL19" s="237" t="s">
        <v>1107</v>
      </c>
      <c r="GM19" s="237" t="s">
        <v>1107</v>
      </c>
      <c r="GN19" s="237" t="s">
        <v>1107</v>
      </c>
      <c r="GO19" s="237" t="s">
        <v>1107</v>
      </c>
      <c r="GP19" s="237" t="s">
        <v>1107</v>
      </c>
      <c r="GQ19" s="237" t="s">
        <v>1107</v>
      </c>
      <c r="GR19" s="237" t="s">
        <v>1107</v>
      </c>
      <c r="GS19" s="237" t="s">
        <v>1107</v>
      </c>
      <c r="GT19" s="237" t="s">
        <v>1107</v>
      </c>
      <c r="GU19" s="237" t="s">
        <v>1107</v>
      </c>
      <c r="GV19" s="237" t="s">
        <v>1107</v>
      </c>
      <c r="GW19" s="237" t="s">
        <v>1107</v>
      </c>
      <c r="GX19" s="237" t="s">
        <v>1107</v>
      </c>
      <c r="GY19" s="237" t="s">
        <v>1107</v>
      </c>
      <c r="GZ19" s="237" t="s">
        <v>1107</v>
      </c>
      <c r="HA19" s="237" t="s">
        <v>1107</v>
      </c>
      <c r="HB19" s="237" t="s">
        <v>1107</v>
      </c>
      <c r="HC19" s="237" t="s">
        <v>1107</v>
      </c>
      <c r="HD19" s="237" t="s">
        <v>1107</v>
      </c>
      <c r="HE19" s="237" t="s">
        <v>1107</v>
      </c>
      <c r="HF19" s="237" t="s">
        <v>1107</v>
      </c>
      <c r="HG19" s="237" t="s">
        <v>1107</v>
      </c>
      <c r="HH19" s="237" t="s">
        <v>1107</v>
      </c>
      <c r="HI19" s="237" t="s">
        <v>1107</v>
      </c>
      <c r="HJ19" s="237" t="s">
        <v>1107</v>
      </c>
      <c r="HK19" s="237" t="s">
        <v>1107</v>
      </c>
      <c r="HL19" s="237" t="s">
        <v>1107</v>
      </c>
      <c r="HM19" s="237" t="s">
        <v>1107</v>
      </c>
      <c r="HN19" s="237" t="s">
        <v>1107</v>
      </c>
      <c r="HO19" s="237" t="s">
        <v>1107</v>
      </c>
      <c r="HP19" s="237" t="s">
        <v>1107</v>
      </c>
      <c r="HQ19" s="237" t="s">
        <v>1107</v>
      </c>
      <c r="HR19" s="237" t="s">
        <v>1107</v>
      </c>
      <c r="HS19" s="237" t="s">
        <v>1107</v>
      </c>
      <c r="HT19" s="237" t="s">
        <v>231</v>
      </c>
      <c r="HU19" s="237" t="s">
        <v>231</v>
      </c>
      <c r="HV19" s="237" t="s">
        <v>231</v>
      </c>
      <c r="HW19" s="237" t="s">
        <v>231</v>
      </c>
      <c r="HX19" s="237" t="s">
        <v>220</v>
      </c>
      <c r="HY19" s="237" t="s">
        <v>493</v>
      </c>
      <c r="HZ19" s="237" t="s">
        <v>219</v>
      </c>
      <c r="IA19" s="237" t="s">
        <v>486</v>
      </c>
      <c r="IB19" s="237" t="s">
        <v>231</v>
      </c>
      <c r="IC19" s="237" t="s">
        <v>1107</v>
      </c>
    </row>
    <row r="20" spans="1:237" ht="15" x14ac:dyDescent="0.25">
      <c r="A20" s="244" t="str">
        <f>HYPERLINK("http://www.ofsted.gov.uk/inspection-reports/find-inspection-report/provider/ELS/134398 ","Ofsted School Webpage")</f>
        <v>Ofsted School Webpage</v>
      </c>
      <c r="B20" s="240">
        <v>134398</v>
      </c>
      <c r="C20" s="240">
        <v>8816048</v>
      </c>
      <c r="D20" s="240" t="s">
        <v>1141</v>
      </c>
      <c r="E20" s="240" t="s">
        <v>248</v>
      </c>
      <c r="F20" s="240" t="s">
        <v>516</v>
      </c>
      <c r="G20" s="240" t="s">
        <v>516</v>
      </c>
      <c r="H20" s="240" t="s">
        <v>764</v>
      </c>
      <c r="I20" s="240" t="s">
        <v>1142</v>
      </c>
      <c r="J20" s="240" t="s">
        <v>93</v>
      </c>
      <c r="K20" s="240" t="s">
        <v>93</v>
      </c>
      <c r="L20" s="240" t="s">
        <v>93</v>
      </c>
      <c r="M20" s="240" t="s">
        <v>90</v>
      </c>
      <c r="N20" s="240" t="s">
        <v>486</v>
      </c>
      <c r="O20" s="240" t="s">
        <v>487</v>
      </c>
      <c r="P20" s="240">
        <v>10072703</v>
      </c>
      <c r="Q20" s="242">
        <v>43361</v>
      </c>
      <c r="R20" s="242">
        <v>43361</v>
      </c>
      <c r="S20" s="242">
        <v>43389</v>
      </c>
      <c r="T20" s="240" t="s">
        <v>1109</v>
      </c>
      <c r="U20" s="240" t="s">
        <v>1105</v>
      </c>
      <c r="V20" s="240" t="s">
        <v>490</v>
      </c>
      <c r="W20" s="240" t="s">
        <v>486</v>
      </c>
      <c r="X20" s="240" t="s">
        <v>486</v>
      </c>
      <c r="Y20" s="240" t="s">
        <v>486</v>
      </c>
      <c r="Z20" s="240" t="s">
        <v>486</v>
      </c>
      <c r="AA20" s="240" t="s">
        <v>486</v>
      </c>
      <c r="AB20" s="240" t="s">
        <v>486</v>
      </c>
      <c r="AC20" s="240" t="s">
        <v>486</v>
      </c>
      <c r="AD20" s="240" t="s">
        <v>1136</v>
      </c>
      <c r="AE20" s="240" t="s">
        <v>1107</v>
      </c>
      <c r="AF20" s="240" t="s">
        <v>1107</v>
      </c>
      <c r="AG20" s="240" t="s">
        <v>1107</v>
      </c>
      <c r="AH20" s="240" t="s">
        <v>1107</v>
      </c>
      <c r="AI20" s="240" t="s">
        <v>1107</v>
      </c>
      <c r="AJ20" s="240" t="s">
        <v>1107</v>
      </c>
      <c r="AK20" s="240" t="s">
        <v>1107</v>
      </c>
      <c r="AL20" s="240" t="s">
        <v>1107</v>
      </c>
      <c r="AM20" s="240" t="s">
        <v>1107</v>
      </c>
      <c r="AN20" s="240" t="s">
        <v>1107</v>
      </c>
      <c r="AO20" s="240" t="s">
        <v>1107</v>
      </c>
      <c r="AP20" s="240" t="s">
        <v>1107</v>
      </c>
      <c r="AQ20" s="240" t="s">
        <v>1107</v>
      </c>
      <c r="AR20" s="240" t="s">
        <v>1107</v>
      </c>
      <c r="AS20" s="240" t="s">
        <v>1107</v>
      </c>
      <c r="AT20" s="240" t="s">
        <v>1107</v>
      </c>
      <c r="AU20" s="240" t="s">
        <v>1107</v>
      </c>
      <c r="AV20" s="240" t="s">
        <v>1107</v>
      </c>
      <c r="AW20" s="240" t="s">
        <v>1107</v>
      </c>
      <c r="AX20" s="240" t="s">
        <v>1107</v>
      </c>
      <c r="AY20" s="240" t="s">
        <v>1107</v>
      </c>
      <c r="AZ20" s="240" t="s">
        <v>1107</v>
      </c>
      <c r="BA20" s="240" t="s">
        <v>1107</v>
      </c>
      <c r="BB20" s="240" t="s">
        <v>1107</v>
      </c>
      <c r="BC20" s="240" t="s">
        <v>1107</v>
      </c>
      <c r="BD20" s="240" t="s">
        <v>1107</v>
      </c>
      <c r="BE20" s="240" t="s">
        <v>1107</v>
      </c>
      <c r="BF20" s="240" t="s">
        <v>1107</v>
      </c>
      <c r="BG20" s="240" t="s">
        <v>1107</v>
      </c>
      <c r="BH20" s="240" t="s">
        <v>1107</v>
      </c>
      <c r="BI20" s="240" t="s">
        <v>1107</v>
      </c>
      <c r="BJ20" s="240" t="s">
        <v>1107</v>
      </c>
      <c r="BK20" s="240" t="s">
        <v>1107</v>
      </c>
      <c r="BL20" s="240" t="s">
        <v>1107</v>
      </c>
      <c r="BM20" s="240" t="s">
        <v>1107</v>
      </c>
      <c r="BN20" s="240" t="s">
        <v>1107</v>
      </c>
      <c r="BO20" s="240" t="s">
        <v>1107</v>
      </c>
      <c r="BP20" s="240" t="s">
        <v>1107</v>
      </c>
      <c r="BQ20" s="240" t="s">
        <v>1107</v>
      </c>
      <c r="BR20" s="240" t="s">
        <v>1107</v>
      </c>
      <c r="BS20" s="240" t="s">
        <v>1107</v>
      </c>
      <c r="BT20" s="240" t="s">
        <v>1107</v>
      </c>
      <c r="BU20" s="240" t="s">
        <v>1107</v>
      </c>
      <c r="BV20" s="240" t="s">
        <v>1107</v>
      </c>
      <c r="BW20" s="240" t="s">
        <v>1107</v>
      </c>
      <c r="BX20" s="240" t="s">
        <v>1107</v>
      </c>
      <c r="BY20" s="240" t="s">
        <v>1107</v>
      </c>
      <c r="BZ20" s="240" t="s">
        <v>232</v>
      </c>
      <c r="CA20" s="240" t="s">
        <v>232</v>
      </c>
      <c r="CB20" s="240" t="s">
        <v>232</v>
      </c>
      <c r="CC20" s="240" t="s">
        <v>1107</v>
      </c>
      <c r="CD20" s="240" t="s">
        <v>1107</v>
      </c>
      <c r="CE20" s="240" t="s">
        <v>1107</v>
      </c>
      <c r="CF20" s="240" t="s">
        <v>1107</v>
      </c>
      <c r="CG20" s="240" t="s">
        <v>1107</v>
      </c>
      <c r="CH20" s="240" t="s">
        <v>1107</v>
      </c>
      <c r="CI20" s="240" t="s">
        <v>1107</v>
      </c>
      <c r="CJ20" s="240" t="s">
        <v>1107</v>
      </c>
      <c r="CK20" s="240" t="s">
        <v>1107</v>
      </c>
      <c r="CL20" s="240" t="s">
        <v>1107</v>
      </c>
      <c r="CM20" s="240" t="s">
        <v>1107</v>
      </c>
      <c r="CN20" s="240" t="s">
        <v>1107</v>
      </c>
      <c r="CO20" s="240" t="s">
        <v>1107</v>
      </c>
      <c r="CP20" s="240" t="s">
        <v>1107</v>
      </c>
      <c r="CQ20" s="240" t="s">
        <v>1107</v>
      </c>
      <c r="CR20" s="240" t="s">
        <v>1107</v>
      </c>
      <c r="CS20" s="240" t="s">
        <v>232</v>
      </c>
      <c r="CT20" s="240" t="s">
        <v>1107</v>
      </c>
      <c r="CU20" s="240" t="s">
        <v>232</v>
      </c>
      <c r="CV20" s="240" t="s">
        <v>232</v>
      </c>
      <c r="CW20" s="240" t="s">
        <v>1107</v>
      </c>
      <c r="CX20" s="240" t="s">
        <v>232</v>
      </c>
      <c r="CY20" s="240" t="s">
        <v>1107</v>
      </c>
      <c r="CZ20" s="240" t="s">
        <v>1107</v>
      </c>
      <c r="DA20" s="240" t="s">
        <v>1107</v>
      </c>
      <c r="DB20" s="240" t="s">
        <v>1107</v>
      </c>
      <c r="DC20" s="240" t="s">
        <v>1107</v>
      </c>
      <c r="DD20" s="240" t="s">
        <v>1107</v>
      </c>
      <c r="DE20" s="240" t="s">
        <v>1107</v>
      </c>
      <c r="DF20" s="240" t="s">
        <v>1107</v>
      </c>
      <c r="DG20" s="240" t="s">
        <v>1107</v>
      </c>
      <c r="DH20" s="240" t="s">
        <v>1107</v>
      </c>
      <c r="DI20" s="240" t="s">
        <v>1107</v>
      </c>
      <c r="DJ20" s="240" t="s">
        <v>1107</v>
      </c>
      <c r="DK20" s="240" t="s">
        <v>1107</v>
      </c>
      <c r="DL20" s="240" t="s">
        <v>1107</v>
      </c>
      <c r="DM20" s="240" t="s">
        <v>1107</v>
      </c>
      <c r="DN20" s="240" t="s">
        <v>1107</v>
      </c>
      <c r="DO20" s="240" t="s">
        <v>1107</v>
      </c>
      <c r="DP20" s="240" t="s">
        <v>1107</v>
      </c>
      <c r="DQ20" s="240" t="s">
        <v>1107</v>
      </c>
      <c r="DR20" s="240" t="s">
        <v>1107</v>
      </c>
      <c r="DS20" s="240" t="s">
        <v>1107</v>
      </c>
      <c r="DT20" s="240" t="s">
        <v>1107</v>
      </c>
      <c r="DU20" s="240" t="s">
        <v>1107</v>
      </c>
      <c r="DV20" s="240" t="s">
        <v>1107</v>
      </c>
      <c r="DW20" s="240" t="s">
        <v>1107</v>
      </c>
      <c r="DX20" s="240" t="s">
        <v>1107</v>
      </c>
      <c r="DY20" s="240" t="s">
        <v>1107</v>
      </c>
      <c r="DZ20" s="240" t="s">
        <v>1107</v>
      </c>
      <c r="EA20" s="240" t="s">
        <v>1107</v>
      </c>
      <c r="EB20" s="240" t="s">
        <v>232</v>
      </c>
      <c r="EC20" s="240" t="s">
        <v>231</v>
      </c>
      <c r="ED20" s="240" t="s">
        <v>232</v>
      </c>
      <c r="EE20" s="240" t="s">
        <v>232</v>
      </c>
      <c r="EF20" s="240" t="s">
        <v>1107</v>
      </c>
      <c r="EG20" s="240" t="s">
        <v>1107</v>
      </c>
      <c r="EH20" s="240" t="s">
        <v>232</v>
      </c>
      <c r="EI20" s="240" t="s">
        <v>232</v>
      </c>
      <c r="EJ20" s="240" t="s">
        <v>1107</v>
      </c>
      <c r="EK20" s="240" t="s">
        <v>1107</v>
      </c>
      <c r="EL20" s="240" t="s">
        <v>1107</v>
      </c>
      <c r="EM20" s="240" t="s">
        <v>232</v>
      </c>
      <c r="EN20" s="240" t="s">
        <v>1107</v>
      </c>
      <c r="EO20" s="240" t="s">
        <v>1107</v>
      </c>
      <c r="EP20" s="240" t="s">
        <v>1107</v>
      </c>
      <c r="EQ20" s="240" t="s">
        <v>1107</v>
      </c>
      <c r="ER20" s="240" t="s">
        <v>1107</v>
      </c>
      <c r="ES20" s="240" t="s">
        <v>1107</v>
      </c>
      <c r="ET20" s="240" t="s">
        <v>1107</v>
      </c>
      <c r="EU20" s="240" t="s">
        <v>1107</v>
      </c>
      <c r="EV20" s="240" t="s">
        <v>1107</v>
      </c>
      <c r="EW20" s="240" t="s">
        <v>1107</v>
      </c>
      <c r="EX20" s="240" t="s">
        <v>1107</v>
      </c>
      <c r="EY20" s="240" t="s">
        <v>1107</v>
      </c>
      <c r="EZ20" s="240" t="s">
        <v>1107</v>
      </c>
      <c r="FA20" s="240" t="s">
        <v>1107</v>
      </c>
      <c r="FB20" s="240" t="s">
        <v>1107</v>
      </c>
      <c r="FC20" s="240" t="s">
        <v>1107</v>
      </c>
      <c r="FD20" s="240" t="s">
        <v>1107</v>
      </c>
      <c r="FE20" s="240" t="s">
        <v>1107</v>
      </c>
      <c r="FF20" s="240" t="s">
        <v>1107</v>
      </c>
      <c r="FG20" s="240" t="s">
        <v>1107</v>
      </c>
      <c r="FH20" s="240" t="s">
        <v>1107</v>
      </c>
      <c r="FI20" s="240" t="s">
        <v>231</v>
      </c>
      <c r="FJ20" s="240" t="s">
        <v>1107</v>
      </c>
      <c r="FK20" s="240" t="s">
        <v>1107</v>
      </c>
      <c r="FL20" s="240" t="s">
        <v>1107</v>
      </c>
      <c r="FM20" s="240" t="s">
        <v>1107</v>
      </c>
      <c r="FN20" s="240" t="s">
        <v>231</v>
      </c>
      <c r="FO20" s="240" t="s">
        <v>1107</v>
      </c>
      <c r="FP20" s="240" t="s">
        <v>1107</v>
      </c>
      <c r="FQ20" s="240" t="s">
        <v>1107</v>
      </c>
      <c r="FR20" s="240" t="s">
        <v>231</v>
      </c>
      <c r="FS20" s="240" t="s">
        <v>1107</v>
      </c>
      <c r="FT20" s="240" t="s">
        <v>1107</v>
      </c>
      <c r="FU20" s="240" t="s">
        <v>1107</v>
      </c>
      <c r="FV20" s="240" t="s">
        <v>1107</v>
      </c>
      <c r="FW20" s="240" t="s">
        <v>1107</v>
      </c>
      <c r="FX20" s="240" t="s">
        <v>1107</v>
      </c>
      <c r="FY20" s="240" t="s">
        <v>1107</v>
      </c>
      <c r="FZ20" s="240" t="s">
        <v>1107</v>
      </c>
      <c r="GA20" s="240" t="s">
        <v>1107</v>
      </c>
      <c r="GB20" s="240" t="s">
        <v>1107</v>
      </c>
      <c r="GC20" s="240" t="s">
        <v>1107</v>
      </c>
      <c r="GD20" s="240" t="s">
        <v>1107</v>
      </c>
      <c r="GE20" s="240" t="s">
        <v>1107</v>
      </c>
      <c r="GF20" s="240" t="s">
        <v>1107</v>
      </c>
      <c r="GG20" s="240" t="s">
        <v>1107</v>
      </c>
      <c r="GH20" s="240" t="s">
        <v>1107</v>
      </c>
      <c r="GI20" s="240" t="s">
        <v>1107</v>
      </c>
      <c r="GJ20" s="240" t="s">
        <v>1107</v>
      </c>
      <c r="GK20" s="240" t="s">
        <v>1107</v>
      </c>
      <c r="GL20" s="240" t="s">
        <v>1107</v>
      </c>
      <c r="GM20" s="240" t="s">
        <v>1107</v>
      </c>
      <c r="GN20" s="240" t="s">
        <v>1107</v>
      </c>
      <c r="GO20" s="240" t="s">
        <v>1107</v>
      </c>
      <c r="GP20" s="240" t="s">
        <v>1107</v>
      </c>
      <c r="GQ20" s="240" t="s">
        <v>1107</v>
      </c>
      <c r="GR20" s="240" t="s">
        <v>1107</v>
      </c>
      <c r="GS20" s="240" t="s">
        <v>1107</v>
      </c>
      <c r="GT20" s="240" t="s">
        <v>1107</v>
      </c>
      <c r="GU20" s="240" t="s">
        <v>1107</v>
      </c>
      <c r="GV20" s="240" t="s">
        <v>1107</v>
      </c>
      <c r="GW20" s="240" t="s">
        <v>1107</v>
      </c>
      <c r="GX20" s="240" t="s">
        <v>1107</v>
      </c>
      <c r="GY20" s="240" t="s">
        <v>1107</v>
      </c>
      <c r="GZ20" s="240" t="s">
        <v>1107</v>
      </c>
      <c r="HA20" s="240" t="s">
        <v>1107</v>
      </c>
      <c r="HB20" s="240" t="s">
        <v>1107</v>
      </c>
      <c r="HC20" s="240" t="s">
        <v>1107</v>
      </c>
      <c r="HD20" s="240" t="s">
        <v>1107</v>
      </c>
      <c r="HE20" s="240" t="s">
        <v>1107</v>
      </c>
      <c r="HF20" s="240" t="s">
        <v>1107</v>
      </c>
      <c r="HG20" s="240" t="s">
        <v>1107</v>
      </c>
      <c r="HH20" s="240" t="s">
        <v>1107</v>
      </c>
      <c r="HI20" s="240" t="s">
        <v>1107</v>
      </c>
      <c r="HJ20" s="240" t="s">
        <v>1107</v>
      </c>
      <c r="HK20" s="240" t="s">
        <v>1107</v>
      </c>
      <c r="HL20" s="240" t="s">
        <v>1107</v>
      </c>
      <c r="HM20" s="240" t="s">
        <v>1107</v>
      </c>
      <c r="HN20" s="240" t="s">
        <v>1107</v>
      </c>
      <c r="HO20" s="240" t="s">
        <v>1107</v>
      </c>
      <c r="HP20" s="240" t="s">
        <v>1107</v>
      </c>
      <c r="HQ20" s="240" t="s">
        <v>1107</v>
      </c>
      <c r="HR20" s="240" t="s">
        <v>1107</v>
      </c>
      <c r="HS20" s="240" t="s">
        <v>1107</v>
      </c>
      <c r="HT20" s="240" t="s">
        <v>232</v>
      </c>
      <c r="HU20" s="240" t="s">
        <v>232</v>
      </c>
      <c r="HV20" s="240" t="s">
        <v>232</v>
      </c>
      <c r="HW20" s="240" t="s">
        <v>1107</v>
      </c>
      <c r="HX20" s="240" t="s">
        <v>220</v>
      </c>
      <c r="HY20" s="240" t="s">
        <v>493</v>
      </c>
      <c r="HZ20" s="240" t="s">
        <v>219</v>
      </c>
      <c r="IA20" s="240" t="s">
        <v>490</v>
      </c>
      <c r="IB20" s="240" t="s">
        <v>1107</v>
      </c>
      <c r="IC20" s="240" t="s">
        <v>1107</v>
      </c>
    </row>
    <row r="21" spans="1:237" ht="15" x14ac:dyDescent="0.25">
      <c r="A21" s="243" t="str">
        <f>HYPERLINK("http://www.ofsted.gov.uk/inspection-reports/find-inspection-report/provider/ELS/143018 ","Ofsted School Webpage")</f>
        <v>Ofsted School Webpage</v>
      </c>
      <c r="B21" s="237">
        <v>143018</v>
      </c>
      <c r="C21" s="237">
        <v>9166006</v>
      </c>
      <c r="D21" s="237" t="s">
        <v>1143</v>
      </c>
      <c r="E21" s="237" t="s">
        <v>247</v>
      </c>
      <c r="F21" s="237" t="s">
        <v>483</v>
      </c>
      <c r="G21" s="237" t="s">
        <v>483</v>
      </c>
      <c r="H21" s="237" t="s">
        <v>948</v>
      </c>
      <c r="I21" s="237" t="s">
        <v>1144</v>
      </c>
      <c r="J21" s="237" t="s">
        <v>93</v>
      </c>
      <c r="K21" s="237" t="s">
        <v>93</v>
      </c>
      <c r="L21" s="237" t="s">
        <v>93</v>
      </c>
      <c r="M21" s="237" t="s">
        <v>90</v>
      </c>
      <c r="N21" s="237" t="s">
        <v>486</v>
      </c>
      <c r="O21" s="237" t="s">
        <v>487</v>
      </c>
      <c r="P21" s="237">
        <v>10055545</v>
      </c>
      <c r="Q21" s="239">
        <v>43361</v>
      </c>
      <c r="R21" s="239">
        <v>43361</v>
      </c>
      <c r="S21" s="239">
        <v>43382</v>
      </c>
      <c r="T21" s="237" t="s">
        <v>1109</v>
      </c>
      <c r="U21" s="237" t="s">
        <v>1105</v>
      </c>
      <c r="V21" s="237" t="s">
        <v>490</v>
      </c>
      <c r="W21" s="237" t="s">
        <v>486</v>
      </c>
      <c r="X21" s="237" t="s">
        <v>486</v>
      </c>
      <c r="Y21" s="237" t="s">
        <v>486</v>
      </c>
      <c r="Z21" s="237" t="s">
        <v>486</v>
      </c>
      <c r="AA21" s="237" t="s">
        <v>486</v>
      </c>
      <c r="AB21" s="237" t="s">
        <v>486</v>
      </c>
      <c r="AC21" s="237" t="s">
        <v>486</v>
      </c>
      <c r="AD21" s="237" t="s">
        <v>1136</v>
      </c>
      <c r="AE21" s="237" t="s">
        <v>1107</v>
      </c>
      <c r="AF21" s="237" t="s">
        <v>1107</v>
      </c>
      <c r="AG21" s="237" t="s">
        <v>1107</v>
      </c>
      <c r="AH21" s="237" t="s">
        <v>1107</v>
      </c>
      <c r="AI21" s="237" t="s">
        <v>1107</v>
      </c>
      <c r="AJ21" s="237" t="s">
        <v>1107</v>
      </c>
      <c r="AK21" s="237" t="s">
        <v>1107</v>
      </c>
      <c r="AL21" s="237" t="s">
        <v>1107</v>
      </c>
      <c r="AM21" s="237" t="s">
        <v>1107</v>
      </c>
      <c r="AN21" s="237" t="s">
        <v>1107</v>
      </c>
      <c r="AO21" s="237" t="s">
        <v>1107</v>
      </c>
      <c r="AP21" s="237" t="s">
        <v>1107</v>
      </c>
      <c r="AQ21" s="237" t="s">
        <v>1107</v>
      </c>
      <c r="AR21" s="237" t="s">
        <v>1107</v>
      </c>
      <c r="AS21" s="237" t="s">
        <v>1107</v>
      </c>
      <c r="AT21" s="237" t="s">
        <v>1107</v>
      </c>
      <c r="AU21" s="237" t="s">
        <v>1107</v>
      </c>
      <c r="AV21" s="237" t="s">
        <v>1107</v>
      </c>
      <c r="AW21" s="237" t="s">
        <v>1107</v>
      </c>
      <c r="AX21" s="237" t="s">
        <v>1107</v>
      </c>
      <c r="AY21" s="237" t="s">
        <v>232</v>
      </c>
      <c r="AZ21" s="237" t="s">
        <v>232</v>
      </c>
      <c r="BA21" s="237" t="s">
        <v>232</v>
      </c>
      <c r="BB21" s="237" t="s">
        <v>232</v>
      </c>
      <c r="BC21" s="237" t="s">
        <v>232</v>
      </c>
      <c r="BD21" s="237" t="s">
        <v>1107</v>
      </c>
      <c r="BE21" s="237" t="s">
        <v>1107</v>
      </c>
      <c r="BF21" s="237" t="s">
        <v>1107</v>
      </c>
      <c r="BG21" s="237" t="s">
        <v>1107</v>
      </c>
      <c r="BH21" s="237" t="s">
        <v>1107</v>
      </c>
      <c r="BI21" s="237" t="s">
        <v>1107</v>
      </c>
      <c r="BJ21" s="237" t="s">
        <v>1107</v>
      </c>
      <c r="BK21" s="237" t="s">
        <v>1107</v>
      </c>
      <c r="BL21" s="237" t="s">
        <v>1107</v>
      </c>
      <c r="BM21" s="237" t="s">
        <v>1107</v>
      </c>
      <c r="BN21" s="237" t="s">
        <v>1107</v>
      </c>
      <c r="BO21" s="237" t="s">
        <v>1107</v>
      </c>
      <c r="BP21" s="237" t="s">
        <v>1107</v>
      </c>
      <c r="BQ21" s="237" t="s">
        <v>1107</v>
      </c>
      <c r="BR21" s="237" t="s">
        <v>1107</v>
      </c>
      <c r="BS21" s="237" t="s">
        <v>1107</v>
      </c>
      <c r="BT21" s="237" t="s">
        <v>1107</v>
      </c>
      <c r="BU21" s="237" t="s">
        <v>1107</v>
      </c>
      <c r="BV21" s="237" t="s">
        <v>1107</v>
      </c>
      <c r="BW21" s="237" t="s">
        <v>1107</v>
      </c>
      <c r="BX21" s="237" t="s">
        <v>1107</v>
      </c>
      <c r="BY21" s="237" t="s">
        <v>1107</v>
      </c>
      <c r="BZ21" s="237" t="s">
        <v>232</v>
      </c>
      <c r="CA21" s="237" t="s">
        <v>232</v>
      </c>
      <c r="CB21" s="237" t="s">
        <v>232</v>
      </c>
      <c r="CC21" s="237" t="s">
        <v>661</v>
      </c>
      <c r="CD21" s="237" t="s">
        <v>661</v>
      </c>
      <c r="CE21" s="237" t="s">
        <v>661</v>
      </c>
      <c r="CF21" s="237" t="s">
        <v>1107</v>
      </c>
      <c r="CG21" s="237" t="s">
        <v>1107</v>
      </c>
      <c r="CH21" s="237" t="s">
        <v>1107</v>
      </c>
      <c r="CI21" s="237" t="s">
        <v>1107</v>
      </c>
      <c r="CJ21" s="237" t="s">
        <v>1107</v>
      </c>
      <c r="CK21" s="237" t="s">
        <v>232</v>
      </c>
      <c r="CL21" s="237" t="s">
        <v>232</v>
      </c>
      <c r="CM21" s="237" t="s">
        <v>231</v>
      </c>
      <c r="CN21" s="237" t="s">
        <v>1107</v>
      </c>
      <c r="CO21" s="237" t="s">
        <v>232</v>
      </c>
      <c r="CP21" s="237" t="s">
        <v>232</v>
      </c>
      <c r="CQ21" s="237" t="s">
        <v>232</v>
      </c>
      <c r="CR21" s="237" t="s">
        <v>232</v>
      </c>
      <c r="CS21" s="237" t="s">
        <v>232</v>
      </c>
      <c r="CT21" s="237" t="s">
        <v>1107</v>
      </c>
      <c r="CU21" s="237" t="s">
        <v>1107</v>
      </c>
      <c r="CV21" s="237" t="s">
        <v>1107</v>
      </c>
      <c r="CW21" s="237" t="s">
        <v>1107</v>
      </c>
      <c r="CX21" s="237" t="s">
        <v>1107</v>
      </c>
      <c r="CY21" s="237" t="s">
        <v>1107</v>
      </c>
      <c r="CZ21" s="237" t="s">
        <v>1107</v>
      </c>
      <c r="DA21" s="237" t="s">
        <v>1107</v>
      </c>
      <c r="DB21" s="237" t="s">
        <v>232</v>
      </c>
      <c r="DC21" s="237" t="s">
        <v>1107</v>
      </c>
      <c r="DD21" s="237" t="s">
        <v>232</v>
      </c>
      <c r="DE21" s="237" t="s">
        <v>1107</v>
      </c>
      <c r="DF21" s="237" t="s">
        <v>1107</v>
      </c>
      <c r="DG21" s="237" t="s">
        <v>1107</v>
      </c>
      <c r="DH21" s="237" t="s">
        <v>1107</v>
      </c>
      <c r="DI21" s="237" t="s">
        <v>1107</v>
      </c>
      <c r="DJ21" s="237" t="s">
        <v>1107</v>
      </c>
      <c r="DK21" s="237" t="s">
        <v>1107</v>
      </c>
      <c r="DL21" s="237" t="s">
        <v>1107</v>
      </c>
      <c r="DM21" s="237" t="s">
        <v>1107</v>
      </c>
      <c r="DN21" s="237" t="s">
        <v>1107</v>
      </c>
      <c r="DO21" s="237" t="s">
        <v>1107</v>
      </c>
      <c r="DP21" s="237" t="s">
        <v>1107</v>
      </c>
      <c r="DQ21" s="237" t="s">
        <v>1107</v>
      </c>
      <c r="DR21" s="237" t="s">
        <v>1107</v>
      </c>
      <c r="DS21" s="237" t="s">
        <v>1107</v>
      </c>
      <c r="DT21" s="237" t="s">
        <v>1107</v>
      </c>
      <c r="DU21" s="237" t="s">
        <v>1107</v>
      </c>
      <c r="DV21" s="237" t="s">
        <v>1107</v>
      </c>
      <c r="DW21" s="237" t="s">
        <v>1107</v>
      </c>
      <c r="DX21" s="237" t="s">
        <v>1107</v>
      </c>
      <c r="DY21" s="237" t="s">
        <v>1107</v>
      </c>
      <c r="DZ21" s="237" t="s">
        <v>1107</v>
      </c>
      <c r="EA21" s="237" t="s">
        <v>1107</v>
      </c>
      <c r="EB21" s="237" t="s">
        <v>232</v>
      </c>
      <c r="EC21" s="237" t="s">
        <v>1107</v>
      </c>
      <c r="ED21" s="237" t="s">
        <v>232</v>
      </c>
      <c r="EE21" s="237" t="s">
        <v>232</v>
      </c>
      <c r="EF21" s="237" t="s">
        <v>1107</v>
      </c>
      <c r="EG21" s="237" t="s">
        <v>1107</v>
      </c>
      <c r="EH21" s="237" t="s">
        <v>1107</v>
      </c>
      <c r="EI21" s="237" t="s">
        <v>1107</v>
      </c>
      <c r="EJ21" s="237" t="s">
        <v>1107</v>
      </c>
      <c r="EK21" s="237" t="s">
        <v>1107</v>
      </c>
      <c r="EL21" s="237" t="s">
        <v>1107</v>
      </c>
      <c r="EM21" s="237" t="s">
        <v>232</v>
      </c>
      <c r="EN21" s="237" t="s">
        <v>1107</v>
      </c>
      <c r="EO21" s="237" t="s">
        <v>1107</v>
      </c>
      <c r="EP21" s="237" t="s">
        <v>1107</v>
      </c>
      <c r="EQ21" s="237" t="s">
        <v>1107</v>
      </c>
      <c r="ER21" s="237" t="s">
        <v>1107</v>
      </c>
      <c r="ES21" s="237" t="s">
        <v>1107</v>
      </c>
      <c r="ET21" s="237" t="s">
        <v>1107</v>
      </c>
      <c r="EU21" s="237" t="s">
        <v>1107</v>
      </c>
      <c r="EV21" s="237" t="s">
        <v>1107</v>
      </c>
      <c r="EW21" s="237" t="s">
        <v>1107</v>
      </c>
      <c r="EX21" s="237" t="s">
        <v>1107</v>
      </c>
      <c r="EY21" s="237" t="s">
        <v>1107</v>
      </c>
      <c r="EZ21" s="237" t="s">
        <v>1107</v>
      </c>
      <c r="FA21" s="237" t="s">
        <v>1107</v>
      </c>
      <c r="FB21" s="237" t="s">
        <v>1107</v>
      </c>
      <c r="FC21" s="237" t="s">
        <v>1107</v>
      </c>
      <c r="FD21" s="237" t="s">
        <v>1107</v>
      </c>
      <c r="FE21" s="237" t="s">
        <v>1107</v>
      </c>
      <c r="FF21" s="237" t="s">
        <v>1107</v>
      </c>
      <c r="FG21" s="237" t="s">
        <v>1107</v>
      </c>
      <c r="FH21" s="237" t="s">
        <v>1107</v>
      </c>
      <c r="FI21" s="237" t="s">
        <v>1107</v>
      </c>
      <c r="FJ21" s="237" t="s">
        <v>1107</v>
      </c>
      <c r="FK21" s="237" t="s">
        <v>1107</v>
      </c>
      <c r="FL21" s="237" t="s">
        <v>1107</v>
      </c>
      <c r="FM21" s="237" t="s">
        <v>1107</v>
      </c>
      <c r="FN21" s="237" t="s">
        <v>1107</v>
      </c>
      <c r="FO21" s="237" t="s">
        <v>1107</v>
      </c>
      <c r="FP21" s="237" t="s">
        <v>1107</v>
      </c>
      <c r="FQ21" s="237" t="s">
        <v>1107</v>
      </c>
      <c r="FR21" s="237" t="s">
        <v>1107</v>
      </c>
      <c r="FS21" s="237" t="s">
        <v>1107</v>
      </c>
      <c r="FT21" s="237" t="s">
        <v>1107</v>
      </c>
      <c r="FU21" s="237" t="s">
        <v>1107</v>
      </c>
      <c r="FV21" s="237" t="s">
        <v>1107</v>
      </c>
      <c r="FW21" s="237" t="s">
        <v>1107</v>
      </c>
      <c r="FX21" s="237" t="s">
        <v>1107</v>
      </c>
      <c r="FY21" s="237" t="s">
        <v>1107</v>
      </c>
      <c r="FZ21" s="237" t="s">
        <v>1107</v>
      </c>
      <c r="GA21" s="237" t="s">
        <v>1107</v>
      </c>
      <c r="GB21" s="237" t="s">
        <v>1107</v>
      </c>
      <c r="GC21" s="237" t="s">
        <v>1107</v>
      </c>
      <c r="GD21" s="237" t="s">
        <v>1107</v>
      </c>
      <c r="GE21" s="237" t="s">
        <v>1107</v>
      </c>
      <c r="GF21" s="237" t="s">
        <v>1107</v>
      </c>
      <c r="GG21" s="237" t="s">
        <v>1107</v>
      </c>
      <c r="GH21" s="237" t="s">
        <v>1107</v>
      </c>
      <c r="GI21" s="237" t="s">
        <v>1107</v>
      </c>
      <c r="GJ21" s="237" t="s">
        <v>1107</v>
      </c>
      <c r="GK21" s="237" t="s">
        <v>1107</v>
      </c>
      <c r="GL21" s="237" t="s">
        <v>1107</v>
      </c>
      <c r="GM21" s="237" t="s">
        <v>1107</v>
      </c>
      <c r="GN21" s="237" t="s">
        <v>1107</v>
      </c>
      <c r="GO21" s="237" t="s">
        <v>1107</v>
      </c>
      <c r="GP21" s="237" t="s">
        <v>1107</v>
      </c>
      <c r="GQ21" s="237" t="s">
        <v>1107</v>
      </c>
      <c r="GR21" s="237" t="s">
        <v>1107</v>
      </c>
      <c r="GS21" s="237" t="s">
        <v>1107</v>
      </c>
      <c r="GT21" s="237" t="s">
        <v>1107</v>
      </c>
      <c r="GU21" s="237" t="s">
        <v>1107</v>
      </c>
      <c r="GV21" s="237" t="s">
        <v>1107</v>
      </c>
      <c r="GW21" s="237" t="s">
        <v>1107</v>
      </c>
      <c r="GX21" s="237" t="s">
        <v>1107</v>
      </c>
      <c r="GY21" s="237" t="s">
        <v>1107</v>
      </c>
      <c r="GZ21" s="237" t="s">
        <v>1107</v>
      </c>
      <c r="HA21" s="237" t="s">
        <v>1107</v>
      </c>
      <c r="HB21" s="237" t="s">
        <v>1107</v>
      </c>
      <c r="HC21" s="237" t="s">
        <v>1107</v>
      </c>
      <c r="HD21" s="237" t="s">
        <v>1107</v>
      </c>
      <c r="HE21" s="237" t="s">
        <v>1107</v>
      </c>
      <c r="HF21" s="237" t="s">
        <v>1107</v>
      </c>
      <c r="HG21" s="237" t="s">
        <v>1107</v>
      </c>
      <c r="HH21" s="237" t="s">
        <v>1107</v>
      </c>
      <c r="HI21" s="237" t="s">
        <v>1107</v>
      </c>
      <c r="HJ21" s="237" t="s">
        <v>1107</v>
      </c>
      <c r="HK21" s="237" t="s">
        <v>1107</v>
      </c>
      <c r="HL21" s="237" t="s">
        <v>1107</v>
      </c>
      <c r="HM21" s="237" t="s">
        <v>1107</v>
      </c>
      <c r="HN21" s="237" t="s">
        <v>1107</v>
      </c>
      <c r="HO21" s="237" t="s">
        <v>1107</v>
      </c>
      <c r="HP21" s="237" t="s">
        <v>1107</v>
      </c>
      <c r="HQ21" s="237" t="s">
        <v>1107</v>
      </c>
      <c r="HR21" s="237" t="s">
        <v>1107</v>
      </c>
      <c r="HS21" s="237" t="s">
        <v>1107</v>
      </c>
      <c r="HT21" s="237" t="s">
        <v>232</v>
      </c>
      <c r="HU21" s="237" t="s">
        <v>232</v>
      </c>
      <c r="HV21" s="237" t="s">
        <v>232</v>
      </c>
      <c r="HW21" s="237" t="s">
        <v>232</v>
      </c>
      <c r="HX21" s="237" t="s">
        <v>220</v>
      </c>
      <c r="HY21" s="237" t="s">
        <v>493</v>
      </c>
      <c r="HZ21" s="237" t="s">
        <v>219</v>
      </c>
      <c r="IA21" s="237" t="s">
        <v>490</v>
      </c>
      <c r="IB21" s="237" t="s">
        <v>492</v>
      </c>
      <c r="IC21" s="237" t="s">
        <v>492</v>
      </c>
    </row>
    <row r="22" spans="1:237" ht="15" x14ac:dyDescent="0.25">
      <c r="A22" s="244" t="str">
        <f>HYPERLINK("http://www.ofsted.gov.uk/inspection-reports/find-inspection-report/provider/ELS/133298 ","Ofsted School Webpage")</f>
        <v>Ofsted School Webpage</v>
      </c>
      <c r="B22" s="240">
        <v>133298</v>
      </c>
      <c r="C22" s="240">
        <v>8866089</v>
      </c>
      <c r="D22" s="240" t="s">
        <v>1145</v>
      </c>
      <c r="E22" s="240" t="s">
        <v>248</v>
      </c>
      <c r="F22" s="240" t="s">
        <v>581</v>
      </c>
      <c r="G22" s="240" t="s">
        <v>581</v>
      </c>
      <c r="H22" s="240" t="s">
        <v>694</v>
      </c>
      <c r="I22" s="240" t="s">
        <v>1146</v>
      </c>
      <c r="J22" s="240" t="s">
        <v>93</v>
      </c>
      <c r="K22" s="240" t="s">
        <v>93</v>
      </c>
      <c r="L22" s="240" t="s">
        <v>93</v>
      </c>
      <c r="M22" s="240" t="s">
        <v>90</v>
      </c>
      <c r="N22" s="240" t="s">
        <v>486</v>
      </c>
      <c r="O22" s="240" t="s">
        <v>487</v>
      </c>
      <c r="P22" s="240">
        <v>10056487</v>
      </c>
      <c r="Q22" s="242">
        <v>43361</v>
      </c>
      <c r="R22" s="242">
        <v>43361</v>
      </c>
      <c r="S22" s="242">
        <v>43384</v>
      </c>
      <c r="T22" s="240" t="s">
        <v>1109</v>
      </c>
      <c r="U22" s="240" t="s">
        <v>1105</v>
      </c>
      <c r="V22" s="240" t="s">
        <v>512</v>
      </c>
      <c r="W22" s="240" t="s">
        <v>486</v>
      </c>
      <c r="X22" s="240" t="s">
        <v>486</v>
      </c>
      <c r="Y22" s="240" t="s">
        <v>486</v>
      </c>
      <c r="Z22" s="240" t="s">
        <v>490</v>
      </c>
      <c r="AA22" s="240" t="s">
        <v>486</v>
      </c>
      <c r="AB22" s="240" t="s">
        <v>486</v>
      </c>
      <c r="AC22" s="240" t="s">
        <v>486</v>
      </c>
      <c r="AD22" s="240" t="s">
        <v>1136</v>
      </c>
      <c r="AE22" s="240" t="s">
        <v>1107</v>
      </c>
      <c r="AF22" s="240" t="s">
        <v>1107</v>
      </c>
      <c r="AG22" s="240" t="s">
        <v>1107</v>
      </c>
      <c r="AH22" s="240" t="s">
        <v>1107</v>
      </c>
      <c r="AI22" s="240" t="s">
        <v>1107</v>
      </c>
      <c r="AJ22" s="240" t="s">
        <v>1107</v>
      </c>
      <c r="AK22" s="240" t="s">
        <v>1107</v>
      </c>
      <c r="AL22" s="240" t="s">
        <v>1107</v>
      </c>
      <c r="AM22" s="240" t="s">
        <v>1107</v>
      </c>
      <c r="AN22" s="240" t="s">
        <v>1107</v>
      </c>
      <c r="AO22" s="240" t="s">
        <v>1107</v>
      </c>
      <c r="AP22" s="240" t="s">
        <v>1107</v>
      </c>
      <c r="AQ22" s="240" t="s">
        <v>1107</v>
      </c>
      <c r="AR22" s="240" t="s">
        <v>1107</v>
      </c>
      <c r="AS22" s="240" t="s">
        <v>1107</v>
      </c>
      <c r="AT22" s="240" t="s">
        <v>1107</v>
      </c>
      <c r="AU22" s="240" t="s">
        <v>1107</v>
      </c>
      <c r="AV22" s="240" t="s">
        <v>1107</v>
      </c>
      <c r="AW22" s="240" t="s">
        <v>1107</v>
      </c>
      <c r="AX22" s="240" t="s">
        <v>1107</v>
      </c>
      <c r="AY22" s="240" t="s">
        <v>1107</v>
      </c>
      <c r="AZ22" s="240" t="s">
        <v>1107</v>
      </c>
      <c r="BA22" s="240" t="s">
        <v>1107</v>
      </c>
      <c r="BB22" s="240" t="s">
        <v>1107</v>
      </c>
      <c r="BC22" s="240" t="s">
        <v>1107</v>
      </c>
      <c r="BD22" s="240" t="s">
        <v>1107</v>
      </c>
      <c r="BE22" s="240" t="s">
        <v>1107</v>
      </c>
      <c r="BF22" s="240" t="s">
        <v>1107</v>
      </c>
      <c r="BG22" s="240" t="s">
        <v>1107</v>
      </c>
      <c r="BH22" s="240" t="s">
        <v>1107</v>
      </c>
      <c r="BI22" s="240" t="s">
        <v>1107</v>
      </c>
      <c r="BJ22" s="240" t="s">
        <v>1107</v>
      </c>
      <c r="BK22" s="240" t="s">
        <v>1107</v>
      </c>
      <c r="BL22" s="240" t="s">
        <v>1107</v>
      </c>
      <c r="BM22" s="240" t="s">
        <v>1107</v>
      </c>
      <c r="BN22" s="240" t="s">
        <v>1107</v>
      </c>
      <c r="BO22" s="240" t="s">
        <v>1107</v>
      </c>
      <c r="BP22" s="240" t="s">
        <v>1107</v>
      </c>
      <c r="BQ22" s="240" t="s">
        <v>1107</v>
      </c>
      <c r="BR22" s="240" t="s">
        <v>1107</v>
      </c>
      <c r="BS22" s="240" t="s">
        <v>1107</v>
      </c>
      <c r="BT22" s="240" t="s">
        <v>1107</v>
      </c>
      <c r="BU22" s="240" t="s">
        <v>1107</v>
      </c>
      <c r="BV22" s="240" t="s">
        <v>1107</v>
      </c>
      <c r="BW22" s="240" t="s">
        <v>1107</v>
      </c>
      <c r="BX22" s="240" t="s">
        <v>1107</v>
      </c>
      <c r="BY22" s="240" t="s">
        <v>1107</v>
      </c>
      <c r="BZ22" s="240" t="s">
        <v>232</v>
      </c>
      <c r="CA22" s="240" t="s">
        <v>231</v>
      </c>
      <c r="CB22" s="240" t="s">
        <v>232</v>
      </c>
      <c r="CC22" s="240" t="s">
        <v>492</v>
      </c>
      <c r="CD22" s="240" t="s">
        <v>492</v>
      </c>
      <c r="CE22" s="240" t="s">
        <v>492</v>
      </c>
      <c r="CF22" s="240" t="s">
        <v>231</v>
      </c>
      <c r="CG22" s="240" t="s">
        <v>231</v>
      </c>
      <c r="CH22" s="240" t="s">
        <v>231</v>
      </c>
      <c r="CI22" s="240" t="s">
        <v>231</v>
      </c>
      <c r="CJ22" s="240" t="s">
        <v>231</v>
      </c>
      <c r="CK22" s="240" t="s">
        <v>231</v>
      </c>
      <c r="CL22" s="240" t="s">
        <v>231</v>
      </c>
      <c r="CM22" s="240" t="s">
        <v>231</v>
      </c>
      <c r="CN22" s="240" t="s">
        <v>231</v>
      </c>
      <c r="CO22" s="240" t="s">
        <v>231</v>
      </c>
      <c r="CP22" s="240" t="s">
        <v>231</v>
      </c>
      <c r="CQ22" s="240" t="s">
        <v>231</v>
      </c>
      <c r="CR22" s="240" t="s">
        <v>231</v>
      </c>
      <c r="CS22" s="240" t="s">
        <v>231</v>
      </c>
      <c r="CT22" s="240" t="s">
        <v>231</v>
      </c>
      <c r="CU22" s="240" t="s">
        <v>231</v>
      </c>
      <c r="CV22" s="240" t="s">
        <v>231</v>
      </c>
      <c r="CW22" s="240" t="s">
        <v>231</v>
      </c>
      <c r="CX22" s="240" t="s">
        <v>231</v>
      </c>
      <c r="CY22" s="240" t="s">
        <v>231</v>
      </c>
      <c r="CZ22" s="240" t="s">
        <v>231</v>
      </c>
      <c r="DA22" s="240" t="s">
        <v>231</v>
      </c>
      <c r="DB22" s="240" t="s">
        <v>231</v>
      </c>
      <c r="DC22" s="240" t="s">
        <v>492</v>
      </c>
      <c r="DD22" s="240" t="s">
        <v>231</v>
      </c>
      <c r="DE22" s="240" t="s">
        <v>492</v>
      </c>
      <c r="DF22" s="240" t="s">
        <v>492</v>
      </c>
      <c r="DG22" s="240" t="s">
        <v>492</v>
      </c>
      <c r="DH22" s="240" t="s">
        <v>492</v>
      </c>
      <c r="DI22" s="240" t="s">
        <v>492</v>
      </c>
      <c r="DJ22" s="240" t="s">
        <v>492</v>
      </c>
      <c r="DK22" s="240" t="s">
        <v>492</v>
      </c>
      <c r="DL22" s="240" t="s">
        <v>492</v>
      </c>
      <c r="DM22" s="240" t="s">
        <v>492</v>
      </c>
      <c r="DN22" s="240" t="s">
        <v>492</v>
      </c>
      <c r="DO22" s="240" t="s">
        <v>492</v>
      </c>
      <c r="DP22" s="240" t="s">
        <v>492</v>
      </c>
      <c r="DQ22" s="240" t="s">
        <v>492</v>
      </c>
      <c r="DR22" s="240" t="s">
        <v>492</v>
      </c>
      <c r="DS22" s="240" t="s">
        <v>231</v>
      </c>
      <c r="DT22" s="240" t="s">
        <v>231</v>
      </c>
      <c r="DU22" s="240" t="s">
        <v>231</v>
      </c>
      <c r="DV22" s="240" t="s">
        <v>231</v>
      </c>
      <c r="DW22" s="240" t="s">
        <v>231</v>
      </c>
      <c r="DX22" s="240" t="s">
        <v>231</v>
      </c>
      <c r="DY22" s="240" t="s">
        <v>231</v>
      </c>
      <c r="DZ22" s="240" t="s">
        <v>231</v>
      </c>
      <c r="EA22" s="240" t="s">
        <v>231</v>
      </c>
      <c r="EB22" s="240" t="s">
        <v>231</v>
      </c>
      <c r="EC22" s="240" t="s">
        <v>231</v>
      </c>
      <c r="ED22" s="240" t="s">
        <v>231</v>
      </c>
      <c r="EE22" s="240" t="s">
        <v>231</v>
      </c>
      <c r="EF22" s="240" t="s">
        <v>231</v>
      </c>
      <c r="EG22" s="240" t="s">
        <v>231</v>
      </c>
      <c r="EH22" s="240" t="s">
        <v>231</v>
      </c>
      <c r="EI22" s="240" t="s">
        <v>231</v>
      </c>
      <c r="EJ22" s="240" t="s">
        <v>231</v>
      </c>
      <c r="EK22" s="240" t="s">
        <v>231</v>
      </c>
      <c r="EL22" s="240" t="s">
        <v>231</v>
      </c>
      <c r="EM22" s="240" t="s">
        <v>231</v>
      </c>
      <c r="EN22" s="240" t="s">
        <v>231</v>
      </c>
      <c r="EO22" s="240" t="s">
        <v>492</v>
      </c>
      <c r="EP22" s="240" t="s">
        <v>492</v>
      </c>
      <c r="EQ22" s="240" t="s">
        <v>492</v>
      </c>
      <c r="ER22" s="240" t="s">
        <v>492</v>
      </c>
      <c r="ES22" s="240" t="s">
        <v>492</v>
      </c>
      <c r="ET22" s="240" t="s">
        <v>492</v>
      </c>
      <c r="EU22" s="240" t="s">
        <v>492</v>
      </c>
      <c r="EV22" s="240" t="s">
        <v>231</v>
      </c>
      <c r="EW22" s="240" t="s">
        <v>492</v>
      </c>
      <c r="EX22" s="240" t="s">
        <v>492</v>
      </c>
      <c r="EY22" s="240" t="s">
        <v>492</v>
      </c>
      <c r="EZ22" s="240" t="s">
        <v>232</v>
      </c>
      <c r="FA22" s="240" t="s">
        <v>231</v>
      </c>
      <c r="FB22" s="240" t="s">
        <v>231</v>
      </c>
      <c r="FC22" s="240" t="s">
        <v>232</v>
      </c>
      <c r="FD22" s="240" t="s">
        <v>231</v>
      </c>
      <c r="FE22" s="240" t="s">
        <v>231</v>
      </c>
      <c r="FF22" s="240" t="s">
        <v>231</v>
      </c>
      <c r="FG22" s="240" t="s">
        <v>492</v>
      </c>
      <c r="FH22" s="240" t="s">
        <v>492</v>
      </c>
      <c r="FI22" s="240" t="s">
        <v>231</v>
      </c>
      <c r="FJ22" s="240" t="s">
        <v>231</v>
      </c>
      <c r="FK22" s="240" t="s">
        <v>231</v>
      </c>
      <c r="FL22" s="240" t="s">
        <v>231</v>
      </c>
      <c r="FM22" s="240" t="s">
        <v>231</v>
      </c>
      <c r="FN22" s="240" t="s">
        <v>231</v>
      </c>
      <c r="FO22" s="240" t="s">
        <v>231</v>
      </c>
      <c r="FP22" s="240" t="s">
        <v>231</v>
      </c>
      <c r="FQ22" s="240" t="s">
        <v>231</v>
      </c>
      <c r="FR22" s="240" t="s">
        <v>231</v>
      </c>
      <c r="FS22" s="240" t="s">
        <v>231</v>
      </c>
      <c r="FT22" s="240" t="s">
        <v>231</v>
      </c>
      <c r="FU22" s="240" t="s">
        <v>231</v>
      </c>
      <c r="FV22" s="240" t="s">
        <v>231</v>
      </c>
      <c r="FW22" s="240" t="s">
        <v>231</v>
      </c>
      <c r="FX22" s="240" t="s">
        <v>231</v>
      </c>
      <c r="FY22" s="240" t="s">
        <v>492</v>
      </c>
      <c r="FZ22" s="240" t="s">
        <v>232</v>
      </c>
      <c r="GA22" s="240" t="s">
        <v>1107</v>
      </c>
      <c r="GB22" s="240" t="s">
        <v>1107</v>
      </c>
      <c r="GC22" s="240" t="s">
        <v>232</v>
      </c>
      <c r="GD22" s="240" t="s">
        <v>1107</v>
      </c>
      <c r="GE22" s="240" t="s">
        <v>1107</v>
      </c>
      <c r="GF22" s="240" t="s">
        <v>1107</v>
      </c>
      <c r="GG22" s="240" t="s">
        <v>1107</v>
      </c>
      <c r="GH22" s="240" t="s">
        <v>1107</v>
      </c>
      <c r="GI22" s="240" t="s">
        <v>1107</v>
      </c>
      <c r="GJ22" s="240" t="s">
        <v>1107</v>
      </c>
      <c r="GK22" s="240" t="s">
        <v>1107</v>
      </c>
      <c r="GL22" s="240" t="s">
        <v>1107</v>
      </c>
      <c r="GM22" s="240" t="s">
        <v>1107</v>
      </c>
      <c r="GN22" s="240" t="s">
        <v>1107</v>
      </c>
      <c r="GO22" s="240" t="s">
        <v>1107</v>
      </c>
      <c r="GP22" s="240" t="s">
        <v>1107</v>
      </c>
      <c r="GQ22" s="240" t="s">
        <v>1107</v>
      </c>
      <c r="GR22" s="240" t="s">
        <v>1107</v>
      </c>
      <c r="GS22" s="240" t="s">
        <v>1107</v>
      </c>
      <c r="GT22" s="240" t="s">
        <v>1107</v>
      </c>
      <c r="GU22" s="240" t="s">
        <v>1107</v>
      </c>
      <c r="GV22" s="240" t="s">
        <v>1107</v>
      </c>
      <c r="GW22" s="240" t="s">
        <v>1107</v>
      </c>
      <c r="GX22" s="240" t="s">
        <v>1107</v>
      </c>
      <c r="GY22" s="240" t="s">
        <v>1107</v>
      </c>
      <c r="GZ22" s="240" t="s">
        <v>1107</v>
      </c>
      <c r="HA22" s="240" t="s">
        <v>1107</v>
      </c>
      <c r="HB22" s="240" t="s">
        <v>1107</v>
      </c>
      <c r="HC22" s="240" t="s">
        <v>1107</v>
      </c>
      <c r="HD22" s="240" t="s">
        <v>1107</v>
      </c>
      <c r="HE22" s="240" t="s">
        <v>1107</v>
      </c>
      <c r="HF22" s="240" t="s">
        <v>1107</v>
      </c>
      <c r="HG22" s="240" t="s">
        <v>1107</v>
      </c>
      <c r="HH22" s="240" t="s">
        <v>1107</v>
      </c>
      <c r="HI22" s="240" t="s">
        <v>1107</v>
      </c>
      <c r="HJ22" s="240" t="s">
        <v>1107</v>
      </c>
      <c r="HK22" s="240" t="s">
        <v>1107</v>
      </c>
      <c r="HL22" s="240" t="s">
        <v>1107</v>
      </c>
      <c r="HM22" s="240" t="s">
        <v>1107</v>
      </c>
      <c r="HN22" s="240" t="s">
        <v>1107</v>
      </c>
      <c r="HO22" s="240" t="s">
        <v>1107</v>
      </c>
      <c r="HP22" s="240" t="s">
        <v>1107</v>
      </c>
      <c r="HQ22" s="240" t="s">
        <v>1107</v>
      </c>
      <c r="HR22" s="240" t="s">
        <v>1107</v>
      </c>
      <c r="HS22" s="240" t="s">
        <v>1107</v>
      </c>
      <c r="HT22" s="240" t="s">
        <v>232</v>
      </c>
      <c r="HU22" s="240" t="s">
        <v>232</v>
      </c>
      <c r="HV22" s="240" t="s">
        <v>232</v>
      </c>
      <c r="HW22" s="240" t="s">
        <v>231</v>
      </c>
      <c r="HX22" s="240" t="s">
        <v>220</v>
      </c>
      <c r="HY22" s="240" t="s">
        <v>493</v>
      </c>
      <c r="HZ22" s="240" t="s">
        <v>219</v>
      </c>
      <c r="IA22" s="240" t="s">
        <v>490</v>
      </c>
      <c r="IB22" s="240" t="s">
        <v>492</v>
      </c>
      <c r="IC22" s="240" t="s">
        <v>492</v>
      </c>
    </row>
    <row r="23" spans="1:237" ht="15" x14ac:dyDescent="0.25">
      <c r="A23" s="243" t="str">
        <f>HYPERLINK("http://www.ofsted.gov.uk/inspection-reports/find-inspection-report/provider/ELS/123619 ","Ofsted School Webpage")</f>
        <v>Ofsted School Webpage</v>
      </c>
      <c r="B23" s="237">
        <v>123619</v>
      </c>
      <c r="C23" s="237">
        <v>8936017</v>
      </c>
      <c r="D23" s="237" t="s">
        <v>1147</v>
      </c>
      <c r="E23" s="237" t="s">
        <v>248</v>
      </c>
      <c r="F23" s="237" t="s">
        <v>502</v>
      </c>
      <c r="G23" s="237" t="s">
        <v>502</v>
      </c>
      <c r="H23" s="237" t="s">
        <v>666</v>
      </c>
      <c r="I23" s="237" t="s">
        <v>1148</v>
      </c>
      <c r="J23" s="237" t="s">
        <v>93</v>
      </c>
      <c r="K23" s="237" t="s">
        <v>93</v>
      </c>
      <c r="L23" s="237" t="s">
        <v>93</v>
      </c>
      <c r="M23" s="237" t="s">
        <v>90</v>
      </c>
      <c r="N23" s="237" t="s">
        <v>486</v>
      </c>
      <c r="O23" s="237" t="s">
        <v>487</v>
      </c>
      <c r="P23" s="237">
        <v>10056158</v>
      </c>
      <c r="Q23" s="239">
        <v>43362</v>
      </c>
      <c r="R23" s="239">
        <v>43362</v>
      </c>
      <c r="S23" s="239">
        <v>43385</v>
      </c>
      <c r="T23" s="237" t="s">
        <v>1124</v>
      </c>
      <c r="U23" s="237" t="s">
        <v>1105</v>
      </c>
      <c r="V23" s="237" t="s">
        <v>490</v>
      </c>
      <c r="W23" s="237" t="s">
        <v>486</v>
      </c>
      <c r="X23" s="237" t="s">
        <v>486</v>
      </c>
      <c r="Y23" s="237" t="s">
        <v>486</v>
      </c>
      <c r="Z23" s="237" t="s">
        <v>486</v>
      </c>
      <c r="AA23" s="237" t="s">
        <v>486</v>
      </c>
      <c r="AB23" s="237" t="s">
        <v>486</v>
      </c>
      <c r="AC23" s="237" t="s">
        <v>486</v>
      </c>
      <c r="AD23" s="237" t="s">
        <v>1136</v>
      </c>
      <c r="AE23" s="237" t="s">
        <v>232</v>
      </c>
      <c r="AF23" s="237" t="s">
        <v>1107</v>
      </c>
      <c r="AG23" s="237" t="s">
        <v>232</v>
      </c>
      <c r="AH23" s="237" t="s">
        <v>232</v>
      </c>
      <c r="AI23" s="237" t="s">
        <v>1107</v>
      </c>
      <c r="AJ23" s="237" t="s">
        <v>1107</v>
      </c>
      <c r="AK23" s="237" t="s">
        <v>1107</v>
      </c>
      <c r="AL23" s="237" t="s">
        <v>1107</v>
      </c>
      <c r="AM23" s="237" t="s">
        <v>492</v>
      </c>
      <c r="AN23" s="237" t="s">
        <v>1107</v>
      </c>
      <c r="AO23" s="237" t="s">
        <v>1107</v>
      </c>
      <c r="AP23" s="237" t="s">
        <v>1107</v>
      </c>
      <c r="AQ23" s="237" t="s">
        <v>1107</v>
      </c>
      <c r="AR23" s="237" t="s">
        <v>1107</v>
      </c>
      <c r="AS23" s="237" t="s">
        <v>1107</v>
      </c>
      <c r="AT23" s="237" t="s">
        <v>1107</v>
      </c>
      <c r="AU23" s="237" t="s">
        <v>492</v>
      </c>
      <c r="AV23" s="237" t="s">
        <v>1107</v>
      </c>
      <c r="AW23" s="237" t="s">
        <v>1107</v>
      </c>
      <c r="AX23" s="237" t="s">
        <v>1107</v>
      </c>
      <c r="AY23" s="237" t="s">
        <v>232</v>
      </c>
      <c r="AZ23" s="237" t="s">
        <v>232</v>
      </c>
      <c r="BA23" s="237" t="s">
        <v>231</v>
      </c>
      <c r="BB23" s="237" t="s">
        <v>232</v>
      </c>
      <c r="BC23" s="237" t="s">
        <v>232</v>
      </c>
      <c r="BD23" s="237" t="s">
        <v>231</v>
      </c>
      <c r="BE23" s="237" t="s">
        <v>231</v>
      </c>
      <c r="BF23" s="237" t="s">
        <v>232</v>
      </c>
      <c r="BG23" s="237" t="s">
        <v>231</v>
      </c>
      <c r="BH23" s="237" t="s">
        <v>231</v>
      </c>
      <c r="BI23" s="237" t="s">
        <v>231</v>
      </c>
      <c r="BJ23" s="237" t="s">
        <v>1107</v>
      </c>
      <c r="BK23" s="237" t="s">
        <v>1107</v>
      </c>
      <c r="BL23" s="237" t="s">
        <v>1107</v>
      </c>
      <c r="BM23" s="237" t="s">
        <v>1107</v>
      </c>
      <c r="BN23" s="237" t="s">
        <v>1107</v>
      </c>
      <c r="BO23" s="237" t="s">
        <v>1107</v>
      </c>
      <c r="BP23" s="237" t="s">
        <v>1107</v>
      </c>
      <c r="BQ23" s="237" t="s">
        <v>1107</v>
      </c>
      <c r="BR23" s="237" t="s">
        <v>1107</v>
      </c>
      <c r="BS23" s="237" t="s">
        <v>1107</v>
      </c>
      <c r="BT23" s="237" t="s">
        <v>1107</v>
      </c>
      <c r="BU23" s="237" t="s">
        <v>1107</v>
      </c>
      <c r="BV23" s="237" t="s">
        <v>1107</v>
      </c>
      <c r="BW23" s="237" t="s">
        <v>1107</v>
      </c>
      <c r="BX23" s="237" t="s">
        <v>1107</v>
      </c>
      <c r="BY23" s="237" t="s">
        <v>1107</v>
      </c>
      <c r="BZ23" s="237" t="s">
        <v>232</v>
      </c>
      <c r="CA23" s="237" t="s">
        <v>232</v>
      </c>
      <c r="CB23" s="237" t="s">
        <v>231</v>
      </c>
      <c r="CC23" s="237" t="s">
        <v>492</v>
      </c>
      <c r="CD23" s="237" t="s">
        <v>492</v>
      </c>
      <c r="CE23" s="237" t="s">
        <v>492</v>
      </c>
      <c r="CF23" s="237" t="s">
        <v>231</v>
      </c>
      <c r="CG23" s="237" t="s">
        <v>231</v>
      </c>
      <c r="CH23" s="237" t="s">
        <v>231</v>
      </c>
      <c r="CI23" s="237" t="s">
        <v>231</v>
      </c>
      <c r="CJ23" s="237" t="s">
        <v>231</v>
      </c>
      <c r="CK23" s="237" t="s">
        <v>232</v>
      </c>
      <c r="CL23" s="237" t="s">
        <v>1107</v>
      </c>
      <c r="CM23" s="237" t="s">
        <v>1107</v>
      </c>
      <c r="CN23" s="237" t="s">
        <v>231</v>
      </c>
      <c r="CO23" s="237" t="s">
        <v>1107</v>
      </c>
      <c r="CP23" s="237" t="s">
        <v>232</v>
      </c>
      <c r="CQ23" s="237" t="s">
        <v>232</v>
      </c>
      <c r="CR23" s="237" t="s">
        <v>232</v>
      </c>
      <c r="CS23" s="237" t="s">
        <v>231</v>
      </c>
      <c r="CT23" s="237" t="s">
        <v>231</v>
      </c>
      <c r="CU23" s="237" t="s">
        <v>231</v>
      </c>
      <c r="CV23" s="237" t="s">
        <v>231</v>
      </c>
      <c r="CW23" s="237" t="s">
        <v>231</v>
      </c>
      <c r="CX23" s="237" t="s">
        <v>231</v>
      </c>
      <c r="CY23" s="237" t="s">
        <v>231</v>
      </c>
      <c r="CZ23" s="237" t="s">
        <v>231</v>
      </c>
      <c r="DA23" s="237" t="s">
        <v>231</v>
      </c>
      <c r="DB23" s="237" t="s">
        <v>231</v>
      </c>
      <c r="DC23" s="237" t="s">
        <v>492</v>
      </c>
      <c r="DD23" s="237" t="s">
        <v>231</v>
      </c>
      <c r="DE23" s="237" t="s">
        <v>231</v>
      </c>
      <c r="DF23" s="237" t="s">
        <v>231</v>
      </c>
      <c r="DG23" s="237" t="s">
        <v>231</v>
      </c>
      <c r="DH23" s="237" t="s">
        <v>231</v>
      </c>
      <c r="DI23" s="237" t="s">
        <v>231</v>
      </c>
      <c r="DJ23" s="237" t="s">
        <v>231</v>
      </c>
      <c r="DK23" s="237" t="s">
        <v>231</v>
      </c>
      <c r="DL23" s="237" t="s">
        <v>231</v>
      </c>
      <c r="DM23" s="237" t="s">
        <v>231</v>
      </c>
      <c r="DN23" s="237" t="s">
        <v>231</v>
      </c>
      <c r="DO23" s="237" t="s">
        <v>231</v>
      </c>
      <c r="DP23" s="237" t="s">
        <v>231</v>
      </c>
      <c r="DQ23" s="237" t="s">
        <v>492</v>
      </c>
      <c r="DR23" s="237" t="s">
        <v>231</v>
      </c>
      <c r="DS23" s="237" t="s">
        <v>231</v>
      </c>
      <c r="DT23" s="237" t="s">
        <v>231</v>
      </c>
      <c r="DU23" s="237" t="s">
        <v>231</v>
      </c>
      <c r="DV23" s="237" t="s">
        <v>231</v>
      </c>
      <c r="DW23" s="237" t="s">
        <v>231</v>
      </c>
      <c r="DX23" s="237" t="s">
        <v>231</v>
      </c>
      <c r="DY23" s="237" t="s">
        <v>231</v>
      </c>
      <c r="DZ23" s="237" t="s">
        <v>231</v>
      </c>
      <c r="EA23" s="237" t="s">
        <v>231</v>
      </c>
      <c r="EB23" s="237" t="s">
        <v>231</v>
      </c>
      <c r="EC23" s="237" t="s">
        <v>231</v>
      </c>
      <c r="ED23" s="237" t="s">
        <v>231</v>
      </c>
      <c r="EE23" s="237" t="s">
        <v>231</v>
      </c>
      <c r="EF23" s="237" t="s">
        <v>231</v>
      </c>
      <c r="EG23" s="237" t="s">
        <v>231</v>
      </c>
      <c r="EH23" s="237" t="s">
        <v>231</v>
      </c>
      <c r="EI23" s="237" t="s">
        <v>231</v>
      </c>
      <c r="EJ23" s="237" t="s">
        <v>231</v>
      </c>
      <c r="EK23" s="237" t="s">
        <v>231</v>
      </c>
      <c r="EL23" s="237" t="s">
        <v>231</v>
      </c>
      <c r="EM23" s="237" t="s">
        <v>231</v>
      </c>
      <c r="EN23" s="237" t="s">
        <v>231</v>
      </c>
      <c r="EO23" s="237" t="s">
        <v>231</v>
      </c>
      <c r="EP23" s="237" t="s">
        <v>231</v>
      </c>
      <c r="EQ23" s="237" t="s">
        <v>231</v>
      </c>
      <c r="ER23" s="237" t="s">
        <v>231</v>
      </c>
      <c r="ES23" s="237" t="s">
        <v>231</v>
      </c>
      <c r="ET23" s="237" t="s">
        <v>231</v>
      </c>
      <c r="EU23" s="237" t="s">
        <v>231</v>
      </c>
      <c r="EV23" s="237" t="s">
        <v>231</v>
      </c>
      <c r="EW23" s="237" t="s">
        <v>231</v>
      </c>
      <c r="EX23" s="237" t="s">
        <v>231</v>
      </c>
      <c r="EY23" s="237" t="s">
        <v>231</v>
      </c>
      <c r="EZ23" s="237" t="s">
        <v>1107</v>
      </c>
      <c r="FA23" s="237" t="s">
        <v>1107</v>
      </c>
      <c r="FB23" s="237" t="s">
        <v>1107</v>
      </c>
      <c r="FC23" s="237" t="s">
        <v>1107</v>
      </c>
      <c r="FD23" s="237" t="s">
        <v>1107</v>
      </c>
      <c r="FE23" s="237" t="s">
        <v>1107</v>
      </c>
      <c r="FF23" s="237" t="s">
        <v>1107</v>
      </c>
      <c r="FG23" s="237" t="s">
        <v>1107</v>
      </c>
      <c r="FH23" s="237" t="s">
        <v>1107</v>
      </c>
      <c r="FI23" s="237" t="s">
        <v>231</v>
      </c>
      <c r="FJ23" s="237" t="s">
        <v>1107</v>
      </c>
      <c r="FK23" s="237" t="s">
        <v>1107</v>
      </c>
      <c r="FL23" s="237" t="s">
        <v>1107</v>
      </c>
      <c r="FM23" s="237" t="s">
        <v>1107</v>
      </c>
      <c r="FN23" s="237" t="s">
        <v>1107</v>
      </c>
      <c r="FO23" s="237" t="s">
        <v>1107</v>
      </c>
      <c r="FP23" s="237" t="s">
        <v>1107</v>
      </c>
      <c r="FQ23" s="237" t="s">
        <v>1107</v>
      </c>
      <c r="FR23" s="237" t="s">
        <v>1107</v>
      </c>
      <c r="FS23" s="237" t="s">
        <v>1107</v>
      </c>
      <c r="FT23" s="237" t="s">
        <v>1107</v>
      </c>
      <c r="FU23" s="237" t="s">
        <v>1107</v>
      </c>
      <c r="FV23" s="237" t="s">
        <v>1107</v>
      </c>
      <c r="FW23" s="237" t="s">
        <v>1107</v>
      </c>
      <c r="FX23" s="237" t="s">
        <v>1107</v>
      </c>
      <c r="FY23" s="237" t="s">
        <v>492</v>
      </c>
      <c r="FZ23" s="237" t="s">
        <v>231</v>
      </c>
      <c r="GA23" s="237" t="s">
        <v>1107</v>
      </c>
      <c r="GB23" s="237" t="s">
        <v>1107</v>
      </c>
      <c r="GC23" s="237" t="s">
        <v>231</v>
      </c>
      <c r="GD23" s="237" t="s">
        <v>1107</v>
      </c>
      <c r="GE23" s="237" t="s">
        <v>1107</v>
      </c>
      <c r="GF23" s="237" t="s">
        <v>1107</v>
      </c>
      <c r="GG23" s="237" t="s">
        <v>1107</v>
      </c>
      <c r="GH23" s="237" t="s">
        <v>1107</v>
      </c>
      <c r="GI23" s="237" t="s">
        <v>1107</v>
      </c>
      <c r="GJ23" s="237" t="s">
        <v>1107</v>
      </c>
      <c r="GK23" s="237" t="s">
        <v>1107</v>
      </c>
      <c r="GL23" s="237" t="s">
        <v>1107</v>
      </c>
      <c r="GM23" s="237" t="s">
        <v>1107</v>
      </c>
      <c r="GN23" s="237" t="s">
        <v>1107</v>
      </c>
      <c r="GO23" s="237" t="s">
        <v>1107</v>
      </c>
      <c r="GP23" s="237" t="s">
        <v>1107</v>
      </c>
      <c r="GQ23" s="237" t="s">
        <v>1107</v>
      </c>
      <c r="GR23" s="237" t="s">
        <v>1107</v>
      </c>
      <c r="GS23" s="237" t="s">
        <v>1107</v>
      </c>
      <c r="GT23" s="237" t="s">
        <v>1107</v>
      </c>
      <c r="GU23" s="237" t="s">
        <v>1107</v>
      </c>
      <c r="GV23" s="237" t="s">
        <v>1107</v>
      </c>
      <c r="GW23" s="237" t="s">
        <v>1107</v>
      </c>
      <c r="GX23" s="237" t="s">
        <v>1107</v>
      </c>
      <c r="GY23" s="237" t="s">
        <v>1107</v>
      </c>
      <c r="GZ23" s="237" t="s">
        <v>1107</v>
      </c>
      <c r="HA23" s="237" t="s">
        <v>1107</v>
      </c>
      <c r="HB23" s="237" t="s">
        <v>1107</v>
      </c>
      <c r="HC23" s="237" t="s">
        <v>1107</v>
      </c>
      <c r="HD23" s="237" t="s">
        <v>1107</v>
      </c>
      <c r="HE23" s="237" t="s">
        <v>1107</v>
      </c>
      <c r="HF23" s="237" t="s">
        <v>1107</v>
      </c>
      <c r="HG23" s="237" t="s">
        <v>1107</v>
      </c>
      <c r="HH23" s="237" t="s">
        <v>1107</v>
      </c>
      <c r="HI23" s="237" t="s">
        <v>1107</v>
      </c>
      <c r="HJ23" s="237" t="s">
        <v>1107</v>
      </c>
      <c r="HK23" s="237" t="s">
        <v>1107</v>
      </c>
      <c r="HL23" s="237" t="s">
        <v>1107</v>
      </c>
      <c r="HM23" s="237" t="s">
        <v>1107</v>
      </c>
      <c r="HN23" s="237" t="s">
        <v>1107</v>
      </c>
      <c r="HO23" s="237" t="s">
        <v>1107</v>
      </c>
      <c r="HP23" s="237" t="s">
        <v>1107</v>
      </c>
      <c r="HQ23" s="237" t="s">
        <v>1107</v>
      </c>
      <c r="HR23" s="237" t="s">
        <v>1107</v>
      </c>
      <c r="HS23" s="237" t="s">
        <v>1107</v>
      </c>
      <c r="HT23" s="237" t="s">
        <v>232</v>
      </c>
      <c r="HU23" s="237" t="s">
        <v>232</v>
      </c>
      <c r="HV23" s="237" t="s">
        <v>232</v>
      </c>
      <c r="HW23" s="237" t="s">
        <v>232</v>
      </c>
      <c r="HX23" s="237" t="s">
        <v>219</v>
      </c>
      <c r="HY23" s="237" t="s">
        <v>220</v>
      </c>
      <c r="HZ23" s="237" t="s">
        <v>219</v>
      </c>
      <c r="IA23" s="237" t="s">
        <v>490</v>
      </c>
      <c r="IB23" s="237" t="s">
        <v>492</v>
      </c>
      <c r="IC23" s="237" t="s">
        <v>492</v>
      </c>
    </row>
    <row r="24" spans="1:237" ht="15" x14ac:dyDescent="0.25">
      <c r="A24" s="244" t="str">
        <f>HYPERLINK("http://www.ofsted.gov.uk/inspection-reports/find-inspection-report/provider/ELS/138119 ","Ofsted School Webpage")</f>
        <v>Ofsted School Webpage</v>
      </c>
      <c r="B24" s="240">
        <v>138119</v>
      </c>
      <c r="C24" s="240">
        <v>9316006</v>
      </c>
      <c r="D24" s="240" t="s">
        <v>1149</v>
      </c>
      <c r="E24" s="240" t="s">
        <v>247</v>
      </c>
      <c r="F24" s="240" t="s">
        <v>581</v>
      </c>
      <c r="G24" s="240" t="s">
        <v>581</v>
      </c>
      <c r="H24" s="240" t="s">
        <v>1150</v>
      </c>
      <c r="I24" s="240" t="s">
        <v>1151</v>
      </c>
      <c r="J24" s="240" t="s">
        <v>93</v>
      </c>
      <c r="K24" s="240" t="s">
        <v>93</v>
      </c>
      <c r="L24" s="240" t="s">
        <v>93</v>
      </c>
      <c r="M24" s="240" t="s">
        <v>90</v>
      </c>
      <c r="N24" s="240" t="s">
        <v>486</v>
      </c>
      <c r="O24" s="240" t="s">
        <v>487</v>
      </c>
      <c r="P24" s="240">
        <v>10078037</v>
      </c>
      <c r="Q24" s="242">
        <v>43362</v>
      </c>
      <c r="R24" s="242">
        <v>43362</v>
      </c>
      <c r="S24" s="242">
        <v>43399</v>
      </c>
      <c r="T24" s="240" t="s">
        <v>1104</v>
      </c>
      <c r="U24" s="240" t="s">
        <v>1105</v>
      </c>
      <c r="V24" s="240" t="s">
        <v>490</v>
      </c>
      <c r="W24" s="240" t="s">
        <v>486</v>
      </c>
      <c r="X24" s="240" t="s">
        <v>486</v>
      </c>
      <c r="Y24" s="240" t="s">
        <v>486</v>
      </c>
      <c r="Z24" s="240" t="s">
        <v>486</v>
      </c>
      <c r="AA24" s="240" t="s">
        <v>486</v>
      </c>
      <c r="AB24" s="240" t="s">
        <v>486</v>
      </c>
      <c r="AC24" s="240" t="s">
        <v>486</v>
      </c>
      <c r="AD24" s="240" t="s">
        <v>1106</v>
      </c>
      <c r="AE24" s="240" t="s">
        <v>1107</v>
      </c>
      <c r="AF24" s="240" t="s">
        <v>1107</v>
      </c>
      <c r="AG24" s="240" t="s">
        <v>1107</v>
      </c>
      <c r="AH24" s="240" t="s">
        <v>1107</v>
      </c>
      <c r="AI24" s="240" t="s">
        <v>1107</v>
      </c>
      <c r="AJ24" s="240" t="s">
        <v>1107</v>
      </c>
      <c r="AK24" s="240" t="s">
        <v>1107</v>
      </c>
      <c r="AL24" s="240" t="s">
        <v>1107</v>
      </c>
      <c r="AM24" s="240" t="s">
        <v>1107</v>
      </c>
      <c r="AN24" s="240" t="s">
        <v>1107</v>
      </c>
      <c r="AO24" s="240" t="s">
        <v>1107</v>
      </c>
      <c r="AP24" s="240" t="s">
        <v>1107</v>
      </c>
      <c r="AQ24" s="240" t="s">
        <v>1107</v>
      </c>
      <c r="AR24" s="240" t="s">
        <v>1107</v>
      </c>
      <c r="AS24" s="240" t="s">
        <v>1107</v>
      </c>
      <c r="AT24" s="240" t="s">
        <v>1107</v>
      </c>
      <c r="AU24" s="240" t="s">
        <v>1107</v>
      </c>
      <c r="AV24" s="240" t="s">
        <v>1107</v>
      </c>
      <c r="AW24" s="240" t="s">
        <v>1107</v>
      </c>
      <c r="AX24" s="240" t="s">
        <v>1107</v>
      </c>
      <c r="AY24" s="240" t="s">
        <v>1107</v>
      </c>
      <c r="AZ24" s="240" t="s">
        <v>1107</v>
      </c>
      <c r="BA24" s="240" t="s">
        <v>1107</v>
      </c>
      <c r="BB24" s="240" t="s">
        <v>1107</v>
      </c>
      <c r="BC24" s="240" t="s">
        <v>1107</v>
      </c>
      <c r="BD24" s="240" t="s">
        <v>1107</v>
      </c>
      <c r="BE24" s="240" t="s">
        <v>1107</v>
      </c>
      <c r="BF24" s="240" t="s">
        <v>1107</v>
      </c>
      <c r="BG24" s="240" t="s">
        <v>1107</v>
      </c>
      <c r="BH24" s="240" t="s">
        <v>1107</v>
      </c>
      <c r="BI24" s="240" t="s">
        <v>1107</v>
      </c>
      <c r="BJ24" s="240" t="s">
        <v>1107</v>
      </c>
      <c r="BK24" s="240" t="s">
        <v>1107</v>
      </c>
      <c r="BL24" s="240" t="s">
        <v>1107</v>
      </c>
      <c r="BM24" s="240" t="s">
        <v>1107</v>
      </c>
      <c r="BN24" s="240" t="s">
        <v>1107</v>
      </c>
      <c r="BO24" s="240" t="s">
        <v>1107</v>
      </c>
      <c r="BP24" s="240" t="s">
        <v>1107</v>
      </c>
      <c r="BQ24" s="240" t="s">
        <v>1107</v>
      </c>
      <c r="BR24" s="240" t="s">
        <v>1107</v>
      </c>
      <c r="BS24" s="240" t="s">
        <v>1107</v>
      </c>
      <c r="BT24" s="240" t="s">
        <v>1107</v>
      </c>
      <c r="BU24" s="240" t="s">
        <v>1107</v>
      </c>
      <c r="BV24" s="240" t="s">
        <v>1107</v>
      </c>
      <c r="BW24" s="240" t="s">
        <v>1107</v>
      </c>
      <c r="BX24" s="240" t="s">
        <v>1107</v>
      </c>
      <c r="BY24" s="240" t="s">
        <v>1107</v>
      </c>
      <c r="BZ24" s="240" t="s">
        <v>231</v>
      </c>
      <c r="CA24" s="240" t="s">
        <v>231</v>
      </c>
      <c r="CB24" s="240" t="s">
        <v>232</v>
      </c>
      <c r="CC24" s="240" t="s">
        <v>1107</v>
      </c>
      <c r="CD24" s="240" t="s">
        <v>1107</v>
      </c>
      <c r="CE24" s="240" t="s">
        <v>1107</v>
      </c>
      <c r="CF24" s="240" t="s">
        <v>1107</v>
      </c>
      <c r="CG24" s="240" t="s">
        <v>1107</v>
      </c>
      <c r="CH24" s="240" t="s">
        <v>1107</v>
      </c>
      <c r="CI24" s="240" t="s">
        <v>1107</v>
      </c>
      <c r="CJ24" s="240" t="s">
        <v>1107</v>
      </c>
      <c r="CK24" s="240" t="s">
        <v>231</v>
      </c>
      <c r="CL24" s="240" t="s">
        <v>231</v>
      </c>
      <c r="CM24" s="240" t="s">
        <v>1107</v>
      </c>
      <c r="CN24" s="240" t="s">
        <v>231</v>
      </c>
      <c r="CO24" s="240" t="s">
        <v>1107</v>
      </c>
      <c r="CP24" s="240" t="s">
        <v>231</v>
      </c>
      <c r="CQ24" s="240" t="s">
        <v>231</v>
      </c>
      <c r="CR24" s="240" t="s">
        <v>231</v>
      </c>
      <c r="CS24" s="240" t="s">
        <v>231</v>
      </c>
      <c r="CT24" s="240" t="s">
        <v>231</v>
      </c>
      <c r="CU24" s="240" t="s">
        <v>231</v>
      </c>
      <c r="CV24" s="240" t="s">
        <v>231</v>
      </c>
      <c r="CW24" s="240" t="s">
        <v>231</v>
      </c>
      <c r="CX24" s="240" t="s">
        <v>231</v>
      </c>
      <c r="CY24" s="240" t="s">
        <v>231</v>
      </c>
      <c r="CZ24" s="240" t="s">
        <v>231</v>
      </c>
      <c r="DA24" s="240" t="s">
        <v>231</v>
      </c>
      <c r="DB24" s="240" t="s">
        <v>231</v>
      </c>
      <c r="DC24" s="240" t="s">
        <v>231</v>
      </c>
      <c r="DD24" s="240" t="s">
        <v>231</v>
      </c>
      <c r="DE24" s="240" t="s">
        <v>231</v>
      </c>
      <c r="DF24" s="240" t="s">
        <v>231</v>
      </c>
      <c r="DG24" s="240" t="s">
        <v>231</v>
      </c>
      <c r="DH24" s="240" t="s">
        <v>231</v>
      </c>
      <c r="DI24" s="240" t="s">
        <v>231</v>
      </c>
      <c r="DJ24" s="240" t="s">
        <v>231</v>
      </c>
      <c r="DK24" s="240" t="s">
        <v>231</v>
      </c>
      <c r="DL24" s="240" t="s">
        <v>231</v>
      </c>
      <c r="DM24" s="240" t="s">
        <v>231</v>
      </c>
      <c r="DN24" s="240" t="s">
        <v>231</v>
      </c>
      <c r="DO24" s="240" t="s">
        <v>231</v>
      </c>
      <c r="DP24" s="240" t="s">
        <v>231</v>
      </c>
      <c r="DQ24" s="240" t="s">
        <v>492</v>
      </c>
      <c r="DR24" s="240" t="s">
        <v>492</v>
      </c>
      <c r="DS24" s="240" t="s">
        <v>231</v>
      </c>
      <c r="DT24" s="240" t="s">
        <v>231</v>
      </c>
      <c r="DU24" s="240" t="s">
        <v>231</v>
      </c>
      <c r="DV24" s="240" t="s">
        <v>231</v>
      </c>
      <c r="DW24" s="240" t="s">
        <v>231</v>
      </c>
      <c r="DX24" s="240" t="s">
        <v>231</v>
      </c>
      <c r="DY24" s="240" t="s">
        <v>231</v>
      </c>
      <c r="DZ24" s="240" t="s">
        <v>231</v>
      </c>
      <c r="EA24" s="240" t="s">
        <v>231</v>
      </c>
      <c r="EB24" s="240" t="s">
        <v>231</v>
      </c>
      <c r="EC24" s="240" t="s">
        <v>231</v>
      </c>
      <c r="ED24" s="240" t="s">
        <v>231</v>
      </c>
      <c r="EE24" s="240" t="s">
        <v>231</v>
      </c>
      <c r="EF24" s="240" t="s">
        <v>231</v>
      </c>
      <c r="EG24" s="240" t="s">
        <v>231</v>
      </c>
      <c r="EH24" s="240" t="s">
        <v>231</v>
      </c>
      <c r="EI24" s="240" t="s">
        <v>231</v>
      </c>
      <c r="EJ24" s="240" t="s">
        <v>231</v>
      </c>
      <c r="EK24" s="240" t="s">
        <v>231</v>
      </c>
      <c r="EL24" s="240" t="s">
        <v>231</v>
      </c>
      <c r="EM24" s="240" t="s">
        <v>231</v>
      </c>
      <c r="EN24" s="240" t="s">
        <v>231</v>
      </c>
      <c r="EO24" s="240" t="s">
        <v>231</v>
      </c>
      <c r="EP24" s="240" t="s">
        <v>231</v>
      </c>
      <c r="EQ24" s="240" t="s">
        <v>231</v>
      </c>
      <c r="ER24" s="240" t="s">
        <v>231</v>
      </c>
      <c r="ES24" s="240" t="s">
        <v>231</v>
      </c>
      <c r="ET24" s="240" t="s">
        <v>231</v>
      </c>
      <c r="EU24" s="240" t="s">
        <v>231</v>
      </c>
      <c r="EV24" s="240" t="s">
        <v>231</v>
      </c>
      <c r="EW24" s="240" t="s">
        <v>231</v>
      </c>
      <c r="EX24" s="240" t="s">
        <v>231</v>
      </c>
      <c r="EY24" s="240" t="s">
        <v>231</v>
      </c>
      <c r="EZ24" s="240" t="s">
        <v>231</v>
      </c>
      <c r="FA24" s="240" t="s">
        <v>231</v>
      </c>
      <c r="FB24" s="240" t="s">
        <v>231</v>
      </c>
      <c r="FC24" s="240" t="s">
        <v>492</v>
      </c>
      <c r="FD24" s="240" t="s">
        <v>231</v>
      </c>
      <c r="FE24" s="240" t="s">
        <v>231</v>
      </c>
      <c r="FF24" s="240" t="s">
        <v>231</v>
      </c>
      <c r="FG24" s="240" t="s">
        <v>492</v>
      </c>
      <c r="FH24" s="240" t="s">
        <v>486</v>
      </c>
      <c r="FI24" s="240" t="s">
        <v>231</v>
      </c>
      <c r="FJ24" s="240" t="s">
        <v>231</v>
      </c>
      <c r="FK24" s="240" t="s">
        <v>231</v>
      </c>
      <c r="FL24" s="240" t="s">
        <v>231</v>
      </c>
      <c r="FM24" s="240" t="s">
        <v>231</v>
      </c>
      <c r="FN24" s="240" t="s">
        <v>231</v>
      </c>
      <c r="FO24" s="240" t="s">
        <v>231</v>
      </c>
      <c r="FP24" s="240" t="s">
        <v>231</v>
      </c>
      <c r="FQ24" s="240" t="s">
        <v>231</v>
      </c>
      <c r="FR24" s="240" t="s">
        <v>231</v>
      </c>
      <c r="FS24" s="240" t="s">
        <v>231</v>
      </c>
      <c r="FT24" s="240" t="s">
        <v>231</v>
      </c>
      <c r="FU24" s="240" t="s">
        <v>231</v>
      </c>
      <c r="FV24" s="240" t="s">
        <v>231</v>
      </c>
      <c r="FW24" s="240" t="s">
        <v>231</v>
      </c>
      <c r="FX24" s="240" t="s">
        <v>231</v>
      </c>
      <c r="FY24" s="240" t="s">
        <v>492</v>
      </c>
      <c r="FZ24" s="240" t="s">
        <v>1107</v>
      </c>
      <c r="GA24" s="240" t="s">
        <v>1107</v>
      </c>
      <c r="GB24" s="240" t="s">
        <v>1107</v>
      </c>
      <c r="GC24" s="240" t="s">
        <v>231</v>
      </c>
      <c r="GD24" s="240" t="s">
        <v>1107</v>
      </c>
      <c r="GE24" s="240" t="s">
        <v>1107</v>
      </c>
      <c r="GF24" s="240" t="s">
        <v>1107</v>
      </c>
      <c r="GG24" s="240" t="s">
        <v>1107</v>
      </c>
      <c r="GH24" s="240" t="s">
        <v>1107</v>
      </c>
      <c r="GI24" s="240" t="s">
        <v>1107</v>
      </c>
      <c r="GJ24" s="240" t="s">
        <v>1107</v>
      </c>
      <c r="GK24" s="240" t="s">
        <v>1107</v>
      </c>
      <c r="GL24" s="240" t="s">
        <v>1107</v>
      </c>
      <c r="GM24" s="240" t="s">
        <v>1107</v>
      </c>
      <c r="GN24" s="240" t="s">
        <v>1107</v>
      </c>
      <c r="GO24" s="240" t="s">
        <v>1107</v>
      </c>
      <c r="GP24" s="240" t="s">
        <v>1107</v>
      </c>
      <c r="GQ24" s="240" t="s">
        <v>1107</v>
      </c>
      <c r="GR24" s="240" t="s">
        <v>1107</v>
      </c>
      <c r="GS24" s="240" t="s">
        <v>1107</v>
      </c>
      <c r="GT24" s="240" t="s">
        <v>1107</v>
      </c>
      <c r="GU24" s="240" t="s">
        <v>1107</v>
      </c>
      <c r="GV24" s="240" t="s">
        <v>1107</v>
      </c>
      <c r="GW24" s="240" t="s">
        <v>1107</v>
      </c>
      <c r="GX24" s="240" t="s">
        <v>1107</v>
      </c>
      <c r="GY24" s="240" t="s">
        <v>1107</v>
      </c>
      <c r="GZ24" s="240" t="s">
        <v>1107</v>
      </c>
      <c r="HA24" s="240" t="s">
        <v>1107</v>
      </c>
      <c r="HB24" s="240" t="s">
        <v>1107</v>
      </c>
      <c r="HC24" s="240" t="s">
        <v>1107</v>
      </c>
      <c r="HD24" s="240" t="s">
        <v>1107</v>
      </c>
      <c r="HE24" s="240" t="s">
        <v>1107</v>
      </c>
      <c r="HF24" s="240" t="s">
        <v>1107</v>
      </c>
      <c r="HG24" s="240" t="s">
        <v>1107</v>
      </c>
      <c r="HH24" s="240" t="s">
        <v>1107</v>
      </c>
      <c r="HI24" s="240" t="s">
        <v>1107</v>
      </c>
      <c r="HJ24" s="240" t="s">
        <v>1107</v>
      </c>
      <c r="HK24" s="240" t="s">
        <v>1107</v>
      </c>
      <c r="HL24" s="240" t="s">
        <v>1107</v>
      </c>
      <c r="HM24" s="240" t="s">
        <v>1107</v>
      </c>
      <c r="HN24" s="240" t="s">
        <v>1107</v>
      </c>
      <c r="HO24" s="240" t="s">
        <v>1107</v>
      </c>
      <c r="HP24" s="240" t="s">
        <v>1107</v>
      </c>
      <c r="HQ24" s="240" t="s">
        <v>1107</v>
      </c>
      <c r="HR24" s="240" t="s">
        <v>1107</v>
      </c>
      <c r="HS24" s="240" t="s">
        <v>1107</v>
      </c>
      <c r="HT24" s="240" t="s">
        <v>231</v>
      </c>
      <c r="HU24" s="240" t="s">
        <v>231</v>
      </c>
      <c r="HV24" s="240" t="s">
        <v>231</v>
      </c>
      <c r="HW24" s="240" t="s">
        <v>231</v>
      </c>
      <c r="HX24" s="240" t="s">
        <v>220</v>
      </c>
      <c r="HY24" s="240" t="s">
        <v>493</v>
      </c>
      <c r="HZ24" s="240" t="s">
        <v>219</v>
      </c>
      <c r="IA24" s="240" t="s">
        <v>490</v>
      </c>
      <c r="IB24" s="240" t="s">
        <v>1107</v>
      </c>
      <c r="IC24" s="240" t="s">
        <v>1107</v>
      </c>
    </row>
    <row r="25" spans="1:237" ht="15" x14ac:dyDescent="0.25">
      <c r="A25" s="243" t="str">
        <f>HYPERLINK("http://www.ofsted.gov.uk/inspection-reports/find-inspection-report/provider/ELS/134000 ","Ofsted School Webpage")</f>
        <v>Ofsted School Webpage</v>
      </c>
      <c r="B25" s="237">
        <v>134000</v>
      </c>
      <c r="C25" s="237">
        <v>8936026</v>
      </c>
      <c r="D25" s="237" t="s">
        <v>1152</v>
      </c>
      <c r="E25" s="237" t="s">
        <v>248</v>
      </c>
      <c r="F25" s="237" t="s">
        <v>502</v>
      </c>
      <c r="G25" s="237" t="s">
        <v>502</v>
      </c>
      <c r="H25" s="237" t="s">
        <v>666</v>
      </c>
      <c r="I25" s="237" t="s">
        <v>1153</v>
      </c>
      <c r="J25" s="237" t="s">
        <v>93</v>
      </c>
      <c r="K25" s="237" t="s">
        <v>93</v>
      </c>
      <c r="L25" s="237" t="s">
        <v>93</v>
      </c>
      <c r="M25" s="237" t="s">
        <v>90</v>
      </c>
      <c r="N25" s="237" t="s">
        <v>486</v>
      </c>
      <c r="O25" s="237" t="s">
        <v>487</v>
      </c>
      <c r="P25" s="237">
        <v>10068056</v>
      </c>
      <c r="Q25" s="239">
        <v>43363</v>
      </c>
      <c r="R25" s="239">
        <v>43363</v>
      </c>
      <c r="S25" s="239">
        <v>43388</v>
      </c>
      <c r="T25" s="237" t="s">
        <v>1104</v>
      </c>
      <c r="U25" s="237" t="s">
        <v>1105</v>
      </c>
      <c r="V25" s="237" t="s">
        <v>490</v>
      </c>
      <c r="W25" s="237" t="s">
        <v>486</v>
      </c>
      <c r="X25" s="237" t="s">
        <v>486</v>
      </c>
      <c r="Y25" s="237" t="s">
        <v>486</v>
      </c>
      <c r="Z25" s="237" t="s">
        <v>486</v>
      </c>
      <c r="AA25" s="237" t="s">
        <v>486</v>
      </c>
      <c r="AB25" s="237" t="s">
        <v>486</v>
      </c>
      <c r="AC25" s="237" t="s">
        <v>486</v>
      </c>
      <c r="AD25" s="237" t="s">
        <v>1106</v>
      </c>
      <c r="AE25" s="237" t="s">
        <v>231</v>
      </c>
      <c r="AF25" s="237" t="s">
        <v>231</v>
      </c>
      <c r="AG25" s="237" t="s">
        <v>231</v>
      </c>
      <c r="AH25" s="237" t="s">
        <v>231</v>
      </c>
      <c r="AI25" s="237" t="s">
        <v>231</v>
      </c>
      <c r="AJ25" s="237" t="s">
        <v>231</v>
      </c>
      <c r="AK25" s="237" t="s">
        <v>231</v>
      </c>
      <c r="AL25" s="237" t="s">
        <v>231</v>
      </c>
      <c r="AM25" s="237" t="s">
        <v>492</v>
      </c>
      <c r="AN25" s="237" t="s">
        <v>231</v>
      </c>
      <c r="AO25" s="237" t="s">
        <v>231</v>
      </c>
      <c r="AP25" s="237" t="s">
        <v>231</v>
      </c>
      <c r="AQ25" s="237" t="s">
        <v>231</v>
      </c>
      <c r="AR25" s="237" t="s">
        <v>231</v>
      </c>
      <c r="AS25" s="237" t="s">
        <v>231</v>
      </c>
      <c r="AT25" s="237" t="s">
        <v>231</v>
      </c>
      <c r="AU25" s="237" t="s">
        <v>492</v>
      </c>
      <c r="AV25" s="237" t="s">
        <v>231</v>
      </c>
      <c r="AW25" s="237" t="s">
        <v>231</v>
      </c>
      <c r="AX25" s="237" t="s">
        <v>231</v>
      </c>
      <c r="AY25" s="237" t="s">
        <v>231</v>
      </c>
      <c r="AZ25" s="237" t="s">
        <v>231</v>
      </c>
      <c r="BA25" s="237" t="s">
        <v>231</v>
      </c>
      <c r="BB25" s="237" t="s">
        <v>231</v>
      </c>
      <c r="BC25" s="237" t="s">
        <v>231</v>
      </c>
      <c r="BD25" s="237" t="s">
        <v>231</v>
      </c>
      <c r="BE25" s="237" t="s">
        <v>231</v>
      </c>
      <c r="BF25" s="237" t="s">
        <v>231</v>
      </c>
      <c r="BG25" s="237" t="s">
        <v>231</v>
      </c>
      <c r="BH25" s="237" t="s">
        <v>231</v>
      </c>
      <c r="BI25" s="237" t="s">
        <v>231</v>
      </c>
      <c r="BJ25" s="237" t="s">
        <v>231</v>
      </c>
      <c r="BK25" s="237" t="s">
        <v>231</v>
      </c>
      <c r="BL25" s="237" t="s">
        <v>231</v>
      </c>
      <c r="BM25" s="237" t="s">
        <v>231</v>
      </c>
      <c r="BN25" s="237" t="s">
        <v>231</v>
      </c>
      <c r="BO25" s="237" t="s">
        <v>231</v>
      </c>
      <c r="BP25" s="237" t="s">
        <v>231</v>
      </c>
      <c r="BQ25" s="237" t="s">
        <v>231</v>
      </c>
      <c r="BR25" s="237" t="s">
        <v>231</v>
      </c>
      <c r="BS25" s="237" t="s">
        <v>231</v>
      </c>
      <c r="BT25" s="237" t="s">
        <v>231</v>
      </c>
      <c r="BU25" s="237" t="s">
        <v>231</v>
      </c>
      <c r="BV25" s="237" t="s">
        <v>231</v>
      </c>
      <c r="BW25" s="237" t="s">
        <v>231</v>
      </c>
      <c r="BX25" s="237" t="s">
        <v>231</v>
      </c>
      <c r="BY25" s="237" t="s">
        <v>231</v>
      </c>
      <c r="BZ25" s="237" t="s">
        <v>231</v>
      </c>
      <c r="CA25" s="237" t="s">
        <v>231</v>
      </c>
      <c r="CB25" s="237" t="s">
        <v>231</v>
      </c>
      <c r="CC25" s="237" t="s">
        <v>492</v>
      </c>
      <c r="CD25" s="237" t="s">
        <v>492</v>
      </c>
      <c r="CE25" s="237" t="s">
        <v>492</v>
      </c>
      <c r="CF25" s="237" t="s">
        <v>1107</v>
      </c>
      <c r="CG25" s="237" t="s">
        <v>1107</v>
      </c>
      <c r="CH25" s="237" t="s">
        <v>1107</v>
      </c>
      <c r="CI25" s="237" t="s">
        <v>1107</v>
      </c>
      <c r="CJ25" s="237" t="s">
        <v>1107</v>
      </c>
      <c r="CK25" s="237" t="s">
        <v>1107</v>
      </c>
      <c r="CL25" s="237" t="s">
        <v>1107</v>
      </c>
      <c r="CM25" s="237" t="s">
        <v>1107</v>
      </c>
      <c r="CN25" s="237" t="s">
        <v>1107</v>
      </c>
      <c r="CO25" s="237" t="s">
        <v>1107</v>
      </c>
      <c r="CP25" s="237" t="s">
        <v>1107</v>
      </c>
      <c r="CQ25" s="237" t="s">
        <v>1107</v>
      </c>
      <c r="CR25" s="237" t="s">
        <v>1107</v>
      </c>
      <c r="CS25" s="237" t="s">
        <v>1107</v>
      </c>
      <c r="CT25" s="237" t="s">
        <v>1107</v>
      </c>
      <c r="CU25" s="237" t="s">
        <v>1107</v>
      </c>
      <c r="CV25" s="237" t="s">
        <v>1107</v>
      </c>
      <c r="CW25" s="237" t="s">
        <v>1107</v>
      </c>
      <c r="CX25" s="237" t="s">
        <v>1107</v>
      </c>
      <c r="CY25" s="237" t="s">
        <v>1107</v>
      </c>
      <c r="CZ25" s="237" t="s">
        <v>1107</v>
      </c>
      <c r="DA25" s="237" t="s">
        <v>1107</v>
      </c>
      <c r="DB25" s="237" t="s">
        <v>1107</v>
      </c>
      <c r="DC25" s="237" t="s">
        <v>1107</v>
      </c>
      <c r="DD25" s="237" t="s">
        <v>1107</v>
      </c>
      <c r="DE25" s="237" t="s">
        <v>1107</v>
      </c>
      <c r="DF25" s="237" t="s">
        <v>1107</v>
      </c>
      <c r="DG25" s="237" t="s">
        <v>1107</v>
      </c>
      <c r="DH25" s="237" t="s">
        <v>1107</v>
      </c>
      <c r="DI25" s="237" t="s">
        <v>1107</v>
      </c>
      <c r="DJ25" s="237" t="s">
        <v>1107</v>
      </c>
      <c r="DK25" s="237" t="s">
        <v>1107</v>
      </c>
      <c r="DL25" s="237" t="s">
        <v>1107</v>
      </c>
      <c r="DM25" s="237" t="s">
        <v>1107</v>
      </c>
      <c r="DN25" s="237" t="s">
        <v>1107</v>
      </c>
      <c r="DO25" s="237" t="s">
        <v>1107</v>
      </c>
      <c r="DP25" s="237" t="s">
        <v>1107</v>
      </c>
      <c r="DQ25" s="237" t="s">
        <v>1107</v>
      </c>
      <c r="DR25" s="237" t="s">
        <v>1107</v>
      </c>
      <c r="DS25" s="237" t="s">
        <v>1107</v>
      </c>
      <c r="DT25" s="237" t="s">
        <v>1107</v>
      </c>
      <c r="DU25" s="237" t="s">
        <v>1107</v>
      </c>
      <c r="DV25" s="237" t="s">
        <v>1107</v>
      </c>
      <c r="DW25" s="237" t="s">
        <v>1107</v>
      </c>
      <c r="DX25" s="237" t="s">
        <v>1107</v>
      </c>
      <c r="DY25" s="237" t="s">
        <v>1107</v>
      </c>
      <c r="DZ25" s="237" t="s">
        <v>1107</v>
      </c>
      <c r="EA25" s="237" t="s">
        <v>1107</v>
      </c>
      <c r="EB25" s="237" t="s">
        <v>1107</v>
      </c>
      <c r="EC25" s="237" t="s">
        <v>1107</v>
      </c>
      <c r="ED25" s="237" t="s">
        <v>1107</v>
      </c>
      <c r="EE25" s="237" t="s">
        <v>1107</v>
      </c>
      <c r="EF25" s="237" t="s">
        <v>1107</v>
      </c>
      <c r="EG25" s="237" t="s">
        <v>1107</v>
      </c>
      <c r="EH25" s="237" t="s">
        <v>1107</v>
      </c>
      <c r="EI25" s="237" t="s">
        <v>1107</v>
      </c>
      <c r="EJ25" s="237" t="s">
        <v>1107</v>
      </c>
      <c r="EK25" s="237" t="s">
        <v>1107</v>
      </c>
      <c r="EL25" s="237" t="s">
        <v>1107</v>
      </c>
      <c r="EM25" s="237" t="s">
        <v>1107</v>
      </c>
      <c r="EN25" s="237" t="s">
        <v>1107</v>
      </c>
      <c r="EO25" s="237" t="s">
        <v>1107</v>
      </c>
      <c r="EP25" s="237" t="s">
        <v>1107</v>
      </c>
      <c r="EQ25" s="237" t="s">
        <v>1107</v>
      </c>
      <c r="ER25" s="237" t="s">
        <v>1107</v>
      </c>
      <c r="ES25" s="237" t="s">
        <v>1107</v>
      </c>
      <c r="ET25" s="237" t="s">
        <v>1107</v>
      </c>
      <c r="EU25" s="237" t="s">
        <v>1107</v>
      </c>
      <c r="EV25" s="237" t="s">
        <v>1107</v>
      </c>
      <c r="EW25" s="237" t="s">
        <v>1107</v>
      </c>
      <c r="EX25" s="237" t="s">
        <v>1107</v>
      </c>
      <c r="EY25" s="237" t="s">
        <v>1107</v>
      </c>
      <c r="EZ25" s="237" t="s">
        <v>1107</v>
      </c>
      <c r="FA25" s="237" t="s">
        <v>1107</v>
      </c>
      <c r="FB25" s="237" t="s">
        <v>1107</v>
      </c>
      <c r="FC25" s="237" t="s">
        <v>1107</v>
      </c>
      <c r="FD25" s="237" t="s">
        <v>1107</v>
      </c>
      <c r="FE25" s="237" t="s">
        <v>1107</v>
      </c>
      <c r="FF25" s="237" t="s">
        <v>1107</v>
      </c>
      <c r="FG25" s="237" t="s">
        <v>1107</v>
      </c>
      <c r="FH25" s="237" t="s">
        <v>1107</v>
      </c>
      <c r="FI25" s="237" t="s">
        <v>1107</v>
      </c>
      <c r="FJ25" s="237" t="s">
        <v>1107</v>
      </c>
      <c r="FK25" s="237" t="s">
        <v>1107</v>
      </c>
      <c r="FL25" s="237" t="s">
        <v>1107</v>
      </c>
      <c r="FM25" s="237" t="s">
        <v>1107</v>
      </c>
      <c r="FN25" s="237" t="s">
        <v>1107</v>
      </c>
      <c r="FO25" s="237" t="s">
        <v>1107</v>
      </c>
      <c r="FP25" s="237" t="s">
        <v>1107</v>
      </c>
      <c r="FQ25" s="237" t="s">
        <v>1107</v>
      </c>
      <c r="FR25" s="237" t="s">
        <v>1107</v>
      </c>
      <c r="FS25" s="237" t="s">
        <v>1107</v>
      </c>
      <c r="FT25" s="237" t="s">
        <v>1107</v>
      </c>
      <c r="FU25" s="237" t="s">
        <v>1107</v>
      </c>
      <c r="FV25" s="237" t="s">
        <v>1107</v>
      </c>
      <c r="FW25" s="237" t="s">
        <v>1107</v>
      </c>
      <c r="FX25" s="237" t="s">
        <v>1107</v>
      </c>
      <c r="FY25" s="237" t="s">
        <v>1107</v>
      </c>
      <c r="FZ25" s="237" t="s">
        <v>1107</v>
      </c>
      <c r="GA25" s="237" t="s">
        <v>1107</v>
      </c>
      <c r="GB25" s="237" t="s">
        <v>1107</v>
      </c>
      <c r="GC25" s="237" t="s">
        <v>231</v>
      </c>
      <c r="GD25" s="237" t="s">
        <v>1107</v>
      </c>
      <c r="GE25" s="237" t="s">
        <v>1107</v>
      </c>
      <c r="GF25" s="237" t="s">
        <v>1107</v>
      </c>
      <c r="GG25" s="237" t="s">
        <v>1107</v>
      </c>
      <c r="GH25" s="237" t="s">
        <v>1107</v>
      </c>
      <c r="GI25" s="237" t="s">
        <v>1107</v>
      </c>
      <c r="GJ25" s="237" t="s">
        <v>1107</v>
      </c>
      <c r="GK25" s="237" t="s">
        <v>1107</v>
      </c>
      <c r="GL25" s="237" t="s">
        <v>1107</v>
      </c>
      <c r="GM25" s="237" t="s">
        <v>1107</v>
      </c>
      <c r="GN25" s="237" t="s">
        <v>1107</v>
      </c>
      <c r="GO25" s="237" t="s">
        <v>1107</v>
      </c>
      <c r="GP25" s="237" t="s">
        <v>1107</v>
      </c>
      <c r="GQ25" s="237" t="s">
        <v>1107</v>
      </c>
      <c r="GR25" s="237" t="s">
        <v>1107</v>
      </c>
      <c r="GS25" s="237" t="s">
        <v>1107</v>
      </c>
      <c r="GT25" s="237" t="s">
        <v>1107</v>
      </c>
      <c r="GU25" s="237" t="s">
        <v>1107</v>
      </c>
      <c r="GV25" s="237" t="s">
        <v>1107</v>
      </c>
      <c r="GW25" s="237" t="s">
        <v>1107</v>
      </c>
      <c r="GX25" s="237" t="s">
        <v>1107</v>
      </c>
      <c r="GY25" s="237" t="s">
        <v>1107</v>
      </c>
      <c r="GZ25" s="237" t="s">
        <v>1107</v>
      </c>
      <c r="HA25" s="237" t="s">
        <v>1107</v>
      </c>
      <c r="HB25" s="237" t="s">
        <v>1107</v>
      </c>
      <c r="HC25" s="237" t="s">
        <v>1107</v>
      </c>
      <c r="HD25" s="237" t="s">
        <v>1107</v>
      </c>
      <c r="HE25" s="237" t="s">
        <v>1107</v>
      </c>
      <c r="HF25" s="237" t="s">
        <v>1107</v>
      </c>
      <c r="HG25" s="237" t="s">
        <v>1107</v>
      </c>
      <c r="HH25" s="237" t="s">
        <v>1107</v>
      </c>
      <c r="HI25" s="237" t="s">
        <v>1107</v>
      </c>
      <c r="HJ25" s="237" t="s">
        <v>1107</v>
      </c>
      <c r="HK25" s="237" t="s">
        <v>1107</v>
      </c>
      <c r="HL25" s="237" t="s">
        <v>1107</v>
      </c>
      <c r="HM25" s="237" t="s">
        <v>1107</v>
      </c>
      <c r="HN25" s="237" t="s">
        <v>1107</v>
      </c>
      <c r="HO25" s="237" t="s">
        <v>1107</v>
      </c>
      <c r="HP25" s="237" t="s">
        <v>1107</v>
      </c>
      <c r="HQ25" s="237" t="s">
        <v>1107</v>
      </c>
      <c r="HR25" s="237" t="s">
        <v>1107</v>
      </c>
      <c r="HS25" s="237" t="s">
        <v>1107</v>
      </c>
      <c r="HT25" s="237" t="s">
        <v>231</v>
      </c>
      <c r="HU25" s="237" t="s">
        <v>231</v>
      </c>
      <c r="HV25" s="237" t="s">
        <v>231</v>
      </c>
      <c r="HW25" s="237" t="s">
        <v>231</v>
      </c>
      <c r="HX25" s="237" t="s">
        <v>220</v>
      </c>
      <c r="HY25" s="237" t="s">
        <v>493</v>
      </c>
      <c r="HZ25" s="237" t="s">
        <v>219</v>
      </c>
      <c r="IA25" s="237" t="s">
        <v>490</v>
      </c>
      <c r="IB25" s="237" t="s">
        <v>492</v>
      </c>
      <c r="IC25" s="237" t="s">
        <v>492</v>
      </c>
    </row>
    <row r="26" spans="1:237" ht="15" x14ac:dyDescent="0.25">
      <c r="A26" s="244" t="str">
        <f>HYPERLINK("http://www.ofsted.gov.uk/inspection-reports/find-inspection-report/provider/ELS/143048 ","Ofsted School Webpage")</f>
        <v>Ofsted School Webpage</v>
      </c>
      <c r="B26" s="240">
        <v>143048</v>
      </c>
      <c r="C26" s="240">
        <v>3186007</v>
      </c>
      <c r="D26" s="240" t="s">
        <v>1154</v>
      </c>
      <c r="E26" s="240" t="s">
        <v>247</v>
      </c>
      <c r="F26" s="240" t="s">
        <v>506</v>
      </c>
      <c r="G26" s="240" t="s">
        <v>506</v>
      </c>
      <c r="H26" s="240" t="s">
        <v>1040</v>
      </c>
      <c r="I26" s="240" t="s">
        <v>1155</v>
      </c>
      <c r="J26" s="240" t="s">
        <v>93</v>
      </c>
      <c r="K26" s="240" t="s">
        <v>93</v>
      </c>
      <c r="L26" s="240" t="s">
        <v>93</v>
      </c>
      <c r="M26" s="240" t="s">
        <v>90</v>
      </c>
      <c r="N26" s="240" t="s">
        <v>486</v>
      </c>
      <c r="O26" s="240" t="s">
        <v>487</v>
      </c>
      <c r="P26" s="240">
        <v>10077620</v>
      </c>
      <c r="Q26" s="242">
        <v>43363</v>
      </c>
      <c r="R26" s="242">
        <v>43363</v>
      </c>
      <c r="S26" s="242">
        <v>43397</v>
      </c>
      <c r="T26" s="240" t="s">
        <v>1104</v>
      </c>
      <c r="U26" s="240" t="s">
        <v>1105</v>
      </c>
      <c r="V26" s="240" t="s">
        <v>490</v>
      </c>
      <c r="W26" s="240" t="s">
        <v>486</v>
      </c>
      <c r="X26" s="240" t="s">
        <v>486</v>
      </c>
      <c r="Y26" s="240" t="s">
        <v>486</v>
      </c>
      <c r="Z26" s="240" t="s">
        <v>486</v>
      </c>
      <c r="AA26" s="240" t="s">
        <v>486</v>
      </c>
      <c r="AB26" s="240" t="s">
        <v>486</v>
      </c>
      <c r="AC26" s="240" t="s">
        <v>486</v>
      </c>
      <c r="AD26" s="240" t="s">
        <v>1128</v>
      </c>
      <c r="AE26" s="240" t="s">
        <v>1107</v>
      </c>
      <c r="AF26" s="240" t="s">
        <v>1107</v>
      </c>
      <c r="AG26" s="240" t="s">
        <v>1107</v>
      </c>
      <c r="AH26" s="240" t="s">
        <v>1107</v>
      </c>
      <c r="AI26" s="240" t="s">
        <v>1107</v>
      </c>
      <c r="AJ26" s="240" t="s">
        <v>1107</v>
      </c>
      <c r="AK26" s="240" t="s">
        <v>1107</v>
      </c>
      <c r="AL26" s="240" t="s">
        <v>1107</v>
      </c>
      <c r="AM26" s="240" t="s">
        <v>1107</v>
      </c>
      <c r="AN26" s="240" t="s">
        <v>1107</v>
      </c>
      <c r="AO26" s="240" t="s">
        <v>1107</v>
      </c>
      <c r="AP26" s="240" t="s">
        <v>1107</v>
      </c>
      <c r="AQ26" s="240" t="s">
        <v>1107</v>
      </c>
      <c r="AR26" s="240" t="s">
        <v>1107</v>
      </c>
      <c r="AS26" s="240" t="s">
        <v>1107</v>
      </c>
      <c r="AT26" s="240" t="s">
        <v>1107</v>
      </c>
      <c r="AU26" s="240" t="s">
        <v>1107</v>
      </c>
      <c r="AV26" s="240" t="s">
        <v>1107</v>
      </c>
      <c r="AW26" s="240" t="s">
        <v>1107</v>
      </c>
      <c r="AX26" s="240" t="s">
        <v>1107</v>
      </c>
      <c r="AY26" s="240" t="s">
        <v>1107</v>
      </c>
      <c r="AZ26" s="240" t="s">
        <v>1107</v>
      </c>
      <c r="BA26" s="240" t="s">
        <v>1107</v>
      </c>
      <c r="BB26" s="240" t="s">
        <v>1107</v>
      </c>
      <c r="BC26" s="240" t="s">
        <v>1107</v>
      </c>
      <c r="BD26" s="240" t="s">
        <v>1107</v>
      </c>
      <c r="BE26" s="240" t="s">
        <v>1107</v>
      </c>
      <c r="BF26" s="240" t="s">
        <v>1107</v>
      </c>
      <c r="BG26" s="240" t="s">
        <v>1107</v>
      </c>
      <c r="BH26" s="240" t="s">
        <v>1107</v>
      </c>
      <c r="BI26" s="240" t="s">
        <v>1107</v>
      </c>
      <c r="BJ26" s="240" t="s">
        <v>1107</v>
      </c>
      <c r="BK26" s="240" t="s">
        <v>1107</v>
      </c>
      <c r="BL26" s="240" t="s">
        <v>1107</v>
      </c>
      <c r="BM26" s="240" t="s">
        <v>1107</v>
      </c>
      <c r="BN26" s="240" t="s">
        <v>1107</v>
      </c>
      <c r="BO26" s="240" t="s">
        <v>1107</v>
      </c>
      <c r="BP26" s="240" t="s">
        <v>1107</v>
      </c>
      <c r="BQ26" s="240" t="s">
        <v>1107</v>
      </c>
      <c r="BR26" s="240" t="s">
        <v>1107</v>
      </c>
      <c r="BS26" s="240" t="s">
        <v>1107</v>
      </c>
      <c r="BT26" s="240" t="s">
        <v>1107</v>
      </c>
      <c r="BU26" s="240" t="s">
        <v>1107</v>
      </c>
      <c r="BV26" s="240" t="s">
        <v>1107</v>
      </c>
      <c r="BW26" s="240" t="s">
        <v>1107</v>
      </c>
      <c r="BX26" s="240" t="s">
        <v>1107</v>
      </c>
      <c r="BY26" s="240" t="s">
        <v>1107</v>
      </c>
      <c r="BZ26" s="240" t="s">
        <v>232</v>
      </c>
      <c r="CA26" s="240" t="s">
        <v>231</v>
      </c>
      <c r="CB26" s="240" t="s">
        <v>232</v>
      </c>
      <c r="CC26" s="240" t="s">
        <v>492</v>
      </c>
      <c r="CD26" s="240" t="s">
        <v>492</v>
      </c>
      <c r="CE26" s="240" t="s">
        <v>492</v>
      </c>
      <c r="CF26" s="240" t="s">
        <v>1107</v>
      </c>
      <c r="CG26" s="240" t="s">
        <v>1107</v>
      </c>
      <c r="CH26" s="240" t="s">
        <v>1107</v>
      </c>
      <c r="CI26" s="240" t="s">
        <v>1107</v>
      </c>
      <c r="CJ26" s="240" t="s">
        <v>1107</v>
      </c>
      <c r="CK26" s="240" t="s">
        <v>231</v>
      </c>
      <c r="CL26" s="240" t="s">
        <v>232</v>
      </c>
      <c r="CM26" s="240" t="s">
        <v>1107</v>
      </c>
      <c r="CN26" s="240" t="s">
        <v>1107</v>
      </c>
      <c r="CO26" s="240" t="s">
        <v>1107</v>
      </c>
      <c r="CP26" s="240" t="s">
        <v>232</v>
      </c>
      <c r="CQ26" s="240" t="s">
        <v>232</v>
      </c>
      <c r="CR26" s="240" t="s">
        <v>231</v>
      </c>
      <c r="CS26" s="240" t="s">
        <v>1107</v>
      </c>
      <c r="CT26" s="240" t="s">
        <v>1107</v>
      </c>
      <c r="CU26" s="240" t="s">
        <v>1107</v>
      </c>
      <c r="CV26" s="240" t="s">
        <v>1107</v>
      </c>
      <c r="CW26" s="240" t="s">
        <v>1107</v>
      </c>
      <c r="CX26" s="240" t="s">
        <v>1107</v>
      </c>
      <c r="CY26" s="240" t="s">
        <v>1107</v>
      </c>
      <c r="CZ26" s="240" t="s">
        <v>1107</v>
      </c>
      <c r="DA26" s="240" t="s">
        <v>1107</v>
      </c>
      <c r="DB26" s="240" t="s">
        <v>1107</v>
      </c>
      <c r="DC26" s="240" t="s">
        <v>1107</v>
      </c>
      <c r="DD26" s="240" t="s">
        <v>1107</v>
      </c>
      <c r="DE26" s="240" t="s">
        <v>1107</v>
      </c>
      <c r="DF26" s="240" t="s">
        <v>1107</v>
      </c>
      <c r="DG26" s="240" t="s">
        <v>1107</v>
      </c>
      <c r="DH26" s="240" t="s">
        <v>1107</v>
      </c>
      <c r="DI26" s="240" t="s">
        <v>1107</v>
      </c>
      <c r="DJ26" s="240" t="s">
        <v>1107</v>
      </c>
      <c r="DK26" s="240" t="s">
        <v>1107</v>
      </c>
      <c r="DL26" s="240" t="s">
        <v>1107</v>
      </c>
      <c r="DM26" s="240" t="s">
        <v>1107</v>
      </c>
      <c r="DN26" s="240" t="s">
        <v>1107</v>
      </c>
      <c r="DO26" s="240" t="s">
        <v>1107</v>
      </c>
      <c r="DP26" s="240" t="s">
        <v>1107</v>
      </c>
      <c r="DQ26" s="240" t="s">
        <v>1107</v>
      </c>
      <c r="DR26" s="240" t="s">
        <v>1107</v>
      </c>
      <c r="DS26" s="240" t="s">
        <v>1107</v>
      </c>
      <c r="DT26" s="240" t="s">
        <v>1107</v>
      </c>
      <c r="DU26" s="240" t="s">
        <v>1107</v>
      </c>
      <c r="DV26" s="240" t="s">
        <v>1107</v>
      </c>
      <c r="DW26" s="240" t="s">
        <v>1107</v>
      </c>
      <c r="DX26" s="240" t="s">
        <v>1107</v>
      </c>
      <c r="DY26" s="240" t="s">
        <v>1107</v>
      </c>
      <c r="DZ26" s="240" t="s">
        <v>1107</v>
      </c>
      <c r="EA26" s="240" t="s">
        <v>1107</v>
      </c>
      <c r="EB26" s="240" t="s">
        <v>1107</v>
      </c>
      <c r="EC26" s="240" t="s">
        <v>1107</v>
      </c>
      <c r="ED26" s="240" t="s">
        <v>1107</v>
      </c>
      <c r="EE26" s="240" t="s">
        <v>1107</v>
      </c>
      <c r="EF26" s="240" t="s">
        <v>1107</v>
      </c>
      <c r="EG26" s="240" t="s">
        <v>1107</v>
      </c>
      <c r="EH26" s="240" t="s">
        <v>1107</v>
      </c>
      <c r="EI26" s="240" t="s">
        <v>1107</v>
      </c>
      <c r="EJ26" s="240" t="s">
        <v>1107</v>
      </c>
      <c r="EK26" s="240" t="s">
        <v>1107</v>
      </c>
      <c r="EL26" s="240" t="s">
        <v>1107</v>
      </c>
      <c r="EM26" s="240" t="s">
        <v>1107</v>
      </c>
      <c r="EN26" s="240" t="s">
        <v>1107</v>
      </c>
      <c r="EO26" s="240" t="s">
        <v>1107</v>
      </c>
      <c r="EP26" s="240" t="s">
        <v>1107</v>
      </c>
      <c r="EQ26" s="240" t="s">
        <v>1107</v>
      </c>
      <c r="ER26" s="240" t="s">
        <v>1107</v>
      </c>
      <c r="ES26" s="240" t="s">
        <v>1107</v>
      </c>
      <c r="ET26" s="240" t="s">
        <v>1107</v>
      </c>
      <c r="EU26" s="240" t="s">
        <v>1107</v>
      </c>
      <c r="EV26" s="240" t="s">
        <v>1107</v>
      </c>
      <c r="EW26" s="240" t="s">
        <v>1107</v>
      </c>
      <c r="EX26" s="240" t="s">
        <v>1107</v>
      </c>
      <c r="EY26" s="240" t="s">
        <v>1107</v>
      </c>
      <c r="EZ26" s="240" t="s">
        <v>231</v>
      </c>
      <c r="FA26" s="240" t="s">
        <v>231</v>
      </c>
      <c r="FB26" s="240" t="s">
        <v>231</v>
      </c>
      <c r="FC26" s="240" t="s">
        <v>492</v>
      </c>
      <c r="FD26" s="240" t="s">
        <v>232</v>
      </c>
      <c r="FE26" s="240" t="s">
        <v>232</v>
      </c>
      <c r="FF26" s="240" t="s">
        <v>232</v>
      </c>
      <c r="FG26" s="240" t="s">
        <v>492</v>
      </c>
      <c r="FH26" s="240" t="s">
        <v>231</v>
      </c>
      <c r="FI26" s="240" t="s">
        <v>231</v>
      </c>
      <c r="FJ26" s="240" t="s">
        <v>231</v>
      </c>
      <c r="FK26" s="240" t="s">
        <v>231</v>
      </c>
      <c r="FL26" s="240" t="s">
        <v>231</v>
      </c>
      <c r="FM26" s="240" t="s">
        <v>231</v>
      </c>
      <c r="FN26" s="240" t="s">
        <v>232</v>
      </c>
      <c r="FO26" s="240" t="s">
        <v>231</v>
      </c>
      <c r="FP26" s="240" t="s">
        <v>232</v>
      </c>
      <c r="FQ26" s="240" t="s">
        <v>231</v>
      </c>
      <c r="FR26" s="240" t="s">
        <v>232</v>
      </c>
      <c r="FS26" s="240" t="s">
        <v>231</v>
      </c>
      <c r="FT26" s="240" t="s">
        <v>231</v>
      </c>
      <c r="FU26" s="240" t="s">
        <v>231</v>
      </c>
      <c r="FV26" s="240" t="s">
        <v>231</v>
      </c>
      <c r="FW26" s="240" t="s">
        <v>231</v>
      </c>
      <c r="FX26" s="240" t="s">
        <v>231</v>
      </c>
      <c r="FY26" s="240" t="s">
        <v>492</v>
      </c>
      <c r="FZ26" s="240" t="s">
        <v>231</v>
      </c>
      <c r="GA26" s="240" t="s">
        <v>1107</v>
      </c>
      <c r="GB26" s="240" t="s">
        <v>1107</v>
      </c>
      <c r="GC26" s="240" t="s">
        <v>231</v>
      </c>
      <c r="GD26" s="240" t="s">
        <v>1107</v>
      </c>
      <c r="GE26" s="240" t="s">
        <v>1107</v>
      </c>
      <c r="GF26" s="240" t="s">
        <v>1107</v>
      </c>
      <c r="GG26" s="240" t="s">
        <v>1107</v>
      </c>
      <c r="GH26" s="240" t="s">
        <v>1107</v>
      </c>
      <c r="GI26" s="240" t="s">
        <v>1107</v>
      </c>
      <c r="GJ26" s="240" t="s">
        <v>1107</v>
      </c>
      <c r="GK26" s="240" t="s">
        <v>1107</v>
      </c>
      <c r="GL26" s="240" t="s">
        <v>1107</v>
      </c>
      <c r="GM26" s="240" t="s">
        <v>1107</v>
      </c>
      <c r="GN26" s="240" t="s">
        <v>1107</v>
      </c>
      <c r="GO26" s="240" t="s">
        <v>1107</v>
      </c>
      <c r="GP26" s="240" t="s">
        <v>1107</v>
      </c>
      <c r="GQ26" s="240" t="s">
        <v>1107</v>
      </c>
      <c r="GR26" s="240" t="s">
        <v>1107</v>
      </c>
      <c r="GS26" s="240" t="s">
        <v>1107</v>
      </c>
      <c r="GT26" s="240" t="s">
        <v>1107</v>
      </c>
      <c r="GU26" s="240" t="s">
        <v>1107</v>
      </c>
      <c r="GV26" s="240" t="s">
        <v>1107</v>
      </c>
      <c r="GW26" s="240" t="s">
        <v>1107</v>
      </c>
      <c r="GX26" s="240" t="s">
        <v>1107</v>
      </c>
      <c r="GY26" s="240" t="s">
        <v>1107</v>
      </c>
      <c r="GZ26" s="240" t="s">
        <v>1107</v>
      </c>
      <c r="HA26" s="240" t="s">
        <v>1107</v>
      </c>
      <c r="HB26" s="240" t="s">
        <v>1107</v>
      </c>
      <c r="HC26" s="240" t="s">
        <v>1107</v>
      </c>
      <c r="HD26" s="240" t="s">
        <v>1107</v>
      </c>
      <c r="HE26" s="240" t="s">
        <v>1107</v>
      </c>
      <c r="HF26" s="240" t="s">
        <v>1107</v>
      </c>
      <c r="HG26" s="240" t="s">
        <v>1107</v>
      </c>
      <c r="HH26" s="240" t="s">
        <v>1107</v>
      </c>
      <c r="HI26" s="240" t="s">
        <v>1107</v>
      </c>
      <c r="HJ26" s="240" t="s">
        <v>1107</v>
      </c>
      <c r="HK26" s="240" t="s">
        <v>1107</v>
      </c>
      <c r="HL26" s="240" t="s">
        <v>1107</v>
      </c>
      <c r="HM26" s="240" t="s">
        <v>1107</v>
      </c>
      <c r="HN26" s="240" t="s">
        <v>1107</v>
      </c>
      <c r="HO26" s="240" t="s">
        <v>1107</v>
      </c>
      <c r="HP26" s="240" t="s">
        <v>1107</v>
      </c>
      <c r="HQ26" s="240" t="s">
        <v>1107</v>
      </c>
      <c r="HR26" s="240" t="s">
        <v>1107</v>
      </c>
      <c r="HS26" s="240" t="s">
        <v>1107</v>
      </c>
      <c r="HT26" s="240" t="s">
        <v>232</v>
      </c>
      <c r="HU26" s="240" t="s">
        <v>232</v>
      </c>
      <c r="HV26" s="240" t="s">
        <v>232</v>
      </c>
      <c r="HW26" s="240" t="s">
        <v>232</v>
      </c>
      <c r="HX26" s="240" t="s">
        <v>220</v>
      </c>
      <c r="HY26" s="240" t="s">
        <v>493</v>
      </c>
      <c r="HZ26" s="240" t="s">
        <v>219</v>
      </c>
      <c r="IA26" s="240" t="s">
        <v>486</v>
      </c>
      <c r="IB26" s="240" t="s">
        <v>232</v>
      </c>
      <c r="IC26" s="240" t="s">
        <v>1107</v>
      </c>
    </row>
    <row r="27" spans="1:237" ht="15" x14ac:dyDescent="0.25">
      <c r="A27" s="243" t="str">
        <f>HYPERLINK("http://www.ofsted.gov.uk/inspection-reports/find-inspection-report/provider/ELS/132097 ","Ofsted School Webpage")</f>
        <v>Ofsted School Webpage</v>
      </c>
      <c r="B27" s="237">
        <v>132097</v>
      </c>
      <c r="C27" s="237">
        <v>8876006</v>
      </c>
      <c r="D27" s="237" t="s">
        <v>1156</v>
      </c>
      <c r="E27" s="237" t="s">
        <v>248</v>
      </c>
      <c r="F27" s="237" t="s">
        <v>581</v>
      </c>
      <c r="G27" s="237" t="s">
        <v>581</v>
      </c>
      <c r="H27" s="237" t="s">
        <v>794</v>
      </c>
      <c r="I27" s="237" t="s">
        <v>1157</v>
      </c>
      <c r="J27" s="237" t="s">
        <v>93</v>
      </c>
      <c r="K27" s="237" t="s">
        <v>93</v>
      </c>
      <c r="L27" s="237" t="s">
        <v>93</v>
      </c>
      <c r="M27" s="237" t="s">
        <v>90</v>
      </c>
      <c r="N27" s="237" t="s">
        <v>486</v>
      </c>
      <c r="O27" s="237" t="s">
        <v>487</v>
      </c>
      <c r="P27" s="237">
        <v>10056732</v>
      </c>
      <c r="Q27" s="239">
        <v>43363</v>
      </c>
      <c r="R27" s="239">
        <v>43363</v>
      </c>
      <c r="S27" s="239">
        <v>43390</v>
      </c>
      <c r="T27" s="237" t="s">
        <v>1104</v>
      </c>
      <c r="U27" s="237" t="s">
        <v>1105</v>
      </c>
      <c r="V27" s="237" t="s">
        <v>490</v>
      </c>
      <c r="W27" s="237" t="s">
        <v>486</v>
      </c>
      <c r="X27" s="237" t="s">
        <v>486</v>
      </c>
      <c r="Y27" s="237" t="s">
        <v>486</v>
      </c>
      <c r="Z27" s="237" t="s">
        <v>486</v>
      </c>
      <c r="AA27" s="237" t="s">
        <v>486</v>
      </c>
      <c r="AB27" s="237" t="s">
        <v>486</v>
      </c>
      <c r="AC27" s="237" t="s">
        <v>486</v>
      </c>
      <c r="AD27" s="237" t="s">
        <v>1106</v>
      </c>
      <c r="AE27" s="237" t="s">
        <v>1107</v>
      </c>
      <c r="AF27" s="237" t="s">
        <v>1107</v>
      </c>
      <c r="AG27" s="237" t="s">
        <v>1107</v>
      </c>
      <c r="AH27" s="237" t="s">
        <v>1107</v>
      </c>
      <c r="AI27" s="237" t="s">
        <v>1107</v>
      </c>
      <c r="AJ27" s="237" t="s">
        <v>1107</v>
      </c>
      <c r="AK27" s="237" t="s">
        <v>1107</v>
      </c>
      <c r="AL27" s="237" t="s">
        <v>1107</v>
      </c>
      <c r="AM27" s="237" t="s">
        <v>1107</v>
      </c>
      <c r="AN27" s="237" t="s">
        <v>1107</v>
      </c>
      <c r="AO27" s="237" t="s">
        <v>1107</v>
      </c>
      <c r="AP27" s="237" t="s">
        <v>1107</v>
      </c>
      <c r="AQ27" s="237" t="s">
        <v>1107</v>
      </c>
      <c r="AR27" s="237" t="s">
        <v>1107</v>
      </c>
      <c r="AS27" s="237" t="s">
        <v>1107</v>
      </c>
      <c r="AT27" s="237" t="s">
        <v>1107</v>
      </c>
      <c r="AU27" s="237" t="s">
        <v>1107</v>
      </c>
      <c r="AV27" s="237" t="s">
        <v>1107</v>
      </c>
      <c r="AW27" s="237" t="s">
        <v>1107</v>
      </c>
      <c r="AX27" s="237" t="s">
        <v>1107</v>
      </c>
      <c r="AY27" s="237" t="s">
        <v>1107</v>
      </c>
      <c r="AZ27" s="237" t="s">
        <v>1107</v>
      </c>
      <c r="BA27" s="237" t="s">
        <v>1107</v>
      </c>
      <c r="BB27" s="237" t="s">
        <v>1107</v>
      </c>
      <c r="BC27" s="237" t="s">
        <v>1107</v>
      </c>
      <c r="BD27" s="237" t="s">
        <v>1107</v>
      </c>
      <c r="BE27" s="237" t="s">
        <v>1107</v>
      </c>
      <c r="BF27" s="237" t="s">
        <v>1107</v>
      </c>
      <c r="BG27" s="237" t="s">
        <v>1107</v>
      </c>
      <c r="BH27" s="237" t="s">
        <v>1107</v>
      </c>
      <c r="BI27" s="237" t="s">
        <v>1107</v>
      </c>
      <c r="BJ27" s="237" t="s">
        <v>1107</v>
      </c>
      <c r="BK27" s="237" t="s">
        <v>1107</v>
      </c>
      <c r="BL27" s="237" t="s">
        <v>1107</v>
      </c>
      <c r="BM27" s="237" t="s">
        <v>1107</v>
      </c>
      <c r="BN27" s="237" t="s">
        <v>1107</v>
      </c>
      <c r="BO27" s="237" t="s">
        <v>1107</v>
      </c>
      <c r="BP27" s="237" t="s">
        <v>1107</v>
      </c>
      <c r="BQ27" s="237" t="s">
        <v>1107</v>
      </c>
      <c r="BR27" s="237" t="s">
        <v>1107</v>
      </c>
      <c r="BS27" s="237" t="s">
        <v>1107</v>
      </c>
      <c r="BT27" s="237" t="s">
        <v>1107</v>
      </c>
      <c r="BU27" s="237" t="s">
        <v>1107</v>
      </c>
      <c r="BV27" s="237" t="s">
        <v>1107</v>
      </c>
      <c r="BW27" s="237" t="s">
        <v>1107</v>
      </c>
      <c r="BX27" s="237" t="s">
        <v>1107</v>
      </c>
      <c r="BY27" s="237" t="s">
        <v>1107</v>
      </c>
      <c r="BZ27" s="237" t="s">
        <v>231</v>
      </c>
      <c r="CA27" s="237" t="s">
        <v>231</v>
      </c>
      <c r="CB27" s="237" t="s">
        <v>231</v>
      </c>
      <c r="CC27" s="237" t="s">
        <v>231</v>
      </c>
      <c r="CD27" s="237" t="s">
        <v>231</v>
      </c>
      <c r="CE27" s="237" t="s">
        <v>492</v>
      </c>
      <c r="CF27" s="237" t="s">
        <v>1107</v>
      </c>
      <c r="CG27" s="237" t="s">
        <v>1107</v>
      </c>
      <c r="CH27" s="237" t="s">
        <v>1107</v>
      </c>
      <c r="CI27" s="237" t="s">
        <v>1107</v>
      </c>
      <c r="CJ27" s="237" t="s">
        <v>1107</v>
      </c>
      <c r="CK27" s="237" t="s">
        <v>231</v>
      </c>
      <c r="CL27" s="237" t="s">
        <v>231</v>
      </c>
      <c r="CM27" s="237" t="s">
        <v>1107</v>
      </c>
      <c r="CN27" s="237" t="s">
        <v>231</v>
      </c>
      <c r="CO27" s="237" t="s">
        <v>1107</v>
      </c>
      <c r="CP27" s="237" t="s">
        <v>231</v>
      </c>
      <c r="CQ27" s="237" t="s">
        <v>231</v>
      </c>
      <c r="CR27" s="237" t="s">
        <v>231</v>
      </c>
      <c r="CS27" s="237" t="s">
        <v>231</v>
      </c>
      <c r="CT27" s="237" t="s">
        <v>231</v>
      </c>
      <c r="CU27" s="237" t="s">
        <v>231</v>
      </c>
      <c r="CV27" s="237" t="s">
        <v>231</v>
      </c>
      <c r="CW27" s="237" t="s">
        <v>231</v>
      </c>
      <c r="CX27" s="237" t="s">
        <v>231</v>
      </c>
      <c r="CY27" s="237" t="s">
        <v>231</v>
      </c>
      <c r="CZ27" s="237" t="s">
        <v>231</v>
      </c>
      <c r="DA27" s="237" t="s">
        <v>231</v>
      </c>
      <c r="DB27" s="237" t="s">
        <v>231</v>
      </c>
      <c r="DC27" s="237" t="s">
        <v>492</v>
      </c>
      <c r="DD27" s="237" t="s">
        <v>231</v>
      </c>
      <c r="DE27" s="237" t="s">
        <v>231</v>
      </c>
      <c r="DF27" s="237" t="s">
        <v>231</v>
      </c>
      <c r="DG27" s="237" t="s">
        <v>231</v>
      </c>
      <c r="DH27" s="237" t="s">
        <v>231</v>
      </c>
      <c r="DI27" s="237" t="s">
        <v>231</v>
      </c>
      <c r="DJ27" s="237" t="s">
        <v>231</v>
      </c>
      <c r="DK27" s="237" t="s">
        <v>231</v>
      </c>
      <c r="DL27" s="237" t="s">
        <v>231</v>
      </c>
      <c r="DM27" s="237" t="s">
        <v>231</v>
      </c>
      <c r="DN27" s="237" t="s">
        <v>231</v>
      </c>
      <c r="DO27" s="237" t="s">
        <v>231</v>
      </c>
      <c r="DP27" s="237" t="s">
        <v>231</v>
      </c>
      <c r="DQ27" s="237" t="s">
        <v>492</v>
      </c>
      <c r="DR27" s="237" t="s">
        <v>231</v>
      </c>
      <c r="DS27" s="237" t="s">
        <v>231</v>
      </c>
      <c r="DT27" s="237" t="s">
        <v>231</v>
      </c>
      <c r="DU27" s="237" t="s">
        <v>231</v>
      </c>
      <c r="DV27" s="237" t="s">
        <v>231</v>
      </c>
      <c r="DW27" s="237" t="s">
        <v>231</v>
      </c>
      <c r="DX27" s="237" t="s">
        <v>231</v>
      </c>
      <c r="DY27" s="237" t="s">
        <v>231</v>
      </c>
      <c r="DZ27" s="237" t="s">
        <v>231</v>
      </c>
      <c r="EA27" s="237" t="s">
        <v>231</v>
      </c>
      <c r="EB27" s="237" t="s">
        <v>231</v>
      </c>
      <c r="EC27" s="237" t="s">
        <v>231</v>
      </c>
      <c r="ED27" s="237" t="s">
        <v>231</v>
      </c>
      <c r="EE27" s="237" t="s">
        <v>231</v>
      </c>
      <c r="EF27" s="237" t="s">
        <v>231</v>
      </c>
      <c r="EG27" s="237" t="s">
        <v>231</v>
      </c>
      <c r="EH27" s="237" t="s">
        <v>231</v>
      </c>
      <c r="EI27" s="237" t="s">
        <v>231</v>
      </c>
      <c r="EJ27" s="237" t="s">
        <v>231</v>
      </c>
      <c r="EK27" s="237" t="s">
        <v>231</v>
      </c>
      <c r="EL27" s="237" t="s">
        <v>231</v>
      </c>
      <c r="EM27" s="237" t="s">
        <v>231</v>
      </c>
      <c r="EN27" s="237" t="s">
        <v>231</v>
      </c>
      <c r="EO27" s="237" t="s">
        <v>231</v>
      </c>
      <c r="EP27" s="237" t="s">
        <v>231</v>
      </c>
      <c r="EQ27" s="237" t="s">
        <v>231</v>
      </c>
      <c r="ER27" s="237" t="s">
        <v>231</v>
      </c>
      <c r="ES27" s="237" t="s">
        <v>231</v>
      </c>
      <c r="ET27" s="237" t="s">
        <v>231</v>
      </c>
      <c r="EU27" s="237" t="s">
        <v>231</v>
      </c>
      <c r="EV27" s="237" t="s">
        <v>231</v>
      </c>
      <c r="EW27" s="237" t="s">
        <v>231</v>
      </c>
      <c r="EX27" s="237" t="s">
        <v>231</v>
      </c>
      <c r="EY27" s="237" t="s">
        <v>231</v>
      </c>
      <c r="EZ27" s="237" t="s">
        <v>231</v>
      </c>
      <c r="FA27" s="237" t="s">
        <v>231</v>
      </c>
      <c r="FB27" s="237" t="s">
        <v>231</v>
      </c>
      <c r="FC27" s="237" t="s">
        <v>231</v>
      </c>
      <c r="FD27" s="237" t="s">
        <v>231</v>
      </c>
      <c r="FE27" s="237" t="s">
        <v>231</v>
      </c>
      <c r="FF27" s="237" t="s">
        <v>231</v>
      </c>
      <c r="FG27" s="237" t="s">
        <v>492</v>
      </c>
      <c r="FH27" s="237" t="s">
        <v>231</v>
      </c>
      <c r="FI27" s="237" t="s">
        <v>231</v>
      </c>
      <c r="FJ27" s="237" t="s">
        <v>231</v>
      </c>
      <c r="FK27" s="237" t="s">
        <v>231</v>
      </c>
      <c r="FL27" s="237" t="s">
        <v>231</v>
      </c>
      <c r="FM27" s="237" t="s">
        <v>231</v>
      </c>
      <c r="FN27" s="237" t="s">
        <v>231</v>
      </c>
      <c r="FO27" s="237" t="s">
        <v>231</v>
      </c>
      <c r="FP27" s="237" t="s">
        <v>231</v>
      </c>
      <c r="FQ27" s="237" t="s">
        <v>231</v>
      </c>
      <c r="FR27" s="237" t="s">
        <v>231</v>
      </c>
      <c r="FS27" s="237" t="s">
        <v>231</v>
      </c>
      <c r="FT27" s="237" t="s">
        <v>231</v>
      </c>
      <c r="FU27" s="237" t="s">
        <v>231</v>
      </c>
      <c r="FV27" s="237" t="s">
        <v>231</v>
      </c>
      <c r="FW27" s="237" t="s">
        <v>231</v>
      </c>
      <c r="FX27" s="237" t="s">
        <v>231</v>
      </c>
      <c r="FY27" s="237" t="s">
        <v>492</v>
      </c>
      <c r="FZ27" s="237" t="s">
        <v>1107</v>
      </c>
      <c r="GA27" s="237" t="s">
        <v>1107</v>
      </c>
      <c r="GB27" s="237" t="s">
        <v>1107</v>
      </c>
      <c r="GC27" s="237" t="s">
        <v>1107</v>
      </c>
      <c r="GD27" s="237" t="s">
        <v>1107</v>
      </c>
      <c r="GE27" s="237" t="s">
        <v>1107</v>
      </c>
      <c r="GF27" s="237" t="s">
        <v>1107</v>
      </c>
      <c r="GG27" s="237" t="s">
        <v>1107</v>
      </c>
      <c r="GH27" s="237" t="s">
        <v>1107</v>
      </c>
      <c r="GI27" s="237" t="s">
        <v>1107</v>
      </c>
      <c r="GJ27" s="237" t="s">
        <v>1107</v>
      </c>
      <c r="GK27" s="237" t="s">
        <v>1107</v>
      </c>
      <c r="GL27" s="237" t="s">
        <v>1107</v>
      </c>
      <c r="GM27" s="237" t="s">
        <v>1107</v>
      </c>
      <c r="GN27" s="237" t="s">
        <v>1107</v>
      </c>
      <c r="GO27" s="237" t="s">
        <v>1107</v>
      </c>
      <c r="GP27" s="237" t="s">
        <v>1107</v>
      </c>
      <c r="GQ27" s="237" t="s">
        <v>1107</v>
      </c>
      <c r="GR27" s="237" t="s">
        <v>1107</v>
      </c>
      <c r="GS27" s="237" t="s">
        <v>1107</v>
      </c>
      <c r="GT27" s="237" t="s">
        <v>1107</v>
      </c>
      <c r="GU27" s="237" t="s">
        <v>1107</v>
      </c>
      <c r="GV27" s="237" t="s">
        <v>1107</v>
      </c>
      <c r="GW27" s="237" t="s">
        <v>1107</v>
      </c>
      <c r="GX27" s="237" t="s">
        <v>1107</v>
      </c>
      <c r="GY27" s="237" t="s">
        <v>1107</v>
      </c>
      <c r="GZ27" s="237" t="s">
        <v>1107</v>
      </c>
      <c r="HA27" s="237" t="s">
        <v>1107</v>
      </c>
      <c r="HB27" s="237" t="s">
        <v>1107</v>
      </c>
      <c r="HC27" s="237" t="s">
        <v>1107</v>
      </c>
      <c r="HD27" s="237" t="s">
        <v>1107</v>
      </c>
      <c r="HE27" s="237" t="s">
        <v>1107</v>
      </c>
      <c r="HF27" s="237" t="s">
        <v>1107</v>
      </c>
      <c r="HG27" s="237" t="s">
        <v>1107</v>
      </c>
      <c r="HH27" s="237" t="s">
        <v>1107</v>
      </c>
      <c r="HI27" s="237" t="s">
        <v>1107</v>
      </c>
      <c r="HJ27" s="237" t="s">
        <v>1107</v>
      </c>
      <c r="HK27" s="237" t="s">
        <v>1107</v>
      </c>
      <c r="HL27" s="237" t="s">
        <v>1107</v>
      </c>
      <c r="HM27" s="237" t="s">
        <v>1107</v>
      </c>
      <c r="HN27" s="237" t="s">
        <v>1107</v>
      </c>
      <c r="HO27" s="237" t="s">
        <v>1107</v>
      </c>
      <c r="HP27" s="237" t="s">
        <v>1107</v>
      </c>
      <c r="HQ27" s="237" t="s">
        <v>1107</v>
      </c>
      <c r="HR27" s="237" t="s">
        <v>1107</v>
      </c>
      <c r="HS27" s="237" t="s">
        <v>1107</v>
      </c>
      <c r="HT27" s="237" t="s">
        <v>231</v>
      </c>
      <c r="HU27" s="237" t="s">
        <v>231</v>
      </c>
      <c r="HV27" s="237" t="s">
        <v>231</v>
      </c>
      <c r="HW27" s="237" t="s">
        <v>231</v>
      </c>
      <c r="HX27" s="237" t="s">
        <v>220</v>
      </c>
      <c r="HY27" s="237" t="s">
        <v>493</v>
      </c>
      <c r="HZ27" s="237" t="s">
        <v>219</v>
      </c>
      <c r="IA27" s="237" t="s">
        <v>490</v>
      </c>
      <c r="IB27" s="237" t="s">
        <v>486</v>
      </c>
      <c r="IC27" s="237" t="s">
        <v>486</v>
      </c>
    </row>
    <row r="28" spans="1:237" ht="15" x14ac:dyDescent="0.25">
      <c r="A28" s="244" t="str">
        <f>HYPERLINK("http://www.ofsted.gov.uk/inspection-reports/find-inspection-report/provider/ELS/141607 ","Ofsted School Webpage")</f>
        <v>Ofsted School Webpage</v>
      </c>
      <c r="B28" s="240">
        <v>141607</v>
      </c>
      <c r="C28" s="240">
        <v>3086004</v>
      </c>
      <c r="D28" s="240" t="s">
        <v>1158</v>
      </c>
      <c r="E28" s="240" t="s">
        <v>248</v>
      </c>
      <c r="F28" s="240" t="s">
        <v>506</v>
      </c>
      <c r="G28" s="240" t="s">
        <v>506</v>
      </c>
      <c r="H28" s="240" t="s">
        <v>632</v>
      </c>
      <c r="I28" s="240" t="s">
        <v>1159</v>
      </c>
      <c r="J28" s="240" t="s">
        <v>93</v>
      </c>
      <c r="K28" s="240" t="s">
        <v>93</v>
      </c>
      <c r="L28" s="240" t="s">
        <v>93</v>
      </c>
      <c r="M28" s="240" t="s">
        <v>90</v>
      </c>
      <c r="N28" s="240" t="s">
        <v>486</v>
      </c>
      <c r="O28" s="240" t="s">
        <v>487</v>
      </c>
      <c r="P28" s="240">
        <v>10067127</v>
      </c>
      <c r="Q28" s="242">
        <v>43363</v>
      </c>
      <c r="R28" s="242">
        <v>43363</v>
      </c>
      <c r="S28" s="242">
        <v>43397</v>
      </c>
      <c r="T28" s="240" t="s">
        <v>1109</v>
      </c>
      <c r="U28" s="240" t="s">
        <v>1105</v>
      </c>
      <c r="V28" s="240" t="s">
        <v>490</v>
      </c>
      <c r="W28" s="240" t="s">
        <v>486</v>
      </c>
      <c r="X28" s="240" t="s">
        <v>486</v>
      </c>
      <c r="Y28" s="240" t="s">
        <v>486</v>
      </c>
      <c r="Z28" s="240" t="s">
        <v>486</v>
      </c>
      <c r="AA28" s="240" t="s">
        <v>486</v>
      </c>
      <c r="AB28" s="240" t="s">
        <v>486</v>
      </c>
      <c r="AC28" s="240" t="s">
        <v>486</v>
      </c>
      <c r="AD28" s="240" t="s">
        <v>1110</v>
      </c>
      <c r="AE28" s="240" t="s">
        <v>1107</v>
      </c>
      <c r="AF28" s="240" t="s">
        <v>1107</v>
      </c>
      <c r="AG28" s="240" t="s">
        <v>1107</v>
      </c>
      <c r="AH28" s="240" t="s">
        <v>1107</v>
      </c>
      <c r="AI28" s="240" t="s">
        <v>1107</v>
      </c>
      <c r="AJ28" s="240" t="s">
        <v>1107</v>
      </c>
      <c r="AK28" s="240" t="s">
        <v>1107</v>
      </c>
      <c r="AL28" s="240" t="s">
        <v>1107</v>
      </c>
      <c r="AM28" s="240" t="s">
        <v>1107</v>
      </c>
      <c r="AN28" s="240" t="s">
        <v>1107</v>
      </c>
      <c r="AO28" s="240" t="s">
        <v>1107</v>
      </c>
      <c r="AP28" s="240" t="s">
        <v>1107</v>
      </c>
      <c r="AQ28" s="240" t="s">
        <v>1107</v>
      </c>
      <c r="AR28" s="240" t="s">
        <v>1107</v>
      </c>
      <c r="AS28" s="240" t="s">
        <v>1107</v>
      </c>
      <c r="AT28" s="240" t="s">
        <v>1107</v>
      </c>
      <c r="AU28" s="240" t="s">
        <v>1107</v>
      </c>
      <c r="AV28" s="240" t="s">
        <v>1107</v>
      </c>
      <c r="AW28" s="240" t="s">
        <v>1107</v>
      </c>
      <c r="AX28" s="240" t="s">
        <v>1107</v>
      </c>
      <c r="AY28" s="240" t="s">
        <v>1107</v>
      </c>
      <c r="AZ28" s="240" t="s">
        <v>1107</v>
      </c>
      <c r="BA28" s="240" t="s">
        <v>1107</v>
      </c>
      <c r="BB28" s="240" t="s">
        <v>1107</v>
      </c>
      <c r="BC28" s="240" t="s">
        <v>1107</v>
      </c>
      <c r="BD28" s="240" t="s">
        <v>1107</v>
      </c>
      <c r="BE28" s="240" t="s">
        <v>1107</v>
      </c>
      <c r="BF28" s="240" t="s">
        <v>1107</v>
      </c>
      <c r="BG28" s="240" t="s">
        <v>1107</v>
      </c>
      <c r="BH28" s="240" t="s">
        <v>1107</v>
      </c>
      <c r="BI28" s="240" t="s">
        <v>1107</v>
      </c>
      <c r="BJ28" s="240" t="s">
        <v>1107</v>
      </c>
      <c r="BK28" s="240" t="s">
        <v>1107</v>
      </c>
      <c r="BL28" s="240" t="s">
        <v>1107</v>
      </c>
      <c r="BM28" s="240" t="s">
        <v>1107</v>
      </c>
      <c r="BN28" s="240" t="s">
        <v>1107</v>
      </c>
      <c r="BO28" s="240" t="s">
        <v>1107</v>
      </c>
      <c r="BP28" s="240" t="s">
        <v>1107</v>
      </c>
      <c r="BQ28" s="240" t="s">
        <v>1107</v>
      </c>
      <c r="BR28" s="240" t="s">
        <v>1107</v>
      </c>
      <c r="BS28" s="240" t="s">
        <v>1107</v>
      </c>
      <c r="BT28" s="240" t="s">
        <v>1107</v>
      </c>
      <c r="BU28" s="240" t="s">
        <v>1107</v>
      </c>
      <c r="BV28" s="240" t="s">
        <v>1107</v>
      </c>
      <c r="BW28" s="240" t="s">
        <v>1107</v>
      </c>
      <c r="BX28" s="240" t="s">
        <v>1107</v>
      </c>
      <c r="BY28" s="240" t="s">
        <v>1107</v>
      </c>
      <c r="BZ28" s="240" t="s">
        <v>231</v>
      </c>
      <c r="CA28" s="240" t="s">
        <v>231</v>
      </c>
      <c r="CB28" s="240" t="s">
        <v>231</v>
      </c>
      <c r="CC28" s="240" t="s">
        <v>1107</v>
      </c>
      <c r="CD28" s="240" t="s">
        <v>1107</v>
      </c>
      <c r="CE28" s="240" t="s">
        <v>1107</v>
      </c>
      <c r="CF28" s="240" t="s">
        <v>1107</v>
      </c>
      <c r="CG28" s="240" t="s">
        <v>1107</v>
      </c>
      <c r="CH28" s="240" t="s">
        <v>1107</v>
      </c>
      <c r="CI28" s="240" t="s">
        <v>1107</v>
      </c>
      <c r="CJ28" s="240" t="s">
        <v>1107</v>
      </c>
      <c r="CK28" s="240" t="s">
        <v>1107</v>
      </c>
      <c r="CL28" s="240" t="s">
        <v>1107</v>
      </c>
      <c r="CM28" s="240" t="s">
        <v>231</v>
      </c>
      <c r="CN28" s="240" t="s">
        <v>1107</v>
      </c>
      <c r="CO28" s="240" t="s">
        <v>1107</v>
      </c>
      <c r="CP28" s="240" t="s">
        <v>1107</v>
      </c>
      <c r="CQ28" s="240" t="s">
        <v>1107</v>
      </c>
      <c r="CR28" s="240" t="s">
        <v>1107</v>
      </c>
      <c r="CS28" s="240" t="s">
        <v>1107</v>
      </c>
      <c r="CT28" s="240" t="s">
        <v>1107</v>
      </c>
      <c r="CU28" s="240" t="s">
        <v>1107</v>
      </c>
      <c r="CV28" s="240" t="s">
        <v>1107</v>
      </c>
      <c r="CW28" s="240" t="s">
        <v>1107</v>
      </c>
      <c r="CX28" s="240" t="s">
        <v>1107</v>
      </c>
      <c r="CY28" s="240" t="s">
        <v>1107</v>
      </c>
      <c r="CZ28" s="240" t="s">
        <v>1107</v>
      </c>
      <c r="DA28" s="240" t="s">
        <v>1107</v>
      </c>
      <c r="DB28" s="240" t="s">
        <v>1107</v>
      </c>
      <c r="DC28" s="240" t="s">
        <v>1107</v>
      </c>
      <c r="DD28" s="240" t="s">
        <v>1107</v>
      </c>
      <c r="DE28" s="240" t="s">
        <v>1107</v>
      </c>
      <c r="DF28" s="240" t="s">
        <v>1107</v>
      </c>
      <c r="DG28" s="240" t="s">
        <v>1107</v>
      </c>
      <c r="DH28" s="240" t="s">
        <v>1107</v>
      </c>
      <c r="DI28" s="240" t="s">
        <v>1107</v>
      </c>
      <c r="DJ28" s="240" t="s">
        <v>1107</v>
      </c>
      <c r="DK28" s="240" t="s">
        <v>1107</v>
      </c>
      <c r="DL28" s="240" t="s">
        <v>1107</v>
      </c>
      <c r="DM28" s="240" t="s">
        <v>1107</v>
      </c>
      <c r="DN28" s="240" t="s">
        <v>1107</v>
      </c>
      <c r="DO28" s="240" t="s">
        <v>1107</v>
      </c>
      <c r="DP28" s="240" t="s">
        <v>1107</v>
      </c>
      <c r="DQ28" s="240" t="s">
        <v>1107</v>
      </c>
      <c r="DR28" s="240" t="s">
        <v>1107</v>
      </c>
      <c r="DS28" s="240" t="s">
        <v>1107</v>
      </c>
      <c r="DT28" s="240" t="s">
        <v>1107</v>
      </c>
      <c r="DU28" s="240" t="s">
        <v>1107</v>
      </c>
      <c r="DV28" s="240" t="s">
        <v>1107</v>
      </c>
      <c r="DW28" s="240" t="s">
        <v>1107</v>
      </c>
      <c r="DX28" s="240" t="s">
        <v>1107</v>
      </c>
      <c r="DY28" s="240" t="s">
        <v>1107</v>
      </c>
      <c r="DZ28" s="240" t="s">
        <v>1107</v>
      </c>
      <c r="EA28" s="240" t="s">
        <v>1107</v>
      </c>
      <c r="EB28" s="240" t="s">
        <v>1107</v>
      </c>
      <c r="EC28" s="240" t="s">
        <v>1107</v>
      </c>
      <c r="ED28" s="240" t="s">
        <v>1107</v>
      </c>
      <c r="EE28" s="240" t="s">
        <v>1107</v>
      </c>
      <c r="EF28" s="240" t="s">
        <v>1107</v>
      </c>
      <c r="EG28" s="240" t="s">
        <v>1107</v>
      </c>
      <c r="EH28" s="240" t="s">
        <v>1107</v>
      </c>
      <c r="EI28" s="240" t="s">
        <v>1107</v>
      </c>
      <c r="EJ28" s="240" t="s">
        <v>1107</v>
      </c>
      <c r="EK28" s="240" t="s">
        <v>1107</v>
      </c>
      <c r="EL28" s="240" t="s">
        <v>1107</v>
      </c>
      <c r="EM28" s="240" t="s">
        <v>1107</v>
      </c>
      <c r="EN28" s="240" t="s">
        <v>1107</v>
      </c>
      <c r="EO28" s="240" t="s">
        <v>1107</v>
      </c>
      <c r="EP28" s="240" t="s">
        <v>1107</v>
      </c>
      <c r="EQ28" s="240" t="s">
        <v>1107</v>
      </c>
      <c r="ER28" s="240" t="s">
        <v>1107</v>
      </c>
      <c r="ES28" s="240" t="s">
        <v>1107</v>
      </c>
      <c r="ET28" s="240" t="s">
        <v>1107</v>
      </c>
      <c r="EU28" s="240" t="s">
        <v>1107</v>
      </c>
      <c r="EV28" s="240" t="s">
        <v>1107</v>
      </c>
      <c r="EW28" s="240" t="s">
        <v>1107</v>
      </c>
      <c r="EX28" s="240" t="s">
        <v>1107</v>
      </c>
      <c r="EY28" s="240" t="s">
        <v>1107</v>
      </c>
      <c r="EZ28" s="240" t="s">
        <v>1107</v>
      </c>
      <c r="FA28" s="240" t="s">
        <v>1107</v>
      </c>
      <c r="FB28" s="240" t="s">
        <v>1107</v>
      </c>
      <c r="FC28" s="240" t="s">
        <v>1107</v>
      </c>
      <c r="FD28" s="240" t="s">
        <v>1107</v>
      </c>
      <c r="FE28" s="240" t="s">
        <v>1107</v>
      </c>
      <c r="FF28" s="240" t="s">
        <v>1107</v>
      </c>
      <c r="FG28" s="240" t="s">
        <v>1107</v>
      </c>
      <c r="FH28" s="240" t="s">
        <v>1107</v>
      </c>
      <c r="FI28" s="240" t="s">
        <v>1107</v>
      </c>
      <c r="FJ28" s="240" t="s">
        <v>1107</v>
      </c>
      <c r="FK28" s="240" t="s">
        <v>1107</v>
      </c>
      <c r="FL28" s="240" t="s">
        <v>1107</v>
      </c>
      <c r="FM28" s="240" t="s">
        <v>1107</v>
      </c>
      <c r="FN28" s="240" t="s">
        <v>1107</v>
      </c>
      <c r="FO28" s="240" t="s">
        <v>1107</v>
      </c>
      <c r="FP28" s="240" t="s">
        <v>1107</v>
      </c>
      <c r="FQ28" s="240" t="s">
        <v>1107</v>
      </c>
      <c r="FR28" s="240" t="s">
        <v>1107</v>
      </c>
      <c r="FS28" s="240" t="s">
        <v>1107</v>
      </c>
      <c r="FT28" s="240" t="s">
        <v>1107</v>
      </c>
      <c r="FU28" s="240" t="s">
        <v>1107</v>
      </c>
      <c r="FV28" s="240" t="s">
        <v>1107</v>
      </c>
      <c r="FW28" s="240" t="s">
        <v>1107</v>
      </c>
      <c r="FX28" s="240" t="s">
        <v>1107</v>
      </c>
      <c r="FY28" s="240" t="s">
        <v>1107</v>
      </c>
      <c r="FZ28" s="240" t="s">
        <v>1107</v>
      </c>
      <c r="GA28" s="240" t="s">
        <v>1107</v>
      </c>
      <c r="GB28" s="240" t="s">
        <v>1107</v>
      </c>
      <c r="GC28" s="240" t="s">
        <v>1107</v>
      </c>
      <c r="GD28" s="240" t="s">
        <v>1107</v>
      </c>
      <c r="GE28" s="240" t="s">
        <v>1107</v>
      </c>
      <c r="GF28" s="240" t="s">
        <v>1107</v>
      </c>
      <c r="GG28" s="240" t="s">
        <v>1107</v>
      </c>
      <c r="GH28" s="240" t="s">
        <v>1107</v>
      </c>
      <c r="GI28" s="240" t="s">
        <v>1107</v>
      </c>
      <c r="GJ28" s="240" t="s">
        <v>1107</v>
      </c>
      <c r="GK28" s="240" t="s">
        <v>1107</v>
      </c>
      <c r="GL28" s="240" t="s">
        <v>1107</v>
      </c>
      <c r="GM28" s="240" t="s">
        <v>1107</v>
      </c>
      <c r="GN28" s="240" t="s">
        <v>1107</v>
      </c>
      <c r="GO28" s="240" t="s">
        <v>1107</v>
      </c>
      <c r="GP28" s="240" t="s">
        <v>1107</v>
      </c>
      <c r="GQ28" s="240" t="s">
        <v>1107</v>
      </c>
      <c r="GR28" s="240" t="s">
        <v>1107</v>
      </c>
      <c r="GS28" s="240" t="s">
        <v>1107</v>
      </c>
      <c r="GT28" s="240" t="s">
        <v>1107</v>
      </c>
      <c r="GU28" s="240" t="s">
        <v>1107</v>
      </c>
      <c r="GV28" s="240" t="s">
        <v>1107</v>
      </c>
      <c r="GW28" s="240" t="s">
        <v>1107</v>
      </c>
      <c r="GX28" s="240" t="s">
        <v>1107</v>
      </c>
      <c r="GY28" s="240" t="s">
        <v>1107</v>
      </c>
      <c r="GZ28" s="240" t="s">
        <v>1107</v>
      </c>
      <c r="HA28" s="240" t="s">
        <v>1107</v>
      </c>
      <c r="HB28" s="240" t="s">
        <v>1107</v>
      </c>
      <c r="HC28" s="240" t="s">
        <v>1107</v>
      </c>
      <c r="HD28" s="240" t="s">
        <v>1107</v>
      </c>
      <c r="HE28" s="240" t="s">
        <v>1107</v>
      </c>
      <c r="HF28" s="240" t="s">
        <v>1107</v>
      </c>
      <c r="HG28" s="240" t="s">
        <v>1107</v>
      </c>
      <c r="HH28" s="240" t="s">
        <v>1107</v>
      </c>
      <c r="HI28" s="240" t="s">
        <v>1107</v>
      </c>
      <c r="HJ28" s="240" t="s">
        <v>1107</v>
      </c>
      <c r="HK28" s="240" t="s">
        <v>1107</v>
      </c>
      <c r="HL28" s="240" t="s">
        <v>1107</v>
      </c>
      <c r="HM28" s="240" t="s">
        <v>1107</v>
      </c>
      <c r="HN28" s="240" t="s">
        <v>1107</v>
      </c>
      <c r="HO28" s="240" t="s">
        <v>1107</v>
      </c>
      <c r="HP28" s="240" t="s">
        <v>1107</v>
      </c>
      <c r="HQ28" s="240" t="s">
        <v>1107</v>
      </c>
      <c r="HR28" s="240" t="s">
        <v>1107</v>
      </c>
      <c r="HS28" s="240" t="s">
        <v>1107</v>
      </c>
      <c r="HT28" s="240" t="s">
        <v>231</v>
      </c>
      <c r="HU28" s="240" t="s">
        <v>231</v>
      </c>
      <c r="HV28" s="240" t="s">
        <v>231</v>
      </c>
      <c r="HW28" s="240" t="s">
        <v>231</v>
      </c>
      <c r="HX28" s="240" t="s">
        <v>220</v>
      </c>
      <c r="HY28" s="240" t="s">
        <v>493</v>
      </c>
      <c r="HZ28" s="240" t="s">
        <v>219</v>
      </c>
      <c r="IA28" s="240" t="s">
        <v>490</v>
      </c>
      <c r="IB28" s="240" t="s">
        <v>1107</v>
      </c>
      <c r="IC28" s="240" t="s">
        <v>1107</v>
      </c>
    </row>
    <row r="29" spans="1:237" ht="15" x14ac:dyDescent="0.25">
      <c r="A29" s="243" t="str">
        <f>HYPERLINK("http://www.ofsted.gov.uk/inspection-reports/find-inspection-report/provider/ELS/144807 ","Ofsted School Webpage")</f>
        <v>Ofsted School Webpage</v>
      </c>
      <c r="B29" s="237">
        <v>144807</v>
      </c>
      <c r="C29" s="237">
        <v>8226007</v>
      </c>
      <c r="D29" s="237" t="s">
        <v>1160</v>
      </c>
      <c r="E29" s="237" t="s">
        <v>247</v>
      </c>
      <c r="F29" s="237" t="s">
        <v>516</v>
      </c>
      <c r="G29" s="237" t="s">
        <v>516</v>
      </c>
      <c r="H29" s="237" t="s">
        <v>1161</v>
      </c>
      <c r="I29" s="237" t="s">
        <v>1162</v>
      </c>
      <c r="J29" s="237" t="s">
        <v>93</v>
      </c>
      <c r="K29" s="237" t="s">
        <v>71</v>
      </c>
      <c r="L29" s="237" t="s">
        <v>71</v>
      </c>
      <c r="M29" s="237" t="s">
        <v>71</v>
      </c>
      <c r="N29" s="237" t="s">
        <v>486</v>
      </c>
      <c r="O29" s="237" t="s">
        <v>487</v>
      </c>
      <c r="P29" s="237">
        <v>10056681</v>
      </c>
      <c r="Q29" s="239">
        <v>43367</v>
      </c>
      <c r="R29" s="239">
        <v>43367</v>
      </c>
      <c r="S29" s="239">
        <v>43429</v>
      </c>
      <c r="T29" s="237" t="s">
        <v>1104</v>
      </c>
      <c r="U29" s="237" t="s">
        <v>1105</v>
      </c>
      <c r="V29" s="237" t="s">
        <v>490</v>
      </c>
      <c r="W29" s="237" t="s">
        <v>486</v>
      </c>
      <c r="X29" s="237" t="s">
        <v>486</v>
      </c>
      <c r="Y29" s="237" t="s">
        <v>486</v>
      </c>
      <c r="Z29" s="237" t="s">
        <v>486</v>
      </c>
      <c r="AA29" s="237" t="s">
        <v>486</v>
      </c>
      <c r="AB29" s="237" t="s">
        <v>486</v>
      </c>
      <c r="AC29" s="237" t="s">
        <v>486</v>
      </c>
      <c r="AD29" s="237" t="s">
        <v>1163</v>
      </c>
      <c r="AE29" s="237" t="s">
        <v>231</v>
      </c>
      <c r="AF29" s="237" t="s">
        <v>231</v>
      </c>
      <c r="AG29" s="237" t="s">
        <v>231</v>
      </c>
      <c r="AH29" s="237" t="s">
        <v>231</v>
      </c>
      <c r="AI29" s="237" t="s">
        <v>231</v>
      </c>
      <c r="AJ29" s="237" t="s">
        <v>231</v>
      </c>
      <c r="AK29" s="237" t="s">
        <v>231</v>
      </c>
      <c r="AL29" s="237" t="s">
        <v>231</v>
      </c>
      <c r="AM29" s="237" t="s">
        <v>492</v>
      </c>
      <c r="AN29" s="237" t="s">
        <v>231</v>
      </c>
      <c r="AO29" s="237" t="s">
        <v>231</v>
      </c>
      <c r="AP29" s="237" t="s">
        <v>231</v>
      </c>
      <c r="AQ29" s="237" t="s">
        <v>231</v>
      </c>
      <c r="AR29" s="237" t="s">
        <v>231</v>
      </c>
      <c r="AS29" s="237" t="s">
        <v>231</v>
      </c>
      <c r="AT29" s="237" t="s">
        <v>231</v>
      </c>
      <c r="AU29" s="237" t="s">
        <v>492</v>
      </c>
      <c r="AV29" s="237" t="s">
        <v>492</v>
      </c>
      <c r="AW29" s="237" t="s">
        <v>231</v>
      </c>
      <c r="AX29" s="237" t="s">
        <v>231</v>
      </c>
      <c r="AY29" s="237" t="s">
        <v>231</v>
      </c>
      <c r="AZ29" s="237" t="s">
        <v>231</v>
      </c>
      <c r="BA29" s="237" t="s">
        <v>231</v>
      </c>
      <c r="BB29" s="237" t="s">
        <v>231</v>
      </c>
      <c r="BC29" s="237" t="s">
        <v>231</v>
      </c>
      <c r="BD29" s="237" t="s">
        <v>231</v>
      </c>
      <c r="BE29" s="237" t="s">
        <v>231</v>
      </c>
      <c r="BF29" s="237" t="s">
        <v>231</v>
      </c>
      <c r="BG29" s="237" t="s">
        <v>231</v>
      </c>
      <c r="BH29" s="237" t="s">
        <v>231</v>
      </c>
      <c r="BI29" s="237" t="s">
        <v>231</v>
      </c>
      <c r="BJ29" s="237" t="s">
        <v>231</v>
      </c>
      <c r="BK29" s="237" t="s">
        <v>231</v>
      </c>
      <c r="BL29" s="237" t="s">
        <v>231</v>
      </c>
      <c r="BM29" s="237" t="s">
        <v>231</v>
      </c>
      <c r="BN29" s="237" t="s">
        <v>231</v>
      </c>
      <c r="BO29" s="237" t="s">
        <v>231</v>
      </c>
      <c r="BP29" s="237" t="s">
        <v>231</v>
      </c>
      <c r="BQ29" s="237" t="s">
        <v>231</v>
      </c>
      <c r="BR29" s="237" t="s">
        <v>231</v>
      </c>
      <c r="BS29" s="237" t="s">
        <v>231</v>
      </c>
      <c r="BT29" s="237" t="s">
        <v>231</v>
      </c>
      <c r="BU29" s="237" t="s">
        <v>231</v>
      </c>
      <c r="BV29" s="237" t="s">
        <v>231</v>
      </c>
      <c r="BW29" s="237" t="s">
        <v>231</v>
      </c>
      <c r="BX29" s="237" t="s">
        <v>231</v>
      </c>
      <c r="BY29" s="237" t="s">
        <v>231</v>
      </c>
      <c r="BZ29" s="237" t="s">
        <v>231</v>
      </c>
      <c r="CA29" s="237" t="s">
        <v>231</v>
      </c>
      <c r="CB29" s="237" t="s">
        <v>231</v>
      </c>
      <c r="CC29" s="237" t="s">
        <v>492</v>
      </c>
      <c r="CD29" s="237" t="s">
        <v>492</v>
      </c>
      <c r="CE29" s="237" t="s">
        <v>492</v>
      </c>
      <c r="CF29" s="237" t="s">
        <v>1107</v>
      </c>
      <c r="CG29" s="237" t="s">
        <v>1107</v>
      </c>
      <c r="CH29" s="237" t="s">
        <v>1107</v>
      </c>
      <c r="CI29" s="237" t="s">
        <v>1107</v>
      </c>
      <c r="CJ29" s="237" t="s">
        <v>1107</v>
      </c>
      <c r="CK29" s="237" t="s">
        <v>232</v>
      </c>
      <c r="CL29" s="237" t="s">
        <v>232</v>
      </c>
      <c r="CM29" s="237" t="s">
        <v>1107</v>
      </c>
      <c r="CN29" s="237" t="s">
        <v>231</v>
      </c>
      <c r="CO29" s="237" t="s">
        <v>1107</v>
      </c>
      <c r="CP29" s="237" t="s">
        <v>232</v>
      </c>
      <c r="CQ29" s="237" t="s">
        <v>232</v>
      </c>
      <c r="CR29" s="237" t="s">
        <v>232</v>
      </c>
      <c r="CS29" s="237" t="s">
        <v>232</v>
      </c>
      <c r="CT29" s="237" t="s">
        <v>231</v>
      </c>
      <c r="CU29" s="237" t="s">
        <v>231</v>
      </c>
      <c r="CV29" s="237" t="s">
        <v>232</v>
      </c>
      <c r="CW29" s="237" t="s">
        <v>231</v>
      </c>
      <c r="CX29" s="237" t="s">
        <v>232</v>
      </c>
      <c r="CY29" s="237" t="s">
        <v>231</v>
      </c>
      <c r="CZ29" s="237" t="s">
        <v>231</v>
      </c>
      <c r="DA29" s="237" t="s">
        <v>231</v>
      </c>
      <c r="DB29" s="237" t="s">
        <v>231</v>
      </c>
      <c r="DC29" s="237" t="s">
        <v>492</v>
      </c>
      <c r="DD29" s="237" t="s">
        <v>231</v>
      </c>
      <c r="DE29" s="237" t="s">
        <v>231</v>
      </c>
      <c r="DF29" s="237" t="s">
        <v>231</v>
      </c>
      <c r="DG29" s="237" t="s">
        <v>231</v>
      </c>
      <c r="DH29" s="237" t="s">
        <v>231</v>
      </c>
      <c r="DI29" s="237" t="s">
        <v>231</v>
      </c>
      <c r="DJ29" s="237" t="s">
        <v>231</v>
      </c>
      <c r="DK29" s="237" t="s">
        <v>231</v>
      </c>
      <c r="DL29" s="237" t="s">
        <v>231</v>
      </c>
      <c r="DM29" s="237" t="s">
        <v>231</v>
      </c>
      <c r="DN29" s="237" t="s">
        <v>231</v>
      </c>
      <c r="DO29" s="237" t="s">
        <v>231</v>
      </c>
      <c r="DP29" s="237" t="s">
        <v>231</v>
      </c>
      <c r="DQ29" s="237" t="s">
        <v>492</v>
      </c>
      <c r="DR29" s="237" t="s">
        <v>231</v>
      </c>
      <c r="DS29" s="237" t="s">
        <v>492</v>
      </c>
      <c r="DT29" s="237" t="s">
        <v>492</v>
      </c>
      <c r="DU29" s="237" t="s">
        <v>492</v>
      </c>
      <c r="DV29" s="237" t="s">
        <v>492</v>
      </c>
      <c r="DW29" s="237" t="s">
        <v>492</v>
      </c>
      <c r="DX29" s="237" t="s">
        <v>492</v>
      </c>
      <c r="DY29" s="237" t="s">
        <v>492</v>
      </c>
      <c r="DZ29" s="237" t="s">
        <v>492</v>
      </c>
      <c r="EA29" s="237" t="s">
        <v>492</v>
      </c>
      <c r="EB29" s="237" t="s">
        <v>231</v>
      </c>
      <c r="EC29" s="237" t="s">
        <v>231</v>
      </c>
      <c r="ED29" s="237" t="s">
        <v>231</v>
      </c>
      <c r="EE29" s="237" t="s">
        <v>231</v>
      </c>
      <c r="EF29" s="237" t="s">
        <v>231</v>
      </c>
      <c r="EG29" s="237" t="s">
        <v>231</v>
      </c>
      <c r="EH29" s="237" t="s">
        <v>231</v>
      </c>
      <c r="EI29" s="237" t="s">
        <v>231</v>
      </c>
      <c r="EJ29" s="237" t="s">
        <v>231</v>
      </c>
      <c r="EK29" s="237" t="s">
        <v>231</v>
      </c>
      <c r="EL29" s="237" t="s">
        <v>231</v>
      </c>
      <c r="EM29" s="237" t="s">
        <v>231</v>
      </c>
      <c r="EN29" s="237" t="s">
        <v>231</v>
      </c>
      <c r="EO29" s="237" t="s">
        <v>231</v>
      </c>
      <c r="EP29" s="237" t="s">
        <v>231</v>
      </c>
      <c r="EQ29" s="237" t="s">
        <v>231</v>
      </c>
      <c r="ER29" s="237" t="s">
        <v>231</v>
      </c>
      <c r="ES29" s="237" t="s">
        <v>231</v>
      </c>
      <c r="ET29" s="237" t="s">
        <v>231</v>
      </c>
      <c r="EU29" s="237" t="s">
        <v>231</v>
      </c>
      <c r="EV29" s="237" t="s">
        <v>492</v>
      </c>
      <c r="EW29" s="237" t="s">
        <v>492</v>
      </c>
      <c r="EX29" s="237" t="s">
        <v>492</v>
      </c>
      <c r="EY29" s="237" t="s">
        <v>492</v>
      </c>
      <c r="EZ29" s="237" t="s">
        <v>232</v>
      </c>
      <c r="FA29" s="237" t="s">
        <v>232</v>
      </c>
      <c r="FB29" s="237" t="s">
        <v>232</v>
      </c>
      <c r="FC29" s="237" t="s">
        <v>232</v>
      </c>
      <c r="FD29" s="237" t="s">
        <v>232</v>
      </c>
      <c r="FE29" s="237" t="s">
        <v>232</v>
      </c>
      <c r="FF29" s="237" t="s">
        <v>232</v>
      </c>
      <c r="FG29" s="237" t="s">
        <v>492</v>
      </c>
      <c r="FH29" s="237" t="s">
        <v>232</v>
      </c>
      <c r="FI29" s="237" t="s">
        <v>232</v>
      </c>
      <c r="FJ29" s="237" t="s">
        <v>232</v>
      </c>
      <c r="FK29" s="237" t="s">
        <v>232</v>
      </c>
      <c r="FL29" s="237" t="s">
        <v>231</v>
      </c>
      <c r="FM29" s="237" t="s">
        <v>232</v>
      </c>
      <c r="FN29" s="237" t="s">
        <v>232</v>
      </c>
      <c r="FO29" s="237" t="s">
        <v>232</v>
      </c>
      <c r="FP29" s="237" t="s">
        <v>232</v>
      </c>
      <c r="FQ29" s="237" t="s">
        <v>232</v>
      </c>
      <c r="FR29" s="237" t="s">
        <v>232</v>
      </c>
      <c r="FS29" s="237" t="s">
        <v>232</v>
      </c>
      <c r="FT29" s="237" t="s">
        <v>232</v>
      </c>
      <c r="FU29" s="237" t="s">
        <v>232</v>
      </c>
      <c r="FV29" s="237" t="s">
        <v>232</v>
      </c>
      <c r="FW29" s="237" t="s">
        <v>232</v>
      </c>
      <c r="FX29" s="237" t="s">
        <v>232</v>
      </c>
      <c r="FY29" s="237" t="s">
        <v>492</v>
      </c>
      <c r="FZ29" s="237" t="s">
        <v>1107</v>
      </c>
      <c r="GA29" s="237" t="s">
        <v>1107</v>
      </c>
      <c r="GB29" s="237" t="s">
        <v>1107</v>
      </c>
      <c r="GC29" s="237" t="s">
        <v>231</v>
      </c>
      <c r="GD29" s="237" t="s">
        <v>1107</v>
      </c>
      <c r="GE29" s="237" t="s">
        <v>1107</v>
      </c>
      <c r="GF29" s="237" t="s">
        <v>1107</v>
      </c>
      <c r="GG29" s="237" t="s">
        <v>1107</v>
      </c>
      <c r="GH29" s="237" t="s">
        <v>1107</v>
      </c>
      <c r="GI29" s="237" t="s">
        <v>1107</v>
      </c>
      <c r="GJ29" s="237" t="s">
        <v>1107</v>
      </c>
      <c r="GK29" s="237" t="s">
        <v>1107</v>
      </c>
      <c r="GL29" s="237" t="s">
        <v>1107</v>
      </c>
      <c r="GM29" s="237" t="s">
        <v>1107</v>
      </c>
      <c r="GN29" s="237" t="s">
        <v>1107</v>
      </c>
      <c r="GO29" s="237" t="s">
        <v>1107</v>
      </c>
      <c r="GP29" s="237" t="s">
        <v>1107</v>
      </c>
      <c r="GQ29" s="237" t="s">
        <v>1107</v>
      </c>
      <c r="GR29" s="237" t="s">
        <v>1107</v>
      </c>
      <c r="GS29" s="237" t="s">
        <v>1107</v>
      </c>
      <c r="GT29" s="237" t="s">
        <v>1107</v>
      </c>
      <c r="GU29" s="237" t="s">
        <v>1107</v>
      </c>
      <c r="GV29" s="237" t="s">
        <v>1107</v>
      </c>
      <c r="GW29" s="237" t="s">
        <v>1107</v>
      </c>
      <c r="GX29" s="237" t="s">
        <v>1107</v>
      </c>
      <c r="GY29" s="237" t="s">
        <v>1107</v>
      </c>
      <c r="GZ29" s="237" t="s">
        <v>1107</v>
      </c>
      <c r="HA29" s="237" t="s">
        <v>1107</v>
      </c>
      <c r="HB29" s="237" t="s">
        <v>1107</v>
      </c>
      <c r="HC29" s="237" t="s">
        <v>1107</v>
      </c>
      <c r="HD29" s="237" t="s">
        <v>1107</v>
      </c>
      <c r="HE29" s="237" t="s">
        <v>1107</v>
      </c>
      <c r="HF29" s="237" t="s">
        <v>1107</v>
      </c>
      <c r="HG29" s="237" t="s">
        <v>1107</v>
      </c>
      <c r="HH29" s="237" t="s">
        <v>1107</v>
      </c>
      <c r="HI29" s="237" t="s">
        <v>1107</v>
      </c>
      <c r="HJ29" s="237" t="s">
        <v>1107</v>
      </c>
      <c r="HK29" s="237" t="s">
        <v>1107</v>
      </c>
      <c r="HL29" s="237" t="s">
        <v>1107</v>
      </c>
      <c r="HM29" s="237" t="s">
        <v>1107</v>
      </c>
      <c r="HN29" s="237" t="s">
        <v>1107</v>
      </c>
      <c r="HO29" s="237" t="s">
        <v>1107</v>
      </c>
      <c r="HP29" s="237" t="s">
        <v>1107</v>
      </c>
      <c r="HQ29" s="237" t="s">
        <v>1107</v>
      </c>
      <c r="HR29" s="237" t="s">
        <v>1107</v>
      </c>
      <c r="HS29" s="237" t="s">
        <v>1107</v>
      </c>
      <c r="HT29" s="237" t="s">
        <v>232</v>
      </c>
      <c r="HU29" s="237" t="s">
        <v>232</v>
      </c>
      <c r="HV29" s="237" t="s">
        <v>232</v>
      </c>
      <c r="HW29" s="237" t="s">
        <v>232</v>
      </c>
      <c r="HX29" s="237" t="s">
        <v>220</v>
      </c>
      <c r="HY29" s="237" t="s">
        <v>493</v>
      </c>
      <c r="HZ29" s="237" t="s">
        <v>219</v>
      </c>
      <c r="IA29" s="237" t="s">
        <v>490</v>
      </c>
      <c r="IB29" s="237" t="s">
        <v>492</v>
      </c>
      <c r="IC29" s="237" t="s">
        <v>492</v>
      </c>
    </row>
    <row r="30" spans="1:237" ht="15" x14ac:dyDescent="0.25">
      <c r="A30" s="244" t="str">
        <f>HYPERLINK("http://www.ofsted.gov.uk/inspection-reports/find-inspection-report/provider/ELS/131687 ","Ofsted School Webpage")</f>
        <v>Ofsted School Webpage</v>
      </c>
      <c r="B30" s="240">
        <v>131687</v>
      </c>
      <c r="C30" s="240">
        <v>3306097</v>
      </c>
      <c r="D30" s="240" t="s">
        <v>1164</v>
      </c>
      <c r="E30" s="240" t="s">
        <v>247</v>
      </c>
      <c r="F30" s="240" t="s">
        <v>502</v>
      </c>
      <c r="G30" s="240" t="s">
        <v>502</v>
      </c>
      <c r="H30" s="240" t="s">
        <v>909</v>
      </c>
      <c r="I30" s="240" t="s">
        <v>1165</v>
      </c>
      <c r="J30" s="240" t="s">
        <v>83</v>
      </c>
      <c r="K30" s="240" t="s">
        <v>84</v>
      </c>
      <c r="L30" s="240" t="s">
        <v>83</v>
      </c>
      <c r="M30" s="240" t="s">
        <v>84</v>
      </c>
      <c r="N30" s="240" t="s">
        <v>486</v>
      </c>
      <c r="O30" s="240" t="s">
        <v>487</v>
      </c>
      <c r="P30" s="240">
        <v>10061020</v>
      </c>
      <c r="Q30" s="242">
        <v>43368</v>
      </c>
      <c r="R30" s="242">
        <v>43368</v>
      </c>
      <c r="S30" s="242">
        <v>43404</v>
      </c>
      <c r="T30" s="240" t="s">
        <v>1124</v>
      </c>
      <c r="U30" s="240" t="s">
        <v>1105</v>
      </c>
      <c r="V30" s="240" t="s">
        <v>512</v>
      </c>
      <c r="W30" s="240" t="s">
        <v>490</v>
      </c>
      <c r="X30" s="240" t="s">
        <v>486</v>
      </c>
      <c r="Y30" s="240" t="s">
        <v>486</v>
      </c>
      <c r="Z30" s="240" t="s">
        <v>486</v>
      </c>
      <c r="AA30" s="240" t="s">
        <v>486</v>
      </c>
      <c r="AB30" s="240" t="s">
        <v>486</v>
      </c>
      <c r="AC30" s="240" t="s">
        <v>486</v>
      </c>
      <c r="AD30" s="240" t="s">
        <v>1110</v>
      </c>
      <c r="AE30" s="240" t="s">
        <v>1107</v>
      </c>
      <c r="AF30" s="240" t="s">
        <v>1107</v>
      </c>
      <c r="AG30" s="240" t="s">
        <v>1107</v>
      </c>
      <c r="AH30" s="240" t="s">
        <v>1107</v>
      </c>
      <c r="AI30" s="240" t="s">
        <v>1107</v>
      </c>
      <c r="AJ30" s="240" t="s">
        <v>1107</v>
      </c>
      <c r="AK30" s="240" t="s">
        <v>1107</v>
      </c>
      <c r="AL30" s="240" t="s">
        <v>1107</v>
      </c>
      <c r="AM30" s="240" t="s">
        <v>1107</v>
      </c>
      <c r="AN30" s="240" t="s">
        <v>1107</v>
      </c>
      <c r="AO30" s="240" t="s">
        <v>1107</v>
      </c>
      <c r="AP30" s="240" t="s">
        <v>1107</v>
      </c>
      <c r="AQ30" s="240" t="s">
        <v>1107</v>
      </c>
      <c r="AR30" s="240" t="s">
        <v>1107</v>
      </c>
      <c r="AS30" s="240" t="s">
        <v>1107</v>
      </c>
      <c r="AT30" s="240" t="s">
        <v>1107</v>
      </c>
      <c r="AU30" s="240" t="s">
        <v>1107</v>
      </c>
      <c r="AV30" s="240" t="s">
        <v>1107</v>
      </c>
      <c r="AW30" s="240" t="s">
        <v>1107</v>
      </c>
      <c r="AX30" s="240" t="s">
        <v>1107</v>
      </c>
      <c r="AY30" s="240" t="s">
        <v>1107</v>
      </c>
      <c r="AZ30" s="240" t="s">
        <v>1107</v>
      </c>
      <c r="BA30" s="240" t="s">
        <v>1107</v>
      </c>
      <c r="BB30" s="240" t="s">
        <v>1107</v>
      </c>
      <c r="BC30" s="240" t="s">
        <v>1107</v>
      </c>
      <c r="BD30" s="240" t="s">
        <v>1107</v>
      </c>
      <c r="BE30" s="240" t="s">
        <v>1107</v>
      </c>
      <c r="BF30" s="240" t="s">
        <v>1107</v>
      </c>
      <c r="BG30" s="240" t="s">
        <v>1107</v>
      </c>
      <c r="BH30" s="240" t="s">
        <v>1107</v>
      </c>
      <c r="BI30" s="240" t="s">
        <v>1107</v>
      </c>
      <c r="BJ30" s="240" t="s">
        <v>1107</v>
      </c>
      <c r="BK30" s="240" t="s">
        <v>231</v>
      </c>
      <c r="BL30" s="240" t="s">
        <v>231</v>
      </c>
      <c r="BM30" s="240" t="s">
        <v>231</v>
      </c>
      <c r="BN30" s="240" t="s">
        <v>231</v>
      </c>
      <c r="BO30" s="240" t="s">
        <v>231</v>
      </c>
      <c r="BP30" s="240" t="s">
        <v>231</v>
      </c>
      <c r="BQ30" s="240" t="s">
        <v>231</v>
      </c>
      <c r="BR30" s="240" t="s">
        <v>231</v>
      </c>
      <c r="BS30" s="240" t="s">
        <v>231</v>
      </c>
      <c r="BT30" s="240" t="s">
        <v>231</v>
      </c>
      <c r="BU30" s="240" t="s">
        <v>231</v>
      </c>
      <c r="BV30" s="240" t="s">
        <v>231</v>
      </c>
      <c r="BW30" s="240" t="s">
        <v>231</v>
      </c>
      <c r="BX30" s="240" t="s">
        <v>231</v>
      </c>
      <c r="BY30" s="240" t="s">
        <v>231</v>
      </c>
      <c r="BZ30" s="240" t="s">
        <v>231</v>
      </c>
      <c r="CA30" s="240" t="s">
        <v>231</v>
      </c>
      <c r="CB30" s="240" t="s">
        <v>231</v>
      </c>
      <c r="CC30" s="240" t="s">
        <v>492</v>
      </c>
      <c r="CD30" s="240" t="s">
        <v>492</v>
      </c>
      <c r="CE30" s="240" t="s">
        <v>492</v>
      </c>
      <c r="CF30" s="240" t="s">
        <v>231</v>
      </c>
      <c r="CG30" s="240" t="s">
        <v>231</v>
      </c>
      <c r="CH30" s="240" t="s">
        <v>231</v>
      </c>
      <c r="CI30" s="240" t="s">
        <v>231</v>
      </c>
      <c r="CJ30" s="240" t="s">
        <v>231</v>
      </c>
      <c r="CK30" s="240" t="s">
        <v>231</v>
      </c>
      <c r="CL30" s="240" t="s">
        <v>231</v>
      </c>
      <c r="CM30" s="240" t="s">
        <v>231</v>
      </c>
      <c r="CN30" s="240" t="s">
        <v>231</v>
      </c>
      <c r="CO30" s="240" t="s">
        <v>231</v>
      </c>
      <c r="CP30" s="240" t="s">
        <v>231</v>
      </c>
      <c r="CQ30" s="240" t="s">
        <v>231</v>
      </c>
      <c r="CR30" s="240" t="s">
        <v>231</v>
      </c>
      <c r="CS30" s="240" t="s">
        <v>231</v>
      </c>
      <c r="CT30" s="240" t="s">
        <v>231</v>
      </c>
      <c r="CU30" s="240" t="s">
        <v>231</v>
      </c>
      <c r="CV30" s="240" t="s">
        <v>231</v>
      </c>
      <c r="CW30" s="240" t="s">
        <v>231</v>
      </c>
      <c r="CX30" s="240" t="s">
        <v>231</v>
      </c>
      <c r="CY30" s="240" t="s">
        <v>231</v>
      </c>
      <c r="CZ30" s="240" t="s">
        <v>231</v>
      </c>
      <c r="DA30" s="240" t="s">
        <v>231</v>
      </c>
      <c r="DB30" s="240" t="s">
        <v>231</v>
      </c>
      <c r="DC30" s="240" t="s">
        <v>492</v>
      </c>
      <c r="DD30" s="240" t="s">
        <v>231</v>
      </c>
      <c r="DE30" s="240" t="s">
        <v>492</v>
      </c>
      <c r="DF30" s="240" t="s">
        <v>492</v>
      </c>
      <c r="DG30" s="240" t="s">
        <v>492</v>
      </c>
      <c r="DH30" s="240" t="s">
        <v>492</v>
      </c>
      <c r="DI30" s="240" t="s">
        <v>492</v>
      </c>
      <c r="DJ30" s="240" t="s">
        <v>492</v>
      </c>
      <c r="DK30" s="240" t="s">
        <v>492</v>
      </c>
      <c r="DL30" s="240" t="s">
        <v>492</v>
      </c>
      <c r="DM30" s="240" t="s">
        <v>492</v>
      </c>
      <c r="DN30" s="240" t="s">
        <v>492</v>
      </c>
      <c r="DO30" s="240" t="s">
        <v>492</v>
      </c>
      <c r="DP30" s="240" t="s">
        <v>492</v>
      </c>
      <c r="DQ30" s="240" t="s">
        <v>492</v>
      </c>
      <c r="DR30" s="240" t="s">
        <v>492</v>
      </c>
      <c r="DS30" s="240" t="s">
        <v>231</v>
      </c>
      <c r="DT30" s="240" t="s">
        <v>231</v>
      </c>
      <c r="DU30" s="240" t="s">
        <v>231</v>
      </c>
      <c r="DV30" s="240" t="s">
        <v>231</v>
      </c>
      <c r="DW30" s="240" t="s">
        <v>231</v>
      </c>
      <c r="DX30" s="240" t="s">
        <v>231</v>
      </c>
      <c r="DY30" s="240" t="s">
        <v>231</v>
      </c>
      <c r="DZ30" s="240" t="s">
        <v>231</v>
      </c>
      <c r="EA30" s="240" t="s">
        <v>231</v>
      </c>
      <c r="EB30" s="240" t="s">
        <v>231</v>
      </c>
      <c r="EC30" s="240" t="s">
        <v>231</v>
      </c>
      <c r="ED30" s="240" t="s">
        <v>231</v>
      </c>
      <c r="EE30" s="240" t="s">
        <v>231</v>
      </c>
      <c r="EF30" s="240" t="s">
        <v>231</v>
      </c>
      <c r="EG30" s="240" t="s">
        <v>231</v>
      </c>
      <c r="EH30" s="240" t="s">
        <v>231</v>
      </c>
      <c r="EI30" s="240" t="s">
        <v>231</v>
      </c>
      <c r="EJ30" s="240" t="s">
        <v>231</v>
      </c>
      <c r="EK30" s="240" t="s">
        <v>231</v>
      </c>
      <c r="EL30" s="240" t="s">
        <v>231</v>
      </c>
      <c r="EM30" s="240" t="s">
        <v>231</v>
      </c>
      <c r="EN30" s="240" t="s">
        <v>231</v>
      </c>
      <c r="EO30" s="240" t="s">
        <v>231</v>
      </c>
      <c r="EP30" s="240" t="s">
        <v>492</v>
      </c>
      <c r="EQ30" s="240" t="s">
        <v>492</v>
      </c>
      <c r="ER30" s="240" t="s">
        <v>492</v>
      </c>
      <c r="ES30" s="240" t="s">
        <v>492</v>
      </c>
      <c r="ET30" s="240" t="s">
        <v>492</v>
      </c>
      <c r="EU30" s="240" t="s">
        <v>492</v>
      </c>
      <c r="EV30" s="240" t="s">
        <v>231</v>
      </c>
      <c r="EW30" s="240" t="s">
        <v>492</v>
      </c>
      <c r="EX30" s="240" t="s">
        <v>492</v>
      </c>
      <c r="EY30" s="240" t="s">
        <v>492</v>
      </c>
      <c r="EZ30" s="240" t="s">
        <v>1107</v>
      </c>
      <c r="FA30" s="240" t="s">
        <v>1107</v>
      </c>
      <c r="FB30" s="240" t="s">
        <v>1107</v>
      </c>
      <c r="FC30" s="240" t="s">
        <v>1107</v>
      </c>
      <c r="FD30" s="240" t="s">
        <v>1107</v>
      </c>
      <c r="FE30" s="240" t="s">
        <v>1107</v>
      </c>
      <c r="FF30" s="240" t="s">
        <v>1107</v>
      </c>
      <c r="FG30" s="240" t="s">
        <v>1107</v>
      </c>
      <c r="FH30" s="240" t="s">
        <v>1107</v>
      </c>
      <c r="FI30" s="240" t="s">
        <v>1107</v>
      </c>
      <c r="FJ30" s="240" t="s">
        <v>1107</v>
      </c>
      <c r="FK30" s="240" t="s">
        <v>1107</v>
      </c>
      <c r="FL30" s="240" t="s">
        <v>1107</v>
      </c>
      <c r="FM30" s="240" t="s">
        <v>1107</v>
      </c>
      <c r="FN30" s="240" t="s">
        <v>1107</v>
      </c>
      <c r="FO30" s="240" t="s">
        <v>1107</v>
      </c>
      <c r="FP30" s="240" t="s">
        <v>1107</v>
      </c>
      <c r="FQ30" s="240" t="s">
        <v>1107</v>
      </c>
      <c r="FR30" s="240" t="s">
        <v>1107</v>
      </c>
      <c r="FS30" s="240" t="s">
        <v>1107</v>
      </c>
      <c r="FT30" s="240" t="s">
        <v>1107</v>
      </c>
      <c r="FU30" s="240" t="s">
        <v>1107</v>
      </c>
      <c r="FV30" s="240" t="s">
        <v>1107</v>
      </c>
      <c r="FW30" s="240" t="s">
        <v>1107</v>
      </c>
      <c r="FX30" s="240" t="s">
        <v>1107</v>
      </c>
      <c r="FY30" s="240" t="s">
        <v>492</v>
      </c>
      <c r="FZ30" s="240" t="s">
        <v>231</v>
      </c>
      <c r="GA30" s="240" t="s">
        <v>1107</v>
      </c>
      <c r="GB30" s="240" t="s">
        <v>1107</v>
      </c>
      <c r="GC30" s="240" t="s">
        <v>231</v>
      </c>
      <c r="GD30" s="240" t="s">
        <v>1107</v>
      </c>
      <c r="GE30" s="240" t="s">
        <v>1107</v>
      </c>
      <c r="GF30" s="240" t="s">
        <v>1107</v>
      </c>
      <c r="GG30" s="240" t="s">
        <v>1107</v>
      </c>
      <c r="GH30" s="240" t="s">
        <v>1107</v>
      </c>
      <c r="GI30" s="240" t="s">
        <v>1107</v>
      </c>
      <c r="GJ30" s="240" t="s">
        <v>1107</v>
      </c>
      <c r="GK30" s="240" t="s">
        <v>1107</v>
      </c>
      <c r="GL30" s="240" t="s">
        <v>1107</v>
      </c>
      <c r="GM30" s="240" t="s">
        <v>1107</v>
      </c>
      <c r="GN30" s="240" t="s">
        <v>1107</v>
      </c>
      <c r="GO30" s="240" t="s">
        <v>1107</v>
      </c>
      <c r="GP30" s="240" t="s">
        <v>1107</v>
      </c>
      <c r="GQ30" s="240" t="s">
        <v>1107</v>
      </c>
      <c r="GR30" s="240" t="s">
        <v>1107</v>
      </c>
      <c r="GS30" s="240" t="s">
        <v>1107</v>
      </c>
      <c r="GT30" s="240" t="s">
        <v>1107</v>
      </c>
      <c r="GU30" s="240" t="s">
        <v>1107</v>
      </c>
      <c r="GV30" s="240" t="s">
        <v>1107</v>
      </c>
      <c r="GW30" s="240" t="s">
        <v>1107</v>
      </c>
      <c r="GX30" s="240" t="s">
        <v>1107</v>
      </c>
      <c r="GY30" s="240" t="s">
        <v>1107</v>
      </c>
      <c r="GZ30" s="240" t="s">
        <v>1107</v>
      </c>
      <c r="HA30" s="240" t="s">
        <v>1107</v>
      </c>
      <c r="HB30" s="240" t="s">
        <v>1107</v>
      </c>
      <c r="HC30" s="240" t="s">
        <v>1107</v>
      </c>
      <c r="HD30" s="240" t="s">
        <v>231</v>
      </c>
      <c r="HE30" s="240" t="s">
        <v>231</v>
      </c>
      <c r="HF30" s="240" t="s">
        <v>231</v>
      </c>
      <c r="HG30" s="240" t="s">
        <v>231</v>
      </c>
      <c r="HH30" s="240" t="s">
        <v>231</v>
      </c>
      <c r="HI30" s="240" t="s">
        <v>231</v>
      </c>
      <c r="HJ30" s="240" t="s">
        <v>231</v>
      </c>
      <c r="HK30" s="240" t="s">
        <v>231</v>
      </c>
      <c r="HL30" s="240" t="s">
        <v>231</v>
      </c>
      <c r="HM30" s="240" t="s">
        <v>231</v>
      </c>
      <c r="HN30" s="240" t="s">
        <v>231</v>
      </c>
      <c r="HO30" s="240" t="s">
        <v>231</v>
      </c>
      <c r="HP30" s="240" t="s">
        <v>231</v>
      </c>
      <c r="HQ30" s="240" t="s">
        <v>231</v>
      </c>
      <c r="HR30" s="240" t="s">
        <v>231</v>
      </c>
      <c r="HS30" s="240" t="s">
        <v>231</v>
      </c>
      <c r="HT30" s="240" t="s">
        <v>231</v>
      </c>
      <c r="HU30" s="240" t="s">
        <v>231</v>
      </c>
      <c r="HV30" s="240" t="s">
        <v>231</v>
      </c>
      <c r="HW30" s="240" t="s">
        <v>231</v>
      </c>
      <c r="HX30" s="240" t="s">
        <v>219</v>
      </c>
      <c r="HY30" s="240" t="s">
        <v>219</v>
      </c>
      <c r="HZ30" s="240" t="s">
        <v>219</v>
      </c>
      <c r="IA30" s="240" t="s">
        <v>490</v>
      </c>
      <c r="IB30" s="240" t="s">
        <v>492</v>
      </c>
      <c r="IC30" s="240" t="s">
        <v>492</v>
      </c>
    </row>
    <row r="31" spans="1:237" ht="15" x14ac:dyDescent="0.25">
      <c r="A31" s="243" t="str">
        <f>HYPERLINK("http://www.ofsted.gov.uk/inspection-reports/find-inspection-report/provider/ELS/133521 ","Ofsted School Webpage")</f>
        <v>Ofsted School Webpage</v>
      </c>
      <c r="B31" s="237">
        <v>133521</v>
      </c>
      <c r="C31" s="237">
        <v>3306102</v>
      </c>
      <c r="D31" s="237" t="s">
        <v>1166</v>
      </c>
      <c r="E31" s="237" t="s">
        <v>247</v>
      </c>
      <c r="F31" s="237" t="s">
        <v>502</v>
      </c>
      <c r="G31" s="237" t="s">
        <v>502</v>
      </c>
      <c r="H31" s="237" t="s">
        <v>909</v>
      </c>
      <c r="I31" s="237" t="s">
        <v>1167</v>
      </c>
      <c r="J31" s="237" t="s">
        <v>93</v>
      </c>
      <c r="K31" s="237" t="s">
        <v>84</v>
      </c>
      <c r="L31" s="237" t="s">
        <v>84</v>
      </c>
      <c r="M31" s="237" t="s">
        <v>84</v>
      </c>
      <c r="N31" s="237" t="s">
        <v>486</v>
      </c>
      <c r="O31" s="237" t="s">
        <v>487</v>
      </c>
      <c r="P31" s="237">
        <v>10055385</v>
      </c>
      <c r="Q31" s="239">
        <v>43368</v>
      </c>
      <c r="R31" s="239">
        <v>43368</v>
      </c>
      <c r="S31" s="239">
        <v>43390</v>
      </c>
      <c r="T31" s="237" t="s">
        <v>1109</v>
      </c>
      <c r="U31" s="237" t="s">
        <v>1105</v>
      </c>
      <c r="V31" s="237" t="s">
        <v>490</v>
      </c>
      <c r="W31" s="237" t="s">
        <v>486</v>
      </c>
      <c r="X31" s="237" t="s">
        <v>486</v>
      </c>
      <c r="Y31" s="237" t="s">
        <v>486</v>
      </c>
      <c r="Z31" s="237" t="s">
        <v>486</v>
      </c>
      <c r="AA31" s="237" t="s">
        <v>486</v>
      </c>
      <c r="AB31" s="237" t="s">
        <v>486</v>
      </c>
      <c r="AC31" s="237" t="s">
        <v>486</v>
      </c>
      <c r="AD31" s="237" t="s">
        <v>1136</v>
      </c>
      <c r="AE31" s="237" t="s">
        <v>231</v>
      </c>
      <c r="AF31" s="237" t="s">
        <v>231</v>
      </c>
      <c r="AG31" s="237" t="s">
        <v>231</v>
      </c>
      <c r="AH31" s="237" t="s">
        <v>231</v>
      </c>
      <c r="AI31" s="237" t="s">
        <v>231</v>
      </c>
      <c r="AJ31" s="237" t="s">
        <v>231</v>
      </c>
      <c r="AK31" s="237" t="s">
        <v>231</v>
      </c>
      <c r="AL31" s="237" t="s">
        <v>231</v>
      </c>
      <c r="AM31" s="237" t="s">
        <v>231</v>
      </c>
      <c r="AN31" s="237" t="s">
        <v>231</v>
      </c>
      <c r="AO31" s="237" t="s">
        <v>231</v>
      </c>
      <c r="AP31" s="237" t="s">
        <v>231</v>
      </c>
      <c r="AQ31" s="237" t="s">
        <v>492</v>
      </c>
      <c r="AR31" s="237" t="s">
        <v>492</v>
      </c>
      <c r="AS31" s="237" t="s">
        <v>492</v>
      </c>
      <c r="AT31" s="237" t="s">
        <v>492</v>
      </c>
      <c r="AU31" s="237" t="s">
        <v>231</v>
      </c>
      <c r="AV31" s="237" t="s">
        <v>492</v>
      </c>
      <c r="AW31" s="237" t="s">
        <v>231</v>
      </c>
      <c r="AX31" s="237" t="s">
        <v>231</v>
      </c>
      <c r="AY31" s="237" t="s">
        <v>232</v>
      </c>
      <c r="AZ31" s="237" t="s">
        <v>232</v>
      </c>
      <c r="BA31" s="237" t="s">
        <v>231</v>
      </c>
      <c r="BB31" s="237" t="s">
        <v>232</v>
      </c>
      <c r="BC31" s="237" t="s">
        <v>232</v>
      </c>
      <c r="BD31" s="237" t="s">
        <v>231</v>
      </c>
      <c r="BE31" s="237" t="s">
        <v>232</v>
      </c>
      <c r="BF31" s="237" t="s">
        <v>231</v>
      </c>
      <c r="BG31" s="237" t="s">
        <v>231</v>
      </c>
      <c r="BH31" s="237" t="s">
        <v>231</v>
      </c>
      <c r="BI31" s="237" t="s">
        <v>231</v>
      </c>
      <c r="BJ31" s="237" t="s">
        <v>231</v>
      </c>
      <c r="BK31" s="237" t="s">
        <v>1107</v>
      </c>
      <c r="BL31" s="237" t="s">
        <v>1107</v>
      </c>
      <c r="BM31" s="237" t="s">
        <v>1107</v>
      </c>
      <c r="BN31" s="237" t="s">
        <v>1107</v>
      </c>
      <c r="BO31" s="237" t="s">
        <v>1107</v>
      </c>
      <c r="BP31" s="237" t="s">
        <v>1107</v>
      </c>
      <c r="BQ31" s="237" t="s">
        <v>1107</v>
      </c>
      <c r="BR31" s="237" t="s">
        <v>1107</v>
      </c>
      <c r="BS31" s="237" t="s">
        <v>1107</v>
      </c>
      <c r="BT31" s="237" t="s">
        <v>1107</v>
      </c>
      <c r="BU31" s="237" t="s">
        <v>1107</v>
      </c>
      <c r="BV31" s="237" t="s">
        <v>1107</v>
      </c>
      <c r="BW31" s="237" t="s">
        <v>1107</v>
      </c>
      <c r="BX31" s="237" t="s">
        <v>1107</v>
      </c>
      <c r="BY31" s="237" t="s">
        <v>1107</v>
      </c>
      <c r="BZ31" s="237" t="s">
        <v>1107</v>
      </c>
      <c r="CA31" s="237" t="s">
        <v>1107</v>
      </c>
      <c r="CB31" s="237" t="s">
        <v>1107</v>
      </c>
      <c r="CC31" s="237" t="s">
        <v>1107</v>
      </c>
      <c r="CD31" s="237" t="s">
        <v>492</v>
      </c>
      <c r="CE31" s="237" t="s">
        <v>492</v>
      </c>
      <c r="CF31" s="237" t="s">
        <v>1107</v>
      </c>
      <c r="CG31" s="237" t="s">
        <v>1107</v>
      </c>
      <c r="CH31" s="237" t="s">
        <v>1107</v>
      </c>
      <c r="CI31" s="237" t="s">
        <v>1107</v>
      </c>
      <c r="CJ31" s="237" t="s">
        <v>1107</v>
      </c>
      <c r="CK31" s="237" t="s">
        <v>1107</v>
      </c>
      <c r="CL31" s="237" t="s">
        <v>1107</v>
      </c>
      <c r="CM31" s="237" t="s">
        <v>1107</v>
      </c>
      <c r="CN31" s="237" t="s">
        <v>1107</v>
      </c>
      <c r="CO31" s="237" t="s">
        <v>1107</v>
      </c>
      <c r="CP31" s="237" t="s">
        <v>1107</v>
      </c>
      <c r="CQ31" s="237" t="s">
        <v>1107</v>
      </c>
      <c r="CR31" s="237" t="s">
        <v>1107</v>
      </c>
      <c r="CS31" s="237" t="s">
        <v>231</v>
      </c>
      <c r="CT31" s="237" t="s">
        <v>231</v>
      </c>
      <c r="CU31" s="237" t="s">
        <v>231</v>
      </c>
      <c r="CV31" s="237" t="s">
        <v>231</v>
      </c>
      <c r="CW31" s="237" t="s">
        <v>231</v>
      </c>
      <c r="CX31" s="237" t="s">
        <v>231</v>
      </c>
      <c r="CY31" s="237" t="s">
        <v>231</v>
      </c>
      <c r="CZ31" s="237" t="s">
        <v>231</v>
      </c>
      <c r="DA31" s="237" t="s">
        <v>231</v>
      </c>
      <c r="DB31" s="237" t="s">
        <v>231</v>
      </c>
      <c r="DC31" s="237" t="s">
        <v>492</v>
      </c>
      <c r="DD31" s="237" t="s">
        <v>231</v>
      </c>
      <c r="DE31" s="237" t="s">
        <v>231</v>
      </c>
      <c r="DF31" s="237" t="s">
        <v>231</v>
      </c>
      <c r="DG31" s="237" t="s">
        <v>231</v>
      </c>
      <c r="DH31" s="237" t="s">
        <v>231</v>
      </c>
      <c r="DI31" s="237" t="s">
        <v>231</v>
      </c>
      <c r="DJ31" s="237" t="s">
        <v>231</v>
      </c>
      <c r="DK31" s="237" t="s">
        <v>231</v>
      </c>
      <c r="DL31" s="237" t="s">
        <v>231</v>
      </c>
      <c r="DM31" s="237" t="s">
        <v>231</v>
      </c>
      <c r="DN31" s="237" t="s">
        <v>231</v>
      </c>
      <c r="DO31" s="237" t="s">
        <v>231</v>
      </c>
      <c r="DP31" s="237" t="s">
        <v>231</v>
      </c>
      <c r="DQ31" s="237" t="s">
        <v>492</v>
      </c>
      <c r="DR31" s="237" t="s">
        <v>231</v>
      </c>
      <c r="DS31" s="237" t="s">
        <v>231</v>
      </c>
      <c r="DT31" s="237" t="s">
        <v>231</v>
      </c>
      <c r="DU31" s="237" t="s">
        <v>231</v>
      </c>
      <c r="DV31" s="237" t="s">
        <v>231</v>
      </c>
      <c r="DW31" s="237" t="s">
        <v>231</v>
      </c>
      <c r="DX31" s="237" t="s">
        <v>231</v>
      </c>
      <c r="DY31" s="237" t="s">
        <v>231</v>
      </c>
      <c r="DZ31" s="237" t="s">
        <v>231</v>
      </c>
      <c r="EA31" s="237" t="s">
        <v>231</v>
      </c>
      <c r="EB31" s="237" t="s">
        <v>231</v>
      </c>
      <c r="EC31" s="237" t="s">
        <v>231</v>
      </c>
      <c r="ED31" s="237" t="s">
        <v>231</v>
      </c>
      <c r="EE31" s="237" t="s">
        <v>231</v>
      </c>
      <c r="EF31" s="237" t="s">
        <v>231</v>
      </c>
      <c r="EG31" s="237" t="s">
        <v>231</v>
      </c>
      <c r="EH31" s="237" t="s">
        <v>231</v>
      </c>
      <c r="EI31" s="237" t="s">
        <v>231</v>
      </c>
      <c r="EJ31" s="237" t="s">
        <v>231</v>
      </c>
      <c r="EK31" s="237" t="s">
        <v>231</v>
      </c>
      <c r="EL31" s="237" t="s">
        <v>231</v>
      </c>
      <c r="EM31" s="237" t="s">
        <v>231</v>
      </c>
      <c r="EN31" s="237" t="s">
        <v>231</v>
      </c>
      <c r="EO31" s="237" t="s">
        <v>231</v>
      </c>
      <c r="EP31" s="237" t="s">
        <v>231</v>
      </c>
      <c r="EQ31" s="237" t="s">
        <v>231</v>
      </c>
      <c r="ER31" s="237" t="s">
        <v>231</v>
      </c>
      <c r="ES31" s="237" t="s">
        <v>231</v>
      </c>
      <c r="ET31" s="237" t="s">
        <v>231</v>
      </c>
      <c r="EU31" s="237" t="s">
        <v>231</v>
      </c>
      <c r="EV31" s="237" t="s">
        <v>231</v>
      </c>
      <c r="EW31" s="237" t="s">
        <v>231</v>
      </c>
      <c r="EX31" s="237" t="s">
        <v>231</v>
      </c>
      <c r="EY31" s="237" t="s">
        <v>231</v>
      </c>
      <c r="EZ31" s="237" t="s">
        <v>1107</v>
      </c>
      <c r="FA31" s="237" t="s">
        <v>1107</v>
      </c>
      <c r="FB31" s="237" t="s">
        <v>1107</v>
      </c>
      <c r="FC31" s="237" t="s">
        <v>492</v>
      </c>
      <c r="FD31" s="237" t="s">
        <v>231</v>
      </c>
      <c r="FE31" s="237" t="s">
        <v>231</v>
      </c>
      <c r="FF31" s="237" t="s">
        <v>231</v>
      </c>
      <c r="FG31" s="237" t="s">
        <v>492</v>
      </c>
      <c r="FH31" s="237" t="s">
        <v>231</v>
      </c>
      <c r="FI31" s="237" t="s">
        <v>231</v>
      </c>
      <c r="FJ31" s="237" t="s">
        <v>231</v>
      </c>
      <c r="FK31" s="237" t="s">
        <v>231</v>
      </c>
      <c r="FL31" s="237" t="s">
        <v>231</v>
      </c>
      <c r="FM31" s="237" t="s">
        <v>231</v>
      </c>
      <c r="FN31" s="237" t="s">
        <v>231</v>
      </c>
      <c r="FO31" s="237" t="s">
        <v>231</v>
      </c>
      <c r="FP31" s="237" t="s">
        <v>231</v>
      </c>
      <c r="FQ31" s="237" t="s">
        <v>231</v>
      </c>
      <c r="FR31" s="237" t="s">
        <v>231</v>
      </c>
      <c r="FS31" s="237" t="s">
        <v>231</v>
      </c>
      <c r="FT31" s="237" t="s">
        <v>231</v>
      </c>
      <c r="FU31" s="237" t="s">
        <v>231</v>
      </c>
      <c r="FV31" s="237" t="s">
        <v>231</v>
      </c>
      <c r="FW31" s="237" t="s">
        <v>231</v>
      </c>
      <c r="FX31" s="237" t="s">
        <v>231</v>
      </c>
      <c r="FY31" s="237" t="s">
        <v>492</v>
      </c>
      <c r="FZ31" s="237" t="s">
        <v>231</v>
      </c>
      <c r="GA31" s="237" t="s">
        <v>231</v>
      </c>
      <c r="GB31" s="237" t="s">
        <v>231</v>
      </c>
      <c r="GC31" s="237" t="s">
        <v>231</v>
      </c>
      <c r="GD31" s="237" t="s">
        <v>231</v>
      </c>
      <c r="GE31" s="237" t="s">
        <v>231</v>
      </c>
      <c r="GF31" s="237" t="s">
        <v>231</v>
      </c>
      <c r="GG31" s="237" t="s">
        <v>231</v>
      </c>
      <c r="GH31" s="237" t="s">
        <v>492</v>
      </c>
      <c r="GI31" s="237" t="s">
        <v>231</v>
      </c>
      <c r="GJ31" s="237" t="s">
        <v>231</v>
      </c>
      <c r="GK31" s="237" t="s">
        <v>231</v>
      </c>
      <c r="GL31" s="237" t="s">
        <v>231</v>
      </c>
      <c r="GM31" s="237" t="s">
        <v>231</v>
      </c>
      <c r="GN31" s="237" t="s">
        <v>231</v>
      </c>
      <c r="GO31" s="237" t="s">
        <v>231</v>
      </c>
      <c r="GP31" s="237" t="s">
        <v>492</v>
      </c>
      <c r="GQ31" s="237" t="s">
        <v>231</v>
      </c>
      <c r="GR31" s="237" t="s">
        <v>231</v>
      </c>
      <c r="GS31" s="237" t="s">
        <v>231</v>
      </c>
      <c r="GT31" s="237" t="s">
        <v>231</v>
      </c>
      <c r="GU31" s="237" t="s">
        <v>231</v>
      </c>
      <c r="GV31" s="237" t="s">
        <v>231</v>
      </c>
      <c r="GW31" s="237" t="s">
        <v>231</v>
      </c>
      <c r="GX31" s="237" t="s">
        <v>231</v>
      </c>
      <c r="GY31" s="237" t="s">
        <v>231</v>
      </c>
      <c r="GZ31" s="237" t="s">
        <v>231</v>
      </c>
      <c r="HA31" s="237" t="s">
        <v>492</v>
      </c>
      <c r="HB31" s="237" t="s">
        <v>492</v>
      </c>
      <c r="HC31" s="237" t="s">
        <v>492</v>
      </c>
      <c r="HD31" s="237" t="s">
        <v>1107</v>
      </c>
      <c r="HE31" s="237" t="s">
        <v>1107</v>
      </c>
      <c r="HF31" s="237" t="s">
        <v>1107</v>
      </c>
      <c r="HG31" s="237" t="s">
        <v>1107</v>
      </c>
      <c r="HH31" s="237" t="s">
        <v>1107</v>
      </c>
      <c r="HI31" s="237" t="s">
        <v>1107</v>
      </c>
      <c r="HJ31" s="237" t="s">
        <v>1107</v>
      </c>
      <c r="HK31" s="237" t="s">
        <v>1107</v>
      </c>
      <c r="HL31" s="237" t="s">
        <v>1107</v>
      </c>
      <c r="HM31" s="237" t="s">
        <v>1107</v>
      </c>
      <c r="HN31" s="237" t="s">
        <v>1107</v>
      </c>
      <c r="HO31" s="237" t="s">
        <v>1107</v>
      </c>
      <c r="HP31" s="237" t="s">
        <v>1107</v>
      </c>
      <c r="HQ31" s="237" t="s">
        <v>1107</v>
      </c>
      <c r="HR31" s="237" t="s">
        <v>1107</v>
      </c>
      <c r="HS31" s="237" t="s">
        <v>1107</v>
      </c>
      <c r="HT31" s="237" t="s">
        <v>232</v>
      </c>
      <c r="HU31" s="237" t="s">
        <v>232</v>
      </c>
      <c r="HV31" s="237" t="s">
        <v>232</v>
      </c>
      <c r="HW31" s="237" t="s">
        <v>231</v>
      </c>
      <c r="HX31" s="237" t="s">
        <v>219</v>
      </c>
      <c r="HY31" s="237" t="s">
        <v>220</v>
      </c>
      <c r="HZ31" s="237" t="s">
        <v>219</v>
      </c>
      <c r="IA31" s="237" t="s">
        <v>490</v>
      </c>
      <c r="IB31" s="237" t="s">
        <v>1107</v>
      </c>
      <c r="IC31" s="237" t="s">
        <v>1107</v>
      </c>
    </row>
    <row r="32" spans="1:237" ht="15" x14ac:dyDescent="0.25">
      <c r="A32" s="244" t="str">
        <f>HYPERLINK("http://www.ofsted.gov.uk/inspection-reports/find-inspection-report/provider/ELS/130285 ","Ofsted School Webpage")</f>
        <v>Ofsted School Webpage</v>
      </c>
      <c r="B32" s="240">
        <v>130285</v>
      </c>
      <c r="C32" s="240">
        <v>3506017</v>
      </c>
      <c r="D32" s="240" t="s">
        <v>1168</v>
      </c>
      <c r="E32" s="240" t="s">
        <v>247</v>
      </c>
      <c r="F32" s="240" t="s">
        <v>495</v>
      </c>
      <c r="G32" s="240" t="s">
        <v>495</v>
      </c>
      <c r="H32" s="240" t="s">
        <v>1169</v>
      </c>
      <c r="I32" s="240" t="s">
        <v>1170</v>
      </c>
      <c r="J32" s="240" t="s">
        <v>93</v>
      </c>
      <c r="K32" s="240" t="s">
        <v>84</v>
      </c>
      <c r="L32" s="240" t="s">
        <v>84</v>
      </c>
      <c r="M32" s="240" t="s">
        <v>84</v>
      </c>
      <c r="N32" s="240" t="s">
        <v>486</v>
      </c>
      <c r="O32" s="240" t="s">
        <v>487</v>
      </c>
      <c r="P32" s="240">
        <v>10078843</v>
      </c>
      <c r="Q32" s="242">
        <v>43369</v>
      </c>
      <c r="R32" s="242">
        <v>43369</v>
      </c>
      <c r="S32" s="242">
        <v>43389</v>
      </c>
      <c r="T32" s="240" t="s">
        <v>1124</v>
      </c>
      <c r="U32" s="240" t="s">
        <v>1105</v>
      </c>
      <c r="V32" s="240" t="s">
        <v>512</v>
      </c>
      <c r="W32" s="240" t="s">
        <v>490</v>
      </c>
      <c r="X32" s="240" t="s">
        <v>486</v>
      </c>
      <c r="Y32" s="240" t="s">
        <v>486</v>
      </c>
      <c r="Z32" s="240" t="s">
        <v>486</v>
      </c>
      <c r="AA32" s="240" t="s">
        <v>486</v>
      </c>
      <c r="AB32" s="240" t="s">
        <v>486</v>
      </c>
      <c r="AC32" s="240" t="s">
        <v>486</v>
      </c>
      <c r="AD32" s="240" t="s">
        <v>1110</v>
      </c>
      <c r="AE32" s="240" t="s">
        <v>1107</v>
      </c>
      <c r="AF32" s="240" t="s">
        <v>1107</v>
      </c>
      <c r="AG32" s="240" t="s">
        <v>1107</v>
      </c>
      <c r="AH32" s="240" t="s">
        <v>1107</v>
      </c>
      <c r="AI32" s="240" t="s">
        <v>1107</v>
      </c>
      <c r="AJ32" s="240" t="s">
        <v>1107</v>
      </c>
      <c r="AK32" s="240" t="s">
        <v>1107</v>
      </c>
      <c r="AL32" s="240" t="s">
        <v>1107</v>
      </c>
      <c r="AM32" s="240" t="s">
        <v>1107</v>
      </c>
      <c r="AN32" s="240" t="s">
        <v>1107</v>
      </c>
      <c r="AO32" s="240" t="s">
        <v>1107</v>
      </c>
      <c r="AP32" s="240" t="s">
        <v>1107</v>
      </c>
      <c r="AQ32" s="240" t="s">
        <v>1107</v>
      </c>
      <c r="AR32" s="240" t="s">
        <v>1107</v>
      </c>
      <c r="AS32" s="240" t="s">
        <v>1107</v>
      </c>
      <c r="AT32" s="240" t="s">
        <v>1107</v>
      </c>
      <c r="AU32" s="240" t="s">
        <v>1107</v>
      </c>
      <c r="AV32" s="240" t="s">
        <v>1107</v>
      </c>
      <c r="AW32" s="240" t="s">
        <v>1107</v>
      </c>
      <c r="AX32" s="240" t="s">
        <v>1107</v>
      </c>
      <c r="AY32" s="240" t="s">
        <v>1107</v>
      </c>
      <c r="AZ32" s="240" t="s">
        <v>1107</v>
      </c>
      <c r="BA32" s="240" t="s">
        <v>1107</v>
      </c>
      <c r="BB32" s="240" t="s">
        <v>1107</v>
      </c>
      <c r="BC32" s="240" t="s">
        <v>1107</v>
      </c>
      <c r="BD32" s="240" t="s">
        <v>1107</v>
      </c>
      <c r="BE32" s="240" t="s">
        <v>1107</v>
      </c>
      <c r="BF32" s="240" t="s">
        <v>1107</v>
      </c>
      <c r="BG32" s="240" t="s">
        <v>1107</v>
      </c>
      <c r="BH32" s="240" t="s">
        <v>1107</v>
      </c>
      <c r="BI32" s="240" t="s">
        <v>1107</v>
      </c>
      <c r="BJ32" s="240" t="s">
        <v>1107</v>
      </c>
      <c r="BK32" s="240" t="s">
        <v>231</v>
      </c>
      <c r="BL32" s="240" t="s">
        <v>231</v>
      </c>
      <c r="BM32" s="240" t="s">
        <v>231</v>
      </c>
      <c r="BN32" s="240" t="s">
        <v>231</v>
      </c>
      <c r="BO32" s="240" t="s">
        <v>231</v>
      </c>
      <c r="BP32" s="240" t="s">
        <v>231</v>
      </c>
      <c r="BQ32" s="240" t="s">
        <v>231</v>
      </c>
      <c r="BR32" s="240" t="s">
        <v>231</v>
      </c>
      <c r="BS32" s="240" t="s">
        <v>231</v>
      </c>
      <c r="BT32" s="240" t="s">
        <v>231</v>
      </c>
      <c r="BU32" s="240" t="s">
        <v>231</v>
      </c>
      <c r="BV32" s="240" t="s">
        <v>231</v>
      </c>
      <c r="BW32" s="240" t="s">
        <v>231</v>
      </c>
      <c r="BX32" s="240" t="s">
        <v>231</v>
      </c>
      <c r="BY32" s="240" t="s">
        <v>231</v>
      </c>
      <c r="BZ32" s="240" t="s">
        <v>231</v>
      </c>
      <c r="CA32" s="240" t="s">
        <v>231</v>
      </c>
      <c r="CB32" s="240" t="s">
        <v>231</v>
      </c>
      <c r="CC32" s="240" t="s">
        <v>1107</v>
      </c>
      <c r="CD32" s="240" t="s">
        <v>1107</v>
      </c>
      <c r="CE32" s="240" t="s">
        <v>1107</v>
      </c>
      <c r="CF32" s="240" t="s">
        <v>231</v>
      </c>
      <c r="CG32" s="240" t="s">
        <v>231</v>
      </c>
      <c r="CH32" s="240" t="s">
        <v>231</v>
      </c>
      <c r="CI32" s="240" t="s">
        <v>231</v>
      </c>
      <c r="CJ32" s="240" t="s">
        <v>231</v>
      </c>
      <c r="CK32" s="240" t="s">
        <v>1107</v>
      </c>
      <c r="CL32" s="240" t="s">
        <v>1107</v>
      </c>
      <c r="CM32" s="240" t="s">
        <v>1107</v>
      </c>
      <c r="CN32" s="240" t="s">
        <v>1107</v>
      </c>
      <c r="CO32" s="240" t="s">
        <v>1107</v>
      </c>
      <c r="CP32" s="240" t="s">
        <v>1107</v>
      </c>
      <c r="CQ32" s="240" t="s">
        <v>1107</v>
      </c>
      <c r="CR32" s="240" t="s">
        <v>1107</v>
      </c>
      <c r="CS32" s="240" t="s">
        <v>1107</v>
      </c>
      <c r="CT32" s="240" t="s">
        <v>1107</v>
      </c>
      <c r="CU32" s="240" t="s">
        <v>1107</v>
      </c>
      <c r="CV32" s="240" t="s">
        <v>1107</v>
      </c>
      <c r="CW32" s="240" t="s">
        <v>1107</v>
      </c>
      <c r="CX32" s="240" t="s">
        <v>1107</v>
      </c>
      <c r="CY32" s="240" t="s">
        <v>1107</v>
      </c>
      <c r="CZ32" s="240" t="s">
        <v>1107</v>
      </c>
      <c r="DA32" s="240" t="s">
        <v>1107</v>
      </c>
      <c r="DB32" s="240" t="s">
        <v>1107</v>
      </c>
      <c r="DC32" s="240" t="s">
        <v>1107</v>
      </c>
      <c r="DD32" s="240" t="s">
        <v>1107</v>
      </c>
      <c r="DE32" s="240" t="s">
        <v>1107</v>
      </c>
      <c r="DF32" s="240" t="s">
        <v>1107</v>
      </c>
      <c r="DG32" s="240" t="s">
        <v>1107</v>
      </c>
      <c r="DH32" s="240" t="s">
        <v>1107</v>
      </c>
      <c r="DI32" s="240" t="s">
        <v>1107</v>
      </c>
      <c r="DJ32" s="240" t="s">
        <v>1107</v>
      </c>
      <c r="DK32" s="240" t="s">
        <v>1107</v>
      </c>
      <c r="DL32" s="240" t="s">
        <v>1107</v>
      </c>
      <c r="DM32" s="240" t="s">
        <v>1107</v>
      </c>
      <c r="DN32" s="240" t="s">
        <v>1107</v>
      </c>
      <c r="DO32" s="240" t="s">
        <v>1107</v>
      </c>
      <c r="DP32" s="240" t="s">
        <v>1107</v>
      </c>
      <c r="DQ32" s="240" t="s">
        <v>1107</v>
      </c>
      <c r="DR32" s="240" t="s">
        <v>1107</v>
      </c>
      <c r="DS32" s="240" t="s">
        <v>1107</v>
      </c>
      <c r="DT32" s="240" t="s">
        <v>1107</v>
      </c>
      <c r="DU32" s="240" t="s">
        <v>1107</v>
      </c>
      <c r="DV32" s="240" t="s">
        <v>1107</v>
      </c>
      <c r="DW32" s="240" t="s">
        <v>1107</v>
      </c>
      <c r="DX32" s="240" t="s">
        <v>1107</v>
      </c>
      <c r="DY32" s="240" t="s">
        <v>1107</v>
      </c>
      <c r="DZ32" s="240" t="s">
        <v>1107</v>
      </c>
      <c r="EA32" s="240" t="s">
        <v>1107</v>
      </c>
      <c r="EB32" s="240" t="s">
        <v>1107</v>
      </c>
      <c r="EC32" s="240" t="s">
        <v>1107</v>
      </c>
      <c r="ED32" s="240" t="s">
        <v>1107</v>
      </c>
      <c r="EE32" s="240" t="s">
        <v>1107</v>
      </c>
      <c r="EF32" s="240" t="s">
        <v>1107</v>
      </c>
      <c r="EG32" s="240" t="s">
        <v>1107</v>
      </c>
      <c r="EH32" s="240" t="s">
        <v>1107</v>
      </c>
      <c r="EI32" s="240" t="s">
        <v>1107</v>
      </c>
      <c r="EJ32" s="240" t="s">
        <v>1107</v>
      </c>
      <c r="EK32" s="240" t="s">
        <v>1107</v>
      </c>
      <c r="EL32" s="240" t="s">
        <v>1107</v>
      </c>
      <c r="EM32" s="240" t="s">
        <v>1107</v>
      </c>
      <c r="EN32" s="240" t="s">
        <v>1107</v>
      </c>
      <c r="EO32" s="240" t="s">
        <v>1107</v>
      </c>
      <c r="EP32" s="240" t="s">
        <v>1107</v>
      </c>
      <c r="EQ32" s="240" t="s">
        <v>1107</v>
      </c>
      <c r="ER32" s="240" t="s">
        <v>1107</v>
      </c>
      <c r="ES32" s="240" t="s">
        <v>1107</v>
      </c>
      <c r="ET32" s="240" t="s">
        <v>1107</v>
      </c>
      <c r="EU32" s="240" t="s">
        <v>1107</v>
      </c>
      <c r="EV32" s="240" t="s">
        <v>1107</v>
      </c>
      <c r="EW32" s="240" t="s">
        <v>1107</v>
      </c>
      <c r="EX32" s="240" t="s">
        <v>1107</v>
      </c>
      <c r="EY32" s="240" t="s">
        <v>1107</v>
      </c>
      <c r="EZ32" s="240" t="s">
        <v>1107</v>
      </c>
      <c r="FA32" s="240" t="s">
        <v>1107</v>
      </c>
      <c r="FB32" s="240" t="s">
        <v>1107</v>
      </c>
      <c r="FC32" s="240" t="s">
        <v>1107</v>
      </c>
      <c r="FD32" s="240" t="s">
        <v>1107</v>
      </c>
      <c r="FE32" s="240" t="s">
        <v>1107</v>
      </c>
      <c r="FF32" s="240" t="s">
        <v>1107</v>
      </c>
      <c r="FG32" s="240" t="s">
        <v>1107</v>
      </c>
      <c r="FH32" s="240" t="s">
        <v>1107</v>
      </c>
      <c r="FI32" s="240" t="s">
        <v>1107</v>
      </c>
      <c r="FJ32" s="240" t="s">
        <v>1107</v>
      </c>
      <c r="FK32" s="240" t="s">
        <v>1107</v>
      </c>
      <c r="FL32" s="240" t="s">
        <v>1107</v>
      </c>
      <c r="FM32" s="240" t="s">
        <v>1107</v>
      </c>
      <c r="FN32" s="240" t="s">
        <v>1107</v>
      </c>
      <c r="FO32" s="240" t="s">
        <v>1107</v>
      </c>
      <c r="FP32" s="240" t="s">
        <v>1107</v>
      </c>
      <c r="FQ32" s="240" t="s">
        <v>1107</v>
      </c>
      <c r="FR32" s="240" t="s">
        <v>1107</v>
      </c>
      <c r="FS32" s="240" t="s">
        <v>1107</v>
      </c>
      <c r="FT32" s="240" t="s">
        <v>1107</v>
      </c>
      <c r="FU32" s="240" t="s">
        <v>1107</v>
      </c>
      <c r="FV32" s="240" t="s">
        <v>1107</v>
      </c>
      <c r="FW32" s="240" t="s">
        <v>1107</v>
      </c>
      <c r="FX32" s="240" t="s">
        <v>1107</v>
      </c>
      <c r="FY32" s="240" t="s">
        <v>1107</v>
      </c>
      <c r="FZ32" s="240" t="s">
        <v>1107</v>
      </c>
      <c r="GA32" s="240" t="s">
        <v>1107</v>
      </c>
      <c r="GB32" s="240" t="s">
        <v>1107</v>
      </c>
      <c r="GC32" s="240" t="s">
        <v>1107</v>
      </c>
      <c r="GD32" s="240" t="s">
        <v>1107</v>
      </c>
      <c r="GE32" s="240" t="s">
        <v>1107</v>
      </c>
      <c r="GF32" s="240" t="s">
        <v>1107</v>
      </c>
      <c r="GG32" s="240" t="s">
        <v>1107</v>
      </c>
      <c r="GH32" s="240" t="s">
        <v>1107</v>
      </c>
      <c r="GI32" s="240" t="s">
        <v>1107</v>
      </c>
      <c r="GJ32" s="240" t="s">
        <v>1107</v>
      </c>
      <c r="GK32" s="240" t="s">
        <v>1107</v>
      </c>
      <c r="GL32" s="240" t="s">
        <v>1107</v>
      </c>
      <c r="GM32" s="240" t="s">
        <v>1107</v>
      </c>
      <c r="GN32" s="240" t="s">
        <v>1107</v>
      </c>
      <c r="GO32" s="240" t="s">
        <v>1107</v>
      </c>
      <c r="GP32" s="240" t="s">
        <v>1107</v>
      </c>
      <c r="GQ32" s="240" t="s">
        <v>1107</v>
      </c>
      <c r="GR32" s="240" t="s">
        <v>1107</v>
      </c>
      <c r="GS32" s="240" t="s">
        <v>1107</v>
      </c>
      <c r="GT32" s="240" t="s">
        <v>1107</v>
      </c>
      <c r="GU32" s="240" t="s">
        <v>1107</v>
      </c>
      <c r="GV32" s="240" t="s">
        <v>1107</v>
      </c>
      <c r="GW32" s="240" t="s">
        <v>1107</v>
      </c>
      <c r="GX32" s="240" t="s">
        <v>1107</v>
      </c>
      <c r="GY32" s="240" t="s">
        <v>1107</v>
      </c>
      <c r="GZ32" s="240" t="s">
        <v>1107</v>
      </c>
      <c r="HA32" s="240" t="s">
        <v>1107</v>
      </c>
      <c r="HB32" s="240" t="s">
        <v>1107</v>
      </c>
      <c r="HC32" s="240" t="s">
        <v>1107</v>
      </c>
      <c r="HD32" s="240" t="s">
        <v>1107</v>
      </c>
      <c r="HE32" s="240" t="s">
        <v>1107</v>
      </c>
      <c r="HF32" s="240" t="s">
        <v>1107</v>
      </c>
      <c r="HG32" s="240" t="s">
        <v>1107</v>
      </c>
      <c r="HH32" s="240" t="s">
        <v>1107</v>
      </c>
      <c r="HI32" s="240" t="s">
        <v>1107</v>
      </c>
      <c r="HJ32" s="240" t="s">
        <v>1107</v>
      </c>
      <c r="HK32" s="240" t="s">
        <v>1107</v>
      </c>
      <c r="HL32" s="240" t="s">
        <v>1107</v>
      </c>
      <c r="HM32" s="240" t="s">
        <v>1107</v>
      </c>
      <c r="HN32" s="240" t="s">
        <v>1107</v>
      </c>
      <c r="HO32" s="240" t="s">
        <v>1107</v>
      </c>
      <c r="HP32" s="240" t="s">
        <v>1107</v>
      </c>
      <c r="HQ32" s="240" t="s">
        <v>1107</v>
      </c>
      <c r="HR32" s="240" t="s">
        <v>1107</v>
      </c>
      <c r="HS32" s="240" t="s">
        <v>1107</v>
      </c>
      <c r="HT32" s="240" t="s">
        <v>231</v>
      </c>
      <c r="HU32" s="240" t="s">
        <v>231</v>
      </c>
      <c r="HV32" s="240" t="s">
        <v>231</v>
      </c>
      <c r="HW32" s="240" t="s">
        <v>231</v>
      </c>
      <c r="HX32" s="240" t="s">
        <v>220</v>
      </c>
      <c r="HY32" s="240" t="s">
        <v>493</v>
      </c>
      <c r="HZ32" s="240" t="s">
        <v>219</v>
      </c>
      <c r="IA32" s="240" t="s">
        <v>486</v>
      </c>
      <c r="IB32" s="240" t="s">
        <v>492</v>
      </c>
      <c r="IC32" s="240" t="s">
        <v>492</v>
      </c>
    </row>
    <row r="33" spans="1:237" ht="15" x14ac:dyDescent="0.25">
      <c r="A33" s="243" t="str">
        <f>HYPERLINK("http://www.ofsted.gov.uk/inspection-reports/find-inspection-report/provider/ELS/144378 ","Ofsted School Webpage")</f>
        <v>Ofsted School Webpage</v>
      </c>
      <c r="B33" s="237">
        <v>144378</v>
      </c>
      <c r="C33" s="237">
        <v>8816067</v>
      </c>
      <c r="D33" s="237" t="s">
        <v>1171</v>
      </c>
      <c r="E33" s="237" t="s">
        <v>248</v>
      </c>
      <c r="F33" s="237" t="s">
        <v>516</v>
      </c>
      <c r="G33" s="237" t="s">
        <v>516</v>
      </c>
      <c r="H33" s="237" t="s">
        <v>764</v>
      </c>
      <c r="I33" s="237" t="s">
        <v>1172</v>
      </c>
      <c r="J33" s="237" t="s">
        <v>93</v>
      </c>
      <c r="K33" s="237" t="s">
        <v>93</v>
      </c>
      <c r="L33" s="237" t="s">
        <v>93</v>
      </c>
      <c r="M33" s="237" t="s">
        <v>90</v>
      </c>
      <c r="N33" s="237" t="s">
        <v>486</v>
      </c>
      <c r="O33" s="237" t="s">
        <v>487</v>
      </c>
      <c r="P33" s="237">
        <v>10056692</v>
      </c>
      <c r="Q33" s="239">
        <v>43370</v>
      </c>
      <c r="R33" s="239">
        <v>43370</v>
      </c>
      <c r="S33" s="239">
        <v>43409</v>
      </c>
      <c r="T33" s="237" t="s">
        <v>1109</v>
      </c>
      <c r="U33" s="237" t="s">
        <v>1105</v>
      </c>
      <c r="V33" s="237" t="s">
        <v>490</v>
      </c>
      <c r="W33" s="237" t="s">
        <v>486</v>
      </c>
      <c r="X33" s="237" t="s">
        <v>486</v>
      </c>
      <c r="Y33" s="237" t="s">
        <v>486</v>
      </c>
      <c r="Z33" s="237" t="s">
        <v>486</v>
      </c>
      <c r="AA33" s="237" t="s">
        <v>486</v>
      </c>
      <c r="AB33" s="237" t="s">
        <v>486</v>
      </c>
      <c r="AC33" s="237" t="s">
        <v>486</v>
      </c>
      <c r="AD33" s="237" t="s">
        <v>1110</v>
      </c>
      <c r="AE33" s="237" t="s">
        <v>231</v>
      </c>
      <c r="AF33" s="237" t="s">
        <v>231</v>
      </c>
      <c r="AG33" s="237" t="s">
        <v>231</v>
      </c>
      <c r="AH33" s="237" t="s">
        <v>231</v>
      </c>
      <c r="AI33" s="237" t="s">
        <v>231</v>
      </c>
      <c r="AJ33" s="237" t="s">
        <v>231</v>
      </c>
      <c r="AK33" s="237" t="s">
        <v>231</v>
      </c>
      <c r="AL33" s="237" t="s">
        <v>231</v>
      </c>
      <c r="AM33" s="237" t="s">
        <v>492</v>
      </c>
      <c r="AN33" s="237" t="s">
        <v>231</v>
      </c>
      <c r="AO33" s="237" t="s">
        <v>231</v>
      </c>
      <c r="AP33" s="237" t="s">
        <v>231</v>
      </c>
      <c r="AQ33" s="237" t="s">
        <v>231</v>
      </c>
      <c r="AR33" s="237" t="s">
        <v>231</v>
      </c>
      <c r="AS33" s="237" t="s">
        <v>231</v>
      </c>
      <c r="AT33" s="237" t="s">
        <v>231</v>
      </c>
      <c r="AU33" s="237" t="s">
        <v>1107</v>
      </c>
      <c r="AV33" s="237" t="s">
        <v>492</v>
      </c>
      <c r="AW33" s="237" t="s">
        <v>231</v>
      </c>
      <c r="AX33" s="237" t="s">
        <v>231</v>
      </c>
      <c r="AY33" s="237" t="s">
        <v>231</v>
      </c>
      <c r="AZ33" s="237" t="s">
        <v>231</v>
      </c>
      <c r="BA33" s="237" t="s">
        <v>231</v>
      </c>
      <c r="BB33" s="237" t="s">
        <v>231</v>
      </c>
      <c r="BC33" s="237" t="s">
        <v>231</v>
      </c>
      <c r="BD33" s="237" t="s">
        <v>231</v>
      </c>
      <c r="BE33" s="237" t="s">
        <v>231</v>
      </c>
      <c r="BF33" s="237" t="s">
        <v>231</v>
      </c>
      <c r="BG33" s="237" t="s">
        <v>231</v>
      </c>
      <c r="BH33" s="237" t="s">
        <v>1107</v>
      </c>
      <c r="BI33" s="237" t="s">
        <v>1107</v>
      </c>
      <c r="BJ33" s="237" t="s">
        <v>231</v>
      </c>
      <c r="BK33" s="237" t="s">
        <v>1107</v>
      </c>
      <c r="BL33" s="237" t="s">
        <v>1107</v>
      </c>
      <c r="BM33" s="237" t="s">
        <v>1107</v>
      </c>
      <c r="BN33" s="237" t="s">
        <v>1107</v>
      </c>
      <c r="BO33" s="237" t="s">
        <v>1107</v>
      </c>
      <c r="BP33" s="237" t="s">
        <v>1107</v>
      </c>
      <c r="BQ33" s="237" t="s">
        <v>1107</v>
      </c>
      <c r="BR33" s="237" t="s">
        <v>1107</v>
      </c>
      <c r="BS33" s="237" t="s">
        <v>1107</v>
      </c>
      <c r="BT33" s="237" t="s">
        <v>1107</v>
      </c>
      <c r="BU33" s="237" t="s">
        <v>1107</v>
      </c>
      <c r="BV33" s="237" t="s">
        <v>1107</v>
      </c>
      <c r="BW33" s="237" t="s">
        <v>1107</v>
      </c>
      <c r="BX33" s="237" t="s">
        <v>1107</v>
      </c>
      <c r="BY33" s="237" t="s">
        <v>1107</v>
      </c>
      <c r="BZ33" s="237" t="s">
        <v>231</v>
      </c>
      <c r="CA33" s="237" t="s">
        <v>231</v>
      </c>
      <c r="CB33" s="237" t="s">
        <v>231</v>
      </c>
      <c r="CC33" s="237" t="s">
        <v>492</v>
      </c>
      <c r="CD33" s="237" t="s">
        <v>492</v>
      </c>
      <c r="CE33" s="237" t="s">
        <v>492</v>
      </c>
      <c r="CF33" s="237" t="s">
        <v>231</v>
      </c>
      <c r="CG33" s="237" t="s">
        <v>1107</v>
      </c>
      <c r="CH33" s="237" t="s">
        <v>231</v>
      </c>
      <c r="CI33" s="237" t="s">
        <v>1107</v>
      </c>
      <c r="CJ33" s="237" t="s">
        <v>1107</v>
      </c>
      <c r="CK33" s="237" t="s">
        <v>231</v>
      </c>
      <c r="CL33" s="237" t="s">
        <v>231</v>
      </c>
      <c r="CM33" s="237" t="s">
        <v>1107</v>
      </c>
      <c r="CN33" s="237" t="s">
        <v>1107</v>
      </c>
      <c r="CO33" s="237" t="s">
        <v>231</v>
      </c>
      <c r="CP33" s="237" t="s">
        <v>231</v>
      </c>
      <c r="CQ33" s="237" t="s">
        <v>231</v>
      </c>
      <c r="CR33" s="237" t="s">
        <v>231</v>
      </c>
      <c r="CS33" s="237" t="s">
        <v>231</v>
      </c>
      <c r="CT33" s="237" t="s">
        <v>1107</v>
      </c>
      <c r="CU33" s="237" t="s">
        <v>231</v>
      </c>
      <c r="CV33" s="237" t="s">
        <v>231</v>
      </c>
      <c r="CW33" s="237" t="s">
        <v>1107</v>
      </c>
      <c r="CX33" s="237" t="s">
        <v>231</v>
      </c>
      <c r="CY33" s="237" t="s">
        <v>231</v>
      </c>
      <c r="CZ33" s="237" t="s">
        <v>1107</v>
      </c>
      <c r="DA33" s="237" t="s">
        <v>1107</v>
      </c>
      <c r="DB33" s="237" t="s">
        <v>231</v>
      </c>
      <c r="DC33" s="237" t="s">
        <v>492</v>
      </c>
      <c r="DD33" s="237" t="s">
        <v>231</v>
      </c>
      <c r="DE33" s="237" t="s">
        <v>1107</v>
      </c>
      <c r="DF33" s="237" t="s">
        <v>1107</v>
      </c>
      <c r="DG33" s="237" t="s">
        <v>1107</v>
      </c>
      <c r="DH33" s="237" t="s">
        <v>1107</v>
      </c>
      <c r="DI33" s="237" t="s">
        <v>1107</v>
      </c>
      <c r="DJ33" s="237" t="s">
        <v>1107</v>
      </c>
      <c r="DK33" s="237" t="s">
        <v>1107</v>
      </c>
      <c r="DL33" s="237" t="s">
        <v>1107</v>
      </c>
      <c r="DM33" s="237" t="s">
        <v>1107</v>
      </c>
      <c r="DN33" s="237" t="s">
        <v>1107</v>
      </c>
      <c r="DO33" s="237" t="s">
        <v>1107</v>
      </c>
      <c r="DP33" s="237" t="s">
        <v>1107</v>
      </c>
      <c r="DQ33" s="237" t="s">
        <v>492</v>
      </c>
      <c r="DR33" s="237" t="s">
        <v>492</v>
      </c>
      <c r="DS33" s="237" t="s">
        <v>1107</v>
      </c>
      <c r="DT33" s="237" t="s">
        <v>1107</v>
      </c>
      <c r="DU33" s="237" t="s">
        <v>1107</v>
      </c>
      <c r="DV33" s="237" t="s">
        <v>1107</v>
      </c>
      <c r="DW33" s="237" t="s">
        <v>1107</v>
      </c>
      <c r="DX33" s="237" t="s">
        <v>1107</v>
      </c>
      <c r="DY33" s="237" t="s">
        <v>1107</v>
      </c>
      <c r="DZ33" s="237" t="s">
        <v>1107</v>
      </c>
      <c r="EA33" s="237" t="s">
        <v>1107</v>
      </c>
      <c r="EB33" s="237" t="s">
        <v>231</v>
      </c>
      <c r="EC33" s="237" t="s">
        <v>1107</v>
      </c>
      <c r="ED33" s="237" t="s">
        <v>231</v>
      </c>
      <c r="EE33" s="237" t="s">
        <v>231</v>
      </c>
      <c r="EF33" s="237" t="s">
        <v>231</v>
      </c>
      <c r="EG33" s="237" t="s">
        <v>1107</v>
      </c>
      <c r="EH33" s="237" t="s">
        <v>231</v>
      </c>
      <c r="EI33" s="237" t="s">
        <v>1107</v>
      </c>
      <c r="EJ33" s="237" t="s">
        <v>1107</v>
      </c>
      <c r="EK33" s="237" t="s">
        <v>1107</v>
      </c>
      <c r="EL33" s="237" t="s">
        <v>1107</v>
      </c>
      <c r="EM33" s="237" t="s">
        <v>231</v>
      </c>
      <c r="EN33" s="237" t="s">
        <v>231</v>
      </c>
      <c r="EO33" s="237" t="s">
        <v>1107</v>
      </c>
      <c r="EP33" s="237" t="s">
        <v>1107</v>
      </c>
      <c r="EQ33" s="237" t="s">
        <v>1107</v>
      </c>
      <c r="ER33" s="237" t="s">
        <v>1107</v>
      </c>
      <c r="ES33" s="237" t="s">
        <v>1107</v>
      </c>
      <c r="ET33" s="237" t="s">
        <v>1107</v>
      </c>
      <c r="EU33" s="237" t="s">
        <v>1107</v>
      </c>
      <c r="EV33" s="237" t="s">
        <v>1107</v>
      </c>
      <c r="EW33" s="237" t="s">
        <v>1107</v>
      </c>
      <c r="EX33" s="237" t="s">
        <v>1107</v>
      </c>
      <c r="EY33" s="237" t="s">
        <v>1107</v>
      </c>
      <c r="EZ33" s="237" t="s">
        <v>1107</v>
      </c>
      <c r="FA33" s="237" t="s">
        <v>1107</v>
      </c>
      <c r="FB33" s="237" t="s">
        <v>1107</v>
      </c>
      <c r="FC33" s="237" t="s">
        <v>1107</v>
      </c>
      <c r="FD33" s="237" t="s">
        <v>231</v>
      </c>
      <c r="FE33" s="237" t="s">
        <v>231</v>
      </c>
      <c r="FF33" s="237" t="s">
        <v>231</v>
      </c>
      <c r="FG33" s="237" t="s">
        <v>1107</v>
      </c>
      <c r="FH33" s="237" t="s">
        <v>1107</v>
      </c>
      <c r="FI33" s="237" t="s">
        <v>1107</v>
      </c>
      <c r="FJ33" s="237" t="s">
        <v>1107</v>
      </c>
      <c r="FK33" s="237" t="s">
        <v>1107</v>
      </c>
      <c r="FL33" s="237" t="s">
        <v>1107</v>
      </c>
      <c r="FM33" s="237" t="s">
        <v>1107</v>
      </c>
      <c r="FN33" s="237" t="s">
        <v>1107</v>
      </c>
      <c r="FO33" s="237" t="s">
        <v>1107</v>
      </c>
      <c r="FP33" s="237" t="s">
        <v>1107</v>
      </c>
      <c r="FQ33" s="237" t="s">
        <v>1107</v>
      </c>
      <c r="FR33" s="237" t="s">
        <v>1107</v>
      </c>
      <c r="FS33" s="237" t="s">
        <v>1107</v>
      </c>
      <c r="FT33" s="237" t="s">
        <v>1107</v>
      </c>
      <c r="FU33" s="237" t="s">
        <v>1107</v>
      </c>
      <c r="FV33" s="237" t="s">
        <v>1107</v>
      </c>
      <c r="FW33" s="237" t="s">
        <v>1107</v>
      </c>
      <c r="FX33" s="237" t="s">
        <v>1107</v>
      </c>
      <c r="FY33" s="237" t="s">
        <v>1107</v>
      </c>
      <c r="FZ33" s="237" t="s">
        <v>231</v>
      </c>
      <c r="GA33" s="237" t="s">
        <v>231</v>
      </c>
      <c r="GB33" s="237" t="s">
        <v>231</v>
      </c>
      <c r="GC33" s="237" t="s">
        <v>231</v>
      </c>
      <c r="GD33" s="237" t="s">
        <v>1107</v>
      </c>
      <c r="GE33" s="237" t="s">
        <v>1107</v>
      </c>
      <c r="GF33" s="237" t="s">
        <v>1107</v>
      </c>
      <c r="GG33" s="237" t="s">
        <v>231</v>
      </c>
      <c r="GH33" s="237" t="s">
        <v>1107</v>
      </c>
      <c r="GI33" s="237" t="s">
        <v>1107</v>
      </c>
      <c r="GJ33" s="237" t="s">
        <v>231</v>
      </c>
      <c r="GK33" s="237" t="s">
        <v>231</v>
      </c>
      <c r="GL33" s="237" t="s">
        <v>1107</v>
      </c>
      <c r="GM33" s="237" t="s">
        <v>1107</v>
      </c>
      <c r="GN33" s="237" t="s">
        <v>1107</v>
      </c>
      <c r="GO33" s="237" t="s">
        <v>1107</v>
      </c>
      <c r="GP33" s="237" t="s">
        <v>1107</v>
      </c>
      <c r="GQ33" s="237" t="s">
        <v>231</v>
      </c>
      <c r="GR33" s="237" t="s">
        <v>231</v>
      </c>
      <c r="GS33" s="237" t="s">
        <v>1107</v>
      </c>
      <c r="GT33" s="237" t="s">
        <v>1107</v>
      </c>
      <c r="GU33" s="237" t="s">
        <v>1107</v>
      </c>
      <c r="GV33" s="237" t="s">
        <v>1107</v>
      </c>
      <c r="GW33" s="237" t="s">
        <v>231</v>
      </c>
      <c r="GX33" s="237" t="s">
        <v>231</v>
      </c>
      <c r="GY33" s="237" t="s">
        <v>1107</v>
      </c>
      <c r="GZ33" s="237" t="s">
        <v>1107</v>
      </c>
      <c r="HA33" s="237" t="s">
        <v>1107</v>
      </c>
      <c r="HB33" s="237" t="s">
        <v>1107</v>
      </c>
      <c r="HC33" s="237" t="s">
        <v>1107</v>
      </c>
      <c r="HD33" s="237" t="s">
        <v>1107</v>
      </c>
      <c r="HE33" s="237" t="s">
        <v>1107</v>
      </c>
      <c r="HF33" s="237" t="s">
        <v>1107</v>
      </c>
      <c r="HG33" s="237" t="s">
        <v>1107</v>
      </c>
      <c r="HH33" s="237" t="s">
        <v>1107</v>
      </c>
      <c r="HI33" s="237" t="s">
        <v>1107</v>
      </c>
      <c r="HJ33" s="237" t="s">
        <v>1107</v>
      </c>
      <c r="HK33" s="237" t="s">
        <v>1107</v>
      </c>
      <c r="HL33" s="237" t="s">
        <v>1107</v>
      </c>
      <c r="HM33" s="237" t="s">
        <v>1107</v>
      </c>
      <c r="HN33" s="237" t="s">
        <v>1107</v>
      </c>
      <c r="HO33" s="237" t="s">
        <v>1107</v>
      </c>
      <c r="HP33" s="237" t="s">
        <v>1107</v>
      </c>
      <c r="HQ33" s="237" t="s">
        <v>1107</v>
      </c>
      <c r="HR33" s="237" t="s">
        <v>1107</v>
      </c>
      <c r="HS33" s="237" t="s">
        <v>1107</v>
      </c>
      <c r="HT33" s="237" t="s">
        <v>231</v>
      </c>
      <c r="HU33" s="237" t="s">
        <v>231</v>
      </c>
      <c r="HV33" s="237" t="s">
        <v>231</v>
      </c>
      <c r="HW33" s="237" t="s">
        <v>231</v>
      </c>
      <c r="HX33" s="237" t="s">
        <v>220</v>
      </c>
      <c r="HY33" s="237" t="s">
        <v>493</v>
      </c>
      <c r="HZ33" s="237" t="s">
        <v>219</v>
      </c>
      <c r="IA33" s="237" t="s">
        <v>490</v>
      </c>
      <c r="IB33" s="237" t="s">
        <v>1107</v>
      </c>
      <c r="IC33" s="237" t="s">
        <v>1107</v>
      </c>
    </row>
    <row r="34" spans="1:237" ht="15" x14ac:dyDescent="0.25">
      <c r="A34" s="244" t="str">
        <f>HYPERLINK("http://www.ofsted.gov.uk/inspection-reports/find-inspection-report/provider/ELS/102455 ","Ofsted School Webpage")</f>
        <v>Ofsted School Webpage</v>
      </c>
      <c r="B34" s="240">
        <v>102455</v>
      </c>
      <c r="C34" s="240">
        <v>3126054</v>
      </c>
      <c r="D34" s="240" t="s">
        <v>1173</v>
      </c>
      <c r="E34" s="240" t="s">
        <v>247</v>
      </c>
      <c r="F34" s="240" t="s">
        <v>506</v>
      </c>
      <c r="G34" s="240" t="s">
        <v>506</v>
      </c>
      <c r="H34" s="240" t="s">
        <v>1174</v>
      </c>
      <c r="I34" s="240" t="s">
        <v>1175</v>
      </c>
      <c r="J34" s="240" t="s">
        <v>93</v>
      </c>
      <c r="K34" s="240" t="s">
        <v>71</v>
      </c>
      <c r="L34" s="240" t="s">
        <v>71</v>
      </c>
      <c r="M34" s="240" t="s">
        <v>71</v>
      </c>
      <c r="N34" s="240" t="s">
        <v>486</v>
      </c>
      <c r="O34" s="240" t="s">
        <v>487</v>
      </c>
      <c r="P34" s="240">
        <v>10078711</v>
      </c>
      <c r="Q34" s="242">
        <v>43370</v>
      </c>
      <c r="R34" s="242">
        <v>43370</v>
      </c>
      <c r="S34" s="242">
        <v>43415</v>
      </c>
      <c r="T34" s="240" t="s">
        <v>1109</v>
      </c>
      <c r="U34" s="240" t="s">
        <v>1105</v>
      </c>
      <c r="V34" s="240" t="s">
        <v>490</v>
      </c>
      <c r="W34" s="240" t="s">
        <v>486</v>
      </c>
      <c r="X34" s="240" t="s">
        <v>486</v>
      </c>
      <c r="Y34" s="240" t="s">
        <v>486</v>
      </c>
      <c r="Z34" s="240" t="s">
        <v>486</v>
      </c>
      <c r="AA34" s="240" t="s">
        <v>486</v>
      </c>
      <c r="AB34" s="240" t="s">
        <v>486</v>
      </c>
      <c r="AC34" s="240" t="s">
        <v>486</v>
      </c>
      <c r="AD34" s="240" t="s">
        <v>1136</v>
      </c>
      <c r="AE34" s="240" t="s">
        <v>1107</v>
      </c>
      <c r="AF34" s="240" t="s">
        <v>1107</v>
      </c>
      <c r="AG34" s="240" t="s">
        <v>1107</v>
      </c>
      <c r="AH34" s="240" t="s">
        <v>1107</v>
      </c>
      <c r="AI34" s="240" t="s">
        <v>1107</v>
      </c>
      <c r="AJ34" s="240" t="s">
        <v>1107</v>
      </c>
      <c r="AK34" s="240" t="s">
        <v>1107</v>
      </c>
      <c r="AL34" s="240" t="s">
        <v>1107</v>
      </c>
      <c r="AM34" s="240" t="s">
        <v>1107</v>
      </c>
      <c r="AN34" s="240" t="s">
        <v>1107</v>
      </c>
      <c r="AO34" s="240" t="s">
        <v>1107</v>
      </c>
      <c r="AP34" s="240" t="s">
        <v>1107</v>
      </c>
      <c r="AQ34" s="240" t="s">
        <v>1107</v>
      </c>
      <c r="AR34" s="240" t="s">
        <v>1107</v>
      </c>
      <c r="AS34" s="240" t="s">
        <v>1107</v>
      </c>
      <c r="AT34" s="240" t="s">
        <v>1107</v>
      </c>
      <c r="AU34" s="240" t="s">
        <v>1107</v>
      </c>
      <c r="AV34" s="240" t="s">
        <v>1107</v>
      </c>
      <c r="AW34" s="240" t="s">
        <v>1107</v>
      </c>
      <c r="AX34" s="240" t="s">
        <v>1107</v>
      </c>
      <c r="AY34" s="240" t="s">
        <v>1107</v>
      </c>
      <c r="AZ34" s="240" t="s">
        <v>1107</v>
      </c>
      <c r="BA34" s="240" t="s">
        <v>1107</v>
      </c>
      <c r="BB34" s="240" t="s">
        <v>1107</v>
      </c>
      <c r="BC34" s="240" t="s">
        <v>1107</v>
      </c>
      <c r="BD34" s="240" t="s">
        <v>1107</v>
      </c>
      <c r="BE34" s="240" t="s">
        <v>1107</v>
      </c>
      <c r="BF34" s="240" t="s">
        <v>1107</v>
      </c>
      <c r="BG34" s="240" t="s">
        <v>1107</v>
      </c>
      <c r="BH34" s="240" t="s">
        <v>1107</v>
      </c>
      <c r="BI34" s="240" t="s">
        <v>1107</v>
      </c>
      <c r="BJ34" s="240" t="s">
        <v>1107</v>
      </c>
      <c r="BK34" s="240" t="s">
        <v>1107</v>
      </c>
      <c r="BL34" s="240" t="s">
        <v>1107</v>
      </c>
      <c r="BM34" s="240" t="s">
        <v>1107</v>
      </c>
      <c r="BN34" s="240" t="s">
        <v>1107</v>
      </c>
      <c r="BO34" s="240" t="s">
        <v>1107</v>
      </c>
      <c r="BP34" s="240" t="s">
        <v>1107</v>
      </c>
      <c r="BQ34" s="240" t="s">
        <v>1107</v>
      </c>
      <c r="BR34" s="240" t="s">
        <v>1107</v>
      </c>
      <c r="BS34" s="240" t="s">
        <v>1107</v>
      </c>
      <c r="BT34" s="240" t="s">
        <v>1107</v>
      </c>
      <c r="BU34" s="240" t="s">
        <v>1107</v>
      </c>
      <c r="BV34" s="240" t="s">
        <v>1107</v>
      </c>
      <c r="BW34" s="240" t="s">
        <v>1107</v>
      </c>
      <c r="BX34" s="240" t="s">
        <v>1107</v>
      </c>
      <c r="BY34" s="240" t="s">
        <v>1107</v>
      </c>
      <c r="BZ34" s="240" t="s">
        <v>232</v>
      </c>
      <c r="CA34" s="240" t="s">
        <v>232</v>
      </c>
      <c r="CB34" s="240" t="s">
        <v>232</v>
      </c>
      <c r="CC34" s="240" t="s">
        <v>492</v>
      </c>
      <c r="CD34" s="240" t="s">
        <v>492</v>
      </c>
      <c r="CE34" s="240" t="s">
        <v>492</v>
      </c>
      <c r="CF34" s="240" t="s">
        <v>1107</v>
      </c>
      <c r="CG34" s="240" t="s">
        <v>1107</v>
      </c>
      <c r="CH34" s="240" t="s">
        <v>1107</v>
      </c>
      <c r="CI34" s="240" t="s">
        <v>1107</v>
      </c>
      <c r="CJ34" s="240" t="s">
        <v>231</v>
      </c>
      <c r="CK34" s="240" t="s">
        <v>231</v>
      </c>
      <c r="CL34" s="240" t="s">
        <v>1107</v>
      </c>
      <c r="CM34" s="240" t="s">
        <v>1107</v>
      </c>
      <c r="CN34" s="240" t="s">
        <v>1107</v>
      </c>
      <c r="CO34" s="240" t="s">
        <v>232</v>
      </c>
      <c r="CP34" s="240" t="s">
        <v>1107</v>
      </c>
      <c r="CQ34" s="240" t="s">
        <v>1107</v>
      </c>
      <c r="CR34" s="240" t="s">
        <v>1107</v>
      </c>
      <c r="CS34" s="240" t="s">
        <v>1107</v>
      </c>
      <c r="CT34" s="240" t="s">
        <v>1107</v>
      </c>
      <c r="CU34" s="240" t="s">
        <v>1107</v>
      </c>
      <c r="CV34" s="240" t="s">
        <v>1107</v>
      </c>
      <c r="CW34" s="240" t="s">
        <v>1107</v>
      </c>
      <c r="CX34" s="240" t="s">
        <v>1107</v>
      </c>
      <c r="CY34" s="240" t="s">
        <v>1107</v>
      </c>
      <c r="CZ34" s="240" t="s">
        <v>1107</v>
      </c>
      <c r="DA34" s="240" t="s">
        <v>1107</v>
      </c>
      <c r="DB34" s="240" t="s">
        <v>1107</v>
      </c>
      <c r="DC34" s="240" t="s">
        <v>492</v>
      </c>
      <c r="DD34" s="240" t="s">
        <v>231</v>
      </c>
      <c r="DE34" s="240" t="s">
        <v>1107</v>
      </c>
      <c r="DF34" s="240" t="s">
        <v>1107</v>
      </c>
      <c r="DG34" s="240" t="s">
        <v>1107</v>
      </c>
      <c r="DH34" s="240" t="s">
        <v>1107</v>
      </c>
      <c r="DI34" s="240" t="s">
        <v>1107</v>
      </c>
      <c r="DJ34" s="240" t="s">
        <v>1107</v>
      </c>
      <c r="DK34" s="240" t="s">
        <v>1107</v>
      </c>
      <c r="DL34" s="240" t="s">
        <v>1107</v>
      </c>
      <c r="DM34" s="240" t="s">
        <v>1107</v>
      </c>
      <c r="DN34" s="240" t="s">
        <v>1107</v>
      </c>
      <c r="DO34" s="240" t="s">
        <v>1107</v>
      </c>
      <c r="DP34" s="240" t="s">
        <v>1107</v>
      </c>
      <c r="DQ34" s="240" t="s">
        <v>492</v>
      </c>
      <c r="DR34" s="240" t="s">
        <v>1107</v>
      </c>
      <c r="DS34" s="240" t="s">
        <v>1107</v>
      </c>
      <c r="DT34" s="240" t="s">
        <v>1107</v>
      </c>
      <c r="DU34" s="240" t="s">
        <v>1107</v>
      </c>
      <c r="DV34" s="240" t="s">
        <v>1107</v>
      </c>
      <c r="DW34" s="240" t="s">
        <v>1107</v>
      </c>
      <c r="DX34" s="240" t="s">
        <v>1107</v>
      </c>
      <c r="DY34" s="240" t="s">
        <v>1107</v>
      </c>
      <c r="DZ34" s="240" t="s">
        <v>1107</v>
      </c>
      <c r="EA34" s="240" t="s">
        <v>1107</v>
      </c>
      <c r="EB34" s="240" t="s">
        <v>231</v>
      </c>
      <c r="EC34" s="240" t="s">
        <v>1107</v>
      </c>
      <c r="ED34" s="240" t="s">
        <v>231</v>
      </c>
      <c r="EE34" s="240" t="s">
        <v>231</v>
      </c>
      <c r="EF34" s="240" t="s">
        <v>1107</v>
      </c>
      <c r="EG34" s="240" t="s">
        <v>1107</v>
      </c>
      <c r="EH34" s="240" t="s">
        <v>231</v>
      </c>
      <c r="EI34" s="240" t="s">
        <v>1107</v>
      </c>
      <c r="EJ34" s="240" t="s">
        <v>1107</v>
      </c>
      <c r="EK34" s="240" t="s">
        <v>1107</v>
      </c>
      <c r="EL34" s="240" t="s">
        <v>231</v>
      </c>
      <c r="EM34" s="240" t="s">
        <v>231</v>
      </c>
      <c r="EN34" s="240" t="s">
        <v>231</v>
      </c>
      <c r="EO34" s="240" t="s">
        <v>231</v>
      </c>
      <c r="EP34" s="240" t="s">
        <v>1107</v>
      </c>
      <c r="EQ34" s="240" t="s">
        <v>1107</v>
      </c>
      <c r="ER34" s="240" t="s">
        <v>1107</v>
      </c>
      <c r="ES34" s="240" t="s">
        <v>1107</v>
      </c>
      <c r="ET34" s="240" t="s">
        <v>1107</v>
      </c>
      <c r="EU34" s="240" t="s">
        <v>1107</v>
      </c>
      <c r="EV34" s="240" t="s">
        <v>1107</v>
      </c>
      <c r="EW34" s="240" t="s">
        <v>1107</v>
      </c>
      <c r="EX34" s="240" t="s">
        <v>1107</v>
      </c>
      <c r="EY34" s="240" t="s">
        <v>1107</v>
      </c>
      <c r="EZ34" s="240" t="s">
        <v>1107</v>
      </c>
      <c r="FA34" s="240" t="s">
        <v>1107</v>
      </c>
      <c r="FB34" s="240" t="s">
        <v>1107</v>
      </c>
      <c r="FC34" s="240" t="s">
        <v>1107</v>
      </c>
      <c r="FD34" s="240" t="s">
        <v>1107</v>
      </c>
      <c r="FE34" s="240" t="s">
        <v>1107</v>
      </c>
      <c r="FF34" s="240" t="s">
        <v>1107</v>
      </c>
      <c r="FG34" s="240" t="s">
        <v>1107</v>
      </c>
      <c r="FH34" s="240" t="s">
        <v>1107</v>
      </c>
      <c r="FI34" s="240" t="s">
        <v>1107</v>
      </c>
      <c r="FJ34" s="240" t="s">
        <v>1107</v>
      </c>
      <c r="FK34" s="240" t="s">
        <v>1107</v>
      </c>
      <c r="FL34" s="240" t="s">
        <v>1107</v>
      </c>
      <c r="FM34" s="240" t="s">
        <v>1107</v>
      </c>
      <c r="FN34" s="240" t="s">
        <v>1107</v>
      </c>
      <c r="FO34" s="240" t="s">
        <v>1107</v>
      </c>
      <c r="FP34" s="240" t="s">
        <v>1107</v>
      </c>
      <c r="FQ34" s="240" t="s">
        <v>1107</v>
      </c>
      <c r="FR34" s="240" t="s">
        <v>1107</v>
      </c>
      <c r="FS34" s="240" t="s">
        <v>1107</v>
      </c>
      <c r="FT34" s="240" t="s">
        <v>1107</v>
      </c>
      <c r="FU34" s="240" t="s">
        <v>1107</v>
      </c>
      <c r="FV34" s="240" t="s">
        <v>1107</v>
      </c>
      <c r="FW34" s="240" t="s">
        <v>1107</v>
      </c>
      <c r="FX34" s="240" t="s">
        <v>1107</v>
      </c>
      <c r="FY34" s="240" t="s">
        <v>1107</v>
      </c>
      <c r="FZ34" s="240" t="s">
        <v>231</v>
      </c>
      <c r="GA34" s="240" t="s">
        <v>1107</v>
      </c>
      <c r="GB34" s="240" t="s">
        <v>231</v>
      </c>
      <c r="GC34" s="240" t="s">
        <v>231</v>
      </c>
      <c r="GD34" s="240" t="s">
        <v>1107</v>
      </c>
      <c r="GE34" s="240" t="s">
        <v>1107</v>
      </c>
      <c r="GF34" s="240" t="s">
        <v>1107</v>
      </c>
      <c r="GG34" s="240" t="s">
        <v>1107</v>
      </c>
      <c r="GH34" s="240" t="s">
        <v>1107</v>
      </c>
      <c r="GI34" s="240" t="s">
        <v>1107</v>
      </c>
      <c r="GJ34" s="240" t="s">
        <v>1107</v>
      </c>
      <c r="GK34" s="240" t="s">
        <v>1107</v>
      </c>
      <c r="GL34" s="240" t="s">
        <v>1107</v>
      </c>
      <c r="GM34" s="240" t="s">
        <v>1107</v>
      </c>
      <c r="GN34" s="240" t="s">
        <v>1107</v>
      </c>
      <c r="GO34" s="240" t="s">
        <v>1107</v>
      </c>
      <c r="GP34" s="240" t="s">
        <v>1107</v>
      </c>
      <c r="GQ34" s="240" t="s">
        <v>1107</v>
      </c>
      <c r="GR34" s="240" t="s">
        <v>232</v>
      </c>
      <c r="GS34" s="240" t="s">
        <v>231</v>
      </c>
      <c r="GT34" s="240" t="s">
        <v>1107</v>
      </c>
      <c r="GU34" s="240" t="s">
        <v>231</v>
      </c>
      <c r="GV34" s="240" t="s">
        <v>231</v>
      </c>
      <c r="GW34" s="240" t="s">
        <v>232</v>
      </c>
      <c r="GX34" s="240" t="s">
        <v>1107</v>
      </c>
      <c r="GY34" s="240" t="s">
        <v>1107</v>
      </c>
      <c r="GZ34" s="240" t="s">
        <v>1107</v>
      </c>
      <c r="HA34" s="240" t="s">
        <v>1107</v>
      </c>
      <c r="HB34" s="240" t="s">
        <v>1107</v>
      </c>
      <c r="HC34" s="240" t="s">
        <v>1107</v>
      </c>
      <c r="HD34" s="240" t="s">
        <v>1107</v>
      </c>
      <c r="HE34" s="240" t="s">
        <v>1107</v>
      </c>
      <c r="HF34" s="240" t="s">
        <v>1107</v>
      </c>
      <c r="HG34" s="240" t="s">
        <v>1107</v>
      </c>
      <c r="HH34" s="240" t="s">
        <v>1107</v>
      </c>
      <c r="HI34" s="240" t="s">
        <v>1107</v>
      </c>
      <c r="HJ34" s="240" t="s">
        <v>1107</v>
      </c>
      <c r="HK34" s="240" t="s">
        <v>1107</v>
      </c>
      <c r="HL34" s="240" t="s">
        <v>1107</v>
      </c>
      <c r="HM34" s="240" t="s">
        <v>1107</v>
      </c>
      <c r="HN34" s="240" t="s">
        <v>1107</v>
      </c>
      <c r="HO34" s="240" t="s">
        <v>1107</v>
      </c>
      <c r="HP34" s="240" t="s">
        <v>1107</v>
      </c>
      <c r="HQ34" s="240" t="s">
        <v>1107</v>
      </c>
      <c r="HR34" s="240" t="s">
        <v>1107</v>
      </c>
      <c r="HS34" s="240" t="s">
        <v>1107</v>
      </c>
      <c r="HT34" s="240" t="s">
        <v>232</v>
      </c>
      <c r="HU34" s="240" t="s">
        <v>232</v>
      </c>
      <c r="HV34" s="240" t="s">
        <v>232</v>
      </c>
      <c r="HW34" s="240" t="s">
        <v>232</v>
      </c>
      <c r="HX34" s="240" t="s">
        <v>220</v>
      </c>
      <c r="HY34" s="240" t="s">
        <v>493</v>
      </c>
      <c r="HZ34" s="240" t="s">
        <v>219</v>
      </c>
      <c r="IA34" s="240" t="s">
        <v>512</v>
      </c>
      <c r="IB34" s="240" t="s">
        <v>1107</v>
      </c>
      <c r="IC34" s="240" t="s">
        <v>1107</v>
      </c>
    </row>
    <row r="35" spans="1:237" ht="15" x14ac:dyDescent="0.25">
      <c r="A35" s="243" t="str">
        <f>HYPERLINK("http://www.ofsted.gov.uk/inspection-reports/find-inspection-report/provider/ELS/100078 ","Ofsted School Webpage")</f>
        <v>Ofsted School Webpage</v>
      </c>
      <c r="B35" s="237">
        <v>100078</v>
      </c>
      <c r="C35" s="237">
        <v>2026360</v>
      </c>
      <c r="D35" s="237" t="s">
        <v>1176</v>
      </c>
      <c r="E35" s="237" t="s">
        <v>247</v>
      </c>
      <c r="F35" s="237" t="s">
        <v>506</v>
      </c>
      <c r="G35" s="237" t="s">
        <v>506</v>
      </c>
      <c r="H35" s="237" t="s">
        <v>1177</v>
      </c>
      <c r="I35" s="237" t="s">
        <v>1178</v>
      </c>
      <c r="J35" s="237" t="s">
        <v>93</v>
      </c>
      <c r="K35" s="237" t="s">
        <v>93</v>
      </c>
      <c r="L35" s="237" t="s">
        <v>93</v>
      </c>
      <c r="M35" s="237" t="s">
        <v>90</v>
      </c>
      <c r="N35" s="237" t="s">
        <v>486</v>
      </c>
      <c r="O35" s="237" t="s">
        <v>487</v>
      </c>
      <c r="P35" s="237">
        <v>10078946</v>
      </c>
      <c r="Q35" s="239">
        <v>43370</v>
      </c>
      <c r="R35" s="239">
        <v>43370</v>
      </c>
      <c r="S35" s="239">
        <v>43402</v>
      </c>
      <c r="T35" s="237" t="s">
        <v>1179</v>
      </c>
      <c r="U35" s="237" t="s">
        <v>1105</v>
      </c>
      <c r="V35" s="237" t="s">
        <v>490</v>
      </c>
      <c r="W35" s="237" t="s">
        <v>486</v>
      </c>
      <c r="X35" s="237" t="s">
        <v>486</v>
      </c>
      <c r="Y35" s="237" t="s">
        <v>486</v>
      </c>
      <c r="Z35" s="237" t="s">
        <v>486</v>
      </c>
      <c r="AA35" s="237" t="s">
        <v>486</v>
      </c>
      <c r="AB35" s="237" t="s">
        <v>486</v>
      </c>
      <c r="AC35" s="237" t="s">
        <v>486</v>
      </c>
      <c r="AD35" s="237" t="s">
        <v>1136</v>
      </c>
      <c r="AE35" s="237" t="s">
        <v>1107</v>
      </c>
      <c r="AF35" s="237" t="s">
        <v>1107</v>
      </c>
      <c r="AG35" s="237" t="s">
        <v>1107</v>
      </c>
      <c r="AH35" s="237" t="s">
        <v>1107</v>
      </c>
      <c r="AI35" s="237" t="s">
        <v>1107</v>
      </c>
      <c r="AJ35" s="237" t="s">
        <v>1107</v>
      </c>
      <c r="AK35" s="237" t="s">
        <v>1107</v>
      </c>
      <c r="AL35" s="237" t="s">
        <v>1107</v>
      </c>
      <c r="AM35" s="237" t="s">
        <v>1107</v>
      </c>
      <c r="AN35" s="237" t="s">
        <v>1107</v>
      </c>
      <c r="AO35" s="237" t="s">
        <v>1107</v>
      </c>
      <c r="AP35" s="237" t="s">
        <v>1107</v>
      </c>
      <c r="AQ35" s="237" t="s">
        <v>1107</v>
      </c>
      <c r="AR35" s="237" t="s">
        <v>1107</v>
      </c>
      <c r="AS35" s="237" t="s">
        <v>1107</v>
      </c>
      <c r="AT35" s="237" t="s">
        <v>1107</v>
      </c>
      <c r="AU35" s="237" t="s">
        <v>1107</v>
      </c>
      <c r="AV35" s="237" t="s">
        <v>1107</v>
      </c>
      <c r="AW35" s="237" t="s">
        <v>1107</v>
      </c>
      <c r="AX35" s="237" t="s">
        <v>1107</v>
      </c>
      <c r="AY35" s="237" t="s">
        <v>1107</v>
      </c>
      <c r="AZ35" s="237" t="s">
        <v>1107</v>
      </c>
      <c r="BA35" s="237" t="s">
        <v>1107</v>
      </c>
      <c r="BB35" s="237" t="s">
        <v>1107</v>
      </c>
      <c r="BC35" s="237" t="s">
        <v>1107</v>
      </c>
      <c r="BD35" s="237" t="s">
        <v>1107</v>
      </c>
      <c r="BE35" s="237" t="s">
        <v>1107</v>
      </c>
      <c r="BF35" s="237" t="s">
        <v>1107</v>
      </c>
      <c r="BG35" s="237" t="s">
        <v>1107</v>
      </c>
      <c r="BH35" s="237" t="s">
        <v>1107</v>
      </c>
      <c r="BI35" s="237" t="s">
        <v>1107</v>
      </c>
      <c r="BJ35" s="237" t="s">
        <v>1107</v>
      </c>
      <c r="BK35" s="237" t="s">
        <v>1107</v>
      </c>
      <c r="BL35" s="237" t="s">
        <v>1107</v>
      </c>
      <c r="BM35" s="237" t="s">
        <v>1107</v>
      </c>
      <c r="BN35" s="237" t="s">
        <v>1107</v>
      </c>
      <c r="BO35" s="237" t="s">
        <v>1107</v>
      </c>
      <c r="BP35" s="237" t="s">
        <v>1107</v>
      </c>
      <c r="BQ35" s="237" t="s">
        <v>1107</v>
      </c>
      <c r="BR35" s="237" t="s">
        <v>1107</v>
      </c>
      <c r="BS35" s="237" t="s">
        <v>1107</v>
      </c>
      <c r="BT35" s="237" t="s">
        <v>1107</v>
      </c>
      <c r="BU35" s="237" t="s">
        <v>1107</v>
      </c>
      <c r="BV35" s="237" t="s">
        <v>1107</v>
      </c>
      <c r="BW35" s="237" t="s">
        <v>1107</v>
      </c>
      <c r="BX35" s="237" t="s">
        <v>1107</v>
      </c>
      <c r="BY35" s="237" t="s">
        <v>1107</v>
      </c>
      <c r="BZ35" s="237" t="s">
        <v>232</v>
      </c>
      <c r="CA35" s="237" t="s">
        <v>232</v>
      </c>
      <c r="CB35" s="237" t="s">
        <v>232</v>
      </c>
      <c r="CC35" s="237" t="s">
        <v>232</v>
      </c>
      <c r="CD35" s="237" t="s">
        <v>232</v>
      </c>
      <c r="CE35" s="237" t="s">
        <v>232</v>
      </c>
      <c r="CF35" s="237" t="s">
        <v>232</v>
      </c>
      <c r="CG35" s="237" t="s">
        <v>231</v>
      </c>
      <c r="CH35" s="237" t="s">
        <v>232</v>
      </c>
      <c r="CI35" s="237" t="s">
        <v>232</v>
      </c>
      <c r="CJ35" s="237" t="s">
        <v>232</v>
      </c>
      <c r="CK35" s="237" t="s">
        <v>232</v>
      </c>
      <c r="CL35" s="237" t="s">
        <v>232</v>
      </c>
      <c r="CM35" s="237" t="s">
        <v>232</v>
      </c>
      <c r="CN35" s="237" t="s">
        <v>232</v>
      </c>
      <c r="CO35" s="237" t="s">
        <v>232</v>
      </c>
      <c r="CP35" s="237" t="s">
        <v>232</v>
      </c>
      <c r="CQ35" s="237" t="s">
        <v>232</v>
      </c>
      <c r="CR35" s="237" t="s">
        <v>232</v>
      </c>
      <c r="CS35" s="237" t="s">
        <v>232</v>
      </c>
      <c r="CT35" s="237" t="s">
        <v>232</v>
      </c>
      <c r="CU35" s="237" t="s">
        <v>232</v>
      </c>
      <c r="CV35" s="237" t="s">
        <v>232</v>
      </c>
      <c r="CW35" s="237" t="s">
        <v>232</v>
      </c>
      <c r="CX35" s="237" t="s">
        <v>232</v>
      </c>
      <c r="CY35" s="237" t="s">
        <v>232</v>
      </c>
      <c r="CZ35" s="237" t="s">
        <v>232</v>
      </c>
      <c r="DA35" s="237" t="s">
        <v>232</v>
      </c>
      <c r="DB35" s="237" t="s">
        <v>232</v>
      </c>
      <c r="DC35" s="237" t="s">
        <v>232</v>
      </c>
      <c r="DD35" s="237" t="s">
        <v>232</v>
      </c>
      <c r="DE35" s="237" t="s">
        <v>232</v>
      </c>
      <c r="DF35" s="237" t="s">
        <v>232</v>
      </c>
      <c r="DG35" s="237" t="s">
        <v>232</v>
      </c>
      <c r="DH35" s="237" t="s">
        <v>232</v>
      </c>
      <c r="DI35" s="237" t="s">
        <v>232</v>
      </c>
      <c r="DJ35" s="237" t="s">
        <v>232</v>
      </c>
      <c r="DK35" s="237" t="s">
        <v>232</v>
      </c>
      <c r="DL35" s="237" t="s">
        <v>232</v>
      </c>
      <c r="DM35" s="237" t="s">
        <v>232</v>
      </c>
      <c r="DN35" s="237" t="s">
        <v>232</v>
      </c>
      <c r="DO35" s="237" t="s">
        <v>232</v>
      </c>
      <c r="DP35" s="237" t="s">
        <v>232</v>
      </c>
      <c r="DQ35" s="237" t="s">
        <v>232</v>
      </c>
      <c r="DR35" s="237" t="s">
        <v>232</v>
      </c>
      <c r="DS35" s="237" t="s">
        <v>492</v>
      </c>
      <c r="DT35" s="237" t="s">
        <v>492</v>
      </c>
      <c r="DU35" s="237" t="s">
        <v>492</v>
      </c>
      <c r="DV35" s="237" t="s">
        <v>492</v>
      </c>
      <c r="DW35" s="237" t="s">
        <v>492</v>
      </c>
      <c r="DX35" s="237" t="s">
        <v>492</v>
      </c>
      <c r="DY35" s="237" t="s">
        <v>492</v>
      </c>
      <c r="DZ35" s="237" t="s">
        <v>492</v>
      </c>
      <c r="EA35" s="237" t="s">
        <v>492</v>
      </c>
      <c r="EB35" s="237" t="s">
        <v>232</v>
      </c>
      <c r="EC35" s="237" t="s">
        <v>232</v>
      </c>
      <c r="ED35" s="237" t="s">
        <v>232</v>
      </c>
      <c r="EE35" s="237" t="s">
        <v>232</v>
      </c>
      <c r="EF35" s="237" t="s">
        <v>232</v>
      </c>
      <c r="EG35" s="237" t="s">
        <v>232</v>
      </c>
      <c r="EH35" s="237" t="s">
        <v>232</v>
      </c>
      <c r="EI35" s="237" t="s">
        <v>232</v>
      </c>
      <c r="EJ35" s="237" t="s">
        <v>232</v>
      </c>
      <c r="EK35" s="237" t="s">
        <v>232</v>
      </c>
      <c r="EL35" s="237" t="s">
        <v>232</v>
      </c>
      <c r="EM35" s="237" t="s">
        <v>232</v>
      </c>
      <c r="EN35" s="237" t="s">
        <v>232</v>
      </c>
      <c r="EO35" s="237" t="s">
        <v>232</v>
      </c>
      <c r="EP35" s="237" t="s">
        <v>232</v>
      </c>
      <c r="EQ35" s="237" t="s">
        <v>232</v>
      </c>
      <c r="ER35" s="237" t="s">
        <v>232</v>
      </c>
      <c r="ES35" s="237" t="s">
        <v>232</v>
      </c>
      <c r="ET35" s="237" t="s">
        <v>232</v>
      </c>
      <c r="EU35" s="237" t="s">
        <v>232</v>
      </c>
      <c r="EV35" s="237" t="s">
        <v>492</v>
      </c>
      <c r="EW35" s="237" t="s">
        <v>492</v>
      </c>
      <c r="EX35" s="237" t="s">
        <v>492</v>
      </c>
      <c r="EY35" s="237" t="s">
        <v>492</v>
      </c>
      <c r="EZ35" s="237" t="s">
        <v>232</v>
      </c>
      <c r="FA35" s="237" t="s">
        <v>232</v>
      </c>
      <c r="FB35" s="237" t="s">
        <v>231</v>
      </c>
      <c r="FC35" s="237" t="s">
        <v>231</v>
      </c>
      <c r="FD35" s="237" t="s">
        <v>231</v>
      </c>
      <c r="FE35" s="237" t="s">
        <v>231</v>
      </c>
      <c r="FF35" s="237" t="s">
        <v>231</v>
      </c>
      <c r="FG35" s="237" t="s">
        <v>492</v>
      </c>
      <c r="FH35" s="237" t="s">
        <v>231</v>
      </c>
      <c r="FI35" s="237" t="s">
        <v>232</v>
      </c>
      <c r="FJ35" s="237" t="s">
        <v>231</v>
      </c>
      <c r="FK35" s="237" t="s">
        <v>232</v>
      </c>
      <c r="FL35" s="237" t="s">
        <v>231</v>
      </c>
      <c r="FM35" s="237" t="s">
        <v>232</v>
      </c>
      <c r="FN35" s="237" t="s">
        <v>232</v>
      </c>
      <c r="FO35" s="237" t="s">
        <v>231</v>
      </c>
      <c r="FP35" s="237" t="s">
        <v>232</v>
      </c>
      <c r="FQ35" s="237" t="s">
        <v>231</v>
      </c>
      <c r="FR35" s="237" t="s">
        <v>231</v>
      </c>
      <c r="FS35" s="237" t="s">
        <v>231</v>
      </c>
      <c r="FT35" s="237" t="s">
        <v>231</v>
      </c>
      <c r="FU35" s="237" t="s">
        <v>231</v>
      </c>
      <c r="FV35" s="237" t="s">
        <v>232</v>
      </c>
      <c r="FW35" s="237" t="s">
        <v>231</v>
      </c>
      <c r="FX35" s="237" t="s">
        <v>232</v>
      </c>
      <c r="FY35" s="237" t="s">
        <v>1107</v>
      </c>
      <c r="FZ35" s="237" t="s">
        <v>231</v>
      </c>
      <c r="GA35" s="237" t="s">
        <v>1107</v>
      </c>
      <c r="GB35" s="237" t="s">
        <v>1107</v>
      </c>
      <c r="GC35" s="237" t="s">
        <v>231</v>
      </c>
      <c r="GD35" s="237" t="s">
        <v>1107</v>
      </c>
      <c r="GE35" s="237" t="s">
        <v>1107</v>
      </c>
      <c r="GF35" s="237" t="s">
        <v>1107</v>
      </c>
      <c r="GG35" s="237" t="s">
        <v>1107</v>
      </c>
      <c r="GH35" s="237" t="s">
        <v>1107</v>
      </c>
      <c r="GI35" s="237" t="s">
        <v>1107</v>
      </c>
      <c r="GJ35" s="237" t="s">
        <v>1107</v>
      </c>
      <c r="GK35" s="237" t="s">
        <v>1107</v>
      </c>
      <c r="GL35" s="237" t="s">
        <v>1107</v>
      </c>
      <c r="GM35" s="237" t="s">
        <v>1107</v>
      </c>
      <c r="GN35" s="237" t="s">
        <v>1107</v>
      </c>
      <c r="GO35" s="237" t="s">
        <v>1107</v>
      </c>
      <c r="GP35" s="237" t="s">
        <v>1107</v>
      </c>
      <c r="GQ35" s="237" t="s">
        <v>1107</v>
      </c>
      <c r="GR35" s="237" t="s">
        <v>1107</v>
      </c>
      <c r="GS35" s="237" t="s">
        <v>1107</v>
      </c>
      <c r="GT35" s="237" t="s">
        <v>1107</v>
      </c>
      <c r="GU35" s="237" t="s">
        <v>1107</v>
      </c>
      <c r="GV35" s="237" t="s">
        <v>1107</v>
      </c>
      <c r="GW35" s="237" t="s">
        <v>1107</v>
      </c>
      <c r="GX35" s="237" t="s">
        <v>1107</v>
      </c>
      <c r="GY35" s="237" t="s">
        <v>1107</v>
      </c>
      <c r="GZ35" s="237" t="s">
        <v>1107</v>
      </c>
      <c r="HA35" s="237" t="s">
        <v>1107</v>
      </c>
      <c r="HB35" s="237" t="s">
        <v>1107</v>
      </c>
      <c r="HC35" s="237" t="s">
        <v>1107</v>
      </c>
      <c r="HD35" s="237" t="s">
        <v>232</v>
      </c>
      <c r="HE35" s="237" t="s">
        <v>1107</v>
      </c>
      <c r="HF35" s="237" t="s">
        <v>1107</v>
      </c>
      <c r="HG35" s="237" t="s">
        <v>1107</v>
      </c>
      <c r="HH35" s="237" t="s">
        <v>1107</v>
      </c>
      <c r="HI35" s="237" t="s">
        <v>1107</v>
      </c>
      <c r="HJ35" s="237" t="s">
        <v>1107</v>
      </c>
      <c r="HK35" s="237" t="s">
        <v>1107</v>
      </c>
      <c r="HL35" s="237" t="s">
        <v>1107</v>
      </c>
      <c r="HM35" s="237" t="s">
        <v>1107</v>
      </c>
      <c r="HN35" s="237" t="s">
        <v>1107</v>
      </c>
      <c r="HO35" s="237" t="s">
        <v>1107</v>
      </c>
      <c r="HP35" s="237" t="s">
        <v>232</v>
      </c>
      <c r="HQ35" s="237" t="s">
        <v>1107</v>
      </c>
      <c r="HR35" s="237" t="s">
        <v>232</v>
      </c>
      <c r="HS35" s="237" t="s">
        <v>1107</v>
      </c>
      <c r="HT35" s="237" t="s">
        <v>232</v>
      </c>
      <c r="HU35" s="237" t="s">
        <v>232</v>
      </c>
      <c r="HV35" s="237" t="s">
        <v>232</v>
      </c>
      <c r="HW35" s="237" t="s">
        <v>232</v>
      </c>
      <c r="HX35" s="237" t="s">
        <v>219</v>
      </c>
      <c r="HY35" s="237" t="s">
        <v>220</v>
      </c>
      <c r="HZ35" s="237" t="s">
        <v>219</v>
      </c>
      <c r="IA35" s="237" t="s">
        <v>512</v>
      </c>
      <c r="IB35" s="237" t="s">
        <v>1107</v>
      </c>
      <c r="IC35" s="237" t="s">
        <v>1107</v>
      </c>
    </row>
    <row r="36" spans="1:237" ht="15" x14ac:dyDescent="0.25">
      <c r="A36" s="244" t="str">
        <f>HYPERLINK("http://www.ofsted.gov.uk/inspection-reports/find-inspection-report/provider/ELS/145932 ","Ofsted School Webpage")</f>
        <v>Ofsted School Webpage</v>
      </c>
      <c r="B36" s="240">
        <v>145932</v>
      </c>
      <c r="C36" s="240">
        <v>9256009</v>
      </c>
      <c r="D36" s="240" t="s">
        <v>1180</v>
      </c>
      <c r="E36" s="240" t="s">
        <v>247</v>
      </c>
      <c r="F36" s="240" t="s">
        <v>572</v>
      </c>
      <c r="G36" s="240" t="s">
        <v>572</v>
      </c>
      <c r="H36" s="240" t="s">
        <v>929</v>
      </c>
      <c r="I36" s="240" t="s">
        <v>1181</v>
      </c>
      <c r="J36" s="240" t="s">
        <v>93</v>
      </c>
      <c r="K36" s="240" t="s">
        <v>93</v>
      </c>
      <c r="L36" s="240" t="s">
        <v>93</v>
      </c>
      <c r="M36" s="240" t="s">
        <v>90</v>
      </c>
      <c r="N36" s="240" t="s">
        <v>486</v>
      </c>
      <c r="O36" s="240" t="s">
        <v>487</v>
      </c>
      <c r="P36" s="240">
        <v>10078760</v>
      </c>
      <c r="Q36" s="242">
        <v>43375</v>
      </c>
      <c r="R36" s="242">
        <v>43375</v>
      </c>
      <c r="S36" s="242">
        <v>43410</v>
      </c>
      <c r="T36" s="240" t="s">
        <v>1104</v>
      </c>
      <c r="U36" s="240" t="s">
        <v>1105</v>
      </c>
      <c r="V36" s="240" t="s">
        <v>490</v>
      </c>
      <c r="W36" s="240" t="s">
        <v>486</v>
      </c>
      <c r="X36" s="240" t="s">
        <v>486</v>
      </c>
      <c r="Y36" s="240" t="s">
        <v>486</v>
      </c>
      <c r="Z36" s="240" t="s">
        <v>486</v>
      </c>
      <c r="AA36" s="240" t="s">
        <v>486</v>
      </c>
      <c r="AB36" s="240" t="s">
        <v>486</v>
      </c>
      <c r="AC36" s="240" t="s">
        <v>486</v>
      </c>
      <c r="AD36" s="240" t="s">
        <v>1106</v>
      </c>
      <c r="AE36" s="240" t="s">
        <v>1107</v>
      </c>
      <c r="AF36" s="240" t="s">
        <v>1107</v>
      </c>
      <c r="AG36" s="240" t="s">
        <v>1107</v>
      </c>
      <c r="AH36" s="240" t="s">
        <v>1107</v>
      </c>
      <c r="AI36" s="240" t="s">
        <v>1107</v>
      </c>
      <c r="AJ36" s="240" t="s">
        <v>1107</v>
      </c>
      <c r="AK36" s="240" t="s">
        <v>1107</v>
      </c>
      <c r="AL36" s="240" t="s">
        <v>1107</v>
      </c>
      <c r="AM36" s="240" t="s">
        <v>1107</v>
      </c>
      <c r="AN36" s="240" t="s">
        <v>1107</v>
      </c>
      <c r="AO36" s="240" t="s">
        <v>1107</v>
      </c>
      <c r="AP36" s="240" t="s">
        <v>1107</v>
      </c>
      <c r="AQ36" s="240" t="s">
        <v>1107</v>
      </c>
      <c r="AR36" s="240" t="s">
        <v>1107</v>
      </c>
      <c r="AS36" s="240" t="s">
        <v>1107</v>
      </c>
      <c r="AT36" s="240" t="s">
        <v>1107</v>
      </c>
      <c r="AU36" s="240" t="s">
        <v>1107</v>
      </c>
      <c r="AV36" s="240" t="s">
        <v>1107</v>
      </c>
      <c r="AW36" s="240" t="s">
        <v>1107</v>
      </c>
      <c r="AX36" s="240" t="s">
        <v>1107</v>
      </c>
      <c r="AY36" s="240" t="s">
        <v>1107</v>
      </c>
      <c r="AZ36" s="240" t="s">
        <v>1107</v>
      </c>
      <c r="BA36" s="240" t="s">
        <v>1107</v>
      </c>
      <c r="BB36" s="240" t="s">
        <v>1107</v>
      </c>
      <c r="BC36" s="240" t="s">
        <v>1107</v>
      </c>
      <c r="BD36" s="240" t="s">
        <v>1107</v>
      </c>
      <c r="BE36" s="240" t="s">
        <v>1107</v>
      </c>
      <c r="BF36" s="240" t="s">
        <v>1107</v>
      </c>
      <c r="BG36" s="240" t="s">
        <v>1107</v>
      </c>
      <c r="BH36" s="240" t="s">
        <v>1107</v>
      </c>
      <c r="BI36" s="240" t="s">
        <v>1107</v>
      </c>
      <c r="BJ36" s="240" t="s">
        <v>1107</v>
      </c>
      <c r="BK36" s="240" t="s">
        <v>1107</v>
      </c>
      <c r="BL36" s="240" t="s">
        <v>1107</v>
      </c>
      <c r="BM36" s="240" t="s">
        <v>1107</v>
      </c>
      <c r="BN36" s="240" t="s">
        <v>1107</v>
      </c>
      <c r="BO36" s="240" t="s">
        <v>1107</v>
      </c>
      <c r="BP36" s="240" t="s">
        <v>1107</v>
      </c>
      <c r="BQ36" s="240" t="s">
        <v>1107</v>
      </c>
      <c r="BR36" s="240" t="s">
        <v>1107</v>
      </c>
      <c r="BS36" s="240" t="s">
        <v>1107</v>
      </c>
      <c r="BT36" s="240" t="s">
        <v>1107</v>
      </c>
      <c r="BU36" s="240" t="s">
        <v>1107</v>
      </c>
      <c r="BV36" s="240" t="s">
        <v>1107</v>
      </c>
      <c r="BW36" s="240" t="s">
        <v>1107</v>
      </c>
      <c r="BX36" s="240" t="s">
        <v>1107</v>
      </c>
      <c r="BY36" s="240" t="s">
        <v>1107</v>
      </c>
      <c r="BZ36" s="240" t="s">
        <v>231</v>
      </c>
      <c r="CA36" s="240" t="s">
        <v>231</v>
      </c>
      <c r="CB36" s="240" t="s">
        <v>231</v>
      </c>
      <c r="CC36" s="240" t="s">
        <v>492</v>
      </c>
      <c r="CD36" s="240" t="s">
        <v>492</v>
      </c>
      <c r="CE36" s="240" t="s">
        <v>492</v>
      </c>
      <c r="CF36" s="240" t="s">
        <v>231</v>
      </c>
      <c r="CG36" s="240" t="s">
        <v>231</v>
      </c>
      <c r="CH36" s="240" t="s">
        <v>231</v>
      </c>
      <c r="CI36" s="240" t="s">
        <v>231</v>
      </c>
      <c r="CJ36" s="240" t="s">
        <v>231</v>
      </c>
      <c r="CK36" s="240" t="s">
        <v>231</v>
      </c>
      <c r="CL36" s="240" t="s">
        <v>231</v>
      </c>
      <c r="CM36" s="240" t="s">
        <v>231</v>
      </c>
      <c r="CN36" s="240" t="s">
        <v>231</v>
      </c>
      <c r="CO36" s="240" t="s">
        <v>231</v>
      </c>
      <c r="CP36" s="240" t="s">
        <v>231</v>
      </c>
      <c r="CQ36" s="240" t="s">
        <v>231</v>
      </c>
      <c r="CR36" s="240" t="s">
        <v>231</v>
      </c>
      <c r="CS36" s="240" t="s">
        <v>1107</v>
      </c>
      <c r="CT36" s="240" t="s">
        <v>1107</v>
      </c>
      <c r="CU36" s="240" t="s">
        <v>1107</v>
      </c>
      <c r="CV36" s="240" t="s">
        <v>1107</v>
      </c>
      <c r="CW36" s="240" t="s">
        <v>1107</v>
      </c>
      <c r="CX36" s="240" t="s">
        <v>1107</v>
      </c>
      <c r="CY36" s="240" t="s">
        <v>1107</v>
      </c>
      <c r="CZ36" s="240" t="s">
        <v>1107</v>
      </c>
      <c r="DA36" s="240" t="s">
        <v>1107</v>
      </c>
      <c r="DB36" s="240" t="s">
        <v>1107</v>
      </c>
      <c r="DC36" s="240" t="s">
        <v>1107</v>
      </c>
      <c r="DD36" s="240" t="s">
        <v>1107</v>
      </c>
      <c r="DE36" s="240" t="s">
        <v>1107</v>
      </c>
      <c r="DF36" s="240" t="s">
        <v>1107</v>
      </c>
      <c r="DG36" s="240" t="s">
        <v>1107</v>
      </c>
      <c r="DH36" s="240" t="s">
        <v>1107</v>
      </c>
      <c r="DI36" s="240" t="s">
        <v>1107</v>
      </c>
      <c r="DJ36" s="240" t="s">
        <v>1107</v>
      </c>
      <c r="DK36" s="240" t="s">
        <v>1107</v>
      </c>
      <c r="DL36" s="240" t="s">
        <v>1107</v>
      </c>
      <c r="DM36" s="240" t="s">
        <v>1107</v>
      </c>
      <c r="DN36" s="240" t="s">
        <v>1107</v>
      </c>
      <c r="DO36" s="240" t="s">
        <v>1107</v>
      </c>
      <c r="DP36" s="240" t="s">
        <v>1107</v>
      </c>
      <c r="DQ36" s="240" t="s">
        <v>1107</v>
      </c>
      <c r="DR36" s="240" t="s">
        <v>1107</v>
      </c>
      <c r="DS36" s="240" t="s">
        <v>1107</v>
      </c>
      <c r="DT36" s="240" t="s">
        <v>1107</v>
      </c>
      <c r="DU36" s="240" t="s">
        <v>1107</v>
      </c>
      <c r="DV36" s="240" t="s">
        <v>1107</v>
      </c>
      <c r="DW36" s="240" t="s">
        <v>1107</v>
      </c>
      <c r="DX36" s="240" t="s">
        <v>1107</v>
      </c>
      <c r="DY36" s="240" t="s">
        <v>1107</v>
      </c>
      <c r="DZ36" s="240" t="s">
        <v>1107</v>
      </c>
      <c r="EA36" s="240" t="s">
        <v>1107</v>
      </c>
      <c r="EB36" s="240" t="s">
        <v>1107</v>
      </c>
      <c r="EC36" s="240" t="s">
        <v>1107</v>
      </c>
      <c r="ED36" s="240" t="s">
        <v>1107</v>
      </c>
      <c r="EE36" s="240" t="s">
        <v>1107</v>
      </c>
      <c r="EF36" s="240" t="s">
        <v>1107</v>
      </c>
      <c r="EG36" s="240" t="s">
        <v>1107</v>
      </c>
      <c r="EH36" s="240" t="s">
        <v>1107</v>
      </c>
      <c r="EI36" s="240" t="s">
        <v>1107</v>
      </c>
      <c r="EJ36" s="240" t="s">
        <v>1107</v>
      </c>
      <c r="EK36" s="240" t="s">
        <v>1107</v>
      </c>
      <c r="EL36" s="240" t="s">
        <v>1107</v>
      </c>
      <c r="EM36" s="240" t="s">
        <v>1107</v>
      </c>
      <c r="EN36" s="240" t="s">
        <v>1107</v>
      </c>
      <c r="EO36" s="240" t="s">
        <v>1107</v>
      </c>
      <c r="EP36" s="240" t="s">
        <v>1107</v>
      </c>
      <c r="EQ36" s="240" t="s">
        <v>1107</v>
      </c>
      <c r="ER36" s="240" t="s">
        <v>1107</v>
      </c>
      <c r="ES36" s="240" t="s">
        <v>1107</v>
      </c>
      <c r="ET36" s="240" t="s">
        <v>1107</v>
      </c>
      <c r="EU36" s="240" t="s">
        <v>1107</v>
      </c>
      <c r="EV36" s="240" t="s">
        <v>1107</v>
      </c>
      <c r="EW36" s="240" t="s">
        <v>1107</v>
      </c>
      <c r="EX36" s="240" t="s">
        <v>1107</v>
      </c>
      <c r="EY36" s="240" t="s">
        <v>1107</v>
      </c>
      <c r="EZ36" s="240" t="s">
        <v>231</v>
      </c>
      <c r="FA36" s="240" t="s">
        <v>231</v>
      </c>
      <c r="FB36" s="240" t="s">
        <v>231</v>
      </c>
      <c r="FC36" s="240" t="s">
        <v>231</v>
      </c>
      <c r="FD36" s="240" t="s">
        <v>231</v>
      </c>
      <c r="FE36" s="240" t="s">
        <v>231</v>
      </c>
      <c r="FF36" s="240" t="s">
        <v>231</v>
      </c>
      <c r="FG36" s="240" t="s">
        <v>492</v>
      </c>
      <c r="FH36" s="240" t="s">
        <v>231</v>
      </c>
      <c r="FI36" s="240" t="s">
        <v>231</v>
      </c>
      <c r="FJ36" s="240" t="s">
        <v>231</v>
      </c>
      <c r="FK36" s="240" t="s">
        <v>231</v>
      </c>
      <c r="FL36" s="240" t="s">
        <v>231</v>
      </c>
      <c r="FM36" s="240" t="s">
        <v>231</v>
      </c>
      <c r="FN36" s="240" t="s">
        <v>231</v>
      </c>
      <c r="FO36" s="240" t="s">
        <v>231</v>
      </c>
      <c r="FP36" s="240" t="s">
        <v>231</v>
      </c>
      <c r="FQ36" s="240" t="s">
        <v>231</v>
      </c>
      <c r="FR36" s="240" t="s">
        <v>231</v>
      </c>
      <c r="FS36" s="240" t="s">
        <v>231</v>
      </c>
      <c r="FT36" s="240" t="s">
        <v>231</v>
      </c>
      <c r="FU36" s="240" t="s">
        <v>231</v>
      </c>
      <c r="FV36" s="240" t="s">
        <v>231</v>
      </c>
      <c r="FW36" s="240" t="s">
        <v>231</v>
      </c>
      <c r="FX36" s="240" t="s">
        <v>231</v>
      </c>
      <c r="FY36" s="240" t="s">
        <v>492</v>
      </c>
      <c r="FZ36" s="240" t="s">
        <v>1107</v>
      </c>
      <c r="GA36" s="240" t="s">
        <v>1107</v>
      </c>
      <c r="GB36" s="240" t="s">
        <v>1107</v>
      </c>
      <c r="GC36" s="240" t="s">
        <v>1107</v>
      </c>
      <c r="GD36" s="240" t="s">
        <v>1107</v>
      </c>
      <c r="GE36" s="240" t="s">
        <v>1107</v>
      </c>
      <c r="GF36" s="240" t="s">
        <v>1107</v>
      </c>
      <c r="GG36" s="240" t="s">
        <v>1107</v>
      </c>
      <c r="GH36" s="240" t="s">
        <v>1107</v>
      </c>
      <c r="GI36" s="240" t="s">
        <v>1107</v>
      </c>
      <c r="GJ36" s="240" t="s">
        <v>1107</v>
      </c>
      <c r="GK36" s="240" t="s">
        <v>1107</v>
      </c>
      <c r="GL36" s="240" t="s">
        <v>1107</v>
      </c>
      <c r="GM36" s="240" t="s">
        <v>1107</v>
      </c>
      <c r="GN36" s="240" t="s">
        <v>1107</v>
      </c>
      <c r="GO36" s="240" t="s">
        <v>1107</v>
      </c>
      <c r="GP36" s="240" t="s">
        <v>1107</v>
      </c>
      <c r="GQ36" s="240" t="s">
        <v>1107</v>
      </c>
      <c r="GR36" s="240" t="s">
        <v>1107</v>
      </c>
      <c r="GS36" s="240" t="s">
        <v>1107</v>
      </c>
      <c r="GT36" s="240" t="s">
        <v>1107</v>
      </c>
      <c r="GU36" s="240" t="s">
        <v>1107</v>
      </c>
      <c r="GV36" s="240" t="s">
        <v>1107</v>
      </c>
      <c r="GW36" s="240" t="s">
        <v>1107</v>
      </c>
      <c r="GX36" s="240" t="s">
        <v>1107</v>
      </c>
      <c r="GY36" s="240" t="s">
        <v>1107</v>
      </c>
      <c r="GZ36" s="240" t="s">
        <v>1107</v>
      </c>
      <c r="HA36" s="240" t="s">
        <v>1107</v>
      </c>
      <c r="HB36" s="240" t="s">
        <v>1107</v>
      </c>
      <c r="HC36" s="240" t="s">
        <v>1107</v>
      </c>
      <c r="HD36" s="240" t="s">
        <v>1107</v>
      </c>
      <c r="HE36" s="240" t="s">
        <v>1107</v>
      </c>
      <c r="HF36" s="240" t="s">
        <v>1107</v>
      </c>
      <c r="HG36" s="240" t="s">
        <v>1107</v>
      </c>
      <c r="HH36" s="240" t="s">
        <v>1107</v>
      </c>
      <c r="HI36" s="240" t="s">
        <v>1107</v>
      </c>
      <c r="HJ36" s="240" t="s">
        <v>1107</v>
      </c>
      <c r="HK36" s="240" t="s">
        <v>1107</v>
      </c>
      <c r="HL36" s="240" t="s">
        <v>1107</v>
      </c>
      <c r="HM36" s="240" t="s">
        <v>1107</v>
      </c>
      <c r="HN36" s="240" t="s">
        <v>1107</v>
      </c>
      <c r="HO36" s="240" t="s">
        <v>1107</v>
      </c>
      <c r="HP36" s="240" t="s">
        <v>1107</v>
      </c>
      <c r="HQ36" s="240" t="s">
        <v>1107</v>
      </c>
      <c r="HR36" s="240" t="s">
        <v>1107</v>
      </c>
      <c r="HS36" s="240" t="s">
        <v>1107</v>
      </c>
      <c r="HT36" s="240" t="s">
        <v>231</v>
      </c>
      <c r="HU36" s="240" t="s">
        <v>231</v>
      </c>
      <c r="HV36" s="240" t="s">
        <v>231</v>
      </c>
      <c r="HW36" s="240" t="s">
        <v>231</v>
      </c>
      <c r="HX36" s="240" t="s">
        <v>220</v>
      </c>
      <c r="HY36" s="240" t="s">
        <v>493</v>
      </c>
      <c r="HZ36" s="240" t="s">
        <v>219</v>
      </c>
      <c r="IA36" s="240" t="s">
        <v>490</v>
      </c>
      <c r="IB36" s="240" t="s">
        <v>492</v>
      </c>
      <c r="IC36" s="240" t="s">
        <v>492</v>
      </c>
    </row>
    <row r="37" spans="1:237" ht="15" x14ac:dyDescent="0.25">
      <c r="A37" s="243" t="str">
        <f>HYPERLINK("http://www.ofsted.gov.uk/inspection-reports/find-inspection-report/provider/ELS/143081 ","Ofsted School Webpage")</f>
        <v>Ofsted School Webpage</v>
      </c>
      <c r="B37" s="237">
        <v>143081</v>
      </c>
      <c r="C37" s="237">
        <v>9356009</v>
      </c>
      <c r="D37" s="237" t="s">
        <v>1182</v>
      </c>
      <c r="E37" s="237" t="s">
        <v>247</v>
      </c>
      <c r="F37" s="237" t="s">
        <v>516</v>
      </c>
      <c r="G37" s="237" t="s">
        <v>516</v>
      </c>
      <c r="H37" s="237" t="s">
        <v>937</v>
      </c>
      <c r="I37" s="237" t="s">
        <v>1183</v>
      </c>
      <c r="J37" s="237" t="s">
        <v>93</v>
      </c>
      <c r="K37" s="237" t="s">
        <v>93</v>
      </c>
      <c r="L37" s="237" t="s">
        <v>93</v>
      </c>
      <c r="M37" s="237" t="s">
        <v>90</v>
      </c>
      <c r="N37" s="237" t="s">
        <v>486</v>
      </c>
      <c r="O37" s="237" t="s">
        <v>487</v>
      </c>
      <c r="P37" s="237">
        <v>10077728</v>
      </c>
      <c r="Q37" s="239">
        <v>43375</v>
      </c>
      <c r="R37" s="239">
        <v>43375</v>
      </c>
      <c r="S37" s="239">
        <v>43416</v>
      </c>
      <c r="T37" s="237" t="s">
        <v>1109</v>
      </c>
      <c r="U37" s="237" t="s">
        <v>1105</v>
      </c>
      <c r="V37" s="237" t="s">
        <v>490</v>
      </c>
      <c r="W37" s="237" t="s">
        <v>486</v>
      </c>
      <c r="X37" s="237" t="s">
        <v>486</v>
      </c>
      <c r="Y37" s="237" t="s">
        <v>486</v>
      </c>
      <c r="Z37" s="237" t="s">
        <v>486</v>
      </c>
      <c r="AA37" s="237" t="s">
        <v>486</v>
      </c>
      <c r="AB37" s="237" t="s">
        <v>486</v>
      </c>
      <c r="AC37" s="237" t="s">
        <v>486</v>
      </c>
      <c r="AD37" s="237" t="s">
        <v>1136</v>
      </c>
      <c r="AE37" s="237" t="s">
        <v>232</v>
      </c>
      <c r="AF37" s="237" t="s">
        <v>232</v>
      </c>
      <c r="AG37" s="237" t="s">
        <v>1107</v>
      </c>
      <c r="AH37" s="237" t="s">
        <v>1107</v>
      </c>
      <c r="AI37" s="237" t="s">
        <v>1107</v>
      </c>
      <c r="AJ37" s="237" t="s">
        <v>232</v>
      </c>
      <c r="AK37" s="237" t="s">
        <v>232</v>
      </c>
      <c r="AL37" s="237" t="s">
        <v>1107</v>
      </c>
      <c r="AM37" s="237" t="s">
        <v>492</v>
      </c>
      <c r="AN37" s="237" t="s">
        <v>1107</v>
      </c>
      <c r="AO37" s="237" t="s">
        <v>1107</v>
      </c>
      <c r="AP37" s="237" t="s">
        <v>1107</v>
      </c>
      <c r="AQ37" s="237" t="s">
        <v>1107</v>
      </c>
      <c r="AR37" s="237" t="s">
        <v>1107</v>
      </c>
      <c r="AS37" s="237" t="s">
        <v>1107</v>
      </c>
      <c r="AT37" s="237" t="s">
        <v>1107</v>
      </c>
      <c r="AU37" s="237" t="s">
        <v>492</v>
      </c>
      <c r="AV37" s="237" t="s">
        <v>1107</v>
      </c>
      <c r="AW37" s="237" t="s">
        <v>232</v>
      </c>
      <c r="AX37" s="237" t="s">
        <v>1107</v>
      </c>
      <c r="AY37" s="237" t="s">
        <v>232</v>
      </c>
      <c r="AZ37" s="237" t="s">
        <v>232</v>
      </c>
      <c r="BA37" s="237" t="s">
        <v>232</v>
      </c>
      <c r="BB37" s="237" t="s">
        <v>232</v>
      </c>
      <c r="BC37" s="237" t="s">
        <v>232</v>
      </c>
      <c r="BD37" s="237" t="s">
        <v>1107</v>
      </c>
      <c r="BE37" s="237" t="s">
        <v>1107</v>
      </c>
      <c r="BF37" s="237" t="s">
        <v>232</v>
      </c>
      <c r="BG37" s="237" t="s">
        <v>1107</v>
      </c>
      <c r="BH37" s="237" t="s">
        <v>1107</v>
      </c>
      <c r="BI37" s="237" t="s">
        <v>1107</v>
      </c>
      <c r="BJ37" s="237" t="s">
        <v>1107</v>
      </c>
      <c r="BK37" s="237" t="s">
        <v>232</v>
      </c>
      <c r="BL37" s="237" t="s">
        <v>1107</v>
      </c>
      <c r="BM37" s="237" t="s">
        <v>1107</v>
      </c>
      <c r="BN37" s="237" t="s">
        <v>1107</v>
      </c>
      <c r="BO37" s="237" t="s">
        <v>1107</v>
      </c>
      <c r="BP37" s="237" t="s">
        <v>1107</v>
      </c>
      <c r="BQ37" s="237" t="s">
        <v>1107</v>
      </c>
      <c r="BR37" s="237" t="s">
        <v>232</v>
      </c>
      <c r="BS37" s="237" t="s">
        <v>1107</v>
      </c>
      <c r="BT37" s="237" t="s">
        <v>1107</v>
      </c>
      <c r="BU37" s="237" t="s">
        <v>1107</v>
      </c>
      <c r="BV37" s="237" t="s">
        <v>1107</v>
      </c>
      <c r="BW37" s="237" t="s">
        <v>1107</v>
      </c>
      <c r="BX37" s="237" t="s">
        <v>1107</v>
      </c>
      <c r="BY37" s="237" t="s">
        <v>1107</v>
      </c>
      <c r="BZ37" s="237" t="s">
        <v>1107</v>
      </c>
      <c r="CA37" s="237" t="s">
        <v>1107</v>
      </c>
      <c r="CB37" s="237" t="s">
        <v>1107</v>
      </c>
      <c r="CC37" s="237" t="s">
        <v>492</v>
      </c>
      <c r="CD37" s="237" t="s">
        <v>492</v>
      </c>
      <c r="CE37" s="237" t="s">
        <v>492</v>
      </c>
      <c r="CF37" s="237" t="s">
        <v>1107</v>
      </c>
      <c r="CG37" s="237" t="s">
        <v>1107</v>
      </c>
      <c r="CH37" s="237" t="s">
        <v>1107</v>
      </c>
      <c r="CI37" s="237" t="s">
        <v>1107</v>
      </c>
      <c r="CJ37" s="237" t="s">
        <v>1107</v>
      </c>
      <c r="CK37" s="237" t="s">
        <v>1107</v>
      </c>
      <c r="CL37" s="237" t="s">
        <v>1107</v>
      </c>
      <c r="CM37" s="237" t="s">
        <v>1107</v>
      </c>
      <c r="CN37" s="237" t="s">
        <v>1107</v>
      </c>
      <c r="CO37" s="237" t="s">
        <v>1107</v>
      </c>
      <c r="CP37" s="237" t="s">
        <v>1107</v>
      </c>
      <c r="CQ37" s="237" t="s">
        <v>1107</v>
      </c>
      <c r="CR37" s="237" t="s">
        <v>1107</v>
      </c>
      <c r="CS37" s="237" t="s">
        <v>1107</v>
      </c>
      <c r="CT37" s="237" t="s">
        <v>1107</v>
      </c>
      <c r="CU37" s="237" t="s">
        <v>1107</v>
      </c>
      <c r="CV37" s="237" t="s">
        <v>1107</v>
      </c>
      <c r="CW37" s="237" t="s">
        <v>1107</v>
      </c>
      <c r="CX37" s="237" t="s">
        <v>1107</v>
      </c>
      <c r="CY37" s="237" t="s">
        <v>1107</v>
      </c>
      <c r="CZ37" s="237" t="s">
        <v>1107</v>
      </c>
      <c r="DA37" s="237" t="s">
        <v>1107</v>
      </c>
      <c r="DB37" s="237" t="s">
        <v>1107</v>
      </c>
      <c r="DC37" s="237" t="s">
        <v>492</v>
      </c>
      <c r="DD37" s="237" t="s">
        <v>1107</v>
      </c>
      <c r="DE37" s="237" t="s">
        <v>1107</v>
      </c>
      <c r="DF37" s="237" t="s">
        <v>1107</v>
      </c>
      <c r="DG37" s="237" t="s">
        <v>1107</v>
      </c>
      <c r="DH37" s="237" t="s">
        <v>1107</v>
      </c>
      <c r="DI37" s="237" t="s">
        <v>1107</v>
      </c>
      <c r="DJ37" s="237" t="s">
        <v>1107</v>
      </c>
      <c r="DK37" s="237" t="s">
        <v>1107</v>
      </c>
      <c r="DL37" s="237" t="s">
        <v>1107</v>
      </c>
      <c r="DM37" s="237" t="s">
        <v>1107</v>
      </c>
      <c r="DN37" s="237" t="s">
        <v>1107</v>
      </c>
      <c r="DO37" s="237" t="s">
        <v>1107</v>
      </c>
      <c r="DP37" s="237" t="s">
        <v>1107</v>
      </c>
      <c r="DQ37" s="237" t="s">
        <v>1107</v>
      </c>
      <c r="DR37" s="237" t="s">
        <v>1107</v>
      </c>
      <c r="DS37" s="237" t="s">
        <v>1107</v>
      </c>
      <c r="DT37" s="237" t="s">
        <v>1107</v>
      </c>
      <c r="DU37" s="237" t="s">
        <v>1107</v>
      </c>
      <c r="DV37" s="237" t="s">
        <v>1107</v>
      </c>
      <c r="DW37" s="237" t="s">
        <v>1107</v>
      </c>
      <c r="DX37" s="237" t="s">
        <v>1107</v>
      </c>
      <c r="DY37" s="237" t="s">
        <v>1107</v>
      </c>
      <c r="DZ37" s="237" t="s">
        <v>1107</v>
      </c>
      <c r="EA37" s="237" t="s">
        <v>1107</v>
      </c>
      <c r="EB37" s="237" t="s">
        <v>1107</v>
      </c>
      <c r="EC37" s="237" t="s">
        <v>1107</v>
      </c>
      <c r="ED37" s="237" t="s">
        <v>1107</v>
      </c>
      <c r="EE37" s="237" t="s">
        <v>1107</v>
      </c>
      <c r="EF37" s="237" t="s">
        <v>1107</v>
      </c>
      <c r="EG37" s="237" t="s">
        <v>1107</v>
      </c>
      <c r="EH37" s="237" t="s">
        <v>1107</v>
      </c>
      <c r="EI37" s="237" t="s">
        <v>1107</v>
      </c>
      <c r="EJ37" s="237" t="s">
        <v>1107</v>
      </c>
      <c r="EK37" s="237" t="s">
        <v>1107</v>
      </c>
      <c r="EL37" s="237" t="s">
        <v>1107</v>
      </c>
      <c r="EM37" s="237" t="s">
        <v>1107</v>
      </c>
      <c r="EN37" s="237" t="s">
        <v>1107</v>
      </c>
      <c r="EO37" s="237" t="s">
        <v>1107</v>
      </c>
      <c r="EP37" s="237" t="s">
        <v>1107</v>
      </c>
      <c r="EQ37" s="237" t="s">
        <v>1107</v>
      </c>
      <c r="ER37" s="237" t="s">
        <v>1107</v>
      </c>
      <c r="ES37" s="237" t="s">
        <v>1107</v>
      </c>
      <c r="ET37" s="237" t="s">
        <v>1107</v>
      </c>
      <c r="EU37" s="237" t="s">
        <v>1107</v>
      </c>
      <c r="EV37" s="237" t="s">
        <v>1107</v>
      </c>
      <c r="EW37" s="237" t="s">
        <v>1107</v>
      </c>
      <c r="EX37" s="237" t="s">
        <v>1107</v>
      </c>
      <c r="EY37" s="237" t="s">
        <v>1107</v>
      </c>
      <c r="EZ37" s="237" t="s">
        <v>1107</v>
      </c>
      <c r="FA37" s="237" t="s">
        <v>1107</v>
      </c>
      <c r="FB37" s="237" t="s">
        <v>1107</v>
      </c>
      <c r="FC37" s="237" t="s">
        <v>1107</v>
      </c>
      <c r="FD37" s="237" t="s">
        <v>1107</v>
      </c>
      <c r="FE37" s="237" t="s">
        <v>1107</v>
      </c>
      <c r="FF37" s="237" t="s">
        <v>1107</v>
      </c>
      <c r="FG37" s="237" t="s">
        <v>1107</v>
      </c>
      <c r="FH37" s="237" t="s">
        <v>1107</v>
      </c>
      <c r="FI37" s="237" t="s">
        <v>1107</v>
      </c>
      <c r="FJ37" s="237" t="s">
        <v>1107</v>
      </c>
      <c r="FK37" s="237" t="s">
        <v>1107</v>
      </c>
      <c r="FL37" s="237" t="s">
        <v>1107</v>
      </c>
      <c r="FM37" s="237" t="s">
        <v>1107</v>
      </c>
      <c r="FN37" s="237" t="s">
        <v>1107</v>
      </c>
      <c r="FO37" s="237" t="s">
        <v>1107</v>
      </c>
      <c r="FP37" s="237" t="s">
        <v>1107</v>
      </c>
      <c r="FQ37" s="237" t="s">
        <v>1107</v>
      </c>
      <c r="FR37" s="237" t="s">
        <v>1107</v>
      </c>
      <c r="FS37" s="237" t="s">
        <v>1107</v>
      </c>
      <c r="FT37" s="237" t="s">
        <v>1107</v>
      </c>
      <c r="FU37" s="237" t="s">
        <v>1107</v>
      </c>
      <c r="FV37" s="237" t="s">
        <v>1107</v>
      </c>
      <c r="FW37" s="237" t="s">
        <v>1107</v>
      </c>
      <c r="FX37" s="237" t="s">
        <v>1107</v>
      </c>
      <c r="FY37" s="237" t="s">
        <v>492</v>
      </c>
      <c r="FZ37" s="237" t="s">
        <v>1107</v>
      </c>
      <c r="GA37" s="237" t="s">
        <v>1107</v>
      </c>
      <c r="GB37" s="237" t="s">
        <v>1107</v>
      </c>
      <c r="GC37" s="237" t="s">
        <v>231</v>
      </c>
      <c r="GD37" s="237" t="s">
        <v>1107</v>
      </c>
      <c r="GE37" s="237" t="s">
        <v>492</v>
      </c>
      <c r="GF37" s="237" t="s">
        <v>1107</v>
      </c>
      <c r="GG37" s="237" t="s">
        <v>1107</v>
      </c>
      <c r="GH37" s="237" t="s">
        <v>1107</v>
      </c>
      <c r="GI37" s="237" t="s">
        <v>1107</v>
      </c>
      <c r="GJ37" s="237" t="s">
        <v>1107</v>
      </c>
      <c r="GK37" s="237" t="s">
        <v>1107</v>
      </c>
      <c r="GL37" s="237" t="s">
        <v>1107</v>
      </c>
      <c r="GM37" s="237" t="s">
        <v>1107</v>
      </c>
      <c r="GN37" s="237" t="s">
        <v>492</v>
      </c>
      <c r="GO37" s="237" t="s">
        <v>1107</v>
      </c>
      <c r="GP37" s="237" t="s">
        <v>1107</v>
      </c>
      <c r="GQ37" s="237" t="s">
        <v>1107</v>
      </c>
      <c r="GR37" s="237" t="s">
        <v>1107</v>
      </c>
      <c r="GS37" s="237" t="s">
        <v>1107</v>
      </c>
      <c r="GT37" s="237" t="s">
        <v>1107</v>
      </c>
      <c r="GU37" s="237" t="s">
        <v>1107</v>
      </c>
      <c r="GV37" s="237" t="s">
        <v>1107</v>
      </c>
      <c r="GW37" s="237" t="s">
        <v>1107</v>
      </c>
      <c r="GX37" s="237" t="s">
        <v>1107</v>
      </c>
      <c r="GY37" s="237" t="s">
        <v>1107</v>
      </c>
      <c r="GZ37" s="237" t="s">
        <v>1107</v>
      </c>
      <c r="HA37" s="237" t="s">
        <v>1107</v>
      </c>
      <c r="HB37" s="237" t="s">
        <v>1107</v>
      </c>
      <c r="HC37" s="237" t="s">
        <v>1107</v>
      </c>
      <c r="HD37" s="237" t="s">
        <v>1107</v>
      </c>
      <c r="HE37" s="237" t="s">
        <v>1107</v>
      </c>
      <c r="HF37" s="237" t="s">
        <v>1107</v>
      </c>
      <c r="HG37" s="237" t="s">
        <v>1107</v>
      </c>
      <c r="HH37" s="237" t="s">
        <v>1107</v>
      </c>
      <c r="HI37" s="237" t="s">
        <v>1107</v>
      </c>
      <c r="HJ37" s="237" t="s">
        <v>1107</v>
      </c>
      <c r="HK37" s="237" t="s">
        <v>1107</v>
      </c>
      <c r="HL37" s="237" t="s">
        <v>1107</v>
      </c>
      <c r="HM37" s="237" t="s">
        <v>1107</v>
      </c>
      <c r="HN37" s="237" t="s">
        <v>1107</v>
      </c>
      <c r="HO37" s="237" t="s">
        <v>1107</v>
      </c>
      <c r="HP37" s="237" t="s">
        <v>1107</v>
      </c>
      <c r="HQ37" s="237" t="s">
        <v>1107</v>
      </c>
      <c r="HR37" s="237" t="s">
        <v>1107</v>
      </c>
      <c r="HS37" s="237" t="s">
        <v>1107</v>
      </c>
      <c r="HT37" s="237" t="s">
        <v>232</v>
      </c>
      <c r="HU37" s="237" t="s">
        <v>232</v>
      </c>
      <c r="HV37" s="237" t="s">
        <v>232</v>
      </c>
      <c r="HW37" s="237" t="s">
        <v>1107</v>
      </c>
      <c r="HX37" s="237" t="s">
        <v>220</v>
      </c>
      <c r="HY37" s="237" t="s">
        <v>493</v>
      </c>
      <c r="HZ37" s="237" t="s">
        <v>219</v>
      </c>
      <c r="IA37" s="237" t="s">
        <v>490</v>
      </c>
      <c r="IB37" s="237" t="s">
        <v>1107</v>
      </c>
      <c r="IC37" s="237" t="s">
        <v>1107</v>
      </c>
    </row>
    <row r="38" spans="1:237" ht="15" x14ac:dyDescent="0.25">
      <c r="A38" s="244" t="str">
        <f>HYPERLINK("http://www.ofsted.gov.uk/inspection-reports/find-inspection-report/provider/ELS/131031 ","Ofsted School Webpage")</f>
        <v>Ofsted School Webpage</v>
      </c>
      <c r="B38" s="240">
        <v>131031</v>
      </c>
      <c r="C38" s="240">
        <v>3166068</v>
      </c>
      <c r="D38" s="240" t="s">
        <v>1184</v>
      </c>
      <c r="E38" s="240" t="s">
        <v>247</v>
      </c>
      <c r="F38" s="240" t="s">
        <v>506</v>
      </c>
      <c r="G38" s="240" t="s">
        <v>506</v>
      </c>
      <c r="H38" s="240" t="s">
        <v>799</v>
      </c>
      <c r="I38" s="240" t="s">
        <v>1185</v>
      </c>
      <c r="J38" s="240" t="s">
        <v>93</v>
      </c>
      <c r="K38" s="240" t="s">
        <v>71</v>
      </c>
      <c r="L38" s="240" t="s">
        <v>71</v>
      </c>
      <c r="M38" s="240" t="s">
        <v>71</v>
      </c>
      <c r="N38" s="240" t="s">
        <v>486</v>
      </c>
      <c r="O38" s="240" t="s">
        <v>487</v>
      </c>
      <c r="P38" s="240">
        <v>10067093</v>
      </c>
      <c r="Q38" s="242">
        <v>43376</v>
      </c>
      <c r="R38" s="242">
        <v>43376</v>
      </c>
      <c r="S38" s="242">
        <v>43420</v>
      </c>
      <c r="T38" s="240" t="s">
        <v>1109</v>
      </c>
      <c r="U38" s="240" t="s">
        <v>1105</v>
      </c>
      <c r="V38" s="240" t="s">
        <v>490</v>
      </c>
      <c r="W38" s="240" t="s">
        <v>486</v>
      </c>
      <c r="X38" s="240" t="s">
        <v>486</v>
      </c>
      <c r="Y38" s="240" t="s">
        <v>486</v>
      </c>
      <c r="Z38" s="240" t="s">
        <v>486</v>
      </c>
      <c r="AA38" s="240" t="s">
        <v>486</v>
      </c>
      <c r="AB38" s="240" t="s">
        <v>486</v>
      </c>
      <c r="AC38" s="240" t="s">
        <v>486</v>
      </c>
      <c r="AD38" s="240" t="s">
        <v>1136</v>
      </c>
      <c r="AE38" s="240" t="s">
        <v>232</v>
      </c>
      <c r="AF38" s="240" t="s">
        <v>231</v>
      </c>
      <c r="AG38" s="240" t="s">
        <v>661</v>
      </c>
      <c r="AH38" s="240" t="s">
        <v>232</v>
      </c>
      <c r="AI38" s="240" t="s">
        <v>1107</v>
      </c>
      <c r="AJ38" s="240" t="s">
        <v>1107</v>
      </c>
      <c r="AK38" s="240" t="s">
        <v>231</v>
      </c>
      <c r="AL38" s="240" t="s">
        <v>1107</v>
      </c>
      <c r="AM38" s="240" t="s">
        <v>1107</v>
      </c>
      <c r="AN38" s="240" t="s">
        <v>1107</v>
      </c>
      <c r="AO38" s="240" t="s">
        <v>1107</v>
      </c>
      <c r="AP38" s="240" t="s">
        <v>1107</v>
      </c>
      <c r="AQ38" s="240" t="s">
        <v>231</v>
      </c>
      <c r="AR38" s="240" t="s">
        <v>231</v>
      </c>
      <c r="AS38" s="240" t="s">
        <v>231</v>
      </c>
      <c r="AT38" s="240" t="s">
        <v>231</v>
      </c>
      <c r="AU38" s="240" t="s">
        <v>1107</v>
      </c>
      <c r="AV38" s="240" t="s">
        <v>1107</v>
      </c>
      <c r="AW38" s="240" t="s">
        <v>231</v>
      </c>
      <c r="AX38" s="240" t="s">
        <v>1107</v>
      </c>
      <c r="AY38" s="240" t="s">
        <v>232</v>
      </c>
      <c r="AZ38" s="240" t="s">
        <v>232</v>
      </c>
      <c r="BA38" s="240" t="s">
        <v>1107</v>
      </c>
      <c r="BB38" s="240" t="s">
        <v>232</v>
      </c>
      <c r="BC38" s="240" t="s">
        <v>232</v>
      </c>
      <c r="BD38" s="240" t="s">
        <v>1107</v>
      </c>
      <c r="BE38" s="240" t="s">
        <v>231</v>
      </c>
      <c r="BF38" s="240" t="s">
        <v>232</v>
      </c>
      <c r="BG38" s="240" t="s">
        <v>1107</v>
      </c>
      <c r="BH38" s="240" t="s">
        <v>1107</v>
      </c>
      <c r="BI38" s="240" t="s">
        <v>1107</v>
      </c>
      <c r="BJ38" s="240" t="s">
        <v>231</v>
      </c>
      <c r="BK38" s="240" t="s">
        <v>231</v>
      </c>
      <c r="BL38" s="240" t="s">
        <v>231</v>
      </c>
      <c r="BM38" s="240" t="s">
        <v>231</v>
      </c>
      <c r="BN38" s="240" t="s">
        <v>231</v>
      </c>
      <c r="BO38" s="240" t="s">
        <v>231</v>
      </c>
      <c r="BP38" s="240" t="s">
        <v>231</v>
      </c>
      <c r="BQ38" s="240" t="s">
        <v>231</v>
      </c>
      <c r="BR38" s="240" t="s">
        <v>231</v>
      </c>
      <c r="BS38" s="240" t="s">
        <v>231</v>
      </c>
      <c r="BT38" s="240" t="s">
        <v>231</v>
      </c>
      <c r="BU38" s="240" t="s">
        <v>231</v>
      </c>
      <c r="BV38" s="240" t="s">
        <v>231</v>
      </c>
      <c r="BW38" s="240" t="s">
        <v>231</v>
      </c>
      <c r="BX38" s="240" t="s">
        <v>231</v>
      </c>
      <c r="BY38" s="240" t="s">
        <v>231</v>
      </c>
      <c r="BZ38" s="240" t="s">
        <v>231</v>
      </c>
      <c r="CA38" s="240" t="s">
        <v>231</v>
      </c>
      <c r="CB38" s="240" t="s">
        <v>231</v>
      </c>
      <c r="CC38" s="240" t="s">
        <v>1107</v>
      </c>
      <c r="CD38" s="240" t="s">
        <v>1107</v>
      </c>
      <c r="CE38" s="240" t="s">
        <v>1107</v>
      </c>
      <c r="CF38" s="240" t="s">
        <v>1107</v>
      </c>
      <c r="CG38" s="240" t="s">
        <v>1107</v>
      </c>
      <c r="CH38" s="240" t="s">
        <v>1107</v>
      </c>
      <c r="CI38" s="240" t="s">
        <v>1107</v>
      </c>
      <c r="CJ38" s="240" t="s">
        <v>1107</v>
      </c>
      <c r="CK38" s="240" t="s">
        <v>232</v>
      </c>
      <c r="CL38" s="240" t="s">
        <v>1107</v>
      </c>
      <c r="CM38" s="240" t="s">
        <v>1107</v>
      </c>
      <c r="CN38" s="240" t="s">
        <v>231</v>
      </c>
      <c r="CO38" s="240" t="s">
        <v>661</v>
      </c>
      <c r="CP38" s="240" t="s">
        <v>231</v>
      </c>
      <c r="CQ38" s="240" t="s">
        <v>231</v>
      </c>
      <c r="CR38" s="240" t="s">
        <v>231</v>
      </c>
      <c r="CS38" s="240" t="s">
        <v>231</v>
      </c>
      <c r="CT38" s="240" t="s">
        <v>1107</v>
      </c>
      <c r="CU38" s="240" t="s">
        <v>231</v>
      </c>
      <c r="CV38" s="240" t="s">
        <v>1107</v>
      </c>
      <c r="CW38" s="240" t="s">
        <v>1107</v>
      </c>
      <c r="CX38" s="240" t="s">
        <v>1107</v>
      </c>
      <c r="CY38" s="240" t="s">
        <v>1107</v>
      </c>
      <c r="CZ38" s="240" t="s">
        <v>1107</v>
      </c>
      <c r="DA38" s="240" t="s">
        <v>1107</v>
      </c>
      <c r="DB38" s="240" t="s">
        <v>1107</v>
      </c>
      <c r="DC38" s="240" t="s">
        <v>1107</v>
      </c>
      <c r="DD38" s="240" t="s">
        <v>231</v>
      </c>
      <c r="DE38" s="240" t="s">
        <v>1107</v>
      </c>
      <c r="DF38" s="240" t="s">
        <v>1107</v>
      </c>
      <c r="DG38" s="240" t="s">
        <v>1107</v>
      </c>
      <c r="DH38" s="240" t="s">
        <v>1107</v>
      </c>
      <c r="DI38" s="240" t="s">
        <v>1107</v>
      </c>
      <c r="DJ38" s="240" t="s">
        <v>1107</v>
      </c>
      <c r="DK38" s="240" t="s">
        <v>1107</v>
      </c>
      <c r="DL38" s="240" t="s">
        <v>1107</v>
      </c>
      <c r="DM38" s="240" t="s">
        <v>1107</v>
      </c>
      <c r="DN38" s="240" t="s">
        <v>1107</v>
      </c>
      <c r="DO38" s="240" t="s">
        <v>1107</v>
      </c>
      <c r="DP38" s="240" t="s">
        <v>1107</v>
      </c>
      <c r="DQ38" s="240" t="s">
        <v>1107</v>
      </c>
      <c r="DR38" s="240" t="s">
        <v>1107</v>
      </c>
      <c r="DS38" s="240" t="s">
        <v>1107</v>
      </c>
      <c r="DT38" s="240" t="s">
        <v>1107</v>
      </c>
      <c r="DU38" s="240" t="s">
        <v>1107</v>
      </c>
      <c r="DV38" s="240" t="s">
        <v>1107</v>
      </c>
      <c r="DW38" s="240" t="s">
        <v>1107</v>
      </c>
      <c r="DX38" s="240" t="s">
        <v>1107</v>
      </c>
      <c r="DY38" s="240" t="s">
        <v>1107</v>
      </c>
      <c r="DZ38" s="240" t="s">
        <v>1107</v>
      </c>
      <c r="EA38" s="240" t="s">
        <v>1107</v>
      </c>
      <c r="EB38" s="240" t="s">
        <v>1107</v>
      </c>
      <c r="EC38" s="240" t="s">
        <v>1107</v>
      </c>
      <c r="ED38" s="240" t="s">
        <v>1107</v>
      </c>
      <c r="EE38" s="240" t="s">
        <v>1107</v>
      </c>
      <c r="EF38" s="240" t="s">
        <v>1107</v>
      </c>
      <c r="EG38" s="240" t="s">
        <v>1107</v>
      </c>
      <c r="EH38" s="240" t="s">
        <v>1107</v>
      </c>
      <c r="EI38" s="240" t="s">
        <v>1107</v>
      </c>
      <c r="EJ38" s="240" t="s">
        <v>1107</v>
      </c>
      <c r="EK38" s="240" t="s">
        <v>1107</v>
      </c>
      <c r="EL38" s="240" t="s">
        <v>1107</v>
      </c>
      <c r="EM38" s="240" t="s">
        <v>1107</v>
      </c>
      <c r="EN38" s="240" t="s">
        <v>1107</v>
      </c>
      <c r="EO38" s="240" t="s">
        <v>1107</v>
      </c>
      <c r="EP38" s="240" t="s">
        <v>1107</v>
      </c>
      <c r="EQ38" s="240" t="s">
        <v>1107</v>
      </c>
      <c r="ER38" s="240" t="s">
        <v>1107</v>
      </c>
      <c r="ES38" s="240" t="s">
        <v>1107</v>
      </c>
      <c r="ET38" s="240" t="s">
        <v>1107</v>
      </c>
      <c r="EU38" s="240" t="s">
        <v>1107</v>
      </c>
      <c r="EV38" s="240" t="s">
        <v>1107</v>
      </c>
      <c r="EW38" s="240" t="s">
        <v>1107</v>
      </c>
      <c r="EX38" s="240" t="s">
        <v>1107</v>
      </c>
      <c r="EY38" s="240" t="s">
        <v>1107</v>
      </c>
      <c r="EZ38" s="240" t="s">
        <v>232</v>
      </c>
      <c r="FA38" s="240" t="s">
        <v>1107</v>
      </c>
      <c r="FB38" s="240" t="s">
        <v>1107</v>
      </c>
      <c r="FC38" s="240" t="s">
        <v>232</v>
      </c>
      <c r="FD38" s="240" t="s">
        <v>232</v>
      </c>
      <c r="FE38" s="240" t="s">
        <v>232</v>
      </c>
      <c r="FF38" s="240" t="s">
        <v>232</v>
      </c>
      <c r="FG38" s="240" t="s">
        <v>1107</v>
      </c>
      <c r="FH38" s="240" t="s">
        <v>1107</v>
      </c>
      <c r="FI38" s="240" t="s">
        <v>232</v>
      </c>
      <c r="FJ38" s="240" t="s">
        <v>1107</v>
      </c>
      <c r="FK38" s="240" t="s">
        <v>1107</v>
      </c>
      <c r="FL38" s="240" t="s">
        <v>1107</v>
      </c>
      <c r="FM38" s="240" t="s">
        <v>1107</v>
      </c>
      <c r="FN38" s="240" t="s">
        <v>231</v>
      </c>
      <c r="FO38" s="240" t="s">
        <v>231</v>
      </c>
      <c r="FP38" s="240" t="s">
        <v>1107</v>
      </c>
      <c r="FQ38" s="240" t="s">
        <v>231</v>
      </c>
      <c r="FR38" s="240" t="s">
        <v>1107</v>
      </c>
      <c r="FS38" s="240" t="s">
        <v>1107</v>
      </c>
      <c r="FT38" s="240" t="s">
        <v>1107</v>
      </c>
      <c r="FU38" s="240" t="s">
        <v>1107</v>
      </c>
      <c r="FV38" s="240" t="s">
        <v>231</v>
      </c>
      <c r="FW38" s="240" t="s">
        <v>1107</v>
      </c>
      <c r="FX38" s="240" t="s">
        <v>231</v>
      </c>
      <c r="FY38" s="240" t="s">
        <v>492</v>
      </c>
      <c r="FZ38" s="240" t="s">
        <v>231</v>
      </c>
      <c r="GA38" s="240" t="s">
        <v>231</v>
      </c>
      <c r="GB38" s="240" t="s">
        <v>231</v>
      </c>
      <c r="GC38" s="240" t="s">
        <v>231</v>
      </c>
      <c r="GD38" s="240" t="s">
        <v>1107</v>
      </c>
      <c r="GE38" s="240" t="s">
        <v>1107</v>
      </c>
      <c r="GF38" s="240" t="s">
        <v>1107</v>
      </c>
      <c r="GG38" s="240" t="s">
        <v>1107</v>
      </c>
      <c r="GH38" s="240" t="s">
        <v>1107</v>
      </c>
      <c r="GI38" s="240" t="s">
        <v>1107</v>
      </c>
      <c r="GJ38" s="240" t="s">
        <v>1107</v>
      </c>
      <c r="GK38" s="240" t="s">
        <v>231</v>
      </c>
      <c r="GL38" s="240" t="s">
        <v>1107</v>
      </c>
      <c r="GM38" s="240" t="s">
        <v>231</v>
      </c>
      <c r="GN38" s="240" t="s">
        <v>231</v>
      </c>
      <c r="GO38" s="240" t="s">
        <v>492</v>
      </c>
      <c r="GP38" s="240" t="s">
        <v>1107</v>
      </c>
      <c r="GQ38" s="240" t="s">
        <v>1107</v>
      </c>
      <c r="GR38" s="240" t="s">
        <v>231</v>
      </c>
      <c r="GS38" s="240" t="s">
        <v>1107</v>
      </c>
      <c r="GT38" s="240" t="s">
        <v>492</v>
      </c>
      <c r="GU38" s="240" t="s">
        <v>231</v>
      </c>
      <c r="GV38" s="240" t="s">
        <v>231</v>
      </c>
      <c r="GW38" s="240" t="s">
        <v>231</v>
      </c>
      <c r="GX38" s="240" t="s">
        <v>231</v>
      </c>
      <c r="GY38" s="240" t="s">
        <v>1107</v>
      </c>
      <c r="GZ38" s="240" t="s">
        <v>1107</v>
      </c>
      <c r="HA38" s="240" t="s">
        <v>1107</v>
      </c>
      <c r="HB38" s="240" t="s">
        <v>1107</v>
      </c>
      <c r="HC38" s="240" t="s">
        <v>1107</v>
      </c>
      <c r="HD38" s="240" t="s">
        <v>231</v>
      </c>
      <c r="HE38" s="240" t="s">
        <v>1107</v>
      </c>
      <c r="HF38" s="240" t="s">
        <v>231</v>
      </c>
      <c r="HG38" s="240" t="s">
        <v>1107</v>
      </c>
      <c r="HH38" s="240" t="s">
        <v>1107</v>
      </c>
      <c r="HI38" s="240" t="s">
        <v>1107</v>
      </c>
      <c r="HJ38" s="240" t="s">
        <v>1107</v>
      </c>
      <c r="HK38" s="240" t="s">
        <v>1107</v>
      </c>
      <c r="HL38" s="240" t="s">
        <v>1107</v>
      </c>
      <c r="HM38" s="240" t="s">
        <v>1107</v>
      </c>
      <c r="HN38" s="240" t="s">
        <v>1107</v>
      </c>
      <c r="HO38" s="240" t="s">
        <v>1107</v>
      </c>
      <c r="HP38" s="240" t="s">
        <v>1107</v>
      </c>
      <c r="HQ38" s="240" t="s">
        <v>1107</v>
      </c>
      <c r="HR38" s="240" t="s">
        <v>1107</v>
      </c>
      <c r="HS38" s="240" t="s">
        <v>1107</v>
      </c>
      <c r="HT38" s="240" t="s">
        <v>232</v>
      </c>
      <c r="HU38" s="240" t="s">
        <v>232</v>
      </c>
      <c r="HV38" s="240" t="s">
        <v>232</v>
      </c>
      <c r="HW38" s="240" t="s">
        <v>232</v>
      </c>
      <c r="HX38" s="240" t="s">
        <v>220</v>
      </c>
      <c r="HY38" s="240" t="s">
        <v>493</v>
      </c>
      <c r="HZ38" s="240" t="s">
        <v>219</v>
      </c>
      <c r="IA38" s="240" t="s">
        <v>490</v>
      </c>
      <c r="IB38" s="240" t="s">
        <v>1107</v>
      </c>
      <c r="IC38" s="240" t="s">
        <v>1107</v>
      </c>
    </row>
    <row r="39" spans="1:237" ht="15" x14ac:dyDescent="0.25">
      <c r="A39" s="243" t="str">
        <f>HYPERLINK("http://www.ofsted.gov.uk/inspection-reports/find-inspection-report/provider/ELS/131745 ","Ofsted School Webpage")</f>
        <v>Ofsted School Webpage</v>
      </c>
      <c r="B39" s="237">
        <v>131745</v>
      </c>
      <c r="C39" s="237">
        <v>2116389</v>
      </c>
      <c r="D39" s="237" t="s">
        <v>1186</v>
      </c>
      <c r="E39" s="237" t="s">
        <v>247</v>
      </c>
      <c r="F39" s="237" t="s">
        <v>506</v>
      </c>
      <c r="G39" s="237" t="s">
        <v>506</v>
      </c>
      <c r="H39" s="237" t="s">
        <v>849</v>
      </c>
      <c r="I39" s="237" t="s">
        <v>1187</v>
      </c>
      <c r="J39" s="237" t="s">
        <v>93</v>
      </c>
      <c r="K39" s="237" t="s">
        <v>84</v>
      </c>
      <c r="L39" s="237" t="s">
        <v>84</v>
      </c>
      <c r="M39" s="237" t="s">
        <v>84</v>
      </c>
      <c r="N39" s="237" t="s">
        <v>486</v>
      </c>
      <c r="O39" s="237" t="s">
        <v>487</v>
      </c>
      <c r="P39" s="237">
        <v>10056479</v>
      </c>
      <c r="Q39" s="239">
        <v>43376</v>
      </c>
      <c r="R39" s="239">
        <v>43376</v>
      </c>
      <c r="S39" s="239">
        <v>43405</v>
      </c>
      <c r="T39" s="237" t="s">
        <v>1109</v>
      </c>
      <c r="U39" s="237" t="s">
        <v>1105</v>
      </c>
      <c r="V39" s="237" t="s">
        <v>512</v>
      </c>
      <c r="W39" s="237" t="s">
        <v>490</v>
      </c>
      <c r="X39" s="237" t="s">
        <v>486</v>
      </c>
      <c r="Y39" s="237" t="s">
        <v>486</v>
      </c>
      <c r="Z39" s="237" t="s">
        <v>486</v>
      </c>
      <c r="AA39" s="237" t="s">
        <v>486</v>
      </c>
      <c r="AB39" s="237" t="s">
        <v>486</v>
      </c>
      <c r="AC39" s="237" t="s">
        <v>486</v>
      </c>
      <c r="AD39" s="237" t="s">
        <v>1110</v>
      </c>
      <c r="AE39" s="237" t="s">
        <v>1107</v>
      </c>
      <c r="AF39" s="237" t="s">
        <v>1107</v>
      </c>
      <c r="AG39" s="237" t="s">
        <v>1107</v>
      </c>
      <c r="AH39" s="237" t="s">
        <v>1107</v>
      </c>
      <c r="AI39" s="237" t="s">
        <v>1107</v>
      </c>
      <c r="AJ39" s="237" t="s">
        <v>1107</v>
      </c>
      <c r="AK39" s="237" t="s">
        <v>1107</v>
      </c>
      <c r="AL39" s="237" t="s">
        <v>1107</v>
      </c>
      <c r="AM39" s="237" t="s">
        <v>1107</v>
      </c>
      <c r="AN39" s="237" t="s">
        <v>1107</v>
      </c>
      <c r="AO39" s="237" t="s">
        <v>1107</v>
      </c>
      <c r="AP39" s="237" t="s">
        <v>1107</v>
      </c>
      <c r="AQ39" s="237" t="s">
        <v>1107</v>
      </c>
      <c r="AR39" s="237" t="s">
        <v>1107</v>
      </c>
      <c r="AS39" s="237" t="s">
        <v>1107</v>
      </c>
      <c r="AT39" s="237" t="s">
        <v>1107</v>
      </c>
      <c r="AU39" s="237" t="s">
        <v>1107</v>
      </c>
      <c r="AV39" s="237" t="s">
        <v>1107</v>
      </c>
      <c r="AW39" s="237" t="s">
        <v>1107</v>
      </c>
      <c r="AX39" s="237" t="s">
        <v>1107</v>
      </c>
      <c r="AY39" s="237" t="s">
        <v>1107</v>
      </c>
      <c r="AZ39" s="237" t="s">
        <v>1107</v>
      </c>
      <c r="BA39" s="237" t="s">
        <v>1107</v>
      </c>
      <c r="BB39" s="237" t="s">
        <v>1107</v>
      </c>
      <c r="BC39" s="237" t="s">
        <v>1107</v>
      </c>
      <c r="BD39" s="237" t="s">
        <v>1107</v>
      </c>
      <c r="BE39" s="237" t="s">
        <v>1107</v>
      </c>
      <c r="BF39" s="237" t="s">
        <v>1107</v>
      </c>
      <c r="BG39" s="237" t="s">
        <v>1107</v>
      </c>
      <c r="BH39" s="237" t="s">
        <v>1107</v>
      </c>
      <c r="BI39" s="237" t="s">
        <v>1107</v>
      </c>
      <c r="BJ39" s="237" t="s">
        <v>1107</v>
      </c>
      <c r="BK39" s="237" t="s">
        <v>1107</v>
      </c>
      <c r="BL39" s="237" t="s">
        <v>1107</v>
      </c>
      <c r="BM39" s="237" t="s">
        <v>1107</v>
      </c>
      <c r="BN39" s="237" t="s">
        <v>1107</v>
      </c>
      <c r="BO39" s="237" t="s">
        <v>1107</v>
      </c>
      <c r="BP39" s="237" t="s">
        <v>1107</v>
      </c>
      <c r="BQ39" s="237" t="s">
        <v>1107</v>
      </c>
      <c r="BR39" s="237" t="s">
        <v>1107</v>
      </c>
      <c r="BS39" s="237" t="s">
        <v>1107</v>
      </c>
      <c r="BT39" s="237" t="s">
        <v>1107</v>
      </c>
      <c r="BU39" s="237" t="s">
        <v>1107</v>
      </c>
      <c r="BV39" s="237" t="s">
        <v>1107</v>
      </c>
      <c r="BW39" s="237" t="s">
        <v>1107</v>
      </c>
      <c r="BX39" s="237" t="s">
        <v>1107</v>
      </c>
      <c r="BY39" s="237" t="s">
        <v>1107</v>
      </c>
      <c r="BZ39" s="237" t="s">
        <v>231</v>
      </c>
      <c r="CA39" s="237" t="s">
        <v>231</v>
      </c>
      <c r="CB39" s="237" t="s">
        <v>231</v>
      </c>
      <c r="CC39" s="237" t="s">
        <v>492</v>
      </c>
      <c r="CD39" s="237" t="s">
        <v>492</v>
      </c>
      <c r="CE39" s="237" t="s">
        <v>492</v>
      </c>
      <c r="CF39" s="237" t="s">
        <v>1107</v>
      </c>
      <c r="CG39" s="237" t="s">
        <v>1107</v>
      </c>
      <c r="CH39" s="237" t="s">
        <v>1107</v>
      </c>
      <c r="CI39" s="237" t="s">
        <v>1107</v>
      </c>
      <c r="CJ39" s="237" t="s">
        <v>1107</v>
      </c>
      <c r="CK39" s="237" t="s">
        <v>1107</v>
      </c>
      <c r="CL39" s="237" t="s">
        <v>1107</v>
      </c>
      <c r="CM39" s="237" t="s">
        <v>1107</v>
      </c>
      <c r="CN39" s="237" t="s">
        <v>1107</v>
      </c>
      <c r="CO39" s="237" t="s">
        <v>1107</v>
      </c>
      <c r="CP39" s="237" t="s">
        <v>1107</v>
      </c>
      <c r="CQ39" s="237" t="s">
        <v>1107</v>
      </c>
      <c r="CR39" s="237" t="s">
        <v>1107</v>
      </c>
      <c r="CS39" s="237" t="s">
        <v>1107</v>
      </c>
      <c r="CT39" s="237" t="s">
        <v>1107</v>
      </c>
      <c r="CU39" s="237" t="s">
        <v>1107</v>
      </c>
      <c r="CV39" s="237" t="s">
        <v>1107</v>
      </c>
      <c r="CW39" s="237" t="s">
        <v>1107</v>
      </c>
      <c r="CX39" s="237" t="s">
        <v>1107</v>
      </c>
      <c r="CY39" s="237" t="s">
        <v>1107</v>
      </c>
      <c r="CZ39" s="237" t="s">
        <v>1107</v>
      </c>
      <c r="DA39" s="237" t="s">
        <v>1107</v>
      </c>
      <c r="DB39" s="237" t="s">
        <v>1107</v>
      </c>
      <c r="DC39" s="237" t="s">
        <v>1107</v>
      </c>
      <c r="DD39" s="237" t="s">
        <v>1107</v>
      </c>
      <c r="DE39" s="237" t="s">
        <v>1107</v>
      </c>
      <c r="DF39" s="237" t="s">
        <v>1107</v>
      </c>
      <c r="DG39" s="237" t="s">
        <v>1107</v>
      </c>
      <c r="DH39" s="237" t="s">
        <v>1107</v>
      </c>
      <c r="DI39" s="237" t="s">
        <v>1107</v>
      </c>
      <c r="DJ39" s="237" t="s">
        <v>1107</v>
      </c>
      <c r="DK39" s="237" t="s">
        <v>1107</v>
      </c>
      <c r="DL39" s="237" t="s">
        <v>1107</v>
      </c>
      <c r="DM39" s="237" t="s">
        <v>1107</v>
      </c>
      <c r="DN39" s="237" t="s">
        <v>1107</v>
      </c>
      <c r="DO39" s="237" t="s">
        <v>1107</v>
      </c>
      <c r="DP39" s="237" t="s">
        <v>1107</v>
      </c>
      <c r="DQ39" s="237" t="s">
        <v>1107</v>
      </c>
      <c r="DR39" s="237" t="s">
        <v>1107</v>
      </c>
      <c r="DS39" s="237" t="s">
        <v>1107</v>
      </c>
      <c r="DT39" s="237" t="s">
        <v>1107</v>
      </c>
      <c r="DU39" s="237" t="s">
        <v>1107</v>
      </c>
      <c r="DV39" s="237" t="s">
        <v>1107</v>
      </c>
      <c r="DW39" s="237" t="s">
        <v>1107</v>
      </c>
      <c r="DX39" s="237" t="s">
        <v>1107</v>
      </c>
      <c r="DY39" s="237" t="s">
        <v>1107</v>
      </c>
      <c r="DZ39" s="237" t="s">
        <v>1107</v>
      </c>
      <c r="EA39" s="237" t="s">
        <v>1107</v>
      </c>
      <c r="EB39" s="237" t="s">
        <v>231</v>
      </c>
      <c r="EC39" s="237" t="s">
        <v>1107</v>
      </c>
      <c r="ED39" s="237" t="s">
        <v>1107</v>
      </c>
      <c r="EE39" s="237" t="s">
        <v>1107</v>
      </c>
      <c r="EF39" s="237" t="s">
        <v>1107</v>
      </c>
      <c r="EG39" s="237" t="s">
        <v>1107</v>
      </c>
      <c r="EH39" s="237" t="s">
        <v>1107</v>
      </c>
      <c r="EI39" s="237" t="s">
        <v>1107</v>
      </c>
      <c r="EJ39" s="237" t="s">
        <v>1107</v>
      </c>
      <c r="EK39" s="237" t="s">
        <v>1107</v>
      </c>
      <c r="EL39" s="237" t="s">
        <v>1107</v>
      </c>
      <c r="EM39" s="237" t="s">
        <v>1107</v>
      </c>
      <c r="EN39" s="237" t="s">
        <v>1107</v>
      </c>
      <c r="EO39" s="237" t="s">
        <v>1107</v>
      </c>
      <c r="EP39" s="237" t="s">
        <v>1107</v>
      </c>
      <c r="EQ39" s="237" t="s">
        <v>1107</v>
      </c>
      <c r="ER39" s="237" t="s">
        <v>1107</v>
      </c>
      <c r="ES39" s="237" t="s">
        <v>1107</v>
      </c>
      <c r="ET39" s="237" t="s">
        <v>1107</v>
      </c>
      <c r="EU39" s="237" t="s">
        <v>1107</v>
      </c>
      <c r="EV39" s="237" t="s">
        <v>231</v>
      </c>
      <c r="EW39" s="237" t="s">
        <v>231</v>
      </c>
      <c r="EX39" s="237" t="s">
        <v>231</v>
      </c>
      <c r="EY39" s="237" t="s">
        <v>231</v>
      </c>
      <c r="EZ39" s="237" t="s">
        <v>1107</v>
      </c>
      <c r="FA39" s="237" t="s">
        <v>1107</v>
      </c>
      <c r="FB39" s="237" t="s">
        <v>1107</v>
      </c>
      <c r="FC39" s="237" t="s">
        <v>1107</v>
      </c>
      <c r="FD39" s="237" t="s">
        <v>1107</v>
      </c>
      <c r="FE39" s="237" t="s">
        <v>1107</v>
      </c>
      <c r="FF39" s="237" t="s">
        <v>1107</v>
      </c>
      <c r="FG39" s="237" t="s">
        <v>492</v>
      </c>
      <c r="FH39" s="237" t="s">
        <v>1107</v>
      </c>
      <c r="FI39" s="237" t="s">
        <v>1107</v>
      </c>
      <c r="FJ39" s="237" t="s">
        <v>1107</v>
      </c>
      <c r="FK39" s="237" t="s">
        <v>1107</v>
      </c>
      <c r="FL39" s="237" t="s">
        <v>1107</v>
      </c>
      <c r="FM39" s="237" t="s">
        <v>1107</v>
      </c>
      <c r="FN39" s="237" t="s">
        <v>1107</v>
      </c>
      <c r="FO39" s="237" t="s">
        <v>1107</v>
      </c>
      <c r="FP39" s="237" t="s">
        <v>1107</v>
      </c>
      <c r="FQ39" s="237" t="s">
        <v>1107</v>
      </c>
      <c r="FR39" s="237" t="s">
        <v>1107</v>
      </c>
      <c r="FS39" s="237" t="s">
        <v>1107</v>
      </c>
      <c r="FT39" s="237" t="s">
        <v>1107</v>
      </c>
      <c r="FU39" s="237" t="s">
        <v>1107</v>
      </c>
      <c r="FV39" s="237" t="s">
        <v>1107</v>
      </c>
      <c r="FW39" s="237" t="s">
        <v>1107</v>
      </c>
      <c r="FX39" s="237" t="s">
        <v>1107</v>
      </c>
      <c r="FY39" s="237" t="s">
        <v>492</v>
      </c>
      <c r="FZ39" s="237" t="s">
        <v>231</v>
      </c>
      <c r="GA39" s="237" t="s">
        <v>1107</v>
      </c>
      <c r="GB39" s="237" t="s">
        <v>1107</v>
      </c>
      <c r="GC39" s="237" t="s">
        <v>231</v>
      </c>
      <c r="GD39" s="237" t="s">
        <v>1107</v>
      </c>
      <c r="GE39" s="237" t="s">
        <v>1107</v>
      </c>
      <c r="GF39" s="237" t="s">
        <v>1107</v>
      </c>
      <c r="GG39" s="237" t="s">
        <v>1107</v>
      </c>
      <c r="GH39" s="237" t="s">
        <v>1107</v>
      </c>
      <c r="GI39" s="237" t="s">
        <v>1107</v>
      </c>
      <c r="GJ39" s="237" t="s">
        <v>1107</v>
      </c>
      <c r="GK39" s="237" t="s">
        <v>1107</v>
      </c>
      <c r="GL39" s="237" t="s">
        <v>1107</v>
      </c>
      <c r="GM39" s="237" t="s">
        <v>1107</v>
      </c>
      <c r="GN39" s="237" t="s">
        <v>1107</v>
      </c>
      <c r="GO39" s="237" t="s">
        <v>1107</v>
      </c>
      <c r="GP39" s="237" t="s">
        <v>1107</v>
      </c>
      <c r="GQ39" s="237" t="s">
        <v>1107</v>
      </c>
      <c r="GR39" s="237" t="s">
        <v>1107</v>
      </c>
      <c r="GS39" s="237" t="s">
        <v>1107</v>
      </c>
      <c r="GT39" s="237" t="s">
        <v>1107</v>
      </c>
      <c r="GU39" s="237" t="s">
        <v>1107</v>
      </c>
      <c r="GV39" s="237" t="s">
        <v>1107</v>
      </c>
      <c r="GW39" s="237" t="s">
        <v>1107</v>
      </c>
      <c r="GX39" s="237" t="s">
        <v>1107</v>
      </c>
      <c r="GY39" s="237" t="s">
        <v>1107</v>
      </c>
      <c r="GZ39" s="237" t="s">
        <v>1107</v>
      </c>
      <c r="HA39" s="237" t="s">
        <v>1107</v>
      </c>
      <c r="HB39" s="237" t="s">
        <v>1107</v>
      </c>
      <c r="HC39" s="237" t="s">
        <v>1107</v>
      </c>
      <c r="HD39" s="237" t="s">
        <v>1107</v>
      </c>
      <c r="HE39" s="237" t="s">
        <v>1107</v>
      </c>
      <c r="HF39" s="237" t="s">
        <v>1107</v>
      </c>
      <c r="HG39" s="237" t="s">
        <v>1107</v>
      </c>
      <c r="HH39" s="237" t="s">
        <v>1107</v>
      </c>
      <c r="HI39" s="237" t="s">
        <v>1107</v>
      </c>
      <c r="HJ39" s="237" t="s">
        <v>1107</v>
      </c>
      <c r="HK39" s="237" t="s">
        <v>1107</v>
      </c>
      <c r="HL39" s="237" t="s">
        <v>1107</v>
      </c>
      <c r="HM39" s="237" t="s">
        <v>1107</v>
      </c>
      <c r="HN39" s="237" t="s">
        <v>1107</v>
      </c>
      <c r="HO39" s="237" t="s">
        <v>1107</v>
      </c>
      <c r="HP39" s="237" t="s">
        <v>1107</v>
      </c>
      <c r="HQ39" s="237" t="s">
        <v>1107</v>
      </c>
      <c r="HR39" s="237" t="s">
        <v>1107</v>
      </c>
      <c r="HS39" s="237" t="s">
        <v>1107</v>
      </c>
      <c r="HT39" s="237" t="s">
        <v>231</v>
      </c>
      <c r="HU39" s="237" t="s">
        <v>231</v>
      </c>
      <c r="HV39" s="237" t="s">
        <v>231</v>
      </c>
      <c r="HW39" s="237" t="s">
        <v>231</v>
      </c>
      <c r="HX39" s="237" t="s">
        <v>220</v>
      </c>
      <c r="HY39" s="237" t="s">
        <v>493</v>
      </c>
      <c r="HZ39" s="237" t="s">
        <v>219</v>
      </c>
      <c r="IA39" s="237" t="s">
        <v>490</v>
      </c>
      <c r="IB39" s="237" t="s">
        <v>492</v>
      </c>
      <c r="IC39" s="237" t="s">
        <v>492</v>
      </c>
    </row>
    <row r="40" spans="1:237" ht="15" x14ac:dyDescent="0.25">
      <c r="A40" s="244" t="str">
        <f>HYPERLINK("http://www.ofsted.gov.uk/inspection-reports/find-inspection-report/provider/ELS/135334 ","Ofsted School Webpage")</f>
        <v>Ofsted School Webpage</v>
      </c>
      <c r="B40" s="240">
        <v>135334</v>
      </c>
      <c r="C40" s="240">
        <v>3106083</v>
      </c>
      <c r="D40" s="240" t="s">
        <v>1188</v>
      </c>
      <c r="E40" s="240" t="s">
        <v>247</v>
      </c>
      <c r="F40" s="240" t="s">
        <v>506</v>
      </c>
      <c r="G40" s="240" t="s">
        <v>506</v>
      </c>
      <c r="H40" s="240" t="s">
        <v>510</v>
      </c>
      <c r="I40" s="240" t="s">
        <v>1189</v>
      </c>
      <c r="J40" s="240" t="s">
        <v>93</v>
      </c>
      <c r="K40" s="240" t="s">
        <v>93</v>
      </c>
      <c r="L40" s="240" t="s">
        <v>93</v>
      </c>
      <c r="M40" s="240" t="s">
        <v>90</v>
      </c>
      <c r="N40" s="240" t="s">
        <v>486</v>
      </c>
      <c r="O40" s="240" t="s">
        <v>487</v>
      </c>
      <c r="P40" s="240">
        <v>10077611</v>
      </c>
      <c r="Q40" s="242">
        <v>43377</v>
      </c>
      <c r="R40" s="242">
        <v>43377</v>
      </c>
      <c r="S40" s="242">
        <v>43408</v>
      </c>
      <c r="T40" s="240" t="s">
        <v>1109</v>
      </c>
      <c r="U40" s="240" t="s">
        <v>1105</v>
      </c>
      <c r="V40" s="240" t="s">
        <v>490</v>
      </c>
      <c r="W40" s="240" t="s">
        <v>486</v>
      </c>
      <c r="X40" s="240" t="s">
        <v>486</v>
      </c>
      <c r="Y40" s="240" t="s">
        <v>486</v>
      </c>
      <c r="Z40" s="240" t="s">
        <v>486</v>
      </c>
      <c r="AA40" s="240" t="s">
        <v>486</v>
      </c>
      <c r="AB40" s="240" t="s">
        <v>486</v>
      </c>
      <c r="AC40" s="240" t="s">
        <v>486</v>
      </c>
      <c r="AD40" s="240" t="s">
        <v>1136</v>
      </c>
      <c r="AE40" s="240" t="s">
        <v>231</v>
      </c>
      <c r="AF40" s="240" t="s">
        <v>231</v>
      </c>
      <c r="AG40" s="240" t="s">
        <v>231</v>
      </c>
      <c r="AH40" s="240" t="s">
        <v>231</v>
      </c>
      <c r="AI40" s="240" t="s">
        <v>1107</v>
      </c>
      <c r="AJ40" s="240" t="s">
        <v>232</v>
      </c>
      <c r="AK40" s="240" t="s">
        <v>232</v>
      </c>
      <c r="AL40" s="240" t="s">
        <v>1107</v>
      </c>
      <c r="AM40" s="240" t="s">
        <v>1107</v>
      </c>
      <c r="AN40" s="240" t="s">
        <v>232</v>
      </c>
      <c r="AO40" s="240" t="s">
        <v>232</v>
      </c>
      <c r="AP40" s="240" t="s">
        <v>232</v>
      </c>
      <c r="AQ40" s="240" t="s">
        <v>232</v>
      </c>
      <c r="AR40" s="240" t="s">
        <v>232</v>
      </c>
      <c r="AS40" s="240" t="s">
        <v>232</v>
      </c>
      <c r="AT40" s="240" t="s">
        <v>232</v>
      </c>
      <c r="AU40" s="240" t="s">
        <v>1107</v>
      </c>
      <c r="AV40" s="240" t="s">
        <v>1107</v>
      </c>
      <c r="AW40" s="240" t="s">
        <v>1107</v>
      </c>
      <c r="AX40" s="240" t="s">
        <v>1107</v>
      </c>
      <c r="AY40" s="240" t="s">
        <v>1107</v>
      </c>
      <c r="AZ40" s="240" t="s">
        <v>1107</v>
      </c>
      <c r="BA40" s="240" t="s">
        <v>1107</v>
      </c>
      <c r="BB40" s="240" t="s">
        <v>1107</v>
      </c>
      <c r="BC40" s="240" t="s">
        <v>1107</v>
      </c>
      <c r="BD40" s="240" t="s">
        <v>1107</v>
      </c>
      <c r="BE40" s="240" t="s">
        <v>1107</v>
      </c>
      <c r="BF40" s="240" t="s">
        <v>1107</v>
      </c>
      <c r="BG40" s="240" t="s">
        <v>1107</v>
      </c>
      <c r="BH40" s="240" t="s">
        <v>1107</v>
      </c>
      <c r="BI40" s="240" t="s">
        <v>1107</v>
      </c>
      <c r="BJ40" s="240" t="s">
        <v>1107</v>
      </c>
      <c r="BK40" s="240" t="s">
        <v>232</v>
      </c>
      <c r="BL40" s="240" t="s">
        <v>231</v>
      </c>
      <c r="BM40" s="240" t="s">
        <v>232</v>
      </c>
      <c r="BN40" s="240" t="s">
        <v>231</v>
      </c>
      <c r="BO40" s="240" t="s">
        <v>231</v>
      </c>
      <c r="BP40" s="240" t="s">
        <v>231</v>
      </c>
      <c r="BQ40" s="240" t="s">
        <v>231</v>
      </c>
      <c r="BR40" s="240" t="s">
        <v>231</v>
      </c>
      <c r="BS40" s="240" t="s">
        <v>232</v>
      </c>
      <c r="BT40" s="240" t="s">
        <v>231</v>
      </c>
      <c r="BU40" s="240" t="s">
        <v>1107</v>
      </c>
      <c r="BV40" s="240" t="s">
        <v>1107</v>
      </c>
      <c r="BW40" s="240" t="s">
        <v>1107</v>
      </c>
      <c r="BX40" s="240" t="s">
        <v>1107</v>
      </c>
      <c r="BY40" s="240" t="s">
        <v>1107</v>
      </c>
      <c r="BZ40" s="240" t="s">
        <v>232</v>
      </c>
      <c r="CA40" s="240" t="s">
        <v>232</v>
      </c>
      <c r="CB40" s="240" t="s">
        <v>232</v>
      </c>
      <c r="CC40" s="240" t="s">
        <v>1107</v>
      </c>
      <c r="CD40" s="240" t="s">
        <v>1107</v>
      </c>
      <c r="CE40" s="240" t="s">
        <v>1107</v>
      </c>
      <c r="CF40" s="240" t="s">
        <v>1107</v>
      </c>
      <c r="CG40" s="240" t="s">
        <v>1107</v>
      </c>
      <c r="CH40" s="240" t="s">
        <v>1107</v>
      </c>
      <c r="CI40" s="240" t="s">
        <v>1107</v>
      </c>
      <c r="CJ40" s="240" t="s">
        <v>1107</v>
      </c>
      <c r="CK40" s="240" t="s">
        <v>1107</v>
      </c>
      <c r="CL40" s="240" t="s">
        <v>1107</v>
      </c>
      <c r="CM40" s="240" t="s">
        <v>231</v>
      </c>
      <c r="CN40" s="240" t="s">
        <v>1107</v>
      </c>
      <c r="CO40" s="240" t="s">
        <v>232</v>
      </c>
      <c r="CP40" s="240" t="s">
        <v>1107</v>
      </c>
      <c r="CQ40" s="240" t="s">
        <v>1107</v>
      </c>
      <c r="CR40" s="240" t="s">
        <v>1107</v>
      </c>
      <c r="CS40" s="240" t="s">
        <v>232</v>
      </c>
      <c r="CT40" s="240" t="s">
        <v>232</v>
      </c>
      <c r="CU40" s="240" t="s">
        <v>232</v>
      </c>
      <c r="CV40" s="240" t="s">
        <v>232</v>
      </c>
      <c r="CW40" s="240" t="s">
        <v>1107</v>
      </c>
      <c r="CX40" s="240" t="s">
        <v>232</v>
      </c>
      <c r="CY40" s="240" t="s">
        <v>232</v>
      </c>
      <c r="CZ40" s="240" t="s">
        <v>1107</v>
      </c>
      <c r="DA40" s="240" t="s">
        <v>232</v>
      </c>
      <c r="DB40" s="240" t="s">
        <v>232</v>
      </c>
      <c r="DC40" s="240" t="s">
        <v>1107</v>
      </c>
      <c r="DD40" s="240" t="s">
        <v>232</v>
      </c>
      <c r="DE40" s="240" t="s">
        <v>1107</v>
      </c>
      <c r="DF40" s="240" t="s">
        <v>1107</v>
      </c>
      <c r="DG40" s="240" t="s">
        <v>1107</v>
      </c>
      <c r="DH40" s="240" t="s">
        <v>1107</v>
      </c>
      <c r="DI40" s="240" t="s">
        <v>1107</v>
      </c>
      <c r="DJ40" s="240" t="s">
        <v>1107</v>
      </c>
      <c r="DK40" s="240" t="s">
        <v>1107</v>
      </c>
      <c r="DL40" s="240" t="s">
        <v>1107</v>
      </c>
      <c r="DM40" s="240" t="s">
        <v>1107</v>
      </c>
      <c r="DN40" s="240" t="s">
        <v>1107</v>
      </c>
      <c r="DO40" s="240" t="s">
        <v>1107</v>
      </c>
      <c r="DP40" s="240" t="s">
        <v>1107</v>
      </c>
      <c r="DQ40" s="240" t="s">
        <v>1107</v>
      </c>
      <c r="DR40" s="240" t="s">
        <v>1107</v>
      </c>
      <c r="DS40" s="240" t="s">
        <v>232</v>
      </c>
      <c r="DT40" s="240" t="s">
        <v>232</v>
      </c>
      <c r="DU40" s="240" t="s">
        <v>232</v>
      </c>
      <c r="DV40" s="240" t="s">
        <v>232</v>
      </c>
      <c r="DW40" s="240" t="s">
        <v>232</v>
      </c>
      <c r="DX40" s="240" t="s">
        <v>231</v>
      </c>
      <c r="DY40" s="240" t="s">
        <v>232</v>
      </c>
      <c r="DZ40" s="240" t="s">
        <v>232</v>
      </c>
      <c r="EA40" s="240" t="s">
        <v>1107</v>
      </c>
      <c r="EB40" s="240" t="s">
        <v>1107</v>
      </c>
      <c r="EC40" s="240" t="s">
        <v>1107</v>
      </c>
      <c r="ED40" s="240" t="s">
        <v>232</v>
      </c>
      <c r="EE40" s="240" t="s">
        <v>232</v>
      </c>
      <c r="EF40" s="240" t="s">
        <v>1107</v>
      </c>
      <c r="EG40" s="240" t="s">
        <v>232</v>
      </c>
      <c r="EH40" s="240" t="s">
        <v>232</v>
      </c>
      <c r="EI40" s="240" t="s">
        <v>1107</v>
      </c>
      <c r="EJ40" s="240" t="s">
        <v>232</v>
      </c>
      <c r="EK40" s="240" t="s">
        <v>232</v>
      </c>
      <c r="EL40" s="240" t="s">
        <v>232</v>
      </c>
      <c r="EM40" s="240" t="s">
        <v>232</v>
      </c>
      <c r="EN40" s="240" t="s">
        <v>232</v>
      </c>
      <c r="EO40" s="240" t="s">
        <v>232</v>
      </c>
      <c r="EP40" s="240" t="s">
        <v>1107</v>
      </c>
      <c r="EQ40" s="240" t="s">
        <v>1107</v>
      </c>
      <c r="ER40" s="240" t="s">
        <v>1107</v>
      </c>
      <c r="ES40" s="240" t="s">
        <v>1107</v>
      </c>
      <c r="ET40" s="240" t="s">
        <v>1107</v>
      </c>
      <c r="EU40" s="240" t="s">
        <v>1107</v>
      </c>
      <c r="EV40" s="240" t="s">
        <v>1107</v>
      </c>
      <c r="EW40" s="240" t="s">
        <v>1107</v>
      </c>
      <c r="EX40" s="240" t="s">
        <v>1107</v>
      </c>
      <c r="EY40" s="240" t="s">
        <v>1107</v>
      </c>
      <c r="EZ40" s="240" t="s">
        <v>1107</v>
      </c>
      <c r="FA40" s="240" t="s">
        <v>1107</v>
      </c>
      <c r="FB40" s="240" t="s">
        <v>1107</v>
      </c>
      <c r="FC40" s="240" t="s">
        <v>1107</v>
      </c>
      <c r="FD40" s="240" t="s">
        <v>1107</v>
      </c>
      <c r="FE40" s="240" t="s">
        <v>1107</v>
      </c>
      <c r="FF40" s="240" t="s">
        <v>1107</v>
      </c>
      <c r="FG40" s="240" t="s">
        <v>1107</v>
      </c>
      <c r="FH40" s="240" t="s">
        <v>1107</v>
      </c>
      <c r="FI40" s="240" t="s">
        <v>1107</v>
      </c>
      <c r="FJ40" s="240" t="s">
        <v>1107</v>
      </c>
      <c r="FK40" s="240" t="s">
        <v>1107</v>
      </c>
      <c r="FL40" s="240" t="s">
        <v>1107</v>
      </c>
      <c r="FM40" s="240" t="s">
        <v>1107</v>
      </c>
      <c r="FN40" s="240" t="s">
        <v>1107</v>
      </c>
      <c r="FO40" s="240" t="s">
        <v>1107</v>
      </c>
      <c r="FP40" s="240" t="s">
        <v>1107</v>
      </c>
      <c r="FQ40" s="240" t="s">
        <v>1107</v>
      </c>
      <c r="FR40" s="240" t="s">
        <v>1107</v>
      </c>
      <c r="FS40" s="240" t="s">
        <v>1107</v>
      </c>
      <c r="FT40" s="240" t="s">
        <v>1107</v>
      </c>
      <c r="FU40" s="240" t="s">
        <v>1107</v>
      </c>
      <c r="FV40" s="240" t="s">
        <v>1107</v>
      </c>
      <c r="FW40" s="240" t="s">
        <v>1107</v>
      </c>
      <c r="FX40" s="240" t="s">
        <v>1107</v>
      </c>
      <c r="FY40" s="240" t="s">
        <v>1107</v>
      </c>
      <c r="FZ40" s="240" t="s">
        <v>232</v>
      </c>
      <c r="GA40" s="240" t="s">
        <v>1107</v>
      </c>
      <c r="GB40" s="240" t="s">
        <v>1107</v>
      </c>
      <c r="GC40" s="240" t="s">
        <v>232</v>
      </c>
      <c r="GD40" s="240" t="s">
        <v>1107</v>
      </c>
      <c r="GE40" s="240" t="s">
        <v>1107</v>
      </c>
      <c r="GF40" s="240" t="s">
        <v>1107</v>
      </c>
      <c r="GG40" s="240" t="s">
        <v>1107</v>
      </c>
      <c r="GH40" s="240" t="s">
        <v>1107</v>
      </c>
      <c r="GI40" s="240" t="s">
        <v>1107</v>
      </c>
      <c r="GJ40" s="240" t="s">
        <v>1107</v>
      </c>
      <c r="GK40" s="240" t="s">
        <v>1107</v>
      </c>
      <c r="GL40" s="240" t="s">
        <v>1107</v>
      </c>
      <c r="GM40" s="240" t="s">
        <v>1107</v>
      </c>
      <c r="GN40" s="240" t="s">
        <v>1107</v>
      </c>
      <c r="GO40" s="240" t="s">
        <v>1107</v>
      </c>
      <c r="GP40" s="240" t="s">
        <v>1107</v>
      </c>
      <c r="GQ40" s="240" t="s">
        <v>1107</v>
      </c>
      <c r="GR40" s="240" t="s">
        <v>1107</v>
      </c>
      <c r="GS40" s="240" t="s">
        <v>1107</v>
      </c>
      <c r="GT40" s="240" t="s">
        <v>1107</v>
      </c>
      <c r="GU40" s="240" t="s">
        <v>1107</v>
      </c>
      <c r="GV40" s="240" t="s">
        <v>1107</v>
      </c>
      <c r="GW40" s="240" t="s">
        <v>1107</v>
      </c>
      <c r="GX40" s="240" t="s">
        <v>1107</v>
      </c>
      <c r="GY40" s="240" t="s">
        <v>1107</v>
      </c>
      <c r="GZ40" s="240" t="s">
        <v>1107</v>
      </c>
      <c r="HA40" s="240" t="s">
        <v>1107</v>
      </c>
      <c r="HB40" s="240" t="s">
        <v>1107</v>
      </c>
      <c r="HC40" s="240" t="s">
        <v>1107</v>
      </c>
      <c r="HD40" s="240" t="s">
        <v>1107</v>
      </c>
      <c r="HE40" s="240" t="s">
        <v>1107</v>
      </c>
      <c r="HF40" s="240" t="s">
        <v>1107</v>
      </c>
      <c r="HG40" s="240" t="s">
        <v>1107</v>
      </c>
      <c r="HH40" s="240" t="s">
        <v>1107</v>
      </c>
      <c r="HI40" s="240" t="s">
        <v>1107</v>
      </c>
      <c r="HJ40" s="240" t="s">
        <v>1107</v>
      </c>
      <c r="HK40" s="240" t="s">
        <v>1107</v>
      </c>
      <c r="HL40" s="240" t="s">
        <v>1107</v>
      </c>
      <c r="HM40" s="240" t="s">
        <v>1107</v>
      </c>
      <c r="HN40" s="240" t="s">
        <v>1107</v>
      </c>
      <c r="HO40" s="240" t="s">
        <v>1107</v>
      </c>
      <c r="HP40" s="240" t="s">
        <v>1107</v>
      </c>
      <c r="HQ40" s="240" t="s">
        <v>1107</v>
      </c>
      <c r="HR40" s="240" t="s">
        <v>1107</v>
      </c>
      <c r="HS40" s="240" t="s">
        <v>1107</v>
      </c>
      <c r="HT40" s="240" t="s">
        <v>232</v>
      </c>
      <c r="HU40" s="240" t="s">
        <v>232</v>
      </c>
      <c r="HV40" s="240" t="s">
        <v>232</v>
      </c>
      <c r="HW40" s="240" t="s">
        <v>232</v>
      </c>
      <c r="HX40" s="240" t="s">
        <v>220</v>
      </c>
      <c r="HY40" s="240" t="s">
        <v>493</v>
      </c>
      <c r="HZ40" s="240" t="s">
        <v>219</v>
      </c>
      <c r="IA40" s="240" t="s">
        <v>490</v>
      </c>
      <c r="IB40" s="240" t="s">
        <v>1107</v>
      </c>
      <c r="IC40" s="240" t="s">
        <v>1107</v>
      </c>
    </row>
    <row r="41" spans="1:237" ht="15" x14ac:dyDescent="0.25">
      <c r="A41" s="243" t="str">
        <f>HYPERLINK("http://www.ofsted.gov.uk/inspection-reports/find-inspection-report/provider/ELS/141128 ","Ofsted School Webpage")</f>
        <v>Ofsted School Webpage</v>
      </c>
      <c r="B41" s="237">
        <v>141128</v>
      </c>
      <c r="C41" s="237">
        <v>8616012</v>
      </c>
      <c r="D41" s="237" t="s">
        <v>1190</v>
      </c>
      <c r="E41" s="237" t="s">
        <v>247</v>
      </c>
      <c r="F41" s="237" t="s">
        <v>502</v>
      </c>
      <c r="G41" s="237" t="s">
        <v>502</v>
      </c>
      <c r="H41" s="237" t="s">
        <v>655</v>
      </c>
      <c r="I41" s="237" t="s">
        <v>1191</v>
      </c>
      <c r="J41" s="237" t="s">
        <v>93</v>
      </c>
      <c r="K41" s="237" t="s">
        <v>93</v>
      </c>
      <c r="L41" s="237" t="s">
        <v>93</v>
      </c>
      <c r="M41" s="237" t="s">
        <v>90</v>
      </c>
      <c r="N41" s="237" t="s">
        <v>486</v>
      </c>
      <c r="O41" s="237" t="s">
        <v>487</v>
      </c>
      <c r="P41" s="237">
        <v>10078866</v>
      </c>
      <c r="Q41" s="239">
        <v>43382</v>
      </c>
      <c r="R41" s="239">
        <v>43382</v>
      </c>
      <c r="S41" s="239">
        <v>43410</v>
      </c>
      <c r="T41" s="237" t="s">
        <v>1104</v>
      </c>
      <c r="U41" s="237" t="s">
        <v>1105</v>
      </c>
      <c r="V41" s="237" t="s">
        <v>490</v>
      </c>
      <c r="W41" s="237" t="s">
        <v>486</v>
      </c>
      <c r="X41" s="237" t="s">
        <v>486</v>
      </c>
      <c r="Y41" s="237" t="s">
        <v>486</v>
      </c>
      <c r="Z41" s="237" t="s">
        <v>486</v>
      </c>
      <c r="AA41" s="237" t="s">
        <v>486</v>
      </c>
      <c r="AB41" s="237" t="s">
        <v>486</v>
      </c>
      <c r="AC41" s="237" t="s">
        <v>486</v>
      </c>
      <c r="AD41" s="237" t="s">
        <v>1106</v>
      </c>
      <c r="AE41" s="237" t="s">
        <v>1107</v>
      </c>
      <c r="AF41" s="237" t="s">
        <v>1107</v>
      </c>
      <c r="AG41" s="237" t="s">
        <v>1107</v>
      </c>
      <c r="AH41" s="237" t="s">
        <v>1107</v>
      </c>
      <c r="AI41" s="237" t="s">
        <v>1107</v>
      </c>
      <c r="AJ41" s="237" t="s">
        <v>1107</v>
      </c>
      <c r="AK41" s="237" t="s">
        <v>1107</v>
      </c>
      <c r="AL41" s="237" t="s">
        <v>1107</v>
      </c>
      <c r="AM41" s="237" t="s">
        <v>1107</v>
      </c>
      <c r="AN41" s="237" t="s">
        <v>1107</v>
      </c>
      <c r="AO41" s="237" t="s">
        <v>1107</v>
      </c>
      <c r="AP41" s="237" t="s">
        <v>1107</v>
      </c>
      <c r="AQ41" s="237" t="s">
        <v>1107</v>
      </c>
      <c r="AR41" s="237" t="s">
        <v>1107</v>
      </c>
      <c r="AS41" s="237" t="s">
        <v>1107</v>
      </c>
      <c r="AT41" s="237" t="s">
        <v>1107</v>
      </c>
      <c r="AU41" s="237" t="s">
        <v>1107</v>
      </c>
      <c r="AV41" s="237" t="s">
        <v>1107</v>
      </c>
      <c r="AW41" s="237" t="s">
        <v>1107</v>
      </c>
      <c r="AX41" s="237" t="s">
        <v>1107</v>
      </c>
      <c r="AY41" s="237" t="s">
        <v>1107</v>
      </c>
      <c r="AZ41" s="237" t="s">
        <v>1107</v>
      </c>
      <c r="BA41" s="237" t="s">
        <v>1107</v>
      </c>
      <c r="BB41" s="237" t="s">
        <v>1107</v>
      </c>
      <c r="BC41" s="237" t="s">
        <v>1107</v>
      </c>
      <c r="BD41" s="237" t="s">
        <v>1107</v>
      </c>
      <c r="BE41" s="237" t="s">
        <v>1107</v>
      </c>
      <c r="BF41" s="237" t="s">
        <v>1107</v>
      </c>
      <c r="BG41" s="237" t="s">
        <v>1107</v>
      </c>
      <c r="BH41" s="237" t="s">
        <v>1107</v>
      </c>
      <c r="BI41" s="237" t="s">
        <v>1107</v>
      </c>
      <c r="BJ41" s="237" t="s">
        <v>1107</v>
      </c>
      <c r="BK41" s="237" t="s">
        <v>1107</v>
      </c>
      <c r="BL41" s="237" t="s">
        <v>1107</v>
      </c>
      <c r="BM41" s="237" t="s">
        <v>1107</v>
      </c>
      <c r="BN41" s="237" t="s">
        <v>1107</v>
      </c>
      <c r="BO41" s="237" t="s">
        <v>1107</v>
      </c>
      <c r="BP41" s="237" t="s">
        <v>1107</v>
      </c>
      <c r="BQ41" s="237" t="s">
        <v>1107</v>
      </c>
      <c r="BR41" s="237" t="s">
        <v>1107</v>
      </c>
      <c r="BS41" s="237" t="s">
        <v>1107</v>
      </c>
      <c r="BT41" s="237" t="s">
        <v>1107</v>
      </c>
      <c r="BU41" s="237" t="s">
        <v>1107</v>
      </c>
      <c r="BV41" s="237" t="s">
        <v>1107</v>
      </c>
      <c r="BW41" s="237" t="s">
        <v>1107</v>
      </c>
      <c r="BX41" s="237" t="s">
        <v>1107</v>
      </c>
      <c r="BY41" s="237" t="s">
        <v>1107</v>
      </c>
      <c r="BZ41" s="237" t="s">
        <v>231</v>
      </c>
      <c r="CA41" s="237" t="s">
        <v>231</v>
      </c>
      <c r="CB41" s="237" t="s">
        <v>231</v>
      </c>
      <c r="CC41" s="237" t="s">
        <v>1107</v>
      </c>
      <c r="CD41" s="237" t="s">
        <v>1107</v>
      </c>
      <c r="CE41" s="237" t="s">
        <v>1107</v>
      </c>
      <c r="CF41" s="237" t="s">
        <v>1107</v>
      </c>
      <c r="CG41" s="237" t="s">
        <v>1107</v>
      </c>
      <c r="CH41" s="237" t="s">
        <v>1107</v>
      </c>
      <c r="CI41" s="237" t="s">
        <v>1107</v>
      </c>
      <c r="CJ41" s="237" t="s">
        <v>1107</v>
      </c>
      <c r="CK41" s="237" t="s">
        <v>231</v>
      </c>
      <c r="CL41" s="237" t="s">
        <v>231</v>
      </c>
      <c r="CM41" s="237" t="s">
        <v>1107</v>
      </c>
      <c r="CN41" s="237" t="s">
        <v>231</v>
      </c>
      <c r="CO41" s="237" t="s">
        <v>1107</v>
      </c>
      <c r="CP41" s="237" t="s">
        <v>231</v>
      </c>
      <c r="CQ41" s="237" t="s">
        <v>231</v>
      </c>
      <c r="CR41" s="237" t="s">
        <v>231</v>
      </c>
      <c r="CS41" s="237" t="s">
        <v>231</v>
      </c>
      <c r="CT41" s="237" t="s">
        <v>231</v>
      </c>
      <c r="CU41" s="237" t="s">
        <v>231</v>
      </c>
      <c r="CV41" s="237" t="s">
        <v>231</v>
      </c>
      <c r="CW41" s="237" t="s">
        <v>231</v>
      </c>
      <c r="CX41" s="237" t="s">
        <v>231</v>
      </c>
      <c r="CY41" s="237" t="s">
        <v>231</v>
      </c>
      <c r="CZ41" s="237" t="s">
        <v>231</v>
      </c>
      <c r="DA41" s="237" t="s">
        <v>231</v>
      </c>
      <c r="DB41" s="237" t="s">
        <v>231</v>
      </c>
      <c r="DC41" s="237" t="s">
        <v>492</v>
      </c>
      <c r="DD41" s="237" t="s">
        <v>231</v>
      </c>
      <c r="DE41" s="237" t="s">
        <v>231</v>
      </c>
      <c r="DF41" s="237" t="s">
        <v>231</v>
      </c>
      <c r="DG41" s="237" t="s">
        <v>231</v>
      </c>
      <c r="DH41" s="237" t="s">
        <v>231</v>
      </c>
      <c r="DI41" s="237" t="s">
        <v>231</v>
      </c>
      <c r="DJ41" s="237" t="s">
        <v>231</v>
      </c>
      <c r="DK41" s="237" t="s">
        <v>231</v>
      </c>
      <c r="DL41" s="237" t="s">
        <v>231</v>
      </c>
      <c r="DM41" s="237" t="s">
        <v>231</v>
      </c>
      <c r="DN41" s="237" t="s">
        <v>231</v>
      </c>
      <c r="DO41" s="237" t="s">
        <v>231</v>
      </c>
      <c r="DP41" s="237" t="s">
        <v>231</v>
      </c>
      <c r="DQ41" s="237" t="s">
        <v>492</v>
      </c>
      <c r="DR41" s="237" t="s">
        <v>231</v>
      </c>
      <c r="DS41" s="237" t="s">
        <v>231</v>
      </c>
      <c r="DT41" s="237" t="s">
        <v>231</v>
      </c>
      <c r="DU41" s="237" t="s">
        <v>231</v>
      </c>
      <c r="DV41" s="237" t="s">
        <v>231</v>
      </c>
      <c r="DW41" s="237" t="s">
        <v>231</v>
      </c>
      <c r="DX41" s="237" t="s">
        <v>231</v>
      </c>
      <c r="DY41" s="237" t="s">
        <v>231</v>
      </c>
      <c r="DZ41" s="237" t="s">
        <v>231</v>
      </c>
      <c r="EA41" s="237" t="s">
        <v>231</v>
      </c>
      <c r="EB41" s="237" t="s">
        <v>231</v>
      </c>
      <c r="EC41" s="237" t="s">
        <v>231</v>
      </c>
      <c r="ED41" s="237" t="s">
        <v>231</v>
      </c>
      <c r="EE41" s="237" t="s">
        <v>231</v>
      </c>
      <c r="EF41" s="237" t="s">
        <v>231</v>
      </c>
      <c r="EG41" s="237" t="s">
        <v>231</v>
      </c>
      <c r="EH41" s="237" t="s">
        <v>231</v>
      </c>
      <c r="EI41" s="237" t="s">
        <v>231</v>
      </c>
      <c r="EJ41" s="237" t="s">
        <v>231</v>
      </c>
      <c r="EK41" s="237" t="s">
        <v>231</v>
      </c>
      <c r="EL41" s="237" t="s">
        <v>231</v>
      </c>
      <c r="EM41" s="237" t="s">
        <v>231</v>
      </c>
      <c r="EN41" s="237" t="s">
        <v>231</v>
      </c>
      <c r="EO41" s="237" t="s">
        <v>231</v>
      </c>
      <c r="EP41" s="237" t="s">
        <v>231</v>
      </c>
      <c r="EQ41" s="237" t="s">
        <v>231</v>
      </c>
      <c r="ER41" s="237" t="s">
        <v>231</v>
      </c>
      <c r="ES41" s="237" t="s">
        <v>231</v>
      </c>
      <c r="ET41" s="237" t="s">
        <v>231</v>
      </c>
      <c r="EU41" s="237" t="s">
        <v>231</v>
      </c>
      <c r="EV41" s="237" t="s">
        <v>231</v>
      </c>
      <c r="EW41" s="237" t="s">
        <v>492</v>
      </c>
      <c r="EX41" s="237" t="s">
        <v>492</v>
      </c>
      <c r="EY41" s="237" t="s">
        <v>492</v>
      </c>
      <c r="EZ41" s="237" t="s">
        <v>231</v>
      </c>
      <c r="FA41" s="237" t="s">
        <v>231</v>
      </c>
      <c r="FB41" s="237" t="s">
        <v>231</v>
      </c>
      <c r="FC41" s="237" t="s">
        <v>231</v>
      </c>
      <c r="FD41" s="237" t="s">
        <v>231</v>
      </c>
      <c r="FE41" s="237" t="s">
        <v>231</v>
      </c>
      <c r="FF41" s="237" t="s">
        <v>231</v>
      </c>
      <c r="FG41" s="237" t="s">
        <v>231</v>
      </c>
      <c r="FH41" s="237" t="s">
        <v>231</v>
      </c>
      <c r="FI41" s="237" t="s">
        <v>231</v>
      </c>
      <c r="FJ41" s="237" t="s">
        <v>231</v>
      </c>
      <c r="FK41" s="237" t="s">
        <v>231</v>
      </c>
      <c r="FL41" s="237" t="s">
        <v>231</v>
      </c>
      <c r="FM41" s="237" t="s">
        <v>231</v>
      </c>
      <c r="FN41" s="237" t="s">
        <v>231</v>
      </c>
      <c r="FO41" s="237" t="s">
        <v>231</v>
      </c>
      <c r="FP41" s="237" t="s">
        <v>231</v>
      </c>
      <c r="FQ41" s="237" t="s">
        <v>231</v>
      </c>
      <c r="FR41" s="237" t="s">
        <v>231</v>
      </c>
      <c r="FS41" s="237" t="s">
        <v>231</v>
      </c>
      <c r="FT41" s="237" t="s">
        <v>231</v>
      </c>
      <c r="FU41" s="237" t="s">
        <v>231</v>
      </c>
      <c r="FV41" s="237" t="s">
        <v>231</v>
      </c>
      <c r="FW41" s="237" t="s">
        <v>231</v>
      </c>
      <c r="FX41" s="237" t="s">
        <v>231</v>
      </c>
      <c r="FY41" s="237" t="s">
        <v>492</v>
      </c>
      <c r="FZ41" s="237" t="s">
        <v>231</v>
      </c>
      <c r="GA41" s="237" t="s">
        <v>1107</v>
      </c>
      <c r="GB41" s="237" t="s">
        <v>1107</v>
      </c>
      <c r="GC41" s="237" t="s">
        <v>231</v>
      </c>
      <c r="GD41" s="237" t="s">
        <v>1107</v>
      </c>
      <c r="GE41" s="237" t="s">
        <v>1107</v>
      </c>
      <c r="GF41" s="237" t="s">
        <v>1107</v>
      </c>
      <c r="GG41" s="237" t="s">
        <v>1107</v>
      </c>
      <c r="GH41" s="237" t="s">
        <v>1107</v>
      </c>
      <c r="GI41" s="237" t="s">
        <v>1107</v>
      </c>
      <c r="GJ41" s="237" t="s">
        <v>1107</v>
      </c>
      <c r="GK41" s="237" t="s">
        <v>1107</v>
      </c>
      <c r="GL41" s="237" t="s">
        <v>1107</v>
      </c>
      <c r="GM41" s="237" t="s">
        <v>1107</v>
      </c>
      <c r="GN41" s="237" t="s">
        <v>1107</v>
      </c>
      <c r="GO41" s="237" t="s">
        <v>1107</v>
      </c>
      <c r="GP41" s="237" t="s">
        <v>1107</v>
      </c>
      <c r="GQ41" s="237" t="s">
        <v>1107</v>
      </c>
      <c r="GR41" s="237" t="s">
        <v>1107</v>
      </c>
      <c r="GS41" s="237" t="s">
        <v>1107</v>
      </c>
      <c r="GT41" s="237" t="s">
        <v>1107</v>
      </c>
      <c r="GU41" s="237" t="s">
        <v>1107</v>
      </c>
      <c r="GV41" s="237" t="s">
        <v>1107</v>
      </c>
      <c r="GW41" s="237" t="s">
        <v>1107</v>
      </c>
      <c r="GX41" s="237" t="s">
        <v>1107</v>
      </c>
      <c r="GY41" s="237" t="s">
        <v>1107</v>
      </c>
      <c r="GZ41" s="237" t="s">
        <v>1107</v>
      </c>
      <c r="HA41" s="237" t="s">
        <v>1107</v>
      </c>
      <c r="HB41" s="237" t="s">
        <v>1107</v>
      </c>
      <c r="HC41" s="237" t="s">
        <v>1107</v>
      </c>
      <c r="HD41" s="237" t="s">
        <v>1107</v>
      </c>
      <c r="HE41" s="237" t="s">
        <v>1107</v>
      </c>
      <c r="HF41" s="237" t="s">
        <v>1107</v>
      </c>
      <c r="HG41" s="237" t="s">
        <v>1107</v>
      </c>
      <c r="HH41" s="237" t="s">
        <v>1107</v>
      </c>
      <c r="HI41" s="237" t="s">
        <v>1107</v>
      </c>
      <c r="HJ41" s="237" t="s">
        <v>1107</v>
      </c>
      <c r="HK41" s="237" t="s">
        <v>1107</v>
      </c>
      <c r="HL41" s="237" t="s">
        <v>1107</v>
      </c>
      <c r="HM41" s="237" t="s">
        <v>1107</v>
      </c>
      <c r="HN41" s="237" t="s">
        <v>1107</v>
      </c>
      <c r="HO41" s="237" t="s">
        <v>1107</v>
      </c>
      <c r="HP41" s="237" t="s">
        <v>1107</v>
      </c>
      <c r="HQ41" s="237" t="s">
        <v>1107</v>
      </c>
      <c r="HR41" s="237" t="s">
        <v>1107</v>
      </c>
      <c r="HS41" s="237" t="s">
        <v>1107</v>
      </c>
      <c r="HT41" s="237" t="s">
        <v>231</v>
      </c>
      <c r="HU41" s="237" t="s">
        <v>231</v>
      </c>
      <c r="HV41" s="237" t="s">
        <v>231</v>
      </c>
      <c r="HW41" s="237" t="s">
        <v>231</v>
      </c>
      <c r="HX41" s="237" t="s">
        <v>220</v>
      </c>
      <c r="HY41" s="237" t="s">
        <v>493</v>
      </c>
      <c r="HZ41" s="237" t="s">
        <v>219</v>
      </c>
      <c r="IA41" s="237" t="s">
        <v>490</v>
      </c>
      <c r="IB41" s="237" t="s">
        <v>1107</v>
      </c>
      <c r="IC41" s="237" t="s">
        <v>1107</v>
      </c>
    </row>
    <row r="42" spans="1:237" ht="15" x14ac:dyDescent="0.25">
      <c r="A42" s="244" t="str">
        <f>HYPERLINK("http://www.ofsted.gov.uk/inspection-reports/find-inspection-report/provider/ELS/143429 ","Ofsted School Webpage")</f>
        <v>Ofsted School Webpage</v>
      </c>
      <c r="B42" s="240">
        <v>143429</v>
      </c>
      <c r="C42" s="240">
        <v>8076001</v>
      </c>
      <c r="D42" s="240" t="s">
        <v>1192</v>
      </c>
      <c r="E42" s="240" t="s">
        <v>247</v>
      </c>
      <c r="F42" s="240" t="s">
        <v>523</v>
      </c>
      <c r="G42" s="240" t="s">
        <v>539</v>
      </c>
      <c r="H42" s="240" t="s">
        <v>1193</v>
      </c>
      <c r="I42" s="240" t="s">
        <v>1194</v>
      </c>
      <c r="J42" s="240" t="s">
        <v>93</v>
      </c>
      <c r="K42" s="240" t="s">
        <v>93</v>
      </c>
      <c r="L42" s="240" t="s">
        <v>93</v>
      </c>
      <c r="M42" s="240" t="s">
        <v>90</v>
      </c>
      <c r="N42" s="240" t="s">
        <v>486</v>
      </c>
      <c r="O42" s="240" t="s">
        <v>487</v>
      </c>
      <c r="P42" s="240">
        <v>10077967</v>
      </c>
      <c r="Q42" s="242">
        <v>43382</v>
      </c>
      <c r="R42" s="242">
        <v>43382</v>
      </c>
      <c r="S42" s="242">
        <v>43422</v>
      </c>
      <c r="T42" s="240" t="s">
        <v>1104</v>
      </c>
      <c r="U42" s="240" t="s">
        <v>1105</v>
      </c>
      <c r="V42" s="240" t="s">
        <v>512</v>
      </c>
      <c r="W42" s="240" t="s">
        <v>486</v>
      </c>
      <c r="X42" s="240" t="s">
        <v>486</v>
      </c>
      <c r="Y42" s="240" t="s">
        <v>486</v>
      </c>
      <c r="Z42" s="240" t="s">
        <v>490</v>
      </c>
      <c r="AA42" s="240" t="s">
        <v>486</v>
      </c>
      <c r="AB42" s="240" t="s">
        <v>490</v>
      </c>
      <c r="AC42" s="240" t="s">
        <v>486</v>
      </c>
      <c r="AD42" s="240" t="s">
        <v>1106</v>
      </c>
      <c r="AE42" s="240" t="s">
        <v>1107</v>
      </c>
      <c r="AF42" s="240" t="s">
        <v>1107</v>
      </c>
      <c r="AG42" s="240" t="s">
        <v>1107</v>
      </c>
      <c r="AH42" s="240" t="s">
        <v>1107</v>
      </c>
      <c r="AI42" s="240" t="s">
        <v>1107</v>
      </c>
      <c r="AJ42" s="240" t="s">
        <v>1107</v>
      </c>
      <c r="AK42" s="240" t="s">
        <v>1107</v>
      </c>
      <c r="AL42" s="240" t="s">
        <v>1107</v>
      </c>
      <c r="AM42" s="240" t="s">
        <v>1107</v>
      </c>
      <c r="AN42" s="240" t="s">
        <v>1107</v>
      </c>
      <c r="AO42" s="240" t="s">
        <v>1107</v>
      </c>
      <c r="AP42" s="240" t="s">
        <v>1107</v>
      </c>
      <c r="AQ42" s="240" t="s">
        <v>1107</v>
      </c>
      <c r="AR42" s="240" t="s">
        <v>1107</v>
      </c>
      <c r="AS42" s="240" t="s">
        <v>1107</v>
      </c>
      <c r="AT42" s="240" t="s">
        <v>1107</v>
      </c>
      <c r="AU42" s="240" t="s">
        <v>1107</v>
      </c>
      <c r="AV42" s="240" t="s">
        <v>1107</v>
      </c>
      <c r="AW42" s="240" t="s">
        <v>1107</v>
      </c>
      <c r="AX42" s="240" t="s">
        <v>1107</v>
      </c>
      <c r="AY42" s="240" t="s">
        <v>1107</v>
      </c>
      <c r="AZ42" s="240" t="s">
        <v>1107</v>
      </c>
      <c r="BA42" s="240" t="s">
        <v>1107</v>
      </c>
      <c r="BB42" s="240" t="s">
        <v>1107</v>
      </c>
      <c r="BC42" s="240" t="s">
        <v>1107</v>
      </c>
      <c r="BD42" s="240" t="s">
        <v>1107</v>
      </c>
      <c r="BE42" s="240" t="s">
        <v>1107</v>
      </c>
      <c r="BF42" s="240" t="s">
        <v>1107</v>
      </c>
      <c r="BG42" s="240" t="s">
        <v>1107</v>
      </c>
      <c r="BH42" s="240" t="s">
        <v>1107</v>
      </c>
      <c r="BI42" s="240" t="s">
        <v>1107</v>
      </c>
      <c r="BJ42" s="240" t="s">
        <v>1107</v>
      </c>
      <c r="BK42" s="240" t="s">
        <v>1107</v>
      </c>
      <c r="BL42" s="240" t="s">
        <v>1107</v>
      </c>
      <c r="BM42" s="240" t="s">
        <v>1107</v>
      </c>
      <c r="BN42" s="240" t="s">
        <v>1107</v>
      </c>
      <c r="BO42" s="240" t="s">
        <v>1107</v>
      </c>
      <c r="BP42" s="240" t="s">
        <v>1107</v>
      </c>
      <c r="BQ42" s="240" t="s">
        <v>1107</v>
      </c>
      <c r="BR42" s="240" t="s">
        <v>1107</v>
      </c>
      <c r="BS42" s="240" t="s">
        <v>1107</v>
      </c>
      <c r="BT42" s="240" t="s">
        <v>1107</v>
      </c>
      <c r="BU42" s="240" t="s">
        <v>1107</v>
      </c>
      <c r="BV42" s="240" t="s">
        <v>1107</v>
      </c>
      <c r="BW42" s="240" t="s">
        <v>1107</v>
      </c>
      <c r="BX42" s="240" t="s">
        <v>1107</v>
      </c>
      <c r="BY42" s="240" t="s">
        <v>1107</v>
      </c>
      <c r="BZ42" s="240" t="s">
        <v>231</v>
      </c>
      <c r="CA42" s="240" t="s">
        <v>231</v>
      </c>
      <c r="CB42" s="240" t="s">
        <v>231</v>
      </c>
      <c r="CC42" s="240" t="s">
        <v>492</v>
      </c>
      <c r="CD42" s="240" t="s">
        <v>492</v>
      </c>
      <c r="CE42" s="240" t="s">
        <v>492</v>
      </c>
      <c r="CF42" s="240" t="s">
        <v>231</v>
      </c>
      <c r="CG42" s="240" t="s">
        <v>231</v>
      </c>
      <c r="CH42" s="240" t="s">
        <v>231</v>
      </c>
      <c r="CI42" s="240" t="s">
        <v>231</v>
      </c>
      <c r="CJ42" s="240" t="s">
        <v>231</v>
      </c>
      <c r="CK42" s="240" t="s">
        <v>231</v>
      </c>
      <c r="CL42" s="240" t="s">
        <v>231</v>
      </c>
      <c r="CM42" s="240" t="s">
        <v>231</v>
      </c>
      <c r="CN42" s="240" t="s">
        <v>231</v>
      </c>
      <c r="CO42" s="240" t="s">
        <v>231</v>
      </c>
      <c r="CP42" s="240" t="s">
        <v>231</v>
      </c>
      <c r="CQ42" s="240" t="s">
        <v>231</v>
      </c>
      <c r="CR42" s="240" t="s">
        <v>231</v>
      </c>
      <c r="CS42" s="240" t="s">
        <v>1107</v>
      </c>
      <c r="CT42" s="240" t="s">
        <v>1107</v>
      </c>
      <c r="CU42" s="240" t="s">
        <v>1107</v>
      </c>
      <c r="CV42" s="240" t="s">
        <v>1107</v>
      </c>
      <c r="CW42" s="240" t="s">
        <v>1107</v>
      </c>
      <c r="CX42" s="240" t="s">
        <v>1107</v>
      </c>
      <c r="CY42" s="240" t="s">
        <v>1107</v>
      </c>
      <c r="CZ42" s="240" t="s">
        <v>1107</v>
      </c>
      <c r="DA42" s="240" t="s">
        <v>1107</v>
      </c>
      <c r="DB42" s="240" t="s">
        <v>1107</v>
      </c>
      <c r="DC42" s="240" t="s">
        <v>1107</v>
      </c>
      <c r="DD42" s="240" t="s">
        <v>1107</v>
      </c>
      <c r="DE42" s="240" t="s">
        <v>1107</v>
      </c>
      <c r="DF42" s="240" t="s">
        <v>1107</v>
      </c>
      <c r="DG42" s="240" t="s">
        <v>1107</v>
      </c>
      <c r="DH42" s="240" t="s">
        <v>1107</v>
      </c>
      <c r="DI42" s="240" t="s">
        <v>1107</v>
      </c>
      <c r="DJ42" s="240" t="s">
        <v>1107</v>
      </c>
      <c r="DK42" s="240" t="s">
        <v>1107</v>
      </c>
      <c r="DL42" s="240" t="s">
        <v>1107</v>
      </c>
      <c r="DM42" s="240" t="s">
        <v>1107</v>
      </c>
      <c r="DN42" s="240" t="s">
        <v>1107</v>
      </c>
      <c r="DO42" s="240" t="s">
        <v>1107</v>
      </c>
      <c r="DP42" s="240" t="s">
        <v>1107</v>
      </c>
      <c r="DQ42" s="240" t="s">
        <v>1107</v>
      </c>
      <c r="DR42" s="240" t="s">
        <v>1107</v>
      </c>
      <c r="DS42" s="240" t="s">
        <v>1107</v>
      </c>
      <c r="DT42" s="240" t="s">
        <v>1107</v>
      </c>
      <c r="DU42" s="240" t="s">
        <v>1107</v>
      </c>
      <c r="DV42" s="240" t="s">
        <v>1107</v>
      </c>
      <c r="DW42" s="240" t="s">
        <v>1107</v>
      </c>
      <c r="DX42" s="240" t="s">
        <v>1107</v>
      </c>
      <c r="DY42" s="240" t="s">
        <v>1107</v>
      </c>
      <c r="DZ42" s="240" t="s">
        <v>1107</v>
      </c>
      <c r="EA42" s="240" t="s">
        <v>1107</v>
      </c>
      <c r="EB42" s="240" t="s">
        <v>1107</v>
      </c>
      <c r="EC42" s="240" t="s">
        <v>1107</v>
      </c>
      <c r="ED42" s="240" t="s">
        <v>1107</v>
      </c>
      <c r="EE42" s="240" t="s">
        <v>1107</v>
      </c>
      <c r="EF42" s="240" t="s">
        <v>1107</v>
      </c>
      <c r="EG42" s="240" t="s">
        <v>1107</v>
      </c>
      <c r="EH42" s="240" t="s">
        <v>1107</v>
      </c>
      <c r="EI42" s="240" t="s">
        <v>1107</v>
      </c>
      <c r="EJ42" s="240" t="s">
        <v>1107</v>
      </c>
      <c r="EK42" s="240" t="s">
        <v>1107</v>
      </c>
      <c r="EL42" s="240" t="s">
        <v>1107</v>
      </c>
      <c r="EM42" s="240" t="s">
        <v>1107</v>
      </c>
      <c r="EN42" s="240" t="s">
        <v>1107</v>
      </c>
      <c r="EO42" s="240" t="s">
        <v>1107</v>
      </c>
      <c r="EP42" s="240" t="s">
        <v>1107</v>
      </c>
      <c r="EQ42" s="240" t="s">
        <v>1107</v>
      </c>
      <c r="ER42" s="240" t="s">
        <v>1107</v>
      </c>
      <c r="ES42" s="240" t="s">
        <v>1107</v>
      </c>
      <c r="ET42" s="240" t="s">
        <v>1107</v>
      </c>
      <c r="EU42" s="240" t="s">
        <v>1107</v>
      </c>
      <c r="EV42" s="240" t="s">
        <v>1107</v>
      </c>
      <c r="EW42" s="240" t="s">
        <v>1107</v>
      </c>
      <c r="EX42" s="240" t="s">
        <v>1107</v>
      </c>
      <c r="EY42" s="240" t="s">
        <v>1107</v>
      </c>
      <c r="EZ42" s="240" t="s">
        <v>231</v>
      </c>
      <c r="FA42" s="240" t="s">
        <v>231</v>
      </c>
      <c r="FB42" s="240" t="s">
        <v>231</v>
      </c>
      <c r="FC42" s="240" t="s">
        <v>231</v>
      </c>
      <c r="FD42" s="240" t="s">
        <v>231</v>
      </c>
      <c r="FE42" s="240" t="s">
        <v>231</v>
      </c>
      <c r="FF42" s="240" t="s">
        <v>231</v>
      </c>
      <c r="FG42" s="240" t="s">
        <v>492</v>
      </c>
      <c r="FH42" s="240" t="s">
        <v>231</v>
      </c>
      <c r="FI42" s="240" t="s">
        <v>231</v>
      </c>
      <c r="FJ42" s="240" t="s">
        <v>231</v>
      </c>
      <c r="FK42" s="240" t="s">
        <v>231</v>
      </c>
      <c r="FL42" s="240" t="s">
        <v>231</v>
      </c>
      <c r="FM42" s="240" t="s">
        <v>231</v>
      </c>
      <c r="FN42" s="240" t="s">
        <v>231</v>
      </c>
      <c r="FO42" s="240" t="s">
        <v>231</v>
      </c>
      <c r="FP42" s="240" t="s">
        <v>231</v>
      </c>
      <c r="FQ42" s="240" t="s">
        <v>231</v>
      </c>
      <c r="FR42" s="240" t="s">
        <v>231</v>
      </c>
      <c r="FS42" s="240" t="s">
        <v>231</v>
      </c>
      <c r="FT42" s="240" t="s">
        <v>231</v>
      </c>
      <c r="FU42" s="240" t="s">
        <v>231</v>
      </c>
      <c r="FV42" s="240" t="s">
        <v>231</v>
      </c>
      <c r="FW42" s="240" t="s">
        <v>231</v>
      </c>
      <c r="FX42" s="240" t="s">
        <v>231</v>
      </c>
      <c r="FY42" s="240" t="s">
        <v>492</v>
      </c>
      <c r="FZ42" s="240" t="s">
        <v>231</v>
      </c>
      <c r="GA42" s="240" t="s">
        <v>231</v>
      </c>
      <c r="GB42" s="240" t="s">
        <v>231</v>
      </c>
      <c r="GC42" s="240" t="s">
        <v>231</v>
      </c>
      <c r="GD42" s="240" t="s">
        <v>231</v>
      </c>
      <c r="GE42" s="240" t="s">
        <v>492</v>
      </c>
      <c r="GF42" s="240" t="s">
        <v>231</v>
      </c>
      <c r="GG42" s="240" t="s">
        <v>231</v>
      </c>
      <c r="GH42" s="240" t="s">
        <v>231</v>
      </c>
      <c r="GI42" s="240" t="s">
        <v>231</v>
      </c>
      <c r="GJ42" s="240" t="s">
        <v>231</v>
      </c>
      <c r="GK42" s="240" t="s">
        <v>231</v>
      </c>
      <c r="GL42" s="240" t="s">
        <v>231</v>
      </c>
      <c r="GM42" s="240" t="s">
        <v>231</v>
      </c>
      <c r="GN42" s="240" t="s">
        <v>492</v>
      </c>
      <c r="GO42" s="240" t="s">
        <v>231</v>
      </c>
      <c r="GP42" s="240" t="s">
        <v>492</v>
      </c>
      <c r="GQ42" s="240" t="s">
        <v>231</v>
      </c>
      <c r="GR42" s="240" t="s">
        <v>231</v>
      </c>
      <c r="GS42" s="240" t="s">
        <v>231</v>
      </c>
      <c r="GT42" s="240" t="s">
        <v>231</v>
      </c>
      <c r="GU42" s="240" t="s">
        <v>231</v>
      </c>
      <c r="GV42" s="240" t="s">
        <v>231</v>
      </c>
      <c r="GW42" s="240" t="s">
        <v>231</v>
      </c>
      <c r="GX42" s="240" t="s">
        <v>231</v>
      </c>
      <c r="GY42" s="240" t="s">
        <v>231</v>
      </c>
      <c r="GZ42" s="240" t="s">
        <v>231</v>
      </c>
      <c r="HA42" s="240" t="s">
        <v>231</v>
      </c>
      <c r="HB42" s="240" t="s">
        <v>231</v>
      </c>
      <c r="HC42" s="240" t="s">
        <v>231</v>
      </c>
      <c r="HD42" s="240" t="s">
        <v>1107</v>
      </c>
      <c r="HE42" s="240" t="s">
        <v>1107</v>
      </c>
      <c r="HF42" s="240" t="s">
        <v>1107</v>
      </c>
      <c r="HG42" s="240" t="s">
        <v>1107</v>
      </c>
      <c r="HH42" s="240" t="s">
        <v>1107</v>
      </c>
      <c r="HI42" s="240" t="s">
        <v>1107</v>
      </c>
      <c r="HJ42" s="240" t="s">
        <v>1107</v>
      </c>
      <c r="HK42" s="240" t="s">
        <v>1107</v>
      </c>
      <c r="HL42" s="240" t="s">
        <v>1107</v>
      </c>
      <c r="HM42" s="240" t="s">
        <v>1107</v>
      </c>
      <c r="HN42" s="240" t="s">
        <v>1107</v>
      </c>
      <c r="HO42" s="240" t="s">
        <v>1107</v>
      </c>
      <c r="HP42" s="240" t="s">
        <v>1107</v>
      </c>
      <c r="HQ42" s="240" t="s">
        <v>1107</v>
      </c>
      <c r="HR42" s="240" t="s">
        <v>1107</v>
      </c>
      <c r="HS42" s="240" t="s">
        <v>1107</v>
      </c>
      <c r="HT42" s="240" t="s">
        <v>1107</v>
      </c>
      <c r="HU42" s="240" t="s">
        <v>1107</v>
      </c>
      <c r="HV42" s="240" t="s">
        <v>1107</v>
      </c>
      <c r="HW42" s="240" t="s">
        <v>1107</v>
      </c>
      <c r="HX42" s="240" t="s">
        <v>220</v>
      </c>
      <c r="HY42" s="240" t="s">
        <v>493</v>
      </c>
      <c r="HZ42" s="240" t="s">
        <v>219</v>
      </c>
      <c r="IA42" s="240" t="s">
        <v>490</v>
      </c>
      <c r="IB42" s="240" t="s">
        <v>492</v>
      </c>
      <c r="IC42" s="240" t="s">
        <v>492</v>
      </c>
    </row>
    <row r="43" spans="1:237" ht="15" x14ac:dyDescent="0.25">
      <c r="A43" s="243" t="str">
        <f>HYPERLINK("http://www.ofsted.gov.uk/inspection-reports/find-inspection-report/provider/ELS/135406 ","Ofsted School Webpage")</f>
        <v>Ofsted School Webpage</v>
      </c>
      <c r="B43" s="237">
        <v>135406</v>
      </c>
      <c r="C43" s="237">
        <v>3306120</v>
      </c>
      <c r="D43" s="237" t="s">
        <v>1195</v>
      </c>
      <c r="E43" s="237" t="s">
        <v>247</v>
      </c>
      <c r="F43" s="237" t="s">
        <v>502</v>
      </c>
      <c r="G43" s="237" t="s">
        <v>502</v>
      </c>
      <c r="H43" s="237" t="s">
        <v>909</v>
      </c>
      <c r="I43" s="237" t="s">
        <v>1196</v>
      </c>
      <c r="J43" s="237" t="s">
        <v>93</v>
      </c>
      <c r="K43" s="237" t="s">
        <v>93</v>
      </c>
      <c r="L43" s="237" t="s">
        <v>93</v>
      </c>
      <c r="M43" s="237" t="s">
        <v>90</v>
      </c>
      <c r="N43" s="237" t="s">
        <v>486</v>
      </c>
      <c r="O43" s="237" t="s">
        <v>487</v>
      </c>
      <c r="P43" s="237">
        <v>10055384</v>
      </c>
      <c r="Q43" s="239">
        <v>43382</v>
      </c>
      <c r="R43" s="239">
        <v>43382</v>
      </c>
      <c r="S43" s="239">
        <v>43405</v>
      </c>
      <c r="T43" s="237" t="s">
        <v>1109</v>
      </c>
      <c r="U43" s="237" t="s">
        <v>1105</v>
      </c>
      <c r="V43" s="237" t="s">
        <v>512</v>
      </c>
      <c r="W43" s="237" t="s">
        <v>486</v>
      </c>
      <c r="X43" s="237" t="s">
        <v>490</v>
      </c>
      <c r="Y43" s="237" t="s">
        <v>490</v>
      </c>
      <c r="Z43" s="237" t="s">
        <v>486</v>
      </c>
      <c r="AA43" s="237" t="s">
        <v>486</v>
      </c>
      <c r="AB43" s="237" t="s">
        <v>486</v>
      </c>
      <c r="AC43" s="237" t="s">
        <v>486</v>
      </c>
      <c r="AD43" s="237" t="s">
        <v>1136</v>
      </c>
      <c r="AE43" s="237" t="s">
        <v>232</v>
      </c>
      <c r="AF43" s="237" t="s">
        <v>231</v>
      </c>
      <c r="AG43" s="237" t="s">
        <v>232</v>
      </c>
      <c r="AH43" s="237" t="s">
        <v>232</v>
      </c>
      <c r="AI43" s="237" t="s">
        <v>1107</v>
      </c>
      <c r="AJ43" s="237" t="s">
        <v>232</v>
      </c>
      <c r="AK43" s="237" t="s">
        <v>232</v>
      </c>
      <c r="AL43" s="237" t="s">
        <v>1107</v>
      </c>
      <c r="AM43" s="237" t="s">
        <v>492</v>
      </c>
      <c r="AN43" s="237" t="s">
        <v>1107</v>
      </c>
      <c r="AO43" s="237" t="s">
        <v>1107</v>
      </c>
      <c r="AP43" s="237" t="s">
        <v>1107</v>
      </c>
      <c r="AQ43" s="237" t="s">
        <v>1107</v>
      </c>
      <c r="AR43" s="237" t="s">
        <v>1107</v>
      </c>
      <c r="AS43" s="237" t="s">
        <v>1107</v>
      </c>
      <c r="AT43" s="237" t="s">
        <v>1107</v>
      </c>
      <c r="AU43" s="237" t="s">
        <v>492</v>
      </c>
      <c r="AV43" s="237" t="s">
        <v>1107</v>
      </c>
      <c r="AW43" s="237" t="s">
        <v>1107</v>
      </c>
      <c r="AX43" s="237" t="s">
        <v>1107</v>
      </c>
      <c r="AY43" s="237" t="s">
        <v>232</v>
      </c>
      <c r="AZ43" s="237" t="s">
        <v>232</v>
      </c>
      <c r="BA43" s="237" t="s">
        <v>1107</v>
      </c>
      <c r="BB43" s="237" t="s">
        <v>232</v>
      </c>
      <c r="BC43" s="237" t="s">
        <v>232</v>
      </c>
      <c r="BD43" s="237" t="s">
        <v>232</v>
      </c>
      <c r="BE43" s="237" t="s">
        <v>232</v>
      </c>
      <c r="BF43" s="237" t="s">
        <v>1107</v>
      </c>
      <c r="BG43" s="237" t="s">
        <v>1107</v>
      </c>
      <c r="BH43" s="237" t="s">
        <v>1107</v>
      </c>
      <c r="BI43" s="237" t="s">
        <v>1107</v>
      </c>
      <c r="BJ43" s="237" t="s">
        <v>1107</v>
      </c>
      <c r="BK43" s="237" t="s">
        <v>1107</v>
      </c>
      <c r="BL43" s="237" t="s">
        <v>1107</v>
      </c>
      <c r="BM43" s="237" t="s">
        <v>1107</v>
      </c>
      <c r="BN43" s="237" t="s">
        <v>1107</v>
      </c>
      <c r="BO43" s="237" t="s">
        <v>1107</v>
      </c>
      <c r="BP43" s="237" t="s">
        <v>1107</v>
      </c>
      <c r="BQ43" s="237" t="s">
        <v>1107</v>
      </c>
      <c r="BR43" s="237" t="s">
        <v>1107</v>
      </c>
      <c r="BS43" s="237" t="s">
        <v>1107</v>
      </c>
      <c r="BT43" s="237" t="s">
        <v>1107</v>
      </c>
      <c r="BU43" s="237" t="s">
        <v>1107</v>
      </c>
      <c r="BV43" s="237" t="s">
        <v>1107</v>
      </c>
      <c r="BW43" s="237" t="s">
        <v>1107</v>
      </c>
      <c r="BX43" s="237" t="s">
        <v>1107</v>
      </c>
      <c r="BY43" s="237" t="s">
        <v>1107</v>
      </c>
      <c r="BZ43" s="237" t="s">
        <v>232</v>
      </c>
      <c r="CA43" s="237" t="s">
        <v>232</v>
      </c>
      <c r="CB43" s="237" t="s">
        <v>232</v>
      </c>
      <c r="CC43" s="237" t="s">
        <v>492</v>
      </c>
      <c r="CD43" s="237" t="s">
        <v>492</v>
      </c>
      <c r="CE43" s="237" t="s">
        <v>492</v>
      </c>
      <c r="CF43" s="237" t="s">
        <v>1107</v>
      </c>
      <c r="CG43" s="237" t="s">
        <v>1107</v>
      </c>
      <c r="CH43" s="237" t="s">
        <v>1107</v>
      </c>
      <c r="CI43" s="237" t="s">
        <v>1107</v>
      </c>
      <c r="CJ43" s="237" t="s">
        <v>1107</v>
      </c>
      <c r="CK43" s="237" t="s">
        <v>231</v>
      </c>
      <c r="CL43" s="237" t="s">
        <v>231</v>
      </c>
      <c r="CM43" s="237" t="s">
        <v>1107</v>
      </c>
      <c r="CN43" s="237" t="s">
        <v>1107</v>
      </c>
      <c r="CO43" s="237" t="s">
        <v>232</v>
      </c>
      <c r="CP43" s="237" t="s">
        <v>231</v>
      </c>
      <c r="CQ43" s="237" t="s">
        <v>231</v>
      </c>
      <c r="CR43" s="237" t="s">
        <v>231</v>
      </c>
      <c r="CS43" s="237" t="s">
        <v>1107</v>
      </c>
      <c r="CT43" s="237" t="s">
        <v>1107</v>
      </c>
      <c r="CU43" s="237" t="s">
        <v>1107</v>
      </c>
      <c r="CV43" s="237" t="s">
        <v>1107</v>
      </c>
      <c r="CW43" s="237" t="s">
        <v>1107</v>
      </c>
      <c r="CX43" s="237" t="s">
        <v>1107</v>
      </c>
      <c r="CY43" s="237" t="s">
        <v>1107</v>
      </c>
      <c r="CZ43" s="237" t="s">
        <v>1107</v>
      </c>
      <c r="DA43" s="237" t="s">
        <v>1107</v>
      </c>
      <c r="DB43" s="237" t="s">
        <v>1107</v>
      </c>
      <c r="DC43" s="237" t="s">
        <v>1107</v>
      </c>
      <c r="DD43" s="237" t="s">
        <v>1107</v>
      </c>
      <c r="DE43" s="237" t="s">
        <v>1107</v>
      </c>
      <c r="DF43" s="237" t="s">
        <v>1107</v>
      </c>
      <c r="DG43" s="237" t="s">
        <v>1107</v>
      </c>
      <c r="DH43" s="237" t="s">
        <v>1107</v>
      </c>
      <c r="DI43" s="237" t="s">
        <v>1107</v>
      </c>
      <c r="DJ43" s="237" t="s">
        <v>1107</v>
      </c>
      <c r="DK43" s="237" t="s">
        <v>1107</v>
      </c>
      <c r="DL43" s="237" t="s">
        <v>1107</v>
      </c>
      <c r="DM43" s="237" t="s">
        <v>1107</v>
      </c>
      <c r="DN43" s="237" t="s">
        <v>1107</v>
      </c>
      <c r="DO43" s="237" t="s">
        <v>1107</v>
      </c>
      <c r="DP43" s="237" t="s">
        <v>1107</v>
      </c>
      <c r="DQ43" s="237" t="s">
        <v>1107</v>
      </c>
      <c r="DR43" s="237" t="s">
        <v>1107</v>
      </c>
      <c r="DS43" s="237" t="s">
        <v>1107</v>
      </c>
      <c r="DT43" s="237" t="s">
        <v>1107</v>
      </c>
      <c r="DU43" s="237" t="s">
        <v>1107</v>
      </c>
      <c r="DV43" s="237" t="s">
        <v>1107</v>
      </c>
      <c r="DW43" s="237" t="s">
        <v>1107</v>
      </c>
      <c r="DX43" s="237" t="s">
        <v>1107</v>
      </c>
      <c r="DY43" s="237" t="s">
        <v>1107</v>
      </c>
      <c r="DZ43" s="237" t="s">
        <v>1107</v>
      </c>
      <c r="EA43" s="237" t="s">
        <v>1107</v>
      </c>
      <c r="EB43" s="237" t="s">
        <v>1107</v>
      </c>
      <c r="EC43" s="237" t="s">
        <v>1107</v>
      </c>
      <c r="ED43" s="237" t="s">
        <v>1107</v>
      </c>
      <c r="EE43" s="237" t="s">
        <v>1107</v>
      </c>
      <c r="EF43" s="237" t="s">
        <v>1107</v>
      </c>
      <c r="EG43" s="237" t="s">
        <v>1107</v>
      </c>
      <c r="EH43" s="237" t="s">
        <v>1107</v>
      </c>
      <c r="EI43" s="237" t="s">
        <v>1107</v>
      </c>
      <c r="EJ43" s="237" t="s">
        <v>1107</v>
      </c>
      <c r="EK43" s="237" t="s">
        <v>1107</v>
      </c>
      <c r="EL43" s="237" t="s">
        <v>1107</v>
      </c>
      <c r="EM43" s="237" t="s">
        <v>1107</v>
      </c>
      <c r="EN43" s="237" t="s">
        <v>1107</v>
      </c>
      <c r="EO43" s="237" t="s">
        <v>1107</v>
      </c>
      <c r="EP43" s="237" t="s">
        <v>1107</v>
      </c>
      <c r="EQ43" s="237" t="s">
        <v>1107</v>
      </c>
      <c r="ER43" s="237" t="s">
        <v>1107</v>
      </c>
      <c r="ES43" s="237" t="s">
        <v>1107</v>
      </c>
      <c r="ET43" s="237" t="s">
        <v>1107</v>
      </c>
      <c r="EU43" s="237" t="s">
        <v>1107</v>
      </c>
      <c r="EV43" s="237" t="s">
        <v>1107</v>
      </c>
      <c r="EW43" s="237" t="s">
        <v>1107</v>
      </c>
      <c r="EX43" s="237" t="s">
        <v>1107</v>
      </c>
      <c r="EY43" s="237" t="s">
        <v>1107</v>
      </c>
      <c r="EZ43" s="237" t="s">
        <v>231</v>
      </c>
      <c r="FA43" s="237" t="s">
        <v>1107</v>
      </c>
      <c r="FB43" s="237" t="s">
        <v>1107</v>
      </c>
      <c r="FC43" s="237" t="s">
        <v>231</v>
      </c>
      <c r="FD43" s="237" t="s">
        <v>1107</v>
      </c>
      <c r="FE43" s="237" t="s">
        <v>1107</v>
      </c>
      <c r="FF43" s="237" t="s">
        <v>1107</v>
      </c>
      <c r="FG43" s="237" t="s">
        <v>1107</v>
      </c>
      <c r="FH43" s="237" t="s">
        <v>1107</v>
      </c>
      <c r="FI43" s="237" t="s">
        <v>231</v>
      </c>
      <c r="FJ43" s="237" t="s">
        <v>1107</v>
      </c>
      <c r="FK43" s="237" t="s">
        <v>1107</v>
      </c>
      <c r="FL43" s="237" t="s">
        <v>1107</v>
      </c>
      <c r="FM43" s="237" t="s">
        <v>1107</v>
      </c>
      <c r="FN43" s="237" t="s">
        <v>1107</v>
      </c>
      <c r="FO43" s="237" t="s">
        <v>1107</v>
      </c>
      <c r="FP43" s="237" t="s">
        <v>1107</v>
      </c>
      <c r="FQ43" s="237" t="s">
        <v>1107</v>
      </c>
      <c r="FR43" s="237" t="s">
        <v>1107</v>
      </c>
      <c r="FS43" s="237" t="s">
        <v>1107</v>
      </c>
      <c r="FT43" s="237" t="s">
        <v>1107</v>
      </c>
      <c r="FU43" s="237" t="s">
        <v>1107</v>
      </c>
      <c r="FV43" s="237" t="s">
        <v>231</v>
      </c>
      <c r="FW43" s="237" t="s">
        <v>231</v>
      </c>
      <c r="FX43" s="237" t="s">
        <v>231</v>
      </c>
      <c r="FY43" s="237" t="s">
        <v>1107</v>
      </c>
      <c r="FZ43" s="237" t="s">
        <v>232</v>
      </c>
      <c r="GA43" s="237" t="s">
        <v>1107</v>
      </c>
      <c r="GB43" s="237" t="s">
        <v>231</v>
      </c>
      <c r="GC43" s="237" t="s">
        <v>232</v>
      </c>
      <c r="GD43" s="237" t="s">
        <v>1107</v>
      </c>
      <c r="GE43" s="237" t="s">
        <v>1107</v>
      </c>
      <c r="GF43" s="237" t="s">
        <v>1107</v>
      </c>
      <c r="GG43" s="237" t="s">
        <v>1107</v>
      </c>
      <c r="GH43" s="237" t="s">
        <v>1107</v>
      </c>
      <c r="GI43" s="237" t="s">
        <v>1107</v>
      </c>
      <c r="GJ43" s="237" t="s">
        <v>1107</v>
      </c>
      <c r="GK43" s="237" t="s">
        <v>1107</v>
      </c>
      <c r="GL43" s="237" t="s">
        <v>1107</v>
      </c>
      <c r="GM43" s="237" t="s">
        <v>1107</v>
      </c>
      <c r="GN43" s="237" t="s">
        <v>1107</v>
      </c>
      <c r="GO43" s="237" t="s">
        <v>1107</v>
      </c>
      <c r="GP43" s="237" t="s">
        <v>1107</v>
      </c>
      <c r="GQ43" s="237" t="s">
        <v>1107</v>
      </c>
      <c r="GR43" s="237" t="s">
        <v>231</v>
      </c>
      <c r="GS43" s="237" t="s">
        <v>1107</v>
      </c>
      <c r="GT43" s="237" t="s">
        <v>1107</v>
      </c>
      <c r="GU43" s="237" t="s">
        <v>231</v>
      </c>
      <c r="GV43" s="237" t="s">
        <v>1107</v>
      </c>
      <c r="GW43" s="237" t="s">
        <v>231</v>
      </c>
      <c r="GX43" s="237" t="s">
        <v>231</v>
      </c>
      <c r="GY43" s="237" t="s">
        <v>1107</v>
      </c>
      <c r="GZ43" s="237" t="s">
        <v>1107</v>
      </c>
      <c r="HA43" s="237" t="s">
        <v>1107</v>
      </c>
      <c r="HB43" s="237" t="s">
        <v>1107</v>
      </c>
      <c r="HC43" s="237" t="s">
        <v>1107</v>
      </c>
      <c r="HD43" s="237" t="s">
        <v>232</v>
      </c>
      <c r="HE43" s="237" t="s">
        <v>231</v>
      </c>
      <c r="HF43" s="237" t="s">
        <v>231</v>
      </c>
      <c r="HG43" s="237" t="s">
        <v>231</v>
      </c>
      <c r="HH43" s="237" t="s">
        <v>231</v>
      </c>
      <c r="HI43" s="237" t="s">
        <v>231</v>
      </c>
      <c r="HJ43" s="237" t="s">
        <v>232</v>
      </c>
      <c r="HK43" s="237" t="s">
        <v>232</v>
      </c>
      <c r="HL43" s="237" t="s">
        <v>232</v>
      </c>
      <c r="HM43" s="237" t="s">
        <v>232</v>
      </c>
      <c r="HN43" s="237" t="s">
        <v>232</v>
      </c>
      <c r="HO43" s="237" t="s">
        <v>232</v>
      </c>
      <c r="HP43" s="237" t="s">
        <v>232</v>
      </c>
      <c r="HQ43" s="237" t="s">
        <v>232</v>
      </c>
      <c r="HR43" s="237" t="s">
        <v>232</v>
      </c>
      <c r="HS43" s="237" t="s">
        <v>231</v>
      </c>
      <c r="HT43" s="237" t="s">
        <v>232</v>
      </c>
      <c r="HU43" s="237" t="s">
        <v>232</v>
      </c>
      <c r="HV43" s="237" t="s">
        <v>232</v>
      </c>
      <c r="HW43" s="237" t="s">
        <v>232</v>
      </c>
      <c r="HX43" s="237" t="s">
        <v>220</v>
      </c>
      <c r="HY43" s="237" t="s">
        <v>493</v>
      </c>
      <c r="HZ43" s="237" t="s">
        <v>219</v>
      </c>
      <c r="IA43" s="237" t="s">
        <v>490</v>
      </c>
      <c r="IB43" s="237" t="s">
        <v>492</v>
      </c>
      <c r="IC43" s="237" t="s">
        <v>492</v>
      </c>
    </row>
    <row r="44" spans="1:237" ht="15" x14ac:dyDescent="0.25">
      <c r="A44" s="244" t="str">
        <f>HYPERLINK("http://www.ofsted.gov.uk/inspection-reports/find-inspection-report/provider/ELS/105999 ","Ofsted School Webpage")</f>
        <v>Ofsted School Webpage</v>
      </c>
      <c r="B44" s="240">
        <v>105999</v>
      </c>
      <c r="C44" s="240">
        <v>3556020</v>
      </c>
      <c r="D44" s="240" t="s">
        <v>904</v>
      </c>
      <c r="E44" s="240" t="s">
        <v>247</v>
      </c>
      <c r="F44" s="240" t="s">
        <v>495</v>
      </c>
      <c r="G44" s="240" t="s">
        <v>495</v>
      </c>
      <c r="H44" s="240" t="s">
        <v>601</v>
      </c>
      <c r="I44" s="240" t="s">
        <v>905</v>
      </c>
      <c r="J44" s="240" t="s">
        <v>93</v>
      </c>
      <c r="K44" s="240" t="s">
        <v>81</v>
      </c>
      <c r="L44" s="240" t="s">
        <v>81</v>
      </c>
      <c r="M44" s="240" t="s">
        <v>81</v>
      </c>
      <c r="N44" s="240" t="s">
        <v>486</v>
      </c>
      <c r="O44" s="240" t="s">
        <v>487</v>
      </c>
      <c r="P44" s="240">
        <v>10054911</v>
      </c>
      <c r="Q44" s="242">
        <v>43382</v>
      </c>
      <c r="R44" s="242">
        <v>43382</v>
      </c>
      <c r="S44" s="242">
        <v>43422</v>
      </c>
      <c r="T44" s="240" t="s">
        <v>1109</v>
      </c>
      <c r="U44" s="240" t="s">
        <v>1105</v>
      </c>
      <c r="V44" s="240" t="s">
        <v>490</v>
      </c>
      <c r="W44" s="240" t="s">
        <v>486</v>
      </c>
      <c r="X44" s="240" t="s">
        <v>486</v>
      </c>
      <c r="Y44" s="240" t="s">
        <v>486</v>
      </c>
      <c r="Z44" s="240" t="s">
        <v>486</v>
      </c>
      <c r="AA44" s="240" t="s">
        <v>486</v>
      </c>
      <c r="AB44" s="240" t="s">
        <v>486</v>
      </c>
      <c r="AC44" s="240" t="s">
        <v>486</v>
      </c>
      <c r="AD44" s="240" t="s">
        <v>1136</v>
      </c>
      <c r="AE44" s="240" t="s">
        <v>232</v>
      </c>
      <c r="AF44" s="240" t="s">
        <v>232</v>
      </c>
      <c r="AG44" s="240" t="s">
        <v>1107</v>
      </c>
      <c r="AH44" s="240" t="s">
        <v>1107</v>
      </c>
      <c r="AI44" s="240" t="s">
        <v>1107</v>
      </c>
      <c r="AJ44" s="240" t="s">
        <v>232</v>
      </c>
      <c r="AK44" s="240" t="s">
        <v>1107</v>
      </c>
      <c r="AL44" s="240" t="s">
        <v>1107</v>
      </c>
      <c r="AM44" s="240" t="s">
        <v>1107</v>
      </c>
      <c r="AN44" s="240" t="s">
        <v>232</v>
      </c>
      <c r="AO44" s="240" t="s">
        <v>1107</v>
      </c>
      <c r="AP44" s="240" t="s">
        <v>232</v>
      </c>
      <c r="AQ44" s="240" t="s">
        <v>1107</v>
      </c>
      <c r="AR44" s="240" t="s">
        <v>1107</v>
      </c>
      <c r="AS44" s="240" t="s">
        <v>1107</v>
      </c>
      <c r="AT44" s="240" t="s">
        <v>1107</v>
      </c>
      <c r="AU44" s="240" t="s">
        <v>1107</v>
      </c>
      <c r="AV44" s="240" t="s">
        <v>1107</v>
      </c>
      <c r="AW44" s="240" t="s">
        <v>1107</v>
      </c>
      <c r="AX44" s="240" t="s">
        <v>232</v>
      </c>
      <c r="AY44" s="240" t="s">
        <v>1107</v>
      </c>
      <c r="AZ44" s="240" t="s">
        <v>1107</v>
      </c>
      <c r="BA44" s="240" t="s">
        <v>1107</v>
      </c>
      <c r="BB44" s="240" t="s">
        <v>1107</v>
      </c>
      <c r="BC44" s="240" t="s">
        <v>1107</v>
      </c>
      <c r="BD44" s="240" t="s">
        <v>1107</v>
      </c>
      <c r="BE44" s="240" t="s">
        <v>1107</v>
      </c>
      <c r="BF44" s="240" t="s">
        <v>1107</v>
      </c>
      <c r="BG44" s="240" t="s">
        <v>1107</v>
      </c>
      <c r="BH44" s="240" t="s">
        <v>1107</v>
      </c>
      <c r="BI44" s="240" t="s">
        <v>1107</v>
      </c>
      <c r="BJ44" s="240" t="s">
        <v>1107</v>
      </c>
      <c r="BK44" s="240" t="s">
        <v>232</v>
      </c>
      <c r="BL44" s="240" t="s">
        <v>232</v>
      </c>
      <c r="BM44" s="240" t="s">
        <v>232</v>
      </c>
      <c r="BN44" s="240" t="s">
        <v>1107</v>
      </c>
      <c r="BO44" s="240" t="s">
        <v>1107</v>
      </c>
      <c r="BP44" s="240" t="s">
        <v>1107</v>
      </c>
      <c r="BQ44" s="240" t="s">
        <v>1107</v>
      </c>
      <c r="BR44" s="240" t="s">
        <v>1107</v>
      </c>
      <c r="BS44" s="240" t="s">
        <v>232</v>
      </c>
      <c r="BT44" s="240" t="s">
        <v>1107</v>
      </c>
      <c r="BU44" s="240" t="s">
        <v>1107</v>
      </c>
      <c r="BV44" s="240" t="s">
        <v>1107</v>
      </c>
      <c r="BW44" s="240" t="s">
        <v>1107</v>
      </c>
      <c r="BX44" s="240" t="s">
        <v>1107</v>
      </c>
      <c r="BY44" s="240" t="s">
        <v>1107</v>
      </c>
      <c r="BZ44" s="240" t="s">
        <v>231</v>
      </c>
      <c r="CA44" s="240" t="s">
        <v>231</v>
      </c>
      <c r="CB44" s="240" t="s">
        <v>231</v>
      </c>
      <c r="CC44" s="240" t="s">
        <v>1107</v>
      </c>
      <c r="CD44" s="240" t="s">
        <v>492</v>
      </c>
      <c r="CE44" s="240" t="s">
        <v>1107</v>
      </c>
      <c r="CF44" s="240" t="s">
        <v>1107</v>
      </c>
      <c r="CG44" s="240" t="s">
        <v>1107</v>
      </c>
      <c r="CH44" s="240" t="s">
        <v>1107</v>
      </c>
      <c r="CI44" s="240" t="s">
        <v>1107</v>
      </c>
      <c r="CJ44" s="240" t="s">
        <v>1107</v>
      </c>
      <c r="CK44" s="240" t="s">
        <v>1107</v>
      </c>
      <c r="CL44" s="240" t="s">
        <v>1107</v>
      </c>
      <c r="CM44" s="240" t="s">
        <v>1107</v>
      </c>
      <c r="CN44" s="240" t="s">
        <v>1107</v>
      </c>
      <c r="CO44" s="240" t="s">
        <v>231</v>
      </c>
      <c r="CP44" s="240" t="s">
        <v>1107</v>
      </c>
      <c r="CQ44" s="240" t="s">
        <v>1107</v>
      </c>
      <c r="CR44" s="240" t="s">
        <v>1107</v>
      </c>
      <c r="CS44" s="240" t="s">
        <v>1107</v>
      </c>
      <c r="CT44" s="240" t="s">
        <v>1107</v>
      </c>
      <c r="CU44" s="240" t="s">
        <v>1107</v>
      </c>
      <c r="CV44" s="240" t="s">
        <v>1107</v>
      </c>
      <c r="CW44" s="240" t="s">
        <v>1107</v>
      </c>
      <c r="CX44" s="240" t="s">
        <v>1107</v>
      </c>
      <c r="CY44" s="240" t="s">
        <v>1107</v>
      </c>
      <c r="CZ44" s="240" t="s">
        <v>1107</v>
      </c>
      <c r="DA44" s="240" t="s">
        <v>1107</v>
      </c>
      <c r="DB44" s="240" t="s">
        <v>1107</v>
      </c>
      <c r="DC44" s="240" t="s">
        <v>1107</v>
      </c>
      <c r="DD44" s="240" t="s">
        <v>1107</v>
      </c>
      <c r="DE44" s="240" t="s">
        <v>1107</v>
      </c>
      <c r="DF44" s="240" t="s">
        <v>1107</v>
      </c>
      <c r="DG44" s="240" t="s">
        <v>1107</v>
      </c>
      <c r="DH44" s="240" t="s">
        <v>1107</v>
      </c>
      <c r="DI44" s="240" t="s">
        <v>1107</v>
      </c>
      <c r="DJ44" s="240" t="s">
        <v>1107</v>
      </c>
      <c r="DK44" s="240" t="s">
        <v>1107</v>
      </c>
      <c r="DL44" s="240" t="s">
        <v>1107</v>
      </c>
      <c r="DM44" s="240" t="s">
        <v>1107</v>
      </c>
      <c r="DN44" s="240" t="s">
        <v>1107</v>
      </c>
      <c r="DO44" s="240" t="s">
        <v>1107</v>
      </c>
      <c r="DP44" s="240" t="s">
        <v>1107</v>
      </c>
      <c r="DQ44" s="240" t="s">
        <v>1107</v>
      </c>
      <c r="DR44" s="240" t="s">
        <v>1107</v>
      </c>
      <c r="DS44" s="240" t="s">
        <v>1107</v>
      </c>
      <c r="DT44" s="240" t="s">
        <v>1107</v>
      </c>
      <c r="DU44" s="240" t="s">
        <v>1107</v>
      </c>
      <c r="DV44" s="240" t="s">
        <v>1107</v>
      </c>
      <c r="DW44" s="240" t="s">
        <v>1107</v>
      </c>
      <c r="DX44" s="240" t="s">
        <v>1107</v>
      </c>
      <c r="DY44" s="240" t="s">
        <v>1107</v>
      </c>
      <c r="DZ44" s="240" t="s">
        <v>1107</v>
      </c>
      <c r="EA44" s="240" t="s">
        <v>1107</v>
      </c>
      <c r="EB44" s="240" t="s">
        <v>1107</v>
      </c>
      <c r="EC44" s="240" t="s">
        <v>1107</v>
      </c>
      <c r="ED44" s="240" t="s">
        <v>1107</v>
      </c>
      <c r="EE44" s="240" t="s">
        <v>1107</v>
      </c>
      <c r="EF44" s="240" t="s">
        <v>1107</v>
      </c>
      <c r="EG44" s="240" t="s">
        <v>1107</v>
      </c>
      <c r="EH44" s="240" t="s">
        <v>1107</v>
      </c>
      <c r="EI44" s="240" t="s">
        <v>1107</v>
      </c>
      <c r="EJ44" s="240" t="s">
        <v>1107</v>
      </c>
      <c r="EK44" s="240" t="s">
        <v>1107</v>
      </c>
      <c r="EL44" s="240" t="s">
        <v>1107</v>
      </c>
      <c r="EM44" s="240" t="s">
        <v>1107</v>
      </c>
      <c r="EN44" s="240" t="s">
        <v>1107</v>
      </c>
      <c r="EO44" s="240" t="s">
        <v>1107</v>
      </c>
      <c r="EP44" s="240" t="s">
        <v>1107</v>
      </c>
      <c r="EQ44" s="240" t="s">
        <v>1107</v>
      </c>
      <c r="ER44" s="240" t="s">
        <v>1107</v>
      </c>
      <c r="ES44" s="240" t="s">
        <v>1107</v>
      </c>
      <c r="ET44" s="240" t="s">
        <v>1107</v>
      </c>
      <c r="EU44" s="240" t="s">
        <v>1107</v>
      </c>
      <c r="EV44" s="240" t="s">
        <v>1107</v>
      </c>
      <c r="EW44" s="240" t="s">
        <v>1107</v>
      </c>
      <c r="EX44" s="240" t="s">
        <v>1107</v>
      </c>
      <c r="EY44" s="240" t="s">
        <v>1107</v>
      </c>
      <c r="EZ44" s="240" t="s">
        <v>1107</v>
      </c>
      <c r="FA44" s="240" t="s">
        <v>1107</v>
      </c>
      <c r="FB44" s="240" t="s">
        <v>1107</v>
      </c>
      <c r="FC44" s="240" t="s">
        <v>1107</v>
      </c>
      <c r="FD44" s="240" t="s">
        <v>1107</v>
      </c>
      <c r="FE44" s="240" t="s">
        <v>1107</v>
      </c>
      <c r="FF44" s="240" t="s">
        <v>1107</v>
      </c>
      <c r="FG44" s="240" t="s">
        <v>1107</v>
      </c>
      <c r="FH44" s="240" t="s">
        <v>1107</v>
      </c>
      <c r="FI44" s="240" t="s">
        <v>1107</v>
      </c>
      <c r="FJ44" s="240" t="s">
        <v>1107</v>
      </c>
      <c r="FK44" s="240" t="s">
        <v>1107</v>
      </c>
      <c r="FL44" s="240" t="s">
        <v>1107</v>
      </c>
      <c r="FM44" s="240" t="s">
        <v>1107</v>
      </c>
      <c r="FN44" s="240" t="s">
        <v>1107</v>
      </c>
      <c r="FO44" s="240" t="s">
        <v>1107</v>
      </c>
      <c r="FP44" s="240" t="s">
        <v>1107</v>
      </c>
      <c r="FQ44" s="240" t="s">
        <v>1107</v>
      </c>
      <c r="FR44" s="240" t="s">
        <v>1107</v>
      </c>
      <c r="FS44" s="240" t="s">
        <v>1107</v>
      </c>
      <c r="FT44" s="240" t="s">
        <v>1107</v>
      </c>
      <c r="FU44" s="240" t="s">
        <v>1107</v>
      </c>
      <c r="FV44" s="240" t="s">
        <v>1107</v>
      </c>
      <c r="FW44" s="240" t="s">
        <v>1107</v>
      </c>
      <c r="FX44" s="240" t="s">
        <v>1107</v>
      </c>
      <c r="FY44" s="240" t="s">
        <v>1107</v>
      </c>
      <c r="FZ44" s="240" t="s">
        <v>1107</v>
      </c>
      <c r="GA44" s="240" t="s">
        <v>1107</v>
      </c>
      <c r="GB44" s="240" t="s">
        <v>1107</v>
      </c>
      <c r="GC44" s="240" t="s">
        <v>1107</v>
      </c>
      <c r="GD44" s="240" t="s">
        <v>1107</v>
      </c>
      <c r="GE44" s="240" t="s">
        <v>1107</v>
      </c>
      <c r="GF44" s="240" t="s">
        <v>1107</v>
      </c>
      <c r="GG44" s="240" t="s">
        <v>1107</v>
      </c>
      <c r="GH44" s="240" t="s">
        <v>1107</v>
      </c>
      <c r="GI44" s="240" t="s">
        <v>1107</v>
      </c>
      <c r="GJ44" s="240" t="s">
        <v>1107</v>
      </c>
      <c r="GK44" s="240" t="s">
        <v>1107</v>
      </c>
      <c r="GL44" s="240" t="s">
        <v>1107</v>
      </c>
      <c r="GM44" s="240" t="s">
        <v>1107</v>
      </c>
      <c r="GN44" s="240" t="s">
        <v>1107</v>
      </c>
      <c r="GO44" s="240" t="s">
        <v>1107</v>
      </c>
      <c r="GP44" s="240" t="s">
        <v>1107</v>
      </c>
      <c r="GQ44" s="240" t="s">
        <v>1107</v>
      </c>
      <c r="GR44" s="240" t="s">
        <v>1107</v>
      </c>
      <c r="GS44" s="240" t="s">
        <v>1107</v>
      </c>
      <c r="GT44" s="240" t="s">
        <v>1107</v>
      </c>
      <c r="GU44" s="240" t="s">
        <v>1107</v>
      </c>
      <c r="GV44" s="240" t="s">
        <v>1107</v>
      </c>
      <c r="GW44" s="240" t="s">
        <v>1107</v>
      </c>
      <c r="GX44" s="240" t="s">
        <v>1107</v>
      </c>
      <c r="GY44" s="240" t="s">
        <v>1107</v>
      </c>
      <c r="GZ44" s="240" t="s">
        <v>1107</v>
      </c>
      <c r="HA44" s="240" t="s">
        <v>1107</v>
      </c>
      <c r="HB44" s="240" t="s">
        <v>1107</v>
      </c>
      <c r="HC44" s="240" t="s">
        <v>1107</v>
      </c>
      <c r="HD44" s="240" t="s">
        <v>1107</v>
      </c>
      <c r="HE44" s="240" t="s">
        <v>1107</v>
      </c>
      <c r="HF44" s="240" t="s">
        <v>1107</v>
      </c>
      <c r="HG44" s="240" t="s">
        <v>1107</v>
      </c>
      <c r="HH44" s="240" t="s">
        <v>1107</v>
      </c>
      <c r="HI44" s="240" t="s">
        <v>1107</v>
      </c>
      <c r="HJ44" s="240" t="s">
        <v>1107</v>
      </c>
      <c r="HK44" s="240" t="s">
        <v>1107</v>
      </c>
      <c r="HL44" s="240" t="s">
        <v>1107</v>
      </c>
      <c r="HM44" s="240" t="s">
        <v>1107</v>
      </c>
      <c r="HN44" s="240" t="s">
        <v>1107</v>
      </c>
      <c r="HO44" s="240" t="s">
        <v>1107</v>
      </c>
      <c r="HP44" s="240" t="s">
        <v>1107</v>
      </c>
      <c r="HQ44" s="240" t="s">
        <v>1107</v>
      </c>
      <c r="HR44" s="240" t="s">
        <v>1107</v>
      </c>
      <c r="HS44" s="240" t="s">
        <v>1107</v>
      </c>
      <c r="HT44" s="240" t="s">
        <v>232</v>
      </c>
      <c r="HU44" s="240" t="s">
        <v>232</v>
      </c>
      <c r="HV44" s="240" t="s">
        <v>232</v>
      </c>
      <c r="HW44" s="240" t="s">
        <v>232</v>
      </c>
      <c r="HX44" s="240" t="s">
        <v>220</v>
      </c>
      <c r="HY44" s="240" t="s">
        <v>493</v>
      </c>
      <c r="HZ44" s="240" t="s">
        <v>219</v>
      </c>
      <c r="IA44" s="240" t="s">
        <v>490</v>
      </c>
      <c r="IB44" s="240" t="s">
        <v>492</v>
      </c>
      <c r="IC44" s="240" t="s">
        <v>492</v>
      </c>
    </row>
    <row r="45" spans="1:237" ht="15" x14ac:dyDescent="0.25">
      <c r="A45" s="243" t="str">
        <f>HYPERLINK("http://www.ofsted.gov.uk/inspection-reports/find-inspection-report/provider/ELS/131435 ","Ofsted School Webpage")</f>
        <v>Ofsted School Webpage</v>
      </c>
      <c r="B45" s="237">
        <v>131435</v>
      </c>
      <c r="C45" s="237">
        <v>3556035</v>
      </c>
      <c r="D45" s="237" t="s">
        <v>956</v>
      </c>
      <c r="E45" s="237" t="s">
        <v>247</v>
      </c>
      <c r="F45" s="237" t="s">
        <v>495</v>
      </c>
      <c r="G45" s="237" t="s">
        <v>495</v>
      </c>
      <c r="H45" s="237" t="s">
        <v>601</v>
      </c>
      <c r="I45" s="237" t="s">
        <v>1197</v>
      </c>
      <c r="J45" s="237" t="s">
        <v>93</v>
      </c>
      <c r="K45" s="237" t="s">
        <v>93</v>
      </c>
      <c r="L45" s="237" t="s">
        <v>93</v>
      </c>
      <c r="M45" s="237" t="s">
        <v>90</v>
      </c>
      <c r="N45" s="237" t="s">
        <v>486</v>
      </c>
      <c r="O45" s="237" t="s">
        <v>487</v>
      </c>
      <c r="P45" s="237">
        <v>10078970</v>
      </c>
      <c r="Q45" s="239">
        <v>43383</v>
      </c>
      <c r="R45" s="239">
        <v>43383</v>
      </c>
      <c r="S45" s="239">
        <v>43416</v>
      </c>
      <c r="T45" s="237" t="s">
        <v>1124</v>
      </c>
      <c r="U45" s="237" t="s">
        <v>1105</v>
      </c>
      <c r="V45" s="237" t="s">
        <v>490</v>
      </c>
      <c r="W45" s="237" t="s">
        <v>486</v>
      </c>
      <c r="X45" s="237" t="s">
        <v>486</v>
      </c>
      <c r="Y45" s="237" t="s">
        <v>486</v>
      </c>
      <c r="Z45" s="237" t="s">
        <v>486</v>
      </c>
      <c r="AA45" s="237" t="s">
        <v>486</v>
      </c>
      <c r="AB45" s="237" t="s">
        <v>486</v>
      </c>
      <c r="AC45" s="237" t="s">
        <v>486</v>
      </c>
      <c r="AD45" s="237" t="s">
        <v>1136</v>
      </c>
      <c r="AE45" s="237" t="s">
        <v>1107</v>
      </c>
      <c r="AF45" s="237" t="s">
        <v>1107</v>
      </c>
      <c r="AG45" s="237" t="s">
        <v>1107</v>
      </c>
      <c r="AH45" s="237" t="s">
        <v>1107</v>
      </c>
      <c r="AI45" s="237" t="s">
        <v>1107</v>
      </c>
      <c r="AJ45" s="237" t="s">
        <v>1107</v>
      </c>
      <c r="AK45" s="237" t="s">
        <v>1107</v>
      </c>
      <c r="AL45" s="237" t="s">
        <v>1107</v>
      </c>
      <c r="AM45" s="237" t="s">
        <v>1107</v>
      </c>
      <c r="AN45" s="237" t="s">
        <v>1107</v>
      </c>
      <c r="AO45" s="237" t="s">
        <v>1107</v>
      </c>
      <c r="AP45" s="237" t="s">
        <v>1107</v>
      </c>
      <c r="AQ45" s="237" t="s">
        <v>1107</v>
      </c>
      <c r="AR45" s="237" t="s">
        <v>1107</v>
      </c>
      <c r="AS45" s="237" t="s">
        <v>1107</v>
      </c>
      <c r="AT45" s="237" t="s">
        <v>1107</v>
      </c>
      <c r="AU45" s="237" t="s">
        <v>1107</v>
      </c>
      <c r="AV45" s="237" t="s">
        <v>1107</v>
      </c>
      <c r="AW45" s="237" t="s">
        <v>1107</v>
      </c>
      <c r="AX45" s="237" t="s">
        <v>1107</v>
      </c>
      <c r="AY45" s="237" t="s">
        <v>1107</v>
      </c>
      <c r="AZ45" s="237" t="s">
        <v>1107</v>
      </c>
      <c r="BA45" s="237" t="s">
        <v>1107</v>
      </c>
      <c r="BB45" s="237" t="s">
        <v>1107</v>
      </c>
      <c r="BC45" s="237" t="s">
        <v>1107</v>
      </c>
      <c r="BD45" s="237" t="s">
        <v>1107</v>
      </c>
      <c r="BE45" s="237" t="s">
        <v>1107</v>
      </c>
      <c r="BF45" s="237" t="s">
        <v>1107</v>
      </c>
      <c r="BG45" s="237" t="s">
        <v>1107</v>
      </c>
      <c r="BH45" s="237" t="s">
        <v>1107</v>
      </c>
      <c r="BI45" s="237" t="s">
        <v>1107</v>
      </c>
      <c r="BJ45" s="237" t="s">
        <v>1107</v>
      </c>
      <c r="BK45" s="237" t="s">
        <v>1107</v>
      </c>
      <c r="BL45" s="237" t="s">
        <v>1107</v>
      </c>
      <c r="BM45" s="237" t="s">
        <v>1107</v>
      </c>
      <c r="BN45" s="237" t="s">
        <v>1107</v>
      </c>
      <c r="BO45" s="237" t="s">
        <v>1107</v>
      </c>
      <c r="BP45" s="237" t="s">
        <v>1107</v>
      </c>
      <c r="BQ45" s="237" t="s">
        <v>1107</v>
      </c>
      <c r="BR45" s="237" t="s">
        <v>1107</v>
      </c>
      <c r="BS45" s="237" t="s">
        <v>1107</v>
      </c>
      <c r="BT45" s="237" t="s">
        <v>1107</v>
      </c>
      <c r="BU45" s="237" t="s">
        <v>1107</v>
      </c>
      <c r="BV45" s="237" t="s">
        <v>1107</v>
      </c>
      <c r="BW45" s="237" t="s">
        <v>1107</v>
      </c>
      <c r="BX45" s="237" t="s">
        <v>1107</v>
      </c>
      <c r="BY45" s="237" t="s">
        <v>1107</v>
      </c>
      <c r="BZ45" s="237" t="s">
        <v>231</v>
      </c>
      <c r="CA45" s="237" t="s">
        <v>231</v>
      </c>
      <c r="CB45" s="237" t="s">
        <v>231</v>
      </c>
      <c r="CC45" s="237" t="s">
        <v>1107</v>
      </c>
      <c r="CD45" s="237" t="s">
        <v>1107</v>
      </c>
      <c r="CE45" s="237" t="s">
        <v>1107</v>
      </c>
      <c r="CF45" s="237" t="s">
        <v>1107</v>
      </c>
      <c r="CG45" s="237" t="s">
        <v>1107</v>
      </c>
      <c r="CH45" s="237" t="s">
        <v>1107</v>
      </c>
      <c r="CI45" s="237" t="s">
        <v>1107</v>
      </c>
      <c r="CJ45" s="237" t="s">
        <v>1107</v>
      </c>
      <c r="CK45" s="237" t="s">
        <v>1107</v>
      </c>
      <c r="CL45" s="237" t="s">
        <v>1107</v>
      </c>
      <c r="CM45" s="237" t="s">
        <v>1107</v>
      </c>
      <c r="CN45" s="237" t="s">
        <v>1107</v>
      </c>
      <c r="CO45" s="237" t="s">
        <v>1107</v>
      </c>
      <c r="CP45" s="237" t="s">
        <v>232</v>
      </c>
      <c r="CQ45" s="237" t="s">
        <v>231</v>
      </c>
      <c r="CR45" s="237" t="s">
        <v>232</v>
      </c>
      <c r="CS45" s="237" t="s">
        <v>1107</v>
      </c>
      <c r="CT45" s="237" t="s">
        <v>1107</v>
      </c>
      <c r="CU45" s="237" t="s">
        <v>1107</v>
      </c>
      <c r="CV45" s="237" t="s">
        <v>1107</v>
      </c>
      <c r="CW45" s="237" t="s">
        <v>1107</v>
      </c>
      <c r="CX45" s="237" t="s">
        <v>1107</v>
      </c>
      <c r="CY45" s="237" t="s">
        <v>1107</v>
      </c>
      <c r="CZ45" s="237" t="s">
        <v>1107</v>
      </c>
      <c r="DA45" s="237" t="s">
        <v>1107</v>
      </c>
      <c r="DB45" s="237" t="s">
        <v>1107</v>
      </c>
      <c r="DC45" s="237" t="s">
        <v>1107</v>
      </c>
      <c r="DD45" s="237" t="s">
        <v>1107</v>
      </c>
      <c r="DE45" s="237" t="s">
        <v>1107</v>
      </c>
      <c r="DF45" s="237" t="s">
        <v>1107</v>
      </c>
      <c r="DG45" s="237" t="s">
        <v>1107</v>
      </c>
      <c r="DH45" s="237" t="s">
        <v>1107</v>
      </c>
      <c r="DI45" s="237" t="s">
        <v>1107</v>
      </c>
      <c r="DJ45" s="237" t="s">
        <v>1107</v>
      </c>
      <c r="DK45" s="237" t="s">
        <v>1107</v>
      </c>
      <c r="DL45" s="237" t="s">
        <v>1107</v>
      </c>
      <c r="DM45" s="237" t="s">
        <v>1107</v>
      </c>
      <c r="DN45" s="237" t="s">
        <v>1107</v>
      </c>
      <c r="DO45" s="237" t="s">
        <v>1107</v>
      </c>
      <c r="DP45" s="237" t="s">
        <v>1107</v>
      </c>
      <c r="DQ45" s="237" t="s">
        <v>1107</v>
      </c>
      <c r="DR45" s="237" t="s">
        <v>1107</v>
      </c>
      <c r="DS45" s="237" t="s">
        <v>1107</v>
      </c>
      <c r="DT45" s="237" t="s">
        <v>1107</v>
      </c>
      <c r="DU45" s="237" t="s">
        <v>1107</v>
      </c>
      <c r="DV45" s="237" t="s">
        <v>1107</v>
      </c>
      <c r="DW45" s="237" t="s">
        <v>1107</v>
      </c>
      <c r="DX45" s="237" t="s">
        <v>1107</v>
      </c>
      <c r="DY45" s="237" t="s">
        <v>1107</v>
      </c>
      <c r="DZ45" s="237" t="s">
        <v>1107</v>
      </c>
      <c r="EA45" s="237" t="s">
        <v>1107</v>
      </c>
      <c r="EB45" s="237" t="s">
        <v>1107</v>
      </c>
      <c r="EC45" s="237" t="s">
        <v>1107</v>
      </c>
      <c r="ED45" s="237" t="s">
        <v>1107</v>
      </c>
      <c r="EE45" s="237" t="s">
        <v>1107</v>
      </c>
      <c r="EF45" s="237" t="s">
        <v>1107</v>
      </c>
      <c r="EG45" s="237" t="s">
        <v>1107</v>
      </c>
      <c r="EH45" s="237" t="s">
        <v>1107</v>
      </c>
      <c r="EI45" s="237" t="s">
        <v>1107</v>
      </c>
      <c r="EJ45" s="237" t="s">
        <v>1107</v>
      </c>
      <c r="EK45" s="237" t="s">
        <v>1107</v>
      </c>
      <c r="EL45" s="237" t="s">
        <v>1107</v>
      </c>
      <c r="EM45" s="237" t="s">
        <v>1107</v>
      </c>
      <c r="EN45" s="237" t="s">
        <v>1107</v>
      </c>
      <c r="EO45" s="237" t="s">
        <v>1107</v>
      </c>
      <c r="EP45" s="237" t="s">
        <v>1107</v>
      </c>
      <c r="EQ45" s="237" t="s">
        <v>1107</v>
      </c>
      <c r="ER45" s="237" t="s">
        <v>1107</v>
      </c>
      <c r="ES45" s="237" t="s">
        <v>1107</v>
      </c>
      <c r="ET45" s="237" t="s">
        <v>1107</v>
      </c>
      <c r="EU45" s="237" t="s">
        <v>1107</v>
      </c>
      <c r="EV45" s="237" t="s">
        <v>1107</v>
      </c>
      <c r="EW45" s="237" t="s">
        <v>1107</v>
      </c>
      <c r="EX45" s="237" t="s">
        <v>1107</v>
      </c>
      <c r="EY45" s="237" t="s">
        <v>1107</v>
      </c>
      <c r="EZ45" s="237" t="s">
        <v>1107</v>
      </c>
      <c r="FA45" s="237" t="s">
        <v>1107</v>
      </c>
      <c r="FB45" s="237" t="s">
        <v>1107</v>
      </c>
      <c r="FC45" s="237" t="s">
        <v>1107</v>
      </c>
      <c r="FD45" s="237" t="s">
        <v>1107</v>
      </c>
      <c r="FE45" s="237" t="s">
        <v>1107</v>
      </c>
      <c r="FF45" s="237" t="s">
        <v>1107</v>
      </c>
      <c r="FG45" s="237" t="s">
        <v>1107</v>
      </c>
      <c r="FH45" s="237" t="s">
        <v>1107</v>
      </c>
      <c r="FI45" s="237" t="s">
        <v>232</v>
      </c>
      <c r="FJ45" s="237" t="s">
        <v>1107</v>
      </c>
      <c r="FK45" s="237" t="s">
        <v>1107</v>
      </c>
      <c r="FL45" s="237" t="s">
        <v>1107</v>
      </c>
      <c r="FM45" s="237" t="s">
        <v>1107</v>
      </c>
      <c r="FN45" s="237" t="s">
        <v>1107</v>
      </c>
      <c r="FO45" s="237" t="s">
        <v>1107</v>
      </c>
      <c r="FP45" s="237" t="s">
        <v>1107</v>
      </c>
      <c r="FQ45" s="237" t="s">
        <v>1107</v>
      </c>
      <c r="FR45" s="237" t="s">
        <v>1107</v>
      </c>
      <c r="FS45" s="237" t="s">
        <v>1107</v>
      </c>
      <c r="FT45" s="237" t="s">
        <v>1107</v>
      </c>
      <c r="FU45" s="237" t="s">
        <v>1107</v>
      </c>
      <c r="FV45" s="237" t="s">
        <v>1107</v>
      </c>
      <c r="FW45" s="237" t="s">
        <v>1107</v>
      </c>
      <c r="FX45" s="237" t="s">
        <v>1107</v>
      </c>
      <c r="FY45" s="237" t="s">
        <v>1107</v>
      </c>
      <c r="FZ45" s="237" t="s">
        <v>231</v>
      </c>
      <c r="GA45" s="237" t="s">
        <v>231</v>
      </c>
      <c r="GB45" s="237" t="s">
        <v>231</v>
      </c>
      <c r="GC45" s="237" t="s">
        <v>231</v>
      </c>
      <c r="GD45" s="237" t="s">
        <v>1107</v>
      </c>
      <c r="GE45" s="237" t="s">
        <v>1107</v>
      </c>
      <c r="GF45" s="237" t="s">
        <v>1107</v>
      </c>
      <c r="GG45" s="237" t="s">
        <v>1107</v>
      </c>
      <c r="GH45" s="237" t="s">
        <v>1107</v>
      </c>
      <c r="GI45" s="237" t="s">
        <v>1107</v>
      </c>
      <c r="GJ45" s="237" t="s">
        <v>1107</v>
      </c>
      <c r="GK45" s="237" t="s">
        <v>1107</v>
      </c>
      <c r="GL45" s="237" t="s">
        <v>1107</v>
      </c>
      <c r="GM45" s="237" t="s">
        <v>1107</v>
      </c>
      <c r="GN45" s="237" t="s">
        <v>1107</v>
      </c>
      <c r="GO45" s="237" t="s">
        <v>1107</v>
      </c>
      <c r="GP45" s="237" t="s">
        <v>1107</v>
      </c>
      <c r="GQ45" s="237" t="s">
        <v>1107</v>
      </c>
      <c r="GR45" s="237" t="s">
        <v>1107</v>
      </c>
      <c r="GS45" s="237" t="s">
        <v>1107</v>
      </c>
      <c r="GT45" s="237" t="s">
        <v>1107</v>
      </c>
      <c r="GU45" s="237" t="s">
        <v>1107</v>
      </c>
      <c r="GV45" s="237" t="s">
        <v>1107</v>
      </c>
      <c r="GW45" s="237" t="s">
        <v>1107</v>
      </c>
      <c r="GX45" s="237" t="s">
        <v>1107</v>
      </c>
      <c r="GY45" s="237" t="s">
        <v>1107</v>
      </c>
      <c r="GZ45" s="237" t="s">
        <v>1107</v>
      </c>
      <c r="HA45" s="237" t="s">
        <v>1107</v>
      </c>
      <c r="HB45" s="237" t="s">
        <v>1107</v>
      </c>
      <c r="HC45" s="237" t="s">
        <v>1107</v>
      </c>
      <c r="HD45" s="237" t="s">
        <v>1107</v>
      </c>
      <c r="HE45" s="237" t="s">
        <v>1107</v>
      </c>
      <c r="HF45" s="237" t="s">
        <v>1107</v>
      </c>
      <c r="HG45" s="237" t="s">
        <v>1107</v>
      </c>
      <c r="HH45" s="237" t="s">
        <v>1107</v>
      </c>
      <c r="HI45" s="237" t="s">
        <v>1107</v>
      </c>
      <c r="HJ45" s="237" t="s">
        <v>1107</v>
      </c>
      <c r="HK45" s="237" t="s">
        <v>1107</v>
      </c>
      <c r="HL45" s="237" t="s">
        <v>1107</v>
      </c>
      <c r="HM45" s="237" t="s">
        <v>1107</v>
      </c>
      <c r="HN45" s="237" t="s">
        <v>1107</v>
      </c>
      <c r="HO45" s="237" t="s">
        <v>1107</v>
      </c>
      <c r="HP45" s="237" t="s">
        <v>1107</v>
      </c>
      <c r="HQ45" s="237" t="s">
        <v>1107</v>
      </c>
      <c r="HR45" s="237" t="s">
        <v>1107</v>
      </c>
      <c r="HS45" s="237" t="s">
        <v>1107</v>
      </c>
      <c r="HT45" s="237" t="s">
        <v>232</v>
      </c>
      <c r="HU45" s="237" t="s">
        <v>232</v>
      </c>
      <c r="HV45" s="237" t="s">
        <v>232</v>
      </c>
      <c r="HW45" s="237" t="s">
        <v>232</v>
      </c>
      <c r="HX45" s="237" t="s">
        <v>219</v>
      </c>
      <c r="HY45" s="237" t="s">
        <v>219</v>
      </c>
      <c r="HZ45" s="237" t="s">
        <v>219</v>
      </c>
      <c r="IA45" s="237" t="s">
        <v>490</v>
      </c>
      <c r="IB45" s="237" t="s">
        <v>1107</v>
      </c>
      <c r="IC45" s="237" t="s">
        <v>1107</v>
      </c>
    </row>
    <row r="46" spans="1:237" ht="15" x14ac:dyDescent="0.25">
      <c r="A46" s="244" t="str">
        <f>HYPERLINK("http://www.ofsted.gov.uk/inspection-reports/find-inspection-report/provider/ELS/101957 ","Ofsted School Webpage")</f>
        <v>Ofsted School Webpage</v>
      </c>
      <c r="B46" s="240">
        <v>101957</v>
      </c>
      <c r="C46" s="240">
        <v>3076068</v>
      </c>
      <c r="D46" s="240" t="s">
        <v>1198</v>
      </c>
      <c r="E46" s="240" t="s">
        <v>247</v>
      </c>
      <c r="F46" s="240" t="s">
        <v>506</v>
      </c>
      <c r="G46" s="240" t="s">
        <v>506</v>
      </c>
      <c r="H46" s="240" t="s">
        <v>507</v>
      </c>
      <c r="I46" s="240" t="s">
        <v>1199</v>
      </c>
      <c r="J46" s="240" t="s">
        <v>93</v>
      </c>
      <c r="K46" s="240" t="s">
        <v>84</v>
      </c>
      <c r="L46" s="240" t="s">
        <v>84</v>
      </c>
      <c r="M46" s="240" t="s">
        <v>84</v>
      </c>
      <c r="N46" s="240" t="s">
        <v>486</v>
      </c>
      <c r="O46" s="240" t="s">
        <v>487</v>
      </c>
      <c r="P46" s="240">
        <v>10039846</v>
      </c>
      <c r="Q46" s="242">
        <v>43384</v>
      </c>
      <c r="R46" s="242">
        <v>43384</v>
      </c>
      <c r="S46" s="242">
        <v>43447</v>
      </c>
      <c r="T46" s="240" t="s">
        <v>1109</v>
      </c>
      <c r="U46" s="240" t="s">
        <v>1105</v>
      </c>
      <c r="V46" s="240" t="s">
        <v>490</v>
      </c>
      <c r="W46" s="240" t="s">
        <v>486</v>
      </c>
      <c r="X46" s="240" t="s">
        <v>486</v>
      </c>
      <c r="Y46" s="240" t="s">
        <v>486</v>
      </c>
      <c r="Z46" s="240" t="s">
        <v>486</v>
      </c>
      <c r="AA46" s="240" t="s">
        <v>486</v>
      </c>
      <c r="AB46" s="240" t="s">
        <v>486</v>
      </c>
      <c r="AC46" s="240" t="s">
        <v>486</v>
      </c>
      <c r="AD46" s="240" t="s">
        <v>1136</v>
      </c>
      <c r="AE46" s="240" t="s">
        <v>231</v>
      </c>
      <c r="AF46" s="240" t="s">
        <v>231</v>
      </c>
      <c r="AG46" s="240" t="s">
        <v>231</v>
      </c>
      <c r="AH46" s="240" t="s">
        <v>231</v>
      </c>
      <c r="AI46" s="240" t="s">
        <v>231</v>
      </c>
      <c r="AJ46" s="240" t="s">
        <v>231</v>
      </c>
      <c r="AK46" s="240" t="s">
        <v>231</v>
      </c>
      <c r="AL46" s="240" t="s">
        <v>231</v>
      </c>
      <c r="AM46" s="240" t="s">
        <v>231</v>
      </c>
      <c r="AN46" s="240" t="s">
        <v>231</v>
      </c>
      <c r="AO46" s="240" t="s">
        <v>231</v>
      </c>
      <c r="AP46" s="240" t="s">
        <v>231</v>
      </c>
      <c r="AQ46" s="240" t="s">
        <v>231</v>
      </c>
      <c r="AR46" s="240" t="s">
        <v>231</v>
      </c>
      <c r="AS46" s="240" t="s">
        <v>231</v>
      </c>
      <c r="AT46" s="240" t="s">
        <v>231</v>
      </c>
      <c r="AU46" s="240" t="s">
        <v>231</v>
      </c>
      <c r="AV46" s="240" t="s">
        <v>231</v>
      </c>
      <c r="AW46" s="240" t="s">
        <v>231</v>
      </c>
      <c r="AX46" s="240" t="s">
        <v>231</v>
      </c>
      <c r="AY46" s="240" t="s">
        <v>232</v>
      </c>
      <c r="AZ46" s="240" t="s">
        <v>231</v>
      </c>
      <c r="BA46" s="240" t="s">
        <v>231</v>
      </c>
      <c r="BB46" s="240" t="s">
        <v>231</v>
      </c>
      <c r="BC46" s="240" t="s">
        <v>231</v>
      </c>
      <c r="BD46" s="240" t="s">
        <v>231</v>
      </c>
      <c r="BE46" s="240" t="s">
        <v>231</v>
      </c>
      <c r="BF46" s="240" t="s">
        <v>231</v>
      </c>
      <c r="BG46" s="240" t="s">
        <v>231</v>
      </c>
      <c r="BH46" s="240" t="s">
        <v>231</v>
      </c>
      <c r="BI46" s="240" t="s">
        <v>232</v>
      </c>
      <c r="BJ46" s="240" t="s">
        <v>231</v>
      </c>
      <c r="BK46" s="240" t="s">
        <v>1107</v>
      </c>
      <c r="BL46" s="240" t="s">
        <v>1107</v>
      </c>
      <c r="BM46" s="240" t="s">
        <v>1107</v>
      </c>
      <c r="BN46" s="240" t="s">
        <v>1107</v>
      </c>
      <c r="BO46" s="240" t="s">
        <v>1107</v>
      </c>
      <c r="BP46" s="240" t="s">
        <v>1107</v>
      </c>
      <c r="BQ46" s="240" t="s">
        <v>1107</v>
      </c>
      <c r="BR46" s="240" t="s">
        <v>1107</v>
      </c>
      <c r="BS46" s="240" t="s">
        <v>1107</v>
      </c>
      <c r="BT46" s="240" t="s">
        <v>1107</v>
      </c>
      <c r="BU46" s="240" t="s">
        <v>1107</v>
      </c>
      <c r="BV46" s="240" t="s">
        <v>1107</v>
      </c>
      <c r="BW46" s="240" t="s">
        <v>1107</v>
      </c>
      <c r="BX46" s="240" t="s">
        <v>1107</v>
      </c>
      <c r="BY46" s="240" t="s">
        <v>1107</v>
      </c>
      <c r="BZ46" s="240" t="s">
        <v>231</v>
      </c>
      <c r="CA46" s="240" t="s">
        <v>231</v>
      </c>
      <c r="CB46" s="240" t="s">
        <v>231</v>
      </c>
      <c r="CC46" s="240" t="s">
        <v>492</v>
      </c>
      <c r="CD46" s="240" t="s">
        <v>492</v>
      </c>
      <c r="CE46" s="240" t="s">
        <v>492</v>
      </c>
      <c r="CF46" s="240" t="s">
        <v>231</v>
      </c>
      <c r="CG46" s="240" t="s">
        <v>231</v>
      </c>
      <c r="CH46" s="240" t="s">
        <v>231</v>
      </c>
      <c r="CI46" s="240" t="s">
        <v>231</v>
      </c>
      <c r="CJ46" s="240" t="s">
        <v>231</v>
      </c>
      <c r="CK46" s="240" t="s">
        <v>1107</v>
      </c>
      <c r="CL46" s="240" t="s">
        <v>1107</v>
      </c>
      <c r="CM46" s="240" t="s">
        <v>231</v>
      </c>
      <c r="CN46" s="240" t="s">
        <v>1107</v>
      </c>
      <c r="CO46" s="240" t="s">
        <v>1107</v>
      </c>
      <c r="CP46" s="240" t="s">
        <v>231</v>
      </c>
      <c r="CQ46" s="240" t="s">
        <v>231</v>
      </c>
      <c r="CR46" s="240" t="s">
        <v>231</v>
      </c>
      <c r="CS46" s="240" t="s">
        <v>231</v>
      </c>
      <c r="CT46" s="240" t="s">
        <v>231</v>
      </c>
      <c r="CU46" s="240" t="s">
        <v>231</v>
      </c>
      <c r="CV46" s="240" t="s">
        <v>231</v>
      </c>
      <c r="CW46" s="240" t="s">
        <v>231</v>
      </c>
      <c r="CX46" s="240" t="s">
        <v>231</v>
      </c>
      <c r="CY46" s="240" t="s">
        <v>231</v>
      </c>
      <c r="CZ46" s="240" t="s">
        <v>231</v>
      </c>
      <c r="DA46" s="240" t="s">
        <v>231</v>
      </c>
      <c r="DB46" s="240" t="s">
        <v>231</v>
      </c>
      <c r="DC46" s="240" t="s">
        <v>492</v>
      </c>
      <c r="DD46" s="240" t="s">
        <v>231</v>
      </c>
      <c r="DE46" s="240" t="s">
        <v>231</v>
      </c>
      <c r="DF46" s="240" t="s">
        <v>231</v>
      </c>
      <c r="DG46" s="240" t="s">
        <v>231</v>
      </c>
      <c r="DH46" s="240" t="s">
        <v>231</v>
      </c>
      <c r="DI46" s="240" t="s">
        <v>231</v>
      </c>
      <c r="DJ46" s="240" t="s">
        <v>231</v>
      </c>
      <c r="DK46" s="240" t="s">
        <v>231</v>
      </c>
      <c r="DL46" s="240" t="s">
        <v>231</v>
      </c>
      <c r="DM46" s="240" t="s">
        <v>231</v>
      </c>
      <c r="DN46" s="240" t="s">
        <v>231</v>
      </c>
      <c r="DO46" s="240" t="s">
        <v>231</v>
      </c>
      <c r="DP46" s="240" t="s">
        <v>231</v>
      </c>
      <c r="DQ46" s="240" t="s">
        <v>492</v>
      </c>
      <c r="DR46" s="240" t="s">
        <v>231</v>
      </c>
      <c r="DS46" s="240" t="s">
        <v>231</v>
      </c>
      <c r="DT46" s="240" t="s">
        <v>231</v>
      </c>
      <c r="DU46" s="240" t="s">
        <v>231</v>
      </c>
      <c r="DV46" s="240" t="s">
        <v>231</v>
      </c>
      <c r="DW46" s="240" t="s">
        <v>231</v>
      </c>
      <c r="DX46" s="240" t="s">
        <v>231</v>
      </c>
      <c r="DY46" s="240" t="s">
        <v>231</v>
      </c>
      <c r="DZ46" s="240" t="s">
        <v>231</v>
      </c>
      <c r="EA46" s="240" t="s">
        <v>231</v>
      </c>
      <c r="EB46" s="240" t="s">
        <v>231</v>
      </c>
      <c r="EC46" s="240" t="s">
        <v>231</v>
      </c>
      <c r="ED46" s="240" t="s">
        <v>231</v>
      </c>
      <c r="EE46" s="240" t="s">
        <v>231</v>
      </c>
      <c r="EF46" s="240" t="s">
        <v>231</v>
      </c>
      <c r="EG46" s="240" t="s">
        <v>231</v>
      </c>
      <c r="EH46" s="240" t="s">
        <v>231</v>
      </c>
      <c r="EI46" s="240" t="s">
        <v>231</v>
      </c>
      <c r="EJ46" s="240" t="s">
        <v>231</v>
      </c>
      <c r="EK46" s="240" t="s">
        <v>231</v>
      </c>
      <c r="EL46" s="240" t="s">
        <v>231</v>
      </c>
      <c r="EM46" s="240" t="s">
        <v>231</v>
      </c>
      <c r="EN46" s="240" t="s">
        <v>231</v>
      </c>
      <c r="EO46" s="240" t="s">
        <v>231</v>
      </c>
      <c r="EP46" s="240" t="s">
        <v>231</v>
      </c>
      <c r="EQ46" s="240" t="s">
        <v>231</v>
      </c>
      <c r="ER46" s="240" t="s">
        <v>231</v>
      </c>
      <c r="ES46" s="240" t="s">
        <v>231</v>
      </c>
      <c r="ET46" s="240" t="s">
        <v>231</v>
      </c>
      <c r="EU46" s="240" t="s">
        <v>231</v>
      </c>
      <c r="EV46" s="240" t="s">
        <v>231</v>
      </c>
      <c r="EW46" s="240" t="s">
        <v>231</v>
      </c>
      <c r="EX46" s="240" t="s">
        <v>231</v>
      </c>
      <c r="EY46" s="240" t="s">
        <v>231</v>
      </c>
      <c r="EZ46" s="240" t="s">
        <v>1107</v>
      </c>
      <c r="FA46" s="240" t="s">
        <v>1107</v>
      </c>
      <c r="FB46" s="240" t="s">
        <v>1107</v>
      </c>
      <c r="FC46" s="240" t="s">
        <v>1107</v>
      </c>
      <c r="FD46" s="240" t="s">
        <v>1107</v>
      </c>
      <c r="FE46" s="240" t="s">
        <v>1107</v>
      </c>
      <c r="FF46" s="240" t="s">
        <v>1107</v>
      </c>
      <c r="FG46" s="240" t="s">
        <v>492</v>
      </c>
      <c r="FH46" s="240" t="s">
        <v>1107</v>
      </c>
      <c r="FI46" s="240" t="s">
        <v>1107</v>
      </c>
      <c r="FJ46" s="240" t="s">
        <v>1107</v>
      </c>
      <c r="FK46" s="240" t="s">
        <v>1107</v>
      </c>
      <c r="FL46" s="240" t="s">
        <v>1107</v>
      </c>
      <c r="FM46" s="240" t="s">
        <v>1107</v>
      </c>
      <c r="FN46" s="240" t="s">
        <v>1107</v>
      </c>
      <c r="FO46" s="240" t="s">
        <v>1107</v>
      </c>
      <c r="FP46" s="240" t="s">
        <v>1107</v>
      </c>
      <c r="FQ46" s="240" t="s">
        <v>1107</v>
      </c>
      <c r="FR46" s="240" t="s">
        <v>1107</v>
      </c>
      <c r="FS46" s="240" t="s">
        <v>1107</v>
      </c>
      <c r="FT46" s="240" t="s">
        <v>1107</v>
      </c>
      <c r="FU46" s="240" t="s">
        <v>1107</v>
      </c>
      <c r="FV46" s="240" t="s">
        <v>1107</v>
      </c>
      <c r="FW46" s="240" t="s">
        <v>1107</v>
      </c>
      <c r="FX46" s="240" t="s">
        <v>1107</v>
      </c>
      <c r="FY46" s="240" t="s">
        <v>492</v>
      </c>
      <c r="FZ46" s="240" t="s">
        <v>231</v>
      </c>
      <c r="GA46" s="240" t="s">
        <v>1107</v>
      </c>
      <c r="GB46" s="240" t="s">
        <v>1107</v>
      </c>
      <c r="GC46" s="240" t="s">
        <v>231</v>
      </c>
      <c r="GD46" s="240" t="s">
        <v>1107</v>
      </c>
      <c r="GE46" s="240" t="s">
        <v>1107</v>
      </c>
      <c r="GF46" s="240" t="s">
        <v>1107</v>
      </c>
      <c r="GG46" s="240" t="s">
        <v>1107</v>
      </c>
      <c r="GH46" s="240" t="s">
        <v>1107</v>
      </c>
      <c r="GI46" s="240" t="s">
        <v>1107</v>
      </c>
      <c r="GJ46" s="240" t="s">
        <v>1107</v>
      </c>
      <c r="GK46" s="240" t="s">
        <v>1107</v>
      </c>
      <c r="GL46" s="240" t="s">
        <v>1107</v>
      </c>
      <c r="GM46" s="240" t="s">
        <v>1107</v>
      </c>
      <c r="GN46" s="240" t="s">
        <v>1107</v>
      </c>
      <c r="GO46" s="240" t="s">
        <v>1107</v>
      </c>
      <c r="GP46" s="240" t="s">
        <v>1107</v>
      </c>
      <c r="GQ46" s="240" t="s">
        <v>1107</v>
      </c>
      <c r="GR46" s="240" t="s">
        <v>1107</v>
      </c>
      <c r="GS46" s="240" t="s">
        <v>1107</v>
      </c>
      <c r="GT46" s="240" t="s">
        <v>1107</v>
      </c>
      <c r="GU46" s="240" t="s">
        <v>1107</v>
      </c>
      <c r="GV46" s="240" t="s">
        <v>1107</v>
      </c>
      <c r="GW46" s="240" t="s">
        <v>1107</v>
      </c>
      <c r="GX46" s="240" t="s">
        <v>1107</v>
      </c>
      <c r="GY46" s="240" t="s">
        <v>1107</v>
      </c>
      <c r="GZ46" s="240" t="s">
        <v>1107</v>
      </c>
      <c r="HA46" s="240" t="s">
        <v>1107</v>
      </c>
      <c r="HB46" s="240" t="s">
        <v>1107</v>
      </c>
      <c r="HC46" s="240" t="s">
        <v>1107</v>
      </c>
      <c r="HD46" s="240" t="s">
        <v>231</v>
      </c>
      <c r="HE46" s="240" t="s">
        <v>1107</v>
      </c>
      <c r="HF46" s="240" t="s">
        <v>1107</v>
      </c>
      <c r="HG46" s="240" t="s">
        <v>1107</v>
      </c>
      <c r="HH46" s="240" t="s">
        <v>1107</v>
      </c>
      <c r="HI46" s="240" t="s">
        <v>1107</v>
      </c>
      <c r="HJ46" s="240" t="s">
        <v>231</v>
      </c>
      <c r="HK46" s="240" t="s">
        <v>1107</v>
      </c>
      <c r="HL46" s="240" t="s">
        <v>1107</v>
      </c>
      <c r="HM46" s="240" t="s">
        <v>1107</v>
      </c>
      <c r="HN46" s="240" t="s">
        <v>1107</v>
      </c>
      <c r="HO46" s="240" t="s">
        <v>1107</v>
      </c>
      <c r="HP46" s="240" t="s">
        <v>1107</v>
      </c>
      <c r="HQ46" s="240" t="s">
        <v>1107</v>
      </c>
      <c r="HR46" s="240" t="s">
        <v>1107</v>
      </c>
      <c r="HS46" s="240" t="s">
        <v>1107</v>
      </c>
      <c r="HT46" s="240" t="s">
        <v>232</v>
      </c>
      <c r="HU46" s="240" t="s">
        <v>232</v>
      </c>
      <c r="HV46" s="240" t="s">
        <v>232</v>
      </c>
      <c r="HW46" s="240" t="s">
        <v>232</v>
      </c>
      <c r="HX46" s="240" t="s">
        <v>219</v>
      </c>
      <c r="HY46" s="240" t="s">
        <v>220</v>
      </c>
      <c r="HZ46" s="240" t="s">
        <v>219</v>
      </c>
      <c r="IA46" s="240" t="s">
        <v>490</v>
      </c>
      <c r="IB46" s="240" t="s">
        <v>231</v>
      </c>
      <c r="IC46" s="240" t="s">
        <v>231</v>
      </c>
    </row>
    <row r="47" spans="1:237" ht="15" x14ac:dyDescent="0.25">
      <c r="A47" s="243" t="str">
        <f>HYPERLINK("http://www.ofsted.gov.uk/inspection-reports/find-inspection-report/provider/ELS/116594 ","Ofsted School Webpage")</f>
        <v>Ofsted School Webpage</v>
      </c>
      <c r="B47" s="237">
        <v>116594</v>
      </c>
      <c r="C47" s="237">
        <v>8506062</v>
      </c>
      <c r="D47" s="237" t="s">
        <v>1200</v>
      </c>
      <c r="E47" s="237" t="s">
        <v>247</v>
      </c>
      <c r="F47" s="237" t="s">
        <v>581</v>
      </c>
      <c r="G47" s="237" t="s">
        <v>581</v>
      </c>
      <c r="H47" s="237" t="s">
        <v>582</v>
      </c>
      <c r="I47" s="237" t="s">
        <v>1201</v>
      </c>
      <c r="J47" s="237" t="s">
        <v>79</v>
      </c>
      <c r="K47" s="237" t="s">
        <v>79</v>
      </c>
      <c r="L47" s="237" t="s">
        <v>79</v>
      </c>
      <c r="M47" s="237" t="s">
        <v>71</v>
      </c>
      <c r="N47" s="237" t="s">
        <v>486</v>
      </c>
      <c r="O47" s="237" t="s">
        <v>487</v>
      </c>
      <c r="P47" s="237">
        <v>10056882</v>
      </c>
      <c r="Q47" s="239">
        <v>43384</v>
      </c>
      <c r="R47" s="239">
        <v>43384</v>
      </c>
      <c r="S47" s="239">
        <v>43417</v>
      </c>
      <c r="T47" s="237" t="s">
        <v>1202</v>
      </c>
      <c r="U47" s="237" t="s">
        <v>1105</v>
      </c>
      <c r="V47" s="237" t="s">
        <v>490</v>
      </c>
      <c r="W47" s="237" t="s">
        <v>486</v>
      </c>
      <c r="X47" s="237" t="s">
        <v>486</v>
      </c>
      <c r="Y47" s="237" t="s">
        <v>486</v>
      </c>
      <c r="Z47" s="237" t="s">
        <v>486</v>
      </c>
      <c r="AA47" s="237" t="s">
        <v>486</v>
      </c>
      <c r="AB47" s="237" t="s">
        <v>486</v>
      </c>
      <c r="AC47" s="237" t="s">
        <v>486</v>
      </c>
      <c r="AD47" s="237" t="s">
        <v>1110</v>
      </c>
      <c r="AE47" s="237" t="s">
        <v>231</v>
      </c>
      <c r="AF47" s="237" t="s">
        <v>231</v>
      </c>
      <c r="AG47" s="237" t="s">
        <v>231</v>
      </c>
      <c r="AH47" s="237" t="s">
        <v>231</v>
      </c>
      <c r="AI47" s="237" t="s">
        <v>231</v>
      </c>
      <c r="AJ47" s="237" t="s">
        <v>231</v>
      </c>
      <c r="AK47" s="237" t="s">
        <v>231</v>
      </c>
      <c r="AL47" s="237" t="s">
        <v>231</v>
      </c>
      <c r="AM47" s="237" t="s">
        <v>231</v>
      </c>
      <c r="AN47" s="237" t="s">
        <v>231</v>
      </c>
      <c r="AO47" s="237" t="s">
        <v>231</v>
      </c>
      <c r="AP47" s="237" t="s">
        <v>231</v>
      </c>
      <c r="AQ47" s="237" t="s">
        <v>231</v>
      </c>
      <c r="AR47" s="237" t="s">
        <v>231</v>
      </c>
      <c r="AS47" s="237" t="s">
        <v>231</v>
      </c>
      <c r="AT47" s="237" t="s">
        <v>231</v>
      </c>
      <c r="AU47" s="237" t="s">
        <v>231</v>
      </c>
      <c r="AV47" s="237" t="s">
        <v>231</v>
      </c>
      <c r="AW47" s="237" t="s">
        <v>231</v>
      </c>
      <c r="AX47" s="237" t="s">
        <v>231</v>
      </c>
      <c r="AY47" s="237" t="s">
        <v>231</v>
      </c>
      <c r="AZ47" s="237" t="s">
        <v>231</v>
      </c>
      <c r="BA47" s="237" t="s">
        <v>231</v>
      </c>
      <c r="BB47" s="237" t="s">
        <v>231</v>
      </c>
      <c r="BC47" s="237" t="s">
        <v>231</v>
      </c>
      <c r="BD47" s="237" t="s">
        <v>231</v>
      </c>
      <c r="BE47" s="237" t="s">
        <v>231</v>
      </c>
      <c r="BF47" s="237" t="s">
        <v>231</v>
      </c>
      <c r="BG47" s="237" t="s">
        <v>231</v>
      </c>
      <c r="BH47" s="237" t="s">
        <v>231</v>
      </c>
      <c r="BI47" s="237" t="s">
        <v>231</v>
      </c>
      <c r="BJ47" s="237" t="s">
        <v>231</v>
      </c>
      <c r="BK47" s="237" t="s">
        <v>231</v>
      </c>
      <c r="BL47" s="237" t="s">
        <v>231</v>
      </c>
      <c r="BM47" s="237" t="s">
        <v>231</v>
      </c>
      <c r="BN47" s="237" t="s">
        <v>231</v>
      </c>
      <c r="BO47" s="237" t="s">
        <v>231</v>
      </c>
      <c r="BP47" s="237" t="s">
        <v>231</v>
      </c>
      <c r="BQ47" s="237" t="s">
        <v>231</v>
      </c>
      <c r="BR47" s="237" t="s">
        <v>231</v>
      </c>
      <c r="BS47" s="237" t="s">
        <v>231</v>
      </c>
      <c r="BT47" s="237" t="s">
        <v>231</v>
      </c>
      <c r="BU47" s="237" t="s">
        <v>231</v>
      </c>
      <c r="BV47" s="237" t="s">
        <v>231</v>
      </c>
      <c r="BW47" s="237" t="s">
        <v>231</v>
      </c>
      <c r="BX47" s="237" t="s">
        <v>231</v>
      </c>
      <c r="BY47" s="237" t="s">
        <v>231</v>
      </c>
      <c r="BZ47" s="237" t="s">
        <v>231</v>
      </c>
      <c r="CA47" s="237" t="s">
        <v>231</v>
      </c>
      <c r="CB47" s="237" t="s">
        <v>231</v>
      </c>
      <c r="CC47" s="237" t="s">
        <v>231</v>
      </c>
      <c r="CD47" s="237" t="s">
        <v>231</v>
      </c>
      <c r="CE47" s="237" t="s">
        <v>231</v>
      </c>
      <c r="CF47" s="237" t="s">
        <v>231</v>
      </c>
      <c r="CG47" s="237" t="s">
        <v>231</v>
      </c>
      <c r="CH47" s="237" t="s">
        <v>231</v>
      </c>
      <c r="CI47" s="237" t="s">
        <v>231</v>
      </c>
      <c r="CJ47" s="237" t="s">
        <v>231</v>
      </c>
      <c r="CK47" s="237" t="s">
        <v>231</v>
      </c>
      <c r="CL47" s="237" t="s">
        <v>231</v>
      </c>
      <c r="CM47" s="237" t="s">
        <v>231</v>
      </c>
      <c r="CN47" s="237" t="s">
        <v>231</v>
      </c>
      <c r="CO47" s="237" t="s">
        <v>231</v>
      </c>
      <c r="CP47" s="237" t="s">
        <v>231</v>
      </c>
      <c r="CQ47" s="237" t="s">
        <v>231</v>
      </c>
      <c r="CR47" s="237" t="s">
        <v>231</v>
      </c>
      <c r="CS47" s="237" t="s">
        <v>231</v>
      </c>
      <c r="CT47" s="237" t="s">
        <v>231</v>
      </c>
      <c r="CU47" s="237" t="s">
        <v>231</v>
      </c>
      <c r="CV47" s="237" t="s">
        <v>231</v>
      </c>
      <c r="CW47" s="237" t="s">
        <v>231</v>
      </c>
      <c r="CX47" s="237" t="s">
        <v>231</v>
      </c>
      <c r="CY47" s="237" t="s">
        <v>231</v>
      </c>
      <c r="CZ47" s="237" t="s">
        <v>231</v>
      </c>
      <c r="DA47" s="237" t="s">
        <v>231</v>
      </c>
      <c r="DB47" s="237" t="s">
        <v>231</v>
      </c>
      <c r="DC47" s="237" t="s">
        <v>231</v>
      </c>
      <c r="DD47" s="237" t="s">
        <v>231</v>
      </c>
      <c r="DE47" s="237" t="s">
        <v>231</v>
      </c>
      <c r="DF47" s="237" t="s">
        <v>231</v>
      </c>
      <c r="DG47" s="237" t="s">
        <v>231</v>
      </c>
      <c r="DH47" s="237" t="s">
        <v>231</v>
      </c>
      <c r="DI47" s="237" t="s">
        <v>231</v>
      </c>
      <c r="DJ47" s="237" t="s">
        <v>231</v>
      </c>
      <c r="DK47" s="237" t="s">
        <v>231</v>
      </c>
      <c r="DL47" s="237" t="s">
        <v>231</v>
      </c>
      <c r="DM47" s="237" t="s">
        <v>231</v>
      </c>
      <c r="DN47" s="237" t="s">
        <v>231</v>
      </c>
      <c r="DO47" s="237" t="s">
        <v>231</v>
      </c>
      <c r="DP47" s="237" t="s">
        <v>231</v>
      </c>
      <c r="DQ47" s="237" t="s">
        <v>231</v>
      </c>
      <c r="DR47" s="237" t="s">
        <v>231</v>
      </c>
      <c r="DS47" s="237" t="s">
        <v>231</v>
      </c>
      <c r="DT47" s="237" t="s">
        <v>231</v>
      </c>
      <c r="DU47" s="237" t="s">
        <v>231</v>
      </c>
      <c r="DV47" s="237" t="s">
        <v>231</v>
      </c>
      <c r="DW47" s="237" t="s">
        <v>231</v>
      </c>
      <c r="DX47" s="237" t="s">
        <v>231</v>
      </c>
      <c r="DY47" s="237" t="s">
        <v>231</v>
      </c>
      <c r="DZ47" s="237" t="s">
        <v>231</v>
      </c>
      <c r="EA47" s="237" t="s">
        <v>231</v>
      </c>
      <c r="EB47" s="237" t="s">
        <v>231</v>
      </c>
      <c r="EC47" s="237" t="s">
        <v>231</v>
      </c>
      <c r="ED47" s="237" t="s">
        <v>231</v>
      </c>
      <c r="EE47" s="237" t="s">
        <v>231</v>
      </c>
      <c r="EF47" s="237" t="s">
        <v>231</v>
      </c>
      <c r="EG47" s="237" t="s">
        <v>231</v>
      </c>
      <c r="EH47" s="237" t="s">
        <v>231</v>
      </c>
      <c r="EI47" s="237" t="s">
        <v>231</v>
      </c>
      <c r="EJ47" s="237" t="s">
        <v>231</v>
      </c>
      <c r="EK47" s="237" t="s">
        <v>231</v>
      </c>
      <c r="EL47" s="237" t="s">
        <v>231</v>
      </c>
      <c r="EM47" s="237" t="s">
        <v>231</v>
      </c>
      <c r="EN47" s="237" t="s">
        <v>231</v>
      </c>
      <c r="EO47" s="237" t="s">
        <v>231</v>
      </c>
      <c r="EP47" s="237" t="s">
        <v>231</v>
      </c>
      <c r="EQ47" s="237" t="s">
        <v>231</v>
      </c>
      <c r="ER47" s="237" t="s">
        <v>231</v>
      </c>
      <c r="ES47" s="237" t="s">
        <v>231</v>
      </c>
      <c r="ET47" s="237" t="s">
        <v>231</v>
      </c>
      <c r="EU47" s="237" t="s">
        <v>231</v>
      </c>
      <c r="EV47" s="237" t="s">
        <v>231</v>
      </c>
      <c r="EW47" s="237" t="s">
        <v>231</v>
      </c>
      <c r="EX47" s="237" t="s">
        <v>231</v>
      </c>
      <c r="EY47" s="237" t="s">
        <v>231</v>
      </c>
      <c r="EZ47" s="237" t="s">
        <v>231</v>
      </c>
      <c r="FA47" s="237" t="s">
        <v>231</v>
      </c>
      <c r="FB47" s="237" t="s">
        <v>231</v>
      </c>
      <c r="FC47" s="237" t="s">
        <v>231</v>
      </c>
      <c r="FD47" s="237" t="s">
        <v>231</v>
      </c>
      <c r="FE47" s="237" t="s">
        <v>231</v>
      </c>
      <c r="FF47" s="237" t="s">
        <v>231</v>
      </c>
      <c r="FG47" s="237" t="s">
        <v>231</v>
      </c>
      <c r="FH47" s="237" t="s">
        <v>231</v>
      </c>
      <c r="FI47" s="237" t="s">
        <v>231</v>
      </c>
      <c r="FJ47" s="237" t="s">
        <v>231</v>
      </c>
      <c r="FK47" s="237" t="s">
        <v>231</v>
      </c>
      <c r="FL47" s="237" t="s">
        <v>231</v>
      </c>
      <c r="FM47" s="237" t="s">
        <v>231</v>
      </c>
      <c r="FN47" s="237" t="s">
        <v>231</v>
      </c>
      <c r="FO47" s="237" t="s">
        <v>231</v>
      </c>
      <c r="FP47" s="237" t="s">
        <v>231</v>
      </c>
      <c r="FQ47" s="237" t="s">
        <v>231</v>
      </c>
      <c r="FR47" s="237" t="s">
        <v>231</v>
      </c>
      <c r="FS47" s="237" t="s">
        <v>231</v>
      </c>
      <c r="FT47" s="237" t="s">
        <v>231</v>
      </c>
      <c r="FU47" s="237" t="s">
        <v>231</v>
      </c>
      <c r="FV47" s="237" t="s">
        <v>231</v>
      </c>
      <c r="FW47" s="237" t="s">
        <v>231</v>
      </c>
      <c r="FX47" s="237" t="s">
        <v>231</v>
      </c>
      <c r="FY47" s="237" t="s">
        <v>231</v>
      </c>
      <c r="FZ47" s="237" t="s">
        <v>231</v>
      </c>
      <c r="GA47" s="237" t="s">
        <v>231</v>
      </c>
      <c r="GB47" s="237" t="s">
        <v>231</v>
      </c>
      <c r="GC47" s="237" t="s">
        <v>231</v>
      </c>
      <c r="GD47" s="237" t="s">
        <v>231</v>
      </c>
      <c r="GE47" s="237" t="s">
        <v>231</v>
      </c>
      <c r="GF47" s="237" t="s">
        <v>231</v>
      </c>
      <c r="GG47" s="237" t="s">
        <v>231</v>
      </c>
      <c r="GH47" s="237" t="s">
        <v>231</v>
      </c>
      <c r="GI47" s="237" t="s">
        <v>231</v>
      </c>
      <c r="GJ47" s="237" t="s">
        <v>231</v>
      </c>
      <c r="GK47" s="237" t="s">
        <v>231</v>
      </c>
      <c r="GL47" s="237" t="s">
        <v>231</v>
      </c>
      <c r="GM47" s="237" t="s">
        <v>231</v>
      </c>
      <c r="GN47" s="237" t="s">
        <v>231</v>
      </c>
      <c r="GO47" s="237" t="s">
        <v>231</v>
      </c>
      <c r="GP47" s="237" t="s">
        <v>231</v>
      </c>
      <c r="GQ47" s="237" t="s">
        <v>231</v>
      </c>
      <c r="GR47" s="237" t="s">
        <v>231</v>
      </c>
      <c r="GS47" s="237" t="s">
        <v>231</v>
      </c>
      <c r="GT47" s="237" t="s">
        <v>231</v>
      </c>
      <c r="GU47" s="237" t="s">
        <v>231</v>
      </c>
      <c r="GV47" s="237" t="s">
        <v>231</v>
      </c>
      <c r="GW47" s="237" t="s">
        <v>231</v>
      </c>
      <c r="GX47" s="237" t="s">
        <v>231</v>
      </c>
      <c r="GY47" s="237" t="s">
        <v>231</v>
      </c>
      <c r="GZ47" s="237" t="s">
        <v>231</v>
      </c>
      <c r="HA47" s="237" t="s">
        <v>231</v>
      </c>
      <c r="HB47" s="237" t="s">
        <v>231</v>
      </c>
      <c r="HC47" s="237" t="s">
        <v>231</v>
      </c>
      <c r="HD47" s="237" t="s">
        <v>231</v>
      </c>
      <c r="HE47" s="237" t="s">
        <v>231</v>
      </c>
      <c r="HF47" s="237" t="s">
        <v>231</v>
      </c>
      <c r="HG47" s="237" t="s">
        <v>231</v>
      </c>
      <c r="HH47" s="237" t="s">
        <v>231</v>
      </c>
      <c r="HI47" s="237" t="s">
        <v>231</v>
      </c>
      <c r="HJ47" s="237" t="s">
        <v>231</v>
      </c>
      <c r="HK47" s="237" t="s">
        <v>231</v>
      </c>
      <c r="HL47" s="237" t="s">
        <v>231</v>
      </c>
      <c r="HM47" s="237" t="s">
        <v>231</v>
      </c>
      <c r="HN47" s="237" t="s">
        <v>231</v>
      </c>
      <c r="HO47" s="237" t="s">
        <v>231</v>
      </c>
      <c r="HP47" s="237" t="s">
        <v>231</v>
      </c>
      <c r="HQ47" s="237" t="s">
        <v>231</v>
      </c>
      <c r="HR47" s="237" t="s">
        <v>231</v>
      </c>
      <c r="HS47" s="237" t="s">
        <v>231</v>
      </c>
      <c r="HT47" s="237" t="s">
        <v>231</v>
      </c>
      <c r="HU47" s="237" t="s">
        <v>231</v>
      </c>
      <c r="HV47" s="237" t="s">
        <v>231</v>
      </c>
      <c r="HW47" s="237" t="s">
        <v>231</v>
      </c>
      <c r="HX47" s="237" t="s">
        <v>220</v>
      </c>
      <c r="HY47" s="237" t="s">
        <v>493</v>
      </c>
      <c r="HZ47" s="237" t="s">
        <v>219</v>
      </c>
      <c r="IA47" s="237" t="s">
        <v>490</v>
      </c>
      <c r="IB47" s="237" t="s">
        <v>492</v>
      </c>
      <c r="IC47" s="237" t="s">
        <v>492</v>
      </c>
    </row>
    <row r="48" spans="1:237" ht="15" x14ac:dyDescent="0.25">
      <c r="A48" s="244" t="str">
        <f>HYPERLINK("http://www.ofsted.gov.uk/inspection-reports/find-inspection-report/provider/ELS/130286 ","Ofsted School Webpage")</f>
        <v>Ofsted School Webpage</v>
      </c>
      <c r="B48" s="240">
        <v>130286</v>
      </c>
      <c r="C48" s="240">
        <v>3526050</v>
      </c>
      <c r="D48" s="240" t="s">
        <v>958</v>
      </c>
      <c r="E48" s="240" t="s">
        <v>247</v>
      </c>
      <c r="F48" s="240" t="s">
        <v>495</v>
      </c>
      <c r="G48" s="240" t="s">
        <v>495</v>
      </c>
      <c r="H48" s="240" t="s">
        <v>744</v>
      </c>
      <c r="I48" s="240" t="s">
        <v>959</v>
      </c>
      <c r="J48" s="240" t="s">
        <v>93</v>
      </c>
      <c r="K48" s="240" t="s">
        <v>93</v>
      </c>
      <c r="L48" s="240" t="s">
        <v>93</v>
      </c>
      <c r="M48" s="240" t="s">
        <v>90</v>
      </c>
      <c r="N48" s="240" t="s">
        <v>486</v>
      </c>
      <c r="O48" s="240" t="s">
        <v>487</v>
      </c>
      <c r="P48" s="240">
        <v>10055147</v>
      </c>
      <c r="Q48" s="242">
        <v>43389</v>
      </c>
      <c r="R48" s="242">
        <v>43389</v>
      </c>
      <c r="S48" s="242">
        <v>43424</v>
      </c>
      <c r="T48" s="240" t="s">
        <v>1109</v>
      </c>
      <c r="U48" s="240" t="s">
        <v>1105</v>
      </c>
      <c r="V48" s="240" t="s">
        <v>512</v>
      </c>
      <c r="W48" s="240" t="s">
        <v>486</v>
      </c>
      <c r="X48" s="240" t="s">
        <v>490</v>
      </c>
      <c r="Y48" s="240" t="s">
        <v>486</v>
      </c>
      <c r="Z48" s="240" t="s">
        <v>490</v>
      </c>
      <c r="AA48" s="240" t="s">
        <v>486</v>
      </c>
      <c r="AB48" s="240" t="s">
        <v>486</v>
      </c>
      <c r="AC48" s="240" t="s">
        <v>486</v>
      </c>
      <c r="AD48" s="240" t="s">
        <v>1110</v>
      </c>
      <c r="AE48" s="240" t="s">
        <v>1107</v>
      </c>
      <c r="AF48" s="240" t="s">
        <v>1107</v>
      </c>
      <c r="AG48" s="240" t="s">
        <v>1107</v>
      </c>
      <c r="AH48" s="240" t="s">
        <v>1107</v>
      </c>
      <c r="AI48" s="240" t="s">
        <v>1107</v>
      </c>
      <c r="AJ48" s="240" t="s">
        <v>1107</v>
      </c>
      <c r="AK48" s="240" t="s">
        <v>1107</v>
      </c>
      <c r="AL48" s="240" t="s">
        <v>1107</v>
      </c>
      <c r="AM48" s="240" t="s">
        <v>1107</v>
      </c>
      <c r="AN48" s="240" t="s">
        <v>1107</v>
      </c>
      <c r="AO48" s="240" t="s">
        <v>1107</v>
      </c>
      <c r="AP48" s="240" t="s">
        <v>1107</v>
      </c>
      <c r="AQ48" s="240" t="s">
        <v>492</v>
      </c>
      <c r="AR48" s="240" t="s">
        <v>492</v>
      </c>
      <c r="AS48" s="240" t="s">
        <v>492</v>
      </c>
      <c r="AT48" s="240" t="s">
        <v>492</v>
      </c>
      <c r="AU48" s="240" t="s">
        <v>1107</v>
      </c>
      <c r="AV48" s="240" t="s">
        <v>492</v>
      </c>
      <c r="AW48" s="240" t="s">
        <v>1107</v>
      </c>
      <c r="AX48" s="240" t="s">
        <v>1107</v>
      </c>
      <c r="AY48" s="240" t="s">
        <v>1107</v>
      </c>
      <c r="AZ48" s="240" t="s">
        <v>1107</v>
      </c>
      <c r="BA48" s="240" t="s">
        <v>1107</v>
      </c>
      <c r="BB48" s="240" t="s">
        <v>1107</v>
      </c>
      <c r="BC48" s="240" t="s">
        <v>1107</v>
      </c>
      <c r="BD48" s="240" t="s">
        <v>1107</v>
      </c>
      <c r="BE48" s="240" t="s">
        <v>1107</v>
      </c>
      <c r="BF48" s="240" t="s">
        <v>1107</v>
      </c>
      <c r="BG48" s="240" t="s">
        <v>1107</v>
      </c>
      <c r="BH48" s="240" t="s">
        <v>1107</v>
      </c>
      <c r="BI48" s="240" t="s">
        <v>1107</v>
      </c>
      <c r="BJ48" s="240" t="s">
        <v>1107</v>
      </c>
      <c r="BK48" s="240" t="s">
        <v>1107</v>
      </c>
      <c r="BL48" s="240" t="s">
        <v>1107</v>
      </c>
      <c r="BM48" s="240" t="s">
        <v>1107</v>
      </c>
      <c r="BN48" s="240" t="s">
        <v>1107</v>
      </c>
      <c r="BO48" s="240" t="s">
        <v>1107</v>
      </c>
      <c r="BP48" s="240" t="s">
        <v>1107</v>
      </c>
      <c r="BQ48" s="240" t="s">
        <v>1107</v>
      </c>
      <c r="BR48" s="240" t="s">
        <v>1107</v>
      </c>
      <c r="BS48" s="240" t="s">
        <v>1107</v>
      </c>
      <c r="BT48" s="240" t="s">
        <v>1107</v>
      </c>
      <c r="BU48" s="240" t="s">
        <v>1107</v>
      </c>
      <c r="BV48" s="240" t="s">
        <v>1107</v>
      </c>
      <c r="BW48" s="240" t="s">
        <v>1107</v>
      </c>
      <c r="BX48" s="240" t="s">
        <v>1107</v>
      </c>
      <c r="BY48" s="240" t="s">
        <v>1107</v>
      </c>
      <c r="BZ48" s="240" t="s">
        <v>231</v>
      </c>
      <c r="CA48" s="240" t="s">
        <v>231</v>
      </c>
      <c r="CB48" s="240" t="s">
        <v>231</v>
      </c>
      <c r="CC48" s="240" t="s">
        <v>1107</v>
      </c>
      <c r="CD48" s="240" t="s">
        <v>492</v>
      </c>
      <c r="CE48" s="240" t="s">
        <v>492</v>
      </c>
      <c r="CF48" s="240" t="s">
        <v>1107</v>
      </c>
      <c r="CG48" s="240" t="s">
        <v>1107</v>
      </c>
      <c r="CH48" s="240" t="s">
        <v>1107</v>
      </c>
      <c r="CI48" s="240" t="s">
        <v>1107</v>
      </c>
      <c r="CJ48" s="240" t="s">
        <v>1107</v>
      </c>
      <c r="CK48" s="240" t="s">
        <v>1107</v>
      </c>
      <c r="CL48" s="240" t="s">
        <v>1107</v>
      </c>
      <c r="CM48" s="240" t="s">
        <v>1107</v>
      </c>
      <c r="CN48" s="240" t="s">
        <v>1107</v>
      </c>
      <c r="CO48" s="240" t="s">
        <v>231</v>
      </c>
      <c r="CP48" s="240" t="s">
        <v>1107</v>
      </c>
      <c r="CQ48" s="240" t="s">
        <v>1107</v>
      </c>
      <c r="CR48" s="240" t="s">
        <v>1107</v>
      </c>
      <c r="CS48" s="240" t="s">
        <v>1107</v>
      </c>
      <c r="CT48" s="240" t="s">
        <v>1107</v>
      </c>
      <c r="CU48" s="240" t="s">
        <v>1107</v>
      </c>
      <c r="CV48" s="240" t="s">
        <v>1107</v>
      </c>
      <c r="CW48" s="240" t="s">
        <v>1107</v>
      </c>
      <c r="CX48" s="240" t="s">
        <v>1107</v>
      </c>
      <c r="CY48" s="240" t="s">
        <v>1107</v>
      </c>
      <c r="CZ48" s="240" t="s">
        <v>1107</v>
      </c>
      <c r="DA48" s="240" t="s">
        <v>1107</v>
      </c>
      <c r="DB48" s="240" t="s">
        <v>1107</v>
      </c>
      <c r="DC48" s="240" t="s">
        <v>492</v>
      </c>
      <c r="DD48" s="240" t="s">
        <v>1107</v>
      </c>
      <c r="DE48" s="240" t="s">
        <v>1107</v>
      </c>
      <c r="DF48" s="240" t="s">
        <v>1107</v>
      </c>
      <c r="DG48" s="240" t="s">
        <v>1107</v>
      </c>
      <c r="DH48" s="240" t="s">
        <v>1107</v>
      </c>
      <c r="DI48" s="240" t="s">
        <v>1107</v>
      </c>
      <c r="DJ48" s="240" t="s">
        <v>1107</v>
      </c>
      <c r="DK48" s="240" t="s">
        <v>1107</v>
      </c>
      <c r="DL48" s="240" t="s">
        <v>1107</v>
      </c>
      <c r="DM48" s="240" t="s">
        <v>1107</v>
      </c>
      <c r="DN48" s="240" t="s">
        <v>1107</v>
      </c>
      <c r="DO48" s="240" t="s">
        <v>1107</v>
      </c>
      <c r="DP48" s="240" t="s">
        <v>1107</v>
      </c>
      <c r="DQ48" s="240" t="s">
        <v>492</v>
      </c>
      <c r="DR48" s="240" t="s">
        <v>1107</v>
      </c>
      <c r="DS48" s="240" t="s">
        <v>1107</v>
      </c>
      <c r="DT48" s="240" t="s">
        <v>1107</v>
      </c>
      <c r="DU48" s="240" t="s">
        <v>1107</v>
      </c>
      <c r="DV48" s="240" t="s">
        <v>1107</v>
      </c>
      <c r="DW48" s="240" t="s">
        <v>1107</v>
      </c>
      <c r="DX48" s="240" t="s">
        <v>1107</v>
      </c>
      <c r="DY48" s="240" t="s">
        <v>1107</v>
      </c>
      <c r="DZ48" s="240" t="s">
        <v>1107</v>
      </c>
      <c r="EA48" s="240" t="s">
        <v>1107</v>
      </c>
      <c r="EB48" s="240" t="s">
        <v>1107</v>
      </c>
      <c r="EC48" s="240" t="s">
        <v>1107</v>
      </c>
      <c r="ED48" s="240" t="s">
        <v>1107</v>
      </c>
      <c r="EE48" s="240" t="s">
        <v>1107</v>
      </c>
      <c r="EF48" s="240" t="s">
        <v>1107</v>
      </c>
      <c r="EG48" s="240" t="s">
        <v>1107</v>
      </c>
      <c r="EH48" s="240" t="s">
        <v>1107</v>
      </c>
      <c r="EI48" s="240" t="s">
        <v>1107</v>
      </c>
      <c r="EJ48" s="240" t="s">
        <v>1107</v>
      </c>
      <c r="EK48" s="240" t="s">
        <v>1107</v>
      </c>
      <c r="EL48" s="240" t="s">
        <v>1107</v>
      </c>
      <c r="EM48" s="240" t="s">
        <v>1107</v>
      </c>
      <c r="EN48" s="240" t="s">
        <v>1107</v>
      </c>
      <c r="EO48" s="240" t="s">
        <v>1107</v>
      </c>
      <c r="EP48" s="240" t="s">
        <v>1107</v>
      </c>
      <c r="EQ48" s="240" t="s">
        <v>1107</v>
      </c>
      <c r="ER48" s="240" t="s">
        <v>1107</v>
      </c>
      <c r="ES48" s="240" t="s">
        <v>1107</v>
      </c>
      <c r="ET48" s="240" t="s">
        <v>1107</v>
      </c>
      <c r="EU48" s="240" t="s">
        <v>1107</v>
      </c>
      <c r="EV48" s="240" t="s">
        <v>1107</v>
      </c>
      <c r="EW48" s="240" t="s">
        <v>1107</v>
      </c>
      <c r="EX48" s="240" t="s">
        <v>1107</v>
      </c>
      <c r="EY48" s="240" t="s">
        <v>1107</v>
      </c>
      <c r="EZ48" s="240" t="s">
        <v>1107</v>
      </c>
      <c r="FA48" s="240" t="s">
        <v>1107</v>
      </c>
      <c r="FB48" s="240" t="s">
        <v>1107</v>
      </c>
      <c r="FC48" s="240" t="s">
        <v>1107</v>
      </c>
      <c r="FD48" s="240" t="s">
        <v>1107</v>
      </c>
      <c r="FE48" s="240" t="s">
        <v>1107</v>
      </c>
      <c r="FF48" s="240" t="s">
        <v>1107</v>
      </c>
      <c r="FG48" s="240" t="s">
        <v>1107</v>
      </c>
      <c r="FH48" s="240" t="s">
        <v>1107</v>
      </c>
      <c r="FI48" s="240" t="s">
        <v>1107</v>
      </c>
      <c r="FJ48" s="240" t="s">
        <v>1107</v>
      </c>
      <c r="FK48" s="240" t="s">
        <v>1107</v>
      </c>
      <c r="FL48" s="240" t="s">
        <v>1107</v>
      </c>
      <c r="FM48" s="240" t="s">
        <v>1107</v>
      </c>
      <c r="FN48" s="240" t="s">
        <v>1107</v>
      </c>
      <c r="FO48" s="240" t="s">
        <v>1107</v>
      </c>
      <c r="FP48" s="240" t="s">
        <v>1107</v>
      </c>
      <c r="FQ48" s="240" t="s">
        <v>1107</v>
      </c>
      <c r="FR48" s="240" t="s">
        <v>1107</v>
      </c>
      <c r="FS48" s="240" t="s">
        <v>1107</v>
      </c>
      <c r="FT48" s="240" t="s">
        <v>1107</v>
      </c>
      <c r="FU48" s="240" t="s">
        <v>1107</v>
      </c>
      <c r="FV48" s="240" t="s">
        <v>231</v>
      </c>
      <c r="FW48" s="240" t="s">
        <v>231</v>
      </c>
      <c r="FX48" s="240" t="s">
        <v>231</v>
      </c>
      <c r="FY48" s="240" t="s">
        <v>492</v>
      </c>
      <c r="FZ48" s="240" t="s">
        <v>231</v>
      </c>
      <c r="GA48" s="240" t="s">
        <v>1107</v>
      </c>
      <c r="GB48" s="240" t="s">
        <v>1107</v>
      </c>
      <c r="GC48" s="240" t="s">
        <v>231</v>
      </c>
      <c r="GD48" s="240" t="s">
        <v>1107</v>
      </c>
      <c r="GE48" s="240" t="s">
        <v>1107</v>
      </c>
      <c r="GF48" s="240" t="s">
        <v>1107</v>
      </c>
      <c r="GG48" s="240" t="s">
        <v>1107</v>
      </c>
      <c r="GH48" s="240" t="s">
        <v>1107</v>
      </c>
      <c r="GI48" s="240" t="s">
        <v>1107</v>
      </c>
      <c r="GJ48" s="240" t="s">
        <v>1107</v>
      </c>
      <c r="GK48" s="240" t="s">
        <v>1107</v>
      </c>
      <c r="GL48" s="240" t="s">
        <v>1107</v>
      </c>
      <c r="GM48" s="240" t="s">
        <v>1107</v>
      </c>
      <c r="GN48" s="240" t="s">
        <v>1107</v>
      </c>
      <c r="GO48" s="240" t="s">
        <v>1107</v>
      </c>
      <c r="GP48" s="240" t="s">
        <v>1107</v>
      </c>
      <c r="GQ48" s="240" t="s">
        <v>1107</v>
      </c>
      <c r="GR48" s="240" t="s">
        <v>1107</v>
      </c>
      <c r="GS48" s="240" t="s">
        <v>1107</v>
      </c>
      <c r="GT48" s="240" t="s">
        <v>1107</v>
      </c>
      <c r="GU48" s="240" t="s">
        <v>1107</v>
      </c>
      <c r="GV48" s="240" t="s">
        <v>1107</v>
      </c>
      <c r="GW48" s="240" t="s">
        <v>1107</v>
      </c>
      <c r="GX48" s="240" t="s">
        <v>1107</v>
      </c>
      <c r="GY48" s="240" t="s">
        <v>1107</v>
      </c>
      <c r="GZ48" s="240" t="s">
        <v>1107</v>
      </c>
      <c r="HA48" s="240" t="s">
        <v>1107</v>
      </c>
      <c r="HB48" s="240" t="s">
        <v>1107</v>
      </c>
      <c r="HC48" s="240" t="s">
        <v>1107</v>
      </c>
      <c r="HD48" s="240" t="s">
        <v>1107</v>
      </c>
      <c r="HE48" s="240" t="s">
        <v>1107</v>
      </c>
      <c r="HF48" s="240" t="s">
        <v>1107</v>
      </c>
      <c r="HG48" s="240" t="s">
        <v>1107</v>
      </c>
      <c r="HH48" s="240" t="s">
        <v>1107</v>
      </c>
      <c r="HI48" s="240" t="s">
        <v>1107</v>
      </c>
      <c r="HJ48" s="240" t="s">
        <v>1107</v>
      </c>
      <c r="HK48" s="240" t="s">
        <v>1107</v>
      </c>
      <c r="HL48" s="240" t="s">
        <v>1107</v>
      </c>
      <c r="HM48" s="240" t="s">
        <v>1107</v>
      </c>
      <c r="HN48" s="240" t="s">
        <v>1107</v>
      </c>
      <c r="HO48" s="240" t="s">
        <v>1107</v>
      </c>
      <c r="HP48" s="240" t="s">
        <v>1107</v>
      </c>
      <c r="HQ48" s="240" t="s">
        <v>1107</v>
      </c>
      <c r="HR48" s="240" t="s">
        <v>1107</v>
      </c>
      <c r="HS48" s="240" t="s">
        <v>1107</v>
      </c>
      <c r="HT48" s="240" t="s">
        <v>231</v>
      </c>
      <c r="HU48" s="240" t="s">
        <v>231</v>
      </c>
      <c r="HV48" s="240" t="s">
        <v>231</v>
      </c>
      <c r="HW48" s="240" t="s">
        <v>231</v>
      </c>
      <c r="HX48" s="240" t="s">
        <v>597</v>
      </c>
      <c r="HY48" s="240" t="s">
        <v>493</v>
      </c>
      <c r="HZ48" s="240" t="s">
        <v>597</v>
      </c>
      <c r="IA48" s="240" t="s">
        <v>490</v>
      </c>
      <c r="IB48" s="240" t="s">
        <v>1107</v>
      </c>
      <c r="IC48" s="240" t="s">
        <v>1107</v>
      </c>
    </row>
    <row r="49" spans="1:237" ht="15" x14ac:dyDescent="0.25">
      <c r="A49" s="243" t="str">
        <f>HYPERLINK("http://www.ofsted.gov.uk/inspection-reports/find-inspection-report/provider/ELS/144856 ","Ofsted School Webpage")</f>
        <v>Ofsted School Webpage</v>
      </c>
      <c r="B49" s="237">
        <v>144856</v>
      </c>
      <c r="C49" s="237">
        <v>3416010</v>
      </c>
      <c r="D49" s="237" t="s">
        <v>1203</v>
      </c>
      <c r="E49" s="237" t="s">
        <v>247</v>
      </c>
      <c r="F49" s="237" t="s">
        <v>495</v>
      </c>
      <c r="G49" s="237" t="s">
        <v>495</v>
      </c>
      <c r="H49" s="237" t="s">
        <v>736</v>
      </c>
      <c r="I49" s="237" t="s">
        <v>1204</v>
      </c>
      <c r="J49" s="237" t="s">
        <v>93</v>
      </c>
      <c r="K49" s="237" t="s">
        <v>93</v>
      </c>
      <c r="L49" s="237" t="s">
        <v>93</v>
      </c>
      <c r="M49" s="237" t="s">
        <v>90</v>
      </c>
      <c r="N49" s="237" t="s">
        <v>486</v>
      </c>
      <c r="O49" s="237" t="s">
        <v>487</v>
      </c>
      <c r="P49" s="237">
        <v>10081059</v>
      </c>
      <c r="Q49" s="239">
        <v>43389</v>
      </c>
      <c r="R49" s="239">
        <v>43389</v>
      </c>
      <c r="S49" s="239">
        <v>43411</v>
      </c>
      <c r="T49" s="237" t="s">
        <v>1104</v>
      </c>
      <c r="U49" s="237" t="s">
        <v>1105</v>
      </c>
      <c r="V49" s="237" t="s">
        <v>490</v>
      </c>
      <c r="W49" s="237" t="s">
        <v>486</v>
      </c>
      <c r="X49" s="237" t="s">
        <v>486</v>
      </c>
      <c r="Y49" s="237" t="s">
        <v>486</v>
      </c>
      <c r="Z49" s="237" t="s">
        <v>486</v>
      </c>
      <c r="AA49" s="237" t="s">
        <v>486</v>
      </c>
      <c r="AB49" s="237" t="s">
        <v>486</v>
      </c>
      <c r="AC49" s="237" t="s">
        <v>486</v>
      </c>
      <c r="AD49" s="237" t="s">
        <v>1106</v>
      </c>
      <c r="AE49" s="237" t="s">
        <v>1107</v>
      </c>
      <c r="AF49" s="237" t="s">
        <v>1107</v>
      </c>
      <c r="AG49" s="237" t="s">
        <v>1107</v>
      </c>
      <c r="AH49" s="237" t="s">
        <v>1107</v>
      </c>
      <c r="AI49" s="237" t="s">
        <v>1107</v>
      </c>
      <c r="AJ49" s="237" t="s">
        <v>1107</v>
      </c>
      <c r="AK49" s="237" t="s">
        <v>1107</v>
      </c>
      <c r="AL49" s="237" t="s">
        <v>1107</v>
      </c>
      <c r="AM49" s="237" t="s">
        <v>1107</v>
      </c>
      <c r="AN49" s="237" t="s">
        <v>1107</v>
      </c>
      <c r="AO49" s="237" t="s">
        <v>1107</v>
      </c>
      <c r="AP49" s="237" t="s">
        <v>1107</v>
      </c>
      <c r="AQ49" s="237" t="s">
        <v>1107</v>
      </c>
      <c r="AR49" s="237" t="s">
        <v>1107</v>
      </c>
      <c r="AS49" s="237" t="s">
        <v>1107</v>
      </c>
      <c r="AT49" s="237" t="s">
        <v>1107</v>
      </c>
      <c r="AU49" s="237" t="s">
        <v>1107</v>
      </c>
      <c r="AV49" s="237" t="s">
        <v>1107</v>
      </c>
      <c r="AW49" s="237" t="s">
        <v>1107</v>
      </c>
      <c r="AX49" s="237" t="s">
        <v>1107</v>
      </c>
      <c r="AY49" s="237" t="s">
        <v>1107</v>
      </c>
      <c r="AZ49" s="237" t="s">
        <v>1107</v>
      </c>
      <c r="BA49" s="237" t="s">
        <v>1107</v>
      </c>
      <c r="BB49" s="237" t="s">
        <v>1107</v>
      </c>
      <c r="BC49" s="237" t="s">
        <v>1107</v>
      </c>
      <c r="BD49" s="237" t="s">
        <v>1107</v>
      </c>
      <c r="BE49" s="237" t="s">
        <v>1107</v>
      </c>
      <c r="BF49" s="237" t="s">
        <v>1107</v>
      </c>
      <c r="BG49" s="237" t="s">
        <v>1107</v>
      </c>
      <c r="BH49" s="237" t="s">
        <v>1107</v>
      </c>
      <c r="BI49" s="237" t="s">
        <v>1107</v>
      </c>
      <c r="BJ49" s="237" t="s">
        <v>1107</v>
      </c>
      <c r="BK49" s="237" t="s">
        <v>1107</v>
      </c>
      <c r="BL49" s="237" t="s">
        <v>1107</v>
      </c>
      <c r="BM49" s="237" t="s">
        <v>1107</v>
      </c>
      <c r="BN49" s="237" t="s">
        <v>1107</v>
      </c>
      <c r="BO49" s="237" t="s">
        <v>1107</v>
      </c>
      <c r="BP49" s="237" t="s">
        <v>1107</v>
      </c>
      <c r="BQ49" s="237" t="s">
        <v>1107</v>
      </c>
      <c r="BR49" s="237" t="s">
        <v>1107</v>
      </c>
      <c r="BS49" s="237" t="s">
        <v>1107</v>
      </c>
      <c r="BT49" s="237" t="s">
        <v>1107</v>
      </c>
      <c r="BU49" s="237" t="s">
        <v>1107</v>
      </c>
      <c r="BV49" s="237" t="s">
        <v>1107</v>
      </c>
      <c r="BW49" s="237" t="s">
        <v>1107</v>
      </c>
      <c r="BX49" s="237" t="s">
        <v>1107</v>
      </c>
      <c r="BY49" s="237" t="s">
        <v>1107</v>
      </c>
      <c r="BZ49" s="237" t="s">
        <v>231</v>
      </c>
      <c r="CA49" s="237" t="s">
        <v>231</v>
      </c>
      <c r="CB49" s="237" t="s">
        <v>231</v>
      </c>
      <c r="CC49" s="237" t="s">
        <v>1107</v>
      </c>
      <c r="CD49" s="237" t="s">
        <v>492</v>
      </c>
      <c r="CE49" s="237" t="s">
        <v>492</v>
      </c>
      <c r="CF49" s="237" t="s">
        <v>1107</v>
      </c>
      <c r="CG49" s="237" t="s">
        <v>1107</v>
      </c>
      <c r="CH49" s="237" t="s">
        <v>1107</v>
      </c>
      <c r="CI49" s="237" t="s">
        <v>1107</v>
      </c>
      <c r="CJ49" s="237" t="s">
        <v>1107</v>
      </c>
      <c r="CK49" s="237" t="s">
        <v>231</v>
      </c>
      <c r="CL49" s="237" t="s">
        <v>231</v>
      </c>
      <c r="CM49" s="237" t="s">
        <v>1107</v>
      </c>
      <c r="CN49" s="237" t="s">
        <v>661</v>
      </c>
      <c r="CO49" s="237" t="s">
        <v>1107</v>
      </c>
      <c r="CP49" s="237" t="s">
        <v>231</v>
      </c>
      <c r="CQ49" s="237" t="s">
        <v>231</v>
      </c>
      <c r="CR49" s="237" t="s">
        <v>231</v>
      </c>
      <c r="CS49" s="237" t="s">
        <v>231</v>
      </c>
      <c r="CT49" s="237" t="s">
        <v>231</v>
      </c>
      <c r="CU49" s="237" t="s">
        <v>231</v>
      </c>
      <c r="CV49" s="237" t="s">
        <v>231</v>
      </c>
      <c r="CW49" s="237" t="s">
        <v>231</v>
      </c>
      <c r="CX49" s="237" t="s">
        <v>231</v>
      </c>
      <c r="CY49" s="237" t="s">
        <v>231</v>
      </c>
      <c r="CZ49" s="237" t="s">
        <v>231</v>
      </c>
      <c r="DA49" s="237" t="s">
        <v>231</v>
      </c>
      <c r="DB49" s="237" t="s">
        <v>231</v>
      </c>
      <c r="DC49" s="237" t="s">
        <v>231</v>
      </c>
      <c r="DD49" s="237" t="s">
        <v>231</v>
      </c>
      <c r="DE49" s="237" t="s">
        <v>492</v>
      </c>
      <c r="DF49" s="237" t="s">
        <v>492</v>
      </c>
      <c r="DG49" s="237" t="s">
        <v>492</v>
      </c>
      <c r="DH49" s="237" t="s">
        <v>492</v>
      </c>
      <c r="DI49" s="237" t="s">
        <v>492</v>
      </c>
      <c r="DJ49" s="237" t="s">
        <v>492</v>
      </c>
      <c r="DK49" s="237" t="s">
        <v>492</v>
      </c>
      <c r="DL49" s="237" t="s">
        <v>492</v>
      </c>
      <c r="DM49" s="237" t="s">
        <v>492</v>
      </c>
      <c r="DN49" s="237" t="s">
        <v>492</v>
      </c>
      <c r="DO49" s="237" t="s">
        <v>492</v>
      </c>
      <c r="DP49" s="237" t="s">
        <v>492</v>
      </c>
      <c r="DQ49" s="237" t="s">
        <v>492</v>
      </c>
      <c r="DR49" s="237" t="s">
        <v>492</v>
      </c>
      <c r="DS49" s="237" t="s">
        <v>231</v>
      </c>
      <c r="DT49" s="237" t="s">
        <v>231</v>
      </c>
      <c r="DU49" s="237" t="s">
        <v>231</v>
      </c>
      <c r="DV49" s="237" t="s">
        <v>231</v>
      </c>
      <c r="DW49" s="237" t="s">
        <v>231</v>
      </c>
      <c r="DX49" s="237" t="s">
        <v>231</v>
      </c>
      <c r="DY49" s="237" t="s">
        <v>231</v>
      </c>
      <c r="DZ49" s="237" t="s">
        <v>231</v>
      </c>
      <c r="EA49" s="237" t="s">
        <v>231</v>
      </c>
      <c r="EB49" s="237" t="s">
        <v>231</v>
      </c>
      <c r="EC49" s="237" t="s">
        <v>231</v>
      </c>
      <c r="ED49" s="237" t="s">
        <v>231</v>
      </c>
      <c r="EE49" s="237" t="s">
        <v>231</v>
      </c>
      <c r="EF49" s="237" t="s">
        <v>231</v>
      </c>
      <c r="EG49" s="237" t="s">
        <v>231</v>
      </c>
      <c r="EH49" s="237" t="s">
        <v>231</v>
      </c>
      <c r="EI49" s="237" t="s">
        <v>231</v>
      </c>
      <c r="EJ49" s="237" t="s">
        <v>231</v>
      </c>
      <c r="EK49" s="237" t="s">
        <v>231</v>
      </c>
      <c r="EL49" s="237" t="s">
        <v>231</v>
      </c>
      <c r="EM49" s="237" t="s">
        <v>231</v>
      </c>
      <c r="EN49" s="237" t="s">
        <v>231</v>
      </c>
      <c r="EO49" s="237" t="s">
        <v>231</v>
      </c>
      <c r="EP49" s="237" t="s">
        <v>231</v>
      </c>
      <c r="EQ49" s="237" t="s">
        <v>231</v>
      </c>
      <c r="ER49" s="237" t="s">
        <v>231</v>
      </c>
      <c r="ES49" s="237" t="s">
        <v>231</v>
      </c>
      <c r="ET49" s="237" t="s">
        <v>231</v>
      </c>
      <c r="EU49" s="237" t="s">
        <v>231</v>
      </c>
      <c r="EV49" s="237" t="s">
        <v>231</v>
      </c>
      <c r="EW49" s="237" t="s">
        <v>231</v>
      </c>
      <c r="EX49" s="237" t="s">
        <v>231</v>
      </c>
      <c r="EY49" s="237" t="s">
        <v>231</v>
      </c>
      <c r="EZ49" s="237" t="s">
        <v>231</v>
      </c>
      <c r="FA49" s="237" t="s">
        <v>231</v>
      </c>
      <c r="FB49" s="237" t="s">
        <v>231</v>
      </c>
      <c r="FC49" s="237" t="s">
        <v>231</v>
      </c>
      <c r="FD49" s="237" t="s">
        <v>231</v>
      </c>
      <c r="FE49" s="237" t="s">
        <v>231</v>
      </c>
      <c r="FF49" s="237" t="s">
        <v>231</v>
      </c>
      <c r="FG49" s="237" t="s">
        <v>492</v>
      </c>
      <c r="FH49" s="237" t="s">
        <v>231</v>
      </c>
      <c r="FI49" s="237" t="s">
        <v>231</v>
      </c>
      <c r="FJ49" s="237" t="s">
        <v>231</v>
      </c>
      <c r="FK49" s="237" t="s">
        <v>231</v>
      </c>
      <c r="FL49" s="237" t="s">
        <v>231</v>
      </c>
      <c r="FM49" s="237" t="s">
        <v>231</v>
      </c>
      <c r="FN49" s="237" t="s">
        <v>231</v>
      </c>
      <c r="FO49" s="237" t="s">
        <v>231</v>
      </c>
      <c r="FP49" s="237" t="s">
        <v>231</v>
      </c>
      <c r="FQ49" s="237" t="s">
        <v>231</v>
      </c>
      <c r="FR49" s="237" t="s">
        <v>231</v>
      </c>
      <c r="FS49" s="237" t="s">
        <v>231</v>
      </c>
      <c r="FT49" s="237" t="s">
        <v>231</v>
      </c>
      <c r="FU49" s="237" t="s">
        <v>231</v>
      </c>
      <c r="FV49" s="237" t="s">
        <v>231</v>
      </c>
      <c r="FW49" s="237" t="s">
        <v>231</v>
      </c>
      <c r="FX49" s="237" t="s">
        <v>231</v>
      </c>
      <c r="FY49" s="237" t="s">
        <v>492</v>
      </c>
      <c r="FZ49" s="237" t="s">
        <v>1107</v>
      </c>
      <c r="GA49" s="237" t="s">
        <v>1107</v>
      </c>
      <c r="GB49" s="237" t="s">
        <v>231</v>
      </c>
      <c r="GC49" s="237" t="s">
        <v>231</v>
      </c>
      <c r="GD49" s="237" t="s">
        <v>1107</v>
      </c>
      <c r="GE49" s="237" t="s">
        <v>1107</v>
      </c>
      <c r="GF49" s="237" t="s">
        <v>1107</v>
      </c>
      <c r="GG49" s="237" t="s">
        <v>1107</v>
      </c>
      <c r="GH49" s="237" t="s">
        <v>1107</v>
      </c>
      <c r="GI49" s="237" t="s">
        <v>1107</v>
      </c>
      <c r="GJ49" s="237" t="s">
        <v>231</v>
      </c>
      <c r="GK49" s="237" t="s">
        <v>1107</v>
      </c>
      <c r="GL49" s="237" t="s">
        <v>1107</v>
      </c>
      <c r="GM49" s="237" t="s">
        <v>1107</v>
      </c>
      <c r="GN49" s="237" t="s">
        <v>1107</v>
      </c>
      <c r="GO49" s="237" t="s">
        <v>1107</v>
      </c>
      <c r="GP49" s="237" t="s">
        <v>1107</v>
      </c>
      <c r="GQ49" s="237" t="s">
        <v>1107</v>
      </c>
      <c r="GR49" s="237" t="s">
        <v>1107</v>
      </c>
      <c r="GS49" s="237" t="s">
        <v>1107</v>
      </c>
      <c r="GT49" s="237" t="s">
        <v>1107</v>
      </c>
      <c r="GU49" s="237" t="s">
        <v>1107</v>
      </c>
      <c r="GV49" s="237" t="s">
        <v>1107</v>
      </c>
      <c r="GW49" s="237" t="s">
        <v>1107</v>
      </c>
      <c r="GX49" s="237" t="s">
        <v>1107</v>
      </c>
      <c r="GY49" s="237" t="s">
        <v>1107</v>
      </c>
      <c r="GZ49" s="237" t="s">
        <v>1107</v>
      </c>
      <c r="HA49" s="237" t="s">
        <v>1107</v>
      </c>
      <c r="HB49" s="237" t="s">
        <v>1107</v>
      </c>
      <c r="HC49" s="237" t="s">
        <v>1107</v>
      </c>
      <c r="HD49" s="237" t="s">
        <v>1107</v>
      </c>
      <c r="HE49" s="237" t="s">
        <v>1107</v>
      </c>
      <c r="HF49" s="237" t="s">
        <v>1107</v>
      </c>
      <c r="HG49" s="237" t="s">
        <v>1107</v>
      </c>
      <c r="HH49" s="237" t="s">
        <v>1107</v>
      </c>
      <c r="HI49" s="237" t="s">
        <v>1107</v>
      </c>
      <c r="HJ49" s="237" t="s">
        <v>1107</v>
      </c>
      <c r="HK49" s="237" t="s">
        <v>1107</v>
      </c>
      <c r="HL49" s="237" t="s">
        <v>1107</v>
      </c>
      <c r="HM49" s="237" t="s">
        <v>1107</v>
      </c>
      <c r="HN49" s="237" t="s">
        <v>1107</v>
      </c>
      <c r="HO49" s="237" t="s">
        <v>1107</v>
      </c>
      <c r="HP49" s="237" t="s">
        <v>1107</v>
      </c>
      <c r="HQ49" s="237" t="s">
        <v>1107</v>
      </c>
      <c r="HR49" s="237" t="s">
        <v>1107</v>
      </c>
      <c r="HS49" s="237" t="s">
        <v>1107</v>
      </c>
      <c r="HT49" s="237" t="s">
        <v>1107</v>
      </c>
      <c r="HU49" s="237" t="s">
        <v>1107</v>
      </c>
      <c r="HV49" s="237" t="s">
        <v>1107</v>
      </c>
      <c r="HW49" s="237" t="s">
        <v>1107</v>
      </c>
      <c r="HX49" s="237" t="s">
        <v>220</v>
      </c>
      <c r="HY49" s="237" t="s">
        <v>493</v>
      </c>
      <c r="HZ49" s="237" t="s">
        <v>219</v>
      </c>
      <c r="IA49" s="237" t="s">
        <v>490</v>
      </c>
      <c r="IB49" s="237" t="s">
        <v>492</v>
      </c>
      <c r="IC49" s="237" t="s">
        <v>492</v>
      </c>
    </row>
    <row r="50" spans="1:237" ht="15" x14ac:dyDescent="0.25">
      <c r="A50" s="244" t="str">
        <f>HYPERLINK("http://www.ofsted.gov.uk/inspection-reports/find-inspection-report/provider/ELS/144805 ","Ofsted School Webpage")</f>
        <v>Ofsted School Webpage</v>
      </c>
      <c r="B50" s="240">
        <v>144805</v>
      </c>
      <c r="C50" s="240">
        <v>3016006</v>
      </c>
      <c r="D50" s="240" t="s">
        <v>1205</v>
      </c>
      <c r="E50" s="240" t="s">
        <v>247</v>
      </c>
      <c r="F50" s="240" t="s">
        <v>506</v>
      </c>
      <c r="G50" s="240" t="s">
        <v>506</v>
      </c>
      <c r="H50" s="240" t="s">
        <v>683</v>
      </c>
      <c r="I50" s="240" t="s">
        <v>1206</v>
      </c>
      <c r="J50" s="240" t="s">
        <v>93</v>
      </c>
      <c r="K50" s="240" t="s">
        <v>84</v>
      </c>
      <c r="L50" s="240" t="s">
        <v>84</v>
      </c>
      <c r="M50" s="240" t="s">
        <v>84</v>
      </c>
      <c r="N50" s="240" t="s">
        <v>486</v>
      </c>
      <c r="O50" s="240" t="s">
        <v>660</v>
      </c>
      <c r="P50" s="240">
        <v>10081141</v>
      </c>
      <c r="Q50" s="242">
        <v>43390</v>
      </c>
      <c r="R50" s="242">
        <v>43390</v>
      </c>
      <c r="S50" s="242">
        <v>43417</v>
      </c>
      <c r="T50" s="240" t="s">
        <v>1104</v>
      </c>
      <c r="U50" s="240" t="s">
        <v>1105</v>
      </c>
      <c r="V50" s="240" t="s">
        <v>490</v>
      </c>
      <c r="W50" s="240" t="s">
        <v>486</v>
      </c>
      <c r="X50" s="240" t="s">
        <v>486</v>
      </c>
      <c r="Y50" s="240" t="s">
        <v>486</v>
      </c>
      <c r="Z50" s="240" t="s">
        <v>486</v>
      </c>
      <c r="AA50" s="240" t="s">
        <v>486</v>
      </c>
      <c r="AB50" s="240" t="s">
        <v>486</v>
      </c>
      <c r="AC50" s="240" t="s">
        <v>486</v>
      </c>
      <c r="AD50" s="240" t="s">
        <v>1106</v>
      </c>
      <c r="AE50" s="240" t="s">
        <v>231</v>
      </c>
      <c r="AF50" s="240" t="s">
        <v>231</v>
      </c>
      <c r="AG50" s="240" t="s">
        <v>231</v>
      </c>
      <c r="AH50" s="240" t="s">
        <v>231</v>
      </c>
      <c r="AI50" s="240" t="s">
        <v>231</v>
      </c>
      <c r="AJ50" s="240" t="s">
        <v>231</v>
      </c>
      <c r="AK50" s="240" t="s">
        <v>231</v>
      </c>
      <c r="AL50" s="240" t="s">
        <v>231</v>
      </c>
      <c r="AM50" s="240" t="s">
        <v>492</v>
      </c>
      <c r="AN50" s="240" t="s">
        <v>231</v>
      </c>
      <c r="AO50" s="240" t="s">
        <v>231</v>
      </c>
      <c r="AP50" s="240" t="s">
        <v>231</v>
      </c>
      <c r="AQ50" s="240" t="s">
        <v>231</v>
      </c>
      <c r="AR50" s="240" t="s">
        <v>231</v>
      </c>
      <c r="AS50" s="240" t="s">
        <v>231</v>
      </c>
      <c r="AT50" s="240" t="s">
        <v>231</v>
      </c>
      <c r="AU50" s="240" t="s">
        <v>492</v>
      </c>
      <c r="AV50" s="240" t="s">
        <v>492</v>
      </c>
      <c r="AW50" s="240" t="s">
        <v>231</v>
      </c>
      <c r="AX50" s="240" t="s">
        <v>231</v>
      </c>
      <c r="AY50" s="240" t="s">
        <v>1107</v>
      </c>
      <c r="AZ50" s="240" t="s">
        <v>1107</v>
      </c>
      <c r="BA50" s="240" t="s">
        <v>1107</v>
      </c>
      <c r="BB50" s="240" t="s">
        <v>1107</v>
      </c>
      <c r="BC50" s="240" t="s">
        <v>1107</v>
      </c>
      <c r="BD50" s="240" t="s">
        <v>1107</v>
      </c>
      <c r="BE50" s="240" t="s">
        <v>1107</v>
      </c>
      <c r="BF50" s="240" t="s">
        <v>1107</v>
      </c>
      <c r="BG50" s="240" t="s">
        <v>1107</v>
      </c>
      <c r="BH50" s="240" t="s">
        <v>1107</v>
      </c>
      <c r="BI50" s="240" t="s">
        <v>1107</v>
      </c>
      <c r="BJ50" s="240" t="s">
        <v>1107</v>
      </c>
      <c r="BK50" s="240" t="s">
        <v>1107</v>
      </c>
      <c r="BL50" s="240" t="s">
        <v>1107</v>
      </c>
      <c r="BM50" s="240" t="s">
        <v>1107</v>
      </c>
      <c r="BN50" s="240" t="s">
        <v>1107</v>
      </c>
      <c r="BO50" s="240" t="s">
        <v>1107</v>
      </c>
      <c r="BP50" s="240" t="s">
        <v>1107</v>
      </c>
      <c r="BQ50" s="240" t="s">
        <v>1107</v>
      </c>
      <c r="BR50" s="240" t="s">
        <v>1107</v>
      </c>
      <c r="BS50" s="240" t="s">
        <v>1107</v>
      </c>
      <c r="BT50" s="240" t="s">
        <v>1107</v>
      </c>
      <c r="BU50" s="240" t="s">
        <v>1107</v>
      </c>
      <c r="BV50" s="240" t="s">
        <v>1107</v>
      </c>
      <c r="BW50" s="240" t="s">
        <v>1107</v>
      </c>
      <c r="BX50" s="240" t="s">
        <v>1107</v>
      </c>
      <c r="BY50" s="240" t="s">
        <v>1107</v>
      </c>
      <c r="BZ50" s="240" t="s">
        <v>1107</v>
      </c>
      <c r="CA50" s="240" t="s">
        <v>1107</v>
      </c>
      <c r="CB50" s="240" t="s">
        <v>1107</v>
      </c>
      <c r="CC50" s="240" t="s">
        <v>492</v>
      </c>
      <c r="CD50" s="240" t="s">
        <v>492</v>
      </c>
      <c r="CE50" s="240" t="s">
        <v>492</v>
      </c>
      <c r="CF50" s="240" t="s">
        <v>1107</v>
      </c>
      <c r="CG50" s="240" t="s">
        <v>1107</v>
      </c>
      <c r="CH50" s="240" t="s">
        <v>1107</v>
      </c>
      <c r="CI50" s="240" t="s">
        <v>1107</v>
      </c>
      <c r="CJ50" s="240" t="s">
        <v>1107</v>
      </c>
      <c r="CK50" s="240" t="s">
        <v>1107</v>
      </c>
      <c r="CL50" s="240" t="s">
        <v>1107</v>
      </c>
      <c r="CM50" s="240" t="s">
        <v>1107</v>
      </c>
      <c r="CN50" s="240" t="s">
        <v>1107</v>
      </c>
      <c r="CO50" s="240" t="s">
        <v>1107</v>
      </c>
      <c r="CP50" s="240" t="s">
        <v>1107</v>
      </c>
      <c r="CQ50" s="240" t="s">
        <v>1107</v>
      </c>
      <c r="CR50" s="240" t="s">
        <v>1107</v>
      </c>
      <c r="CS50" s="240" t="s">
        <v>1107</v>
      </c>
      <c r="CT50" s="240" t="s">
        <v>1107</v>
      </c>
      <c r="CU50" s="240" t="s">
        <v>1107</v>
      </c>
      <c r="CV50" s="240" t="s">
        <v>1107</v>
      </c>
      <c r="CW50" s="240" t="s">
        <v>1107</v>
      </c>
      <c r="CX50" s="240" t="s">
        <v>1107</v>
      </c>
      <c r="CY50" s="240" t="s">
        <v>1107</v>
      </c>
      <c r="CZ50" s="240" t="s">
        <v>1107</v>
      </c>
      <c r="DA50" s="240" t="s">
        <v>1107</v>
      </c>
      <c r="DB50" s="240" t="s">
        <v>1107</v>
      </c>
      <c r="DC50" s="240" t="s">
        <v>1107</v>
      </c>
      <c r="DD50" s="240" t="s">
        <v>1107</v>
      </c>
      <c r="DE50" s="240" t="s">
        <v>1107</v>
      </c>
      <c r="DF50" s="240" t="s">
        <v>1107</v>
      </c>
      <c r="DG50" s="240" t="s">
        <v>1107</v>
      </c>
      <c r="DH50" s="240" t="s">
        <v>1107</v>
      </c>
      <c r="DI50" s="240" t="s">
        <v>1107</v>
      </c>
      <c r="DJ50" s="240" t="s">
        <v>1107</v>
      </c>
      <c r="DK50" s="240" t="s">
        <v>1107</v>
      </c>
      <c r="DL50" s="240" t="s">
        <v>1107</v>
      </c>
      <c r="DM50" s="240" t="s">
        <v>1107</v>
      </c>
      <c r="DN50" s="240" t="s">
        <v>1107</v>
      </c>
      <c r="DO50" s="240" t="s">
        <v>1107</v>
      </c>
      <c r="DP50" s="240" t="s">
        <v>1107</v>
      </c>
      <c r="DQ50" s="240" t="s">
        <v>1107</v>
      </c>
      <c r="DR50" s="240" t="s">
        <v>1107</v>
      </c>
      <c r="DS50" s="240" t="s">
        <v>1107</v>
      </c>
      <c r="DT50" s="240" t="s">
        <v>1107</v>
      </c>
      <c r="DU50" s="240" t="s">
        <v>1107</v>
      </c>
      <c r="DV50" s="240" t="s">
        <v>1107</v>
      </c>
      <c r="DW50" s="240" t="s">
        <v>1107</v>
      </c>
      <c r="DX50" s="240" t="s">
        <v>1107</v>
      </c>
      <c r="DY50" s="240" t="s">
        <v>1107</v>
      </c>
      <c r="DZ50" s="240" t="s">
        <v>1107</v>
      </c>
      <c r="EA50" s="240" t="s">
        <v>1107</v>
      </c>
      <c r="EB50" s="240" t="s">
        <v>1107</v>
      </c>
      <c r="EC50" s="240" t="s">
        <v>1107</v>
      </c>
      <c r="ED50" s="240" t="s">
        <v>1107</v>
      </c>
      <c r="EE50" s="240" t="s">
        <v>1107</v>
      </c>
      <c r="EF50" s="240" t="s">
        <v>1107</v>
      </c>
      <c r="EG50" s="240" t="s">
        <v>1107</v>
      </c>
      <c r="EH50" s="240" t="s">
        <v>1107</v>
      </c>
      <c r="EI50" s="240" t="s">
        <v>1107</v>
      </c>
      <c r="EJ50" s="240" t="s">
        <v>1107</v>
      </c>
      <c r="EK50" s="240" t="s">
        <v>1107</v>
      </c>
      <c r="EL50" s="240" t="s">
        <v>1107</v>
      </c>
      <c r="EM50" s="240" t="s">
        <v>1107</v>
      </c>
      <c r="EN50" s="240" t="s">
        <v>1107</v>
      </c>
      <c r="EO50" s="240" t="s">
        <v>1107</v>
      </c>
      <c r="EP50" s="240" t="s">
        <v>1107</v>
      </c>
      <c r="EQ50" s="240" t="s">
        <v>1107</v>
      </c>
      <c r="ER50" s="240" t="s">
        <v>1107</v>
      </c>
      <c r="ES50" s="240" t="s">
        <v>1107</v>
      </c>
      <c r="ET50" s="240" t="s">
        <v>1107</v>
      </c>
      <c r="EU50" s="240" t="s">
        <v>1107</v>
      </c>
      <c r="EV50" s="240" t="s">
        <v>1107</v>
      </c>
      <c r="EW50" s="240" t="s">
        <v>1107</v>
      </c>
      <c r="EX50" s="240" t="s">
        <v>1107</v>
      </c>
      <c r="EY50" s="240" t="s">
        <v>1107</v>
      </c>
      <c r="EZ50" s="240" t="s">
        <v>1107</v>
      </c>
      <c r="FA50" s="240" t="s">
        <v>1107</v>
      </c>
      <c r="FB50" s="240" t="s">
        <v>1107</v>
      </c>
      <c r="FC50" s="240" t="s">
        <v>1107</v>
      </c>
      <c r="FD50" s="240" t="s">
        <v>1107</v>
      </c>
      <c r="FE50" s="240" t="s">
        <v>1107</v>
      </c>
      <c r="FF50" s="240" t="s">
        <v>1107</v>
      </c>
      <c r="FG50" s="240" t="s">
        <v>1107</v>
      </c>
      <c r="FH50" s="240" t="s">
        <v>1107</v>
      </c>
      <c r="FI50" s="240" t="s">
        <v>1107</v>
      </c>
      <c r="FJ50" s="240" t="s">
        <v>1107</v>
      </c>
      <c r="FK50" s="240" t="s">
        <v>1107</v>
      </c>
      <c r="FL50" s="240" t="s">
        <v>1107</v>
      </c>
      <c r="FM50" s="240" t="s">
        <v>1107</v>
      </c>
      <c r="FN50" s="240" t="s">
        <v>1107</v>
      </c>
      <c r="FO50" s="240" t="s">
        <v>1107</v>
      </c>
      <c r="FP50" s="240" t="s">
        <v>1107</v>
      </c>
      <c r="FQ50" s="240" t="s">
        <v>1107</v>
      </c>
      <c r="FR50" s="240" t="s">
        <v>1107</v>
      </c>
      <c r="FS50" s="240" t="s">
        <v>1107</v>
      </c>
      <c r="FT50" s="240" t="s">
        <v>1107</v>
      </c>
      <c r="FU50" s="240" t="s">
        <v>1107</v>
      </c>
      <c r="FV50" s="240" t="s">
        <v>1107</v>
      </c>
      <c r="FW50" s="240" t="s">
        <v>1107</v>
      </c>
      <c r="FX50" s="240" t="s">
        <v>1107</v>
      </c>
      <c r="FY50" s="240" t="s">
        <v>1107</v>
      </c>
      <c r="FZ50" s="240" t="s">
        <v>231</v>
      </c>
      <c r="GA50" s="240" t="s">
        <v>1107</v>
      </c>
      <c r="GB50" s="240" t="s">
        <v>1107</v>
      </c>
      <c r="GC50" s="240" t="s">
        <v>231</v>
      </c>
      <c r="GD50" s="240" t="s">
        <v>1107</v>
      </c>
      <c r="GE50" s="240" t="s">
        <v>1107</v>
      </c>
      <c r="GF50" s="240" t="s">
        <v>1107</v>
      </c>
      <c r="GG50" s="240" t="s">
        <v>1107</v>
      </c>
      <c r="GH50" s="240" t="s">
        <v>1107</v>
      </c>
      <c r="GI50" s="240" t="s">
        <v>1107</v>
      </c>
      <c r="GJ50" s="240" t="s">
        <v>1107</v>
      </c>
      <c r="GK50" s="240" t="s">
        <v>1107</v>
      </c>
      <c r="GL50" s="240" t="s">
        <v>1107</v>
      </c>
      <c r="GM50" s="240" t="s">
        <v>1107</v>
      </c>
      <c r="GN50" s="240" t="s">
        <v>1107</v>
      </c>
      <c r="GO50" s="240" t="s">
        <v>1107</v>
      </c>
      <c r="GP50" s="240" t="s">
        <v>1107</v>
      </c>
      <c r="GQ50" s="240" t="s">
        <v>1107</v>
      </c>
      <c r="GR50" s="240" t="s">
        <v>1107</v>
      </c>
      <c r="GS50" s="240" t="s">
        <v>1107</v>
      </c>
      <c r="GT50" s="240" t="s">
        <v>1107</v>
      </c>
      <c r="GU50" s="240" t="s">
        <v>1107</v>
      </c>
      <c r="GV50" s="240" t="s">
        <v>1107</v>
      </c>
      <c r="GW50" s="240" t="s">
        <v>1107</v>
      </c>
      <c r="GX50" s="240" t="s">
        <v>1107</v>
      </c>
      <c r="GY50" s="240" t="s">
        <v>1107</v>
      </c>
      <c r="GZ50" s="240" t="s">
        <v>1107</v>
      </c>
      <c r="HA50" s="240" t="s">
        <v>1107</v>
      </c>
      <c r="HB50" s="240" t="s">
        <v>1107</v>
      </c>
      <c r="HC50" s="240" t="s">
        <v>1107</v>
      </c>
      <c r="HD50" s="240" t="s">
        <v>1107</v>
      </c>
      <c r="HE50" s="240" t="s">
        <v>1107</v>
      </c>
      <c r="HF50" s="240" t="s">
        <v>1107</v>
      </c>
      <c r="HG50" s="240" t="s">
        <v>1107</v>
      </c>
      <c r="HH50" s="240" t="s">
        <v>1107</v>
      </c>
      <c r="HI50" s="240" t="s">
        <v>1107</v>
      </c>
      <c r="HJ50" s="240" t="s">
        <v>1107</v>
      </c>
      <c r="HK50" s="240" t="s">
        <v>1107</v>
      </c>
      <c r="HL50" s="240" t="s">
        <v>1107</v>
      </c>
      <c r="HM50" s="240" t="s">
        <v>1107</v>
      </c>
      <c r="HN50" s="240" t="s">
        <v>1107</v>
      </c>
      <c r="HO50" s="240" t="s">
        <v>1107</v>
      </c>
      <c r="HP50" s="240" t="s">
        <v>1107</v>
      </c>
      <c r="HQ50" s="240" t="s">
        <v>1107</v>
      </c>
      <c r="HR50" s="240" t="s">
        <v>1107</v>
      </c>
      <c r="HS50" s="240" t="s">
        <v>1107</v>
      </c>
      <c r="HT50" s="240" t="s">
        <v>1107</v>
      </c>
      <c r="HU50" s="240" t="s">
        <v>1107</v>
      </c>
      <c r="HV50" s="240" t="s">
        <v>1107</v>
      </c>
      <c r="HW50" s="240" t="s">
        <v>1107</v>
      </c>
      <c r="HX50" s="240" t="s">
        <v>597</v>
      </c>
      <c r="HY50" s="240" t="s">
        <v>597</v>
      </c>
      <c r="HZ50" s="240" t="s">
        <v>597</v>
      </c>
      <c r="IA50" s="240" t="s">
        <v>486</v>
      </c>
      <c r="IB50" s="240" t="s">
        <v>1107</v>
      </c>
      <c r="IC50" s="240" t="s">
        <v>1107</v>
      </c>
    </row>
    <row r="51" spans="1:237" ht="15" x14ac:dyDescent="0.25">
      <c r="A51" s="243" t="str">
        <f>HYPERLINK("http://www.ofsted.gov.uk/inspection-reports/find-inspection-report/provider/ELS/136069 ","Ofsted School Webpage")</f>
        <v>Ofsted School Webpage</v>
      </c>
      <c r="B51" s="237">
        <v>136069</v>
      </c>
      <c r="C51" s="237">
        <v>8886056</v>
      </c>
      <c r="D51" s="237" t="s">
        <v>1207</v>
      </c>
      <c r="E51" s="237" t="s">
        <v>248</v>
      </c>
      <c r="F51" s="237" t="s">
        <v>495</v>
      </c>
      <c r="G51" s="237" t="s">
        <v>495</v>
      </c>
      <c r="H51" s="237" t="s">
        <v>534</v>
      </c>
      <c r="I51" s="237" t="s">
        <v>1208</v>
      </c>
      <c r="J51" s="237" t="s">
        <v>93</v>
      </c>
      <c r="K51" s="237" t="s">
        <v>93</v>
      </c>
      <c r="L51" s="237" t="s">
        <v>93</v>
      </c>
      <c r="M51" s="237" t="s">
        <v>90</v>
      </c>
      <c r="N51" s="237" t="s">
        <v>486</v>
      </c>
      <c r="O51" s="237" t="s">
        <v>487</v>
      </c>
      <c r="P51" s="237">
        <v>10080722</v>
      </c>
      <c r="Q51" s="239">
        <v>43390</v>
      </c>
      <c r="R51" s="239">
        <v>43390</v>
      </c>
      <c r="S51" s="239">
        <v>43417</v>
      </c>
      <c r="T51" s="237" t="s">
        <v>1124</v>
      </c>
      <c r="U51" s="237" t="s">
        <v>1105</v>
      </c>
      <c r="V51" s="237" t="s">
        <v>512</v>
      </c>
      <c r="W51" s="237" t="s">
        <v>486</v>
      </c>
      <c r="X51" s="237" t="s">
        <v>486</v>
      </c>
      <c r="Y51" s="237" t="s">
        <v>490</v>
      </c>
      <c r="Z51" s="237" t="s">
        <v>490</v>
      </c>
      <c r="AA51" s="237" t="s">
        <v>486</v>
      </c>
      <c r="AB51" s="237" t="s">
        <v>486</v>
      </c>
      <c r="AC51" s="237" t="s">
        <v>486</v>
      </c>
      <c r="AD51" s="237" t="s">
        <v>1110</v>
      </c>
      <c r="AE51" s="237" t="s">
        <v>1107</v>
      </c>
      <c r="AF51" s="237" t="s">
        <v>1107</v>
      </c>
      <c r="AG51" s="237" t="s">
        <v>1107</v>
      </c>
      <c r="AH51" s="237" t="s">
        <v>1107</v>
      </c>
      <c r="AI51" s="237" t="s">
        <v>1107</v>
      </c>
      <c r="AJ51" s="237" t="s">
        <v>1107</v>
      </c>
      <c r="AK51" s="237" t="s">
        <v>1107</v>
      </c>
      <c r="AL51" s="237" t="s">
        <v>1107</v>
      </c>
      <c r="AM51" s="237" t="s">
        <v>1107</v>
      </c>
      <c r="AN51" s="237" t="s">
        <v>1107</v>
      </c>
      <c r="AO51" s="237" t="s">
        <v>1107</v>
      </c>
      <c r="AP51" s="237" t="s">
        <v>1107</v>
      </c>
      <c r="AQ51" s="237" t="s">
        <v>1107</v>
      </c>
      <c r="AR51" s="237" t="s">
        <v>1107</v>
      </c>
      <c r="AS51" s="237" t="s">
        <v>1107</v>
      </c>
      <c r="AT51" s="237" t="s">
        <v>1107</v>
      </c>
      <c r="AU51" s="237" t="s">
        <v>1107</v>
      </c>
      <c r="AV51" s="237" t="s">
        <v>1107</v>
      </c>
      <c r="AW51" s="237" t="s">
        <v>1107</v>
      </c>
      <c r="AX51" s="237" t="s">
        <v>1107</v>
      </c>
      <c r="AY51" s="237" t="s">
        <v>1107</v>
      </c>
      <c r="AZ51" s="237" t="s">
        <v>1107</v>
      </c>
      <c r="BA51" s="237" t="s">
        <v>1107</v>
      </c>
      <c r="BB51" s="237" t="s">
        <v>1107</v>
      </c>
      <c r="BC51" s="237" t="s">
        <v>1107</v>
      </c>
      <c r="BD51" s="237" t="s">
        <v>1107</v>
      </c>
      <c r="BE51" s="237" t="s">
        <v>1107</v>
      </c>
      <c r="BF51" s="237" t="s">
        <v>1107</v>
      </c>
      <c r="BG51" s="237" t="s">
        <v>1107</v>
      </c>
      <c r="BH51" s="237" t="s">
        <v>1107</v>
      </c>
      <c r="BI51" s="237" t="s">
        <v>1107</v>
      </c>
      <c r="BJ51" s="237" t="s">
        <v>1107</v>
      </c>
      <c r="BK51" s="237" t="s">
        <v>1107</v>
      </c>
      <c r="BL51" s="237" t="s">
        <v>1107</v>
      </c>
      <c r="BM51" s="237" t="s">
        <v>1107</v>
      </c>
      <c r="BN51" s="237" t="s">
        <v>1107</v>
      </c>
      <c r="BO51" s="237" t="s">
        <v>1107</v>
      </c>
      <c r="BP51" s="237" t="s">
        <v>1107</v>
      </c>
      <c r="BQ51" s="237" t="s">
        <v>1107</v>
      </c>
      <c r="BR51" s="237" t="s">
        <v>1107</v>
      </c>
      <c r="BS51" s="237" t="s">
        <v>1107</v>
      </c>
      <c r="BT51" s="237" t="s">
        <v>1107</v>
      </c>
      <c r="BU51" s="237" t="s">
        <v>1107</v>
      </c>
      <c r="BV51" s="237" t="s">
        <v>1107</v>
      </c>
      <c r="BW51" s="237" t="s">
        <v>1107</v>
      </c>
      <c r="BX51" s="237" t="s">
        <v>1107</v>
      </c>
      <c r="BY51" s="237" t="s">
        <v>1107</v>
      </c>
      <c r="BZ51" s="237" t="s">
        <v>231</v>
      </c>
      <c r="CA51" s="237" t="s">
        <v>231</v>
      </c>
      <c r="CB51" s="237" t="s">
        <v>231</v>
      </c>
      <c r="CC51" s="237" t="s">
        <v>1107</v>
      </c>
      <c r="CD51" s="237" t="s">
        <v>1107</v>
      </c>
      <c r="CE51" s="237" t="s">
        <v>1107</v>
      </c>
      <c r="CF51" s="237" t="s">
        <v>1107</v>
      </c>
      <c r="CG51" s="237" t="s">
        <v>1107</v>
      </c>
      <c r="CH51" s="237" t="s">
        <v>1107</v>
      </c>
      <c r="CI51" s="237" t="s">
        <v>1107</v>
      </c>
      <c r="CJ51" s="237" t="s">
        <v>1107</v>
      </c>
      <c r="CK51" s="237" t="s">
        <v>1107</v>
      </c>
      <c r="CL51" s="237" t="s">
        <v>1107</v>
      </c>
      <c r="CM51" s="237" t="s">
        <v>1107</v>
      </c>
      <c r="CN51" s="237" t="s">
        <v>231</v>
      </c>
      <c r="CO51" s="237" t="s">
        <v>1107</v>
      </c>
      <c r="CP51" s="237" t="s">
        <v>231</v>
      </c>
      <c r="CQ51" s="237" t="s">
        <v>231</v>
      </c>
      <c r="CR51" s="237" t="s">
        <v>231</v>
      </c>
      <c r="CS51" s="237" t="s">
        <v>1107</v>
      </c>
      <c r="CT51" s="237" t="s">
        <v>1107</v>
      </c>
      <c r="CU51" s="237" t="s">
        <v>1107</v>
      </c>
      <c r="CV51" s="237" t="s">
        <v>1107</v>
      </c>
      <c r="CW51" s="237" t="s">
        <v>1107</v>
      </c>
      <c r="CX51" s="237" t="s">
        <v>1107</v>
      </c>
      <c r="CY51" s="237" t="s">
        <v>1107</v>
      </c>
      <c r="CZ51" s="237" t="s">
        <v>1107</v>
      </c>
      <c r="DA51" s="237" t="s">
        <v>1107</v>
      </c>
      <c r="DB51" s="237" t="s">
        <v>1107</v>
      </c>
      <c r="DC51" s="237" t="s">
        <v>1107</v>
      </c>
      <c r="DD51" s="237" t="s">
        <v>1107</v>
      </c>
      <c r="DE51" s="237" t="s">
        <v>1107</v>
      </c>
      <c r="DF51" s="237" t="s">
        <v>1107</v>
      </c>
      <c r="DG51" s="237" t="s">
        <v>1107</v>
      </c>
      <c r="DH51" s="237" t="s">
        <v>1107</v>
      </c>
      <c r="DI51" s="237" t="s">
        <v>1107</v>
      </c>
      <c r="DJ51" s="237" t="s">
        <v>1107</v>
      </c>
      <c r="DK51" s="237" t="s">
        <v>1107</v>
      </c>
      <c r="DL51" s="237" t="s">
        <v>1107</v>
      </c>
      <c r="DM51" s="237" t="s">
        <v>1107</v>
      </c>
      <c r="DN51" s="237" t="s">
        <v>1107</v>
      </c>
      <c r="DO51" s="237" t="s">
        <v>1107</v>
      </c>
      <c r="DP51" s="237" t="s">
        <v>1107</v>
      </c>
      <c r="DQ51" s="237" t="s">
        <v>1107</v>
      </c>
      <c r="DR51" s="237" t="s">
        <v>1107</v>
      </c>
      <c r="DS51" s="237" t="s">
        <v>1107</v>
      </c>
      <c r="DT51" s="237" t="s">
        <v>1107</v>
      </c>
      <c r="DU51" s="237" t="s">
        <v>1107</v>
      </c>
      <c r="DV51" s="237" t="s">
        <v>1107</v>
      </c>
      <c r="DW51" s="237" t="s">
        <v>1107</v>
      </c>
      <c r="DX51" s="237" t="s">
        <v>1107</v>
      </c>
      <c r="DY51" s="237" t="s">
        <v>1107</v>
      </c>
      <c r="DZ51" s="237" t="s">
        <v>1107</v>
      </c>
      <c r="EA51" s="237" t="s">
        <v>1107</v>
      </c>
      <c r="EB51" s="237" t="s">
        <v>1107</v>
      </c>
      <c r="EC51" s="237" t="s">
        <v>1107</v>
      </c>
      <c r="ED51" s="237" t="s">
        <v>1107</v>
      </c>
      <c r="EE51" s="237" t="s">
        <v>1107</v>
      </c>
      <c r="EF51" s="237" t="s">
        <v>1107</v>
      </c>
      <c r="EG51" s="237" t="s">
        <v>1107</v>
      </c>
      <c r="EH51" s="237" t="s">
        <v>1107</v>
      </c>
      <c r="EI51" s="237" t="s">
        <v>1107</v>
      </c>
      <c r="EJ51" s="237" t="s">
        <v>1107</v>
      </c>
      <c r="EK51" s="237" t="s">
        <v>1107</v>
      </c>
      <c r="EL51" s="237" t="s">
        <v>1107</v>
      </c>
      <c r="EM51" s="237" t="s">
        <v>1107</v>
      </c>
      <c r="EN51" s="237" t="s">
        <v>1107</v>
      </c>
      <c r="EO51" s="237" t="s">
        <v>1107</v>
      </c>
      <c r="EP51" s="237" t="s">
        <v>1107</v>
      </c>
      <c r="EQ51" s="237" t="s">
        <v>1107</v>
      </c>
      <c r="ER51" s="237" t="s">
        <v>1107</v>
      </c>
      <c r="ES51" s="237" t="s">
        <v>1107</v>
      </c>
      <c r="ET51" s="237" t="s">
        <v>1107</v>
      </c>
      <c r="EU51" s="237" t="s">
        <v>1107</v>
      </c>
      <c r="EV51" s="237" t="s">
        <v>1107</v>
      </c>
      <c r="EW51" s="237" t="s">
        <v>1107</v>
      </c>
      <c r="EX51" s="237" t="s">
        <v>1107</v>
      </c>
      <c r="EY51" s="237" t="s">
        <v>1107</v>
      </c>
      <c r="EZ51" s="237" t="s">
        <v>1107</v>
      </c>
      <c r="FA51" s="237" t="s">
        <v>1107</v>
      </c>
      <c r="FB51" s="237" t="s">
        <v>1107</v>
      </c>
      <c r="FC51" s="237" t="s">
        <v>1107</v>
      </c>
      <c r="FD51" s="237" t="s">
        <v>1107</v>
      </c>
      <c r="FE51" s="237" t="s">
        <v>1107</v>
      </c>
      <c r="FF51" s="237" t="s">
        <v>1107</v>
      </c>
      <c r="FG51" s="237" t="s">
        <v>1107</v>
      </c>
      <c r="FH51" s="237" t="s">
        <v>1107</v>
      </c>
      <c r="FI51" s="237" t="s">
        <v>1107</v>
      </c>
      <c r="FJ51" s="237" t="s">
        <v>1107</v>
      </c>
      <c r="FK51" s="237" t="s">
        <v>1107</v>
      </c>
      <c r="FL51" s="237" t="s">
        <v>1107</v>
      </c>
      <c r="FM51" s="237" t="s">
        <v>1107</v>
      </c>
      <c r="FN51" s="237" t="s">
        <v>1107</v>
      </c>
      <c r="FO51" s="237" t="s">
        <v>1107</v>
      </c>
      <c r="FP51" s="237" t="s">
        <v>1107</v>
      </c>
      <c r="FQ51" s="237" t="s">
        <v>1107</v>
      </c>
      <c r="FR51" s="237" t="s">
        <v>1107</v>
      </c>
      <c r="FS51" s="237" t="s">
        <v>1107</v>
      </c>
      <c r="FT51" s="237" t="s">
        <v>1107</v>
      </c>
      <c r="FU51" s="237" t="s">
        <v>1107</v>
      </c>
      <c r="FV51" s="237" t="s">
        <v>1107</v>
      </c>
      <c r="FW51" s="237" t="s">
        <v>1107</v>
      </c>
      <c r="FX51" s="237" t="s">
        <v>1107</v>
      </c>
      <c r="FY51" s="237" t="s">
        <v>1107</v>
      </c>
      <c r="FZ51" s="237" t="s">
        <v>231</v>
      </c>
      <c r="GA51" s="237" t="s">
        <v>1107</v>
      </c>
      <c r="GB51" s="237" t="s">
        <v>1107</v>
      </c>
      <c r="GC51" s="237" t="s">
        <v>231</v>
      </c>
      <c r="GD51" s="237" t="s">
        <v>1107</v>
      </c>
      <c r="GE51" s="237" t="s">
        <v>1107</v>
      </c>
      <c r="GF51" s="237" t="s">
        <v>1107</v>
      </c>
      <c r="GG51" s="237" t="s">
        <v>1107</v>
      </c>
      <c r="GH51" s="237" t="s">
        <v>1107</v>
      </c>
      <c r="GI51" s="237" t="s">
        <v>1107</v>
      </c>
      <c r="GJ51" s="237" t="s">
        <v>1107</v>
      </c>
      <c r="GK51" s="237" t="s">
        <v>1107</v>
      </c>
      <c r="GL51" s="237" t="s">
        <v>1107</v>
      </c>
      <c r="GM51" s="237" t="s">
        <v>1107</v>
      </c>
      <c r="GN51" s="237" t="s">
        <v>1107</v>
      </c>
      <c r="GO51" s="237" t="s">
        <v>1107</v>
      </c>
      <c r="GP51" s="237" t="s">
        <v>1107</v>
      </c>
      <c r="GQ51" s="237" t="s">
        <v>1107</v>
      </c>
      <c r="GR51" s="237" t="s">
        <v>1107</v>
      </c>
      <c r="GS51" s="237" t="s">
        <v>1107</v>
      </c>
      <c r="GT51" s="237" t="s">
        <v>1107</v>
      </c>
      <c r="GU51" s="237" t="s">
        <v>1107</v>
      </c>
      <c r="GV51" s="237" t="s">
        <v>1107</v>
      </c>
      <c r="GW51" s="237" t="s">
        <v>1107</v>
      </c>
      <c r="GX51" s="237" t="s">
        <v>1107</v>
      </c>
      <c r="GY51" s="237" t="s">
        <v>1107</v>
      </c>
      <c r="GZ51" s="237" t="s">
        <v>1107</v>
      </c>
      <c r="HA51" s="237" t="s">
        <v>1107</v>
      </c>
      <c r="HB51" s="237" t="s">
        <v>1107</v>
      </c>
      <c r="HC51" s="237" t="s">
        <v>1107</v>
      </c>
      <c r="HD51" s="237" t="s">
        <v>1107</v>
      </c>
      <c r="HE51" s="237" t="s">
        <v>1107</v>
      </c>
      <c r="HF51" s="237" t="s">
        <v>1107</v>
      </c>
      <c r="HG51" s="237" t="s">
        <v>1107</v>
      </c>
      <c r="HH51" s="237" t="s">
        <v>1107</v>
      </c>
      <c r="HI51" s="237" t="s">
        <v>1107</v>
      </c>
      <c r="HJ51" s="237" t="s">
        <v>1107</v>
      </c>
      <c r="HK51" s="237" t="s">
        <v>1107</v>
      </c>
      <c r="HL51" s="237" t="s">
        <v>1107</v>
      </c>
      <c r="HM51" s="237" t="s">
        <v>1107</v>
      </c>
      <c r="HN51" s="237" t="s">
        <v>1107</v>
      </c>
      <c r="HO51" s="237" t="s">
        <v>1107</v>
      </c>
      <c r="HP51" s="237" t="s">
        <v>1107</v>
      </c>
      <c r="HQ51" s="237" t="s">
        <v>1107</v>
      </c>
      <c r="HR51" s="237" t="s">
        <v>1107</v>
      </c>
      <c r="HS51" s="237" t="s">
        <v>1107</v>
      </c>
      <c r="HT51" s="237" t="s">
        <v>231</v>
      </c>
      <c r="HU51" s="237" t="s">
        <v>231</v>
      </c>
      <c r="HV51" s="237" t="s">
        <v>231</v>
      </c>
      <c r="HW51" s="237" t="s">
        <v>231</v>
      </c>
      <c r="HX51" s="237" t="s">
        <v>220</v>
      </c>
      <c r="HY51" s="237" t="s">
        <v>493</v>
      </c>
      <c r="HZ51" s="237" t="s">
        <v>219</v>
      </c>
      <c r="IA51" s="237" t="s">
        <v>490</v>
      </c>
      <c r="IB51" s="237" t="s">
        <v>1107</v>
      </c>
      <c r="IC51" s="237" t="s">
        <v>1107</v>
      </c>
    </row>
    <row r="52" spans="1:237" ht="15" x14ac:dyDescent="0.25">
      <c r="A52" s="244" t="str">
        <f>HYPERLINK("http://www.ofsted.gov.uk/inspection-reports/find-inspection-report/provider/ELS/138875 ","Ofsted School Webpage")</f>
        <v>Ofsted School Webpage</v>
      </c>
      <c r="B52" s="240">
        <v>138875</v>
      </c>
      <c r="C52" s="240">
        <v>8936030</v>
      </c>
      <c r="D52" s="240" t="s">
        <v>1209</v>
      </c>
      <c r="E52" s="240" t="s">
        <v>248</v>
      </c>
      <c r="F52" s="240" t="s">
        <v>502</v>
      </c>
      <c r="G52" s="240" t="s">
        <v>502</v>
      </c>
      <c r="H52" s="240" t="s">
        <v>666</v>
      </c>
      <c r="I52" s="240" t="s">
        <v>1210</v>
      </c>
      <c r="J52" s="240" t="s">
        <v>93</v>
      </c>
      <c r="K52" s="240" t="s">
        <v>93</v>
      </c>
      <c r="L52" s="240" t="s">
        <v>93</v>
      </c>
      <c r="M52" s="240" t="s">
        <v>90</v>
      </c>
      <c r="N52" s="240" t="s">
        <v>486</v>
      </c>
      <c r="O52" s="240" t="s">
        <v>487</v>
      </c>
      <c r="P52" s="240">
        <v>10070773</v>
      </c>
      <c r="Q52" s="242">
        <v>43391</v>
      </c>
      <c r="R52" s="242">
        <v>43391</v>
      </c>
      <c r="S52" s="242">
        <v>43436</v>
      </c>
      <c r="T52" s="240" t="s">
        <v>1109</v>
      </c>
      <c r="U52" s="240" t="s">
        <v>1105</v>
      </c>
      <c r="V52" s="240" t="s">
        <v>490</v>
      </c>
      <c r="W52" s="240" t="s">
        <v>486</v>
      </c>
      <c r="X52" s="240" t="s">
        <v>486</v>
      </c>
      <c r="Y52" s="240" t="s">
        <v>486</v>
      </c>
      <c r="Z52" s="240" t="s">
        <v>486</v>
      </c>
      <c r="AA52" s="240" t="s">
        <v>486</v>
      </c>
      <c r="AB52" s="240" t="s">
        <v>486</v>
      </c>
      <c r="AC52" s="240" t="s">
        <v>486</v>
      </c>
      <c r="AD52" s="240" t="s">
        <v>1110</v>
      </c>
      <c r="AE52" s="240" t="s">
        <v>1107</v>
      </c>
      <c r="AF52" s="240" t="s">
        <v>1107</v>
      </c>
      <c r="AG52" s="240" t="s">
        <v>1107</v>
      </c>
      <c r="AH52" s="240" t="s">
        <v>1107</v>
      </c>
      <c r="AI52" s="240" t="s">
        <v>1107</v>
      </c>
      <c r="AJ52" s="240" t="s">
        <v>1107</v>
      </c>
      <c r="AK52" s="240" t="s">
        <v>1107</v>
      </c>
      <c r="AL52" s="240" t="s">
        <v>1107</v>
      </c>
      <c r="AM52" s="240" t="s">
        <v>1107</v>
      </c>
      <c r="AN52" s="240" t="s">
        <v>1107</v>
      </c>
      <c r="AO52" s="240" t="s">
        <v>1107</v>
      </c>
      <c r="AP52" s="240" t="s">
        <v>1107</v>
      </c>
      <c r="AQ52" s="240" t="s">
        <v>1107</v>
      </c>
      <c r="AR52" s="240" t="s">
        <v>1107</v>
      </c>
      <c r="AS52" s="240" t="s">
        <v>1107</v>
      </c>
      <c r="AT52" s="240" t="s">
        <v>1107</v>
      </c>
      <c r="AU52" s="240" t="s">
        <v>1107</v>
      </c>
      <c r="AV52" s="240" t="s">
        <v>1107</v>
      </c>
      <c r="AW52" s="240" t="s">
        <v>1107</v>
      </c>
      <c r="AX52" s="240" t="s">
        <v>1107</v>
      </c>
      <c r="AY52" s="240" t="s">
        <v>231</v>
      </c>
      <c r="AZ52" s="240" t="s">
        <v>231</v>
      </c>
      <c r="BA52" s="240" t="s">
        <v>1107</v>
      </c>
      <c r="BB52" s="240" t="s">
        <v>231</v>
      </c>
      <c r="BC52" s="240" t="s">
        <v>231</v>
      </c>
      <c r="BD52" s="240" t="s">
        <v>1107</v>
      </c>
      <c r="BE52" s="240" t="s">
        <v>1107</v>
      </c>
      <c r="BF52" s="240" t="s">
        <v>231</v>
      </c>
      <c r="BG52" s="240" t="s">
        <v>1107</v>
      </c>
      <c r="BH52" s="240" t="s">
        <v>1107</v>
      </c>
      <c r="BI52" s="240" t="s">
        <v>1107</v>
      </c>
      <c r="BJ52" s="240" t="s">
        <v>1107</v>
      </c>
      <c r="BK52" s="240" t="s">
        <v>231</v>
      </c>
      <c r="BL52" s="240" t="s">
        <v>1107</v>
      </c>
      <c r="BM52" s="240" t="s">
        <v>231</v>
      </c>
      <c r="BN52" s="240" t="s">
        <v>1107</v>
      </c>
      <c r="BO52" s="240" t="s">
        <v>1107</v>
      </c>
      <c r="BP52" s="240" t="s">
        <v>1107</v>
      </c>
      <c r="BQ52" s="240" t="s">
        <v>1107</v>
      </c>
      <c r="BR52" s="240" t="s">
        <v>231</v>
      </c>
      <c r="BS52" s="240" t="s">
        <v>1107</v>
      </c>
      <c r="BT52" s="240" t="s">
        <v>1107</v>
      </c>
      <c r="BU52" s="240" t="s">
        <v>1107</v>
      </c>
      <c r="BV52" s="240" t="s">
        <v>1107</v>
      </c>
      <c r="BW52" s="240" t="s">
        <v>1107</v>
      </c>
      <c r="BX52" s="240" t="s">
        <v>1107</v>
      </c>
      <c r="BY52" s="240" t="s">
        <v>1107</v>
      </c>
      <c r="BZ52" s="240" t="s">
        <v>231</v>
      </c>
      <c r="CA52" s="240" t="s">
        <v>231</v>
      </c>
      <c r="CB52" s="240" t="s">
        <v>231</v>
      </c>
      <c r="CC52" s="240" t="s">
        <v>1107</v>
      </c>
      <c r="CD52" s="240" t="s">
        <v>492</v>
      </c>
      <c r="CE52" s="240" t="s">
        <v>492</v>
      </c>
      <c r="CF52" s="240" t="s">
        <v>1107</v>
      </c>
      <c r="CG52" s="240" t="s">
        <v>1107</v>
      </c>
      <c r="CH52" s="240" t="s">
        <v>1107</v>
      </c>
      <c r="CI52" s="240" t="s">
        <v>1107</v>
      </c>
      <c r="CJ52" s="240" t="s">
        <v>1107</v>
      </c>
      <c r="CK52" s="240" t="s">
        <v>1107</v>
      </c>
      <c r="CL52" s="240" t="s">
        <v>1107</v>
      </c>
      <c r="CM52" s="240" t="s">
        <v>1107</v>
      </c>
      <c r="CN52" s="240" t="s">
        <v>1107</v>
      </c>
      <c r="CO52" s="240" t="s">
        <v>231</v>
      </c>
      <c r="CP52" s="240" t="s">
        <v>1107</v>
      </c>
      <c r="CQ52" s="240" t="s">
        <v>1107</v>
      </c>
      <c r="CR52" s="240" t="s">
        <v>1107</v>
      </c>
      <c r="CS52" s="240" t="s">
        <v>1107</v>
      </c>
      <c r="CT52" s="240" t="s">
        <v>1107</v>
      </c>
      <c r="CU52" s="240" t="s">
        <v>1107</v>
      </c>
      <c r="CV52" s="240" t="s">
        <v>1107</v>
      </c>
      <c r="CW52" s="240" t="s">
        <v>1107</v>
      </c>
      <c r="CX52" s="240" t="s">
        <v>1107</v>
      </c>
      <c r="CY52" s="240" t="s">
        <v>1107</v>
      </c>
      <c r="CZ52" s="240" t="s">
        <v>1107</v>
      </c>
      <c r="DA52" s="240" t="s">
        <v>1107</v>
      </c>
      <c r="DB52" s="240" t="s">
        <v>1107</v>
      </c>
      <c r="DC52" s="240" t="s">
        <v>1107</v>
      </c>
      <c r="DD52" s="240" t="s">
        <v>1107</v>
      </c>
      <c r="DE52" s="240" t="s">
        <v>1107</v>
      </c>
      <c r="DF52" s="240" t="s">
        <v>1107</v>
      </c>
      <c r="DG52" s="240" t="s">
        <v>1107</v>
      </c>
      <c r="DH52" s="240" t="s">
        <v>1107</v>
      </c>
      <c r="DI52" s="240" t="s">
        <v>1107</v>
      </c>
      <c r="DJ52" s="240" t="s">
        <v>1107</v>
      </c>
      <c r="DK52" s="240" t="s">
        <v>1107</v>
      </c>
      <c r="DL52" s="240" t="s">
        <v>1107</v>
      </c>
      <c r="DM52" s="240" t="s">
        <v>1107</v>
      </c>
      <c r="DN52" s="240" t="s">
        <v>1107</v>
      </c>
      <c r="DO52" s="240" t="s">
        <v>1107</v>
      </c>
      <c r="DP52" s="240" t="s">
        <v>1107</v>
      </c>
      <c r="DQ52" s="240" t="s">
        <v>1107</v>
      </c>
      <c r="DR52" s="240" t="s">
        <v>1107</v>
      </c>
      <c r="DS52" s="240" t="s">
        <v>231</v>
      </c>
      <c r="DT52" s="240" t="s">
        <v>231</v>
      </c>
      <c r="DU52" s="240" t="s">
        <v>231</v>
      </c>
      <c r="DV52" s="240" t="s">
        <v>231</v>
      </c>
      <c r="DW52" s="240" t="s">
        <v>231</v>
      </c>
      <c r="DX52" s="240" t="s">
        <v>231</v>
      </c>
      <c r="DY52" s="240" t="s">
        <v>231</v>
      </c>
      <c r="DZ52" s="240" t="s">
        <v>231</v>
      </c>
      <c r="EA52" s="240" t="s">
        <v>231</v>
      </c>
      <c r="EB52" s="240" t="s">
        <v>1107</v>
      </c>
      <c r="EC52" s="240" t="s">
        <v>1107</v>
      </c>
      <c r="ED52" s="240" t="s">
        <v>1107</v>
      </c>
      <c r="EE52" s="240" t="s">
        <v>1107</v>
      </c>
      <c r="EF52" s="240" t="s">
        <v>1107</v>
      </c>
      <c r="EG52" s="240" t="s">
        <v>1107</v>
      </c>
      <c r="EH52" s="240" t="s">
        <v>1107</v>
      </c>
      <c r="EI52" s="240" t="s">
        <v>1107</v>
      </c>
      <c r="EJ52" s="240" t="s">
        <v>1107</v>
      </c>
      <c r="EK52" s="240" t="s">
        <v>1107</v>
      </c>
      <c r="EL52" s="240" t="s">
        <v>1107</v>
      </c>
      <c r="EM52" s="240" t="s">
        <v>1107</v>
      </c>
      <c r="EN52" s="240" t="s">
        <v>1107</v>
      </c>
      <c r="EO52" s="240" t="s">
        <v>1107</v>
      </c>
      <c r="EP52" s="240" t="s">
        <v>1107</v>
      </c>
      <c r="EQ52" s="240" t="s">
        <v>1107</v>
      </c>
      <c r="ER52" s="240" t="s">
        <v>1107</v>
      </c>
      <c r="ES52" s="240" t="s">
        <v>1107</v>
      </c>
      <c r="ET52" s="240" t="s">
        <v>1107</v>
      </c>
      <c r="EU52" s="240" t="s">
        <v>1107</v>
      </c>
      <c r="EV52" s="240" t="s">
        <v>1107</v>
      </c>
      <c r="EW52" s="240" t="s">
        <v>1107</v>
      </c>
      <c r="EX52" s="240" t="s">
        <v>1107</v>
      </c>
      <c r="EY52" s="240" t="s">
        <v>1107</v>
      </c>
      <c r="EZ52" s="240" t="s">
        <v>1107</v>
      </c>
      <c r="FA52" s="240" t="s">
        <v>1107</v>
      </c>
      <c r="FB52" s="240" t="s">
        <v>1107</v>
      </c>
      <c r="FC52" s="240" t="s">
        <v>1107</v>
      </c>
      <c r="FD52" s="240" t="s">
        <v>1107</v>
      </c>
      <c r="FE52" s="240" t="s">
        <v>1107</v>
      </c>
      <c r="FF52" s="240" t="s">
        <v>1107</v>
      </c>
      <c r="FG52" s="240" t="s">
        <v>1107</v>
      </c>
      <c r="FH52" s="240" t="s">
        <v>1107</v>
      </c>
      <c r="FI52" s="240" t="s">
        <v>1107</v>
      </c>
      <c r="FJ52" s="240" t="s">
        <v>1107</v>
      </c>
      <c r="FK52" s="240" t="s">
        <v>1107</v>
      </c>
      <c r="FL52" s="240" t="s">
        <v>1107</v>
      </c>
      <c r="FM52" s="240" t="s">
        <v>1107</v>
      </c>
      <c r="FN52" s="240" t="s">
        <v>1107</v>
      </c>
      <c r="FO52" s="240" t="s">
        <v>1107</v>
      </c>
      <c r="FP52" s="240" t="s">
        <v>1107</v>
      </c>
      <c r="FQ52" s="240" t="s">
        <v>1107</v>
      </c>
      <c r="FR52" s="240" t="s">
        <v>1107</v>
      </c>
      <c r="FS52" s="240" t="s">
        <v>1107</v>
      </c>
      <c r="FT52" s="240" t="s">
        <v>1107</v>
      </c>
      <c r="FU52" s="240" t="s">
        <v>1107</v>
      </c>
      <c r="FV52" s="240" t="s">
        <v>1107</v>
      </c>
      <c r="FW52" s="240" t="s">
        <v>1107</v>
      </c>
      <c r="FX52" s="240" t="s">
        <v>1107</v>
      </c>
      <c r="FY52" s="240" t="s">
        <v>1107</v>
      </c>
      <c r="FZ52" s="240" t="s">
        <v>231</v>
      </c>
      <c r="GA52" s="240" t="s">
        <v>1107</v>
      </c>
      <c r="GB52" s="240" t="s">
        <v>231</v>
      </c>
      <c r="GC52" s="240" t="s">
        <v>231</v>
      </c>
      <c r="GD52" s="240" t="s">
        <v>231</v>
      </c>
      <c r="GE52" s="240" t="s">
        <v>1107</v>
      </c>
      <c r="GF52" s="240" t="s">
        <v>1107</v>
      </c>
      <c r="GG52" s="240" t="s">
        <v>1107</v>
      </c>
      <c r="GH52" s="240" t="s">
        <v>1107</v>
      </c>
      <c r="GI52" s="240" t="s">
        <v>1107</v>
      </c>
      <c r="GJ52" s="240" t="s">
        <v>1107</v>
      </c>
      <c r="GK52" s="240" t="s">
        <v>1107</v>
      </c>
      <c r="GL52" s="240" t="s">
        <v>1107</v>
      </c>
      <c r="GM52" s="240" t="s">
        <v>1107</v>
      </c>
      <c r="GN52" s="240" t="s">
        <v>1107</v>
      </c>
      <c r="GO52" s="240" t="s">
        <v>1107</v>
      </c>
      <c r="GP52" s="240" t="s">
        <v>1107</v>
      </c>
      <c r="GQ52" s="240" t="s">
        <v>1107</v>
      </c>
      <c r="GR52" s="240" t="s">
        <v>231</v>
      </c>
      <c r="GS52" s="240" t="s">
        <v>1107</v>
      </c>
      <c r="GT52" s="240" t="s">
        <v>231</v>
      </c>
      <c r="GU52" s="240" t="s">
        <v>1107</v>
      </c>
      <c r="GV52" s="240" t="s">
        <v>1107</v>
      </c>
      <c r="GW52" s="240" t="s">
        <v>1107</v>
      </c>
      <c r="GX52" s="240" t="s">
        <v>1107</v>
      </c>
      <c r="GY52" s="240" t="s">
        <v>1107</v>
      </c>
      <c r="GZ52" s="240" t="s">
        <v>1107</v>
      </c>
      <c r="HA52" s="240" t="s">
        <v>492</v>
      </c>
      <c r="HB52" s="240" t="s">
        <v>492</v>
      </c>
      <c r="HC52" s="240" t="s">
        <v>492</v>
      </c>
      <c r="HD52" s="240" t="s">
        <v>1107</v>
      </c>
      <c r="HE52" s="240" t="s">
        <v>1107</v>
      </c>
      <c r="HF52" s="240" t="s">
        <v>1107</v>
      </c>
      <c r="HG52" s="240" t="s">
        <v>1107</v>
      </c>
      <c r="HH52" s="240" t="s">
        <v>1107</v>
      </c>
      <c r="HI52" s="240" t="s">
        <v>1107</v>
      </c>
      <c r="HJ52" s="240" t="s">
        <v>1107</v>
      </c>
      <c r="HK52" s="240" t="s">
        <v>1107</v>
      </c>
      <c r="HL52" s="240" t="s">
        <v>1107</v>
      </c>
      <c r="HM52" s="240" t="s">
        <v>1107</v>
      </c>
      <c r="HN52" s="240" t="s">
        <v>1107</v>
      </c>
      <c r="HO52" s="240" t="s">
        <v>1107</v>
      </c>
      <c r="HP52" s="240" t="s">
        <v>1107</v>
      </c>
      <c r="HQ52" s="240" t="s">
        <v>1107</v>
      </c>
      <c r="HR52" s="240" t="s">
        <v>1107</v>
      </c>
      <c r="HS52" s="240" t="s">
        <v>1107</v>
      </c>
      <c r="HT52" s="240" t="s">
        <v>231</v>
      </c>
      <c r="HU52" s="240" t="s">
        <v>231</v>
      </c>
      <c r="HV52" s="240" t="s">
        <v>231</v>
      </c>
      <c r="HW52" s="240" t="s">
        <v>231</v>
      </c>
      <c r="HX52" s="240" t="s">
        <v>220</v>
      </c>
      <c r="HY52" s="240" t="s">
        <v>493</v>
      </c>
      <c r="HZ52" s="240" t="s">
        <v>219</v>
      </c>
      <c r="IA52" s="240" t="s">
        <v>490</v>
      </c>
      <c r="IB52" s="240" t="s">
        <v>492</v>
      </c>
      <c r="IC52" s="240" t="s">
        <v>492</v>
      </c>
    </row>
    <row r="53" spans="1:237" ht="15" x14ac:dyDescent="0.25">
      <c r="A53" s="243" t="str">
        <f>HYPERLINK("http://www.ofsted.gov.uk/inspection-reports/find-inspection-report/provider/ELS/136123 ","Ofsted School Webpage")</f>
        <v>Ofsted School Webpage</v>
      </c>
      <c r="B53" s="237">
        <v>136123</v>
      </c>
      <c r="C53" s="237">
        <v>3306170</v>
      </c>
      <c r="D53" s="237" t="s">
        <v>1211</v>
      </c>
      <c r="E53" s="237" t="s">
        <v>247</v>
      </c>
      <c r="F53" s="237" t="s">
        <v>502</v>
      </c>
      <c r="G53" s="237" t="s">
        <v>502</v>
      </c>
      <c r="H53" s="237" t="s">
        <v>909</v>
      </c>
      <c r="I53" s="237" t="s">
        <v>1212</v>
      </c>
      <c r="J53" s="237" t="s">
        <v>83</v>
      </c>
      <c r="K53" s="237" t="s">
        <v>84</v>
      </c>
      <c r="L53" s="237" t="s">
        <v>83</v>
      </c>
      <c r="M53" s="237" t="s">
        <v>84</v>
      </c>
      <c r="N53" s="237" t="s">
        <v>486</v>
      </c>
      <c r="O53" s="237" t="s">
        <v>487</v>
      </c>
      <c r="P53" s="237">
        <v>10081475</v>
      </c>
      <c r="Q53" s="239">
        <v>43396</v>
      </c>
      <c r="R53" s="239">
        <v>43396</v>
      </c>
      <c r="S53" s="239">
        <v>43426</v>
      </c>
      <c r="T53" s="237" t="s">
        <v>1109</v>
      </c>
      <c r="U53" s="237" t="s">
        <v>1105</v>
      </c>
      <c r="V53" s="237" t="s">
        <v>490</v>
      </c>
      <c r="W53" s="237" t="s">
        <v>486</v>
      </c>
      <c r="X53" s="237" t="s">
        <v>486</v>
      </c>
      <c r="Y53" s="237" t="s">
        <v>486</v>
      </c>
      <c r="Z53" s="237" t="s">
        <v>486</v>
      </c>
      <c r="AA53" s="237" t="s">
        <v>486</v>
      </c>
      <c r="AB53" s="237" t="s">
        <v>486</v>
      </c>
      <c r="AC53" s="237" t="s">
        <v>486</v>
      </c>
      <c r="AD53" s="237" t="s">
        <v>1110</v>
      </c>
      <c r="AE53" s="237" t="s">
        <v>1107</v>
      </c>
      <c r="AF53" s="237" t="s">
        <v>1107</v>
      </c>
      <c r="AG53" s="237" t="s">
        <v>1107</v>
      </c>
      <c r="AH53" s="237" t="s">
        <v>1107</v>
      </c>
      <c r="AI53" s="237" t="s">
        <v>1107</v>
      </c>
      <c r="AJ53" s="237" t="s">
        <v>1107</v>
      </c>
      <c r="AK53" s="237" t="s">
        <v>1107</v>
      </c>
      <c r="AL53" s="237" t="s">
        <v>1107</v>
      </c>
      <c r="AM53" s="237" t="s">
        <v>492</v>
      </c>
      <c r="AN53" s="237" t="s">
        <v>1107</v>
      </c>
      <c r="AO53" s="237" t="s">
        <v>1107</v>
      </c>
      <c r="AP53" s="237" t="s">
        <v>1107</v>
      </c>
      <c r="AQ53" s="237" t="s">
        <v>1107</v>
      </c>
      <c r="AR53" s="237" t="s">
        <v>1107</v>
      </c>
      <c r="AS53" s="237" t="s">
        <v>1107</v>
      </c>
      <c r="AT53" s="237" t="s">
        <v>1107</v>
      </c>
      <c r="AU53" s="237" t="s">
        <v>492</v>
      </c>
      <c r="AV53" s="237" t="s">
        <v>492</v>
      </c>
      <c r="AW53" s="237" t="s">
        <v>1107</v>
      </c>
      <c r="AX53" s="237" t="s">
        <v>1107</v>
      </c>
      <c r="AY53" s="237" t="s">
        <v>231</v>
      </c>
      <c r="AZ53" s="237" t="s">
        <v>231</v>
      </c>
      <c r="BA53" s="237" t="s">
        <v>231</v>
      </c>
      <c r="BB53" s="237" t="s">
        <v>231</v>
      </c>
      <c r="BC53" s="237" t="s">
        <v>1107</v>
      </c>
      <c r="BD53" s="237" t="s">
        <v>1107</v>
      </c>
      <c r="BE53" s="237" t="s">
        <v>1107</v>
      </c>
      <c r="BF53" s="237" t="s">
        <v>231</v>
      </c>
      <c r="BG53" s="237" t="s">
        <v>1107</v>
      </c>
      <c r="BH53" s="237" t="s">
        <v>1107</v>
      </c>
      <c r="BI53" s="237" t="s">
        <v>1107</v>
      </c>
      <c r="BJ53" s="237" t="s">
        <v>1107</v>
      </c>
      <c r="BK53" s="237" t="s">
        <v>1107</v>
      </c>
      <c r="BL53" s="237" t="s">
        <v>1107</v>
      </c>
      <c r="BM53" s="237" t="s">
        <v>1107</v>
      </c>
      <c r="BN53" s="237" t="s">
        <v>1107</v>
      </c>
      <c r="BO53" s="237" t="s">
        <v>1107</v>
      </c>
      <c r="BP53" s="237" t="s">
        <v>1107</v>
      </c>
      <c r="BQ53" s="237" t="s">
        <v>1107</v>
      </c>
      <c r="BR53" s="237" t="s">
        <v>1107</v>
      </c>
      <c r="BS53" s="237" t="s">
        <v>1107</v>
      </c>
      <c r="BT53" s="237" t="s">
        <v>1107</v>
      </c>
      <c r="BU53" s="237" t="s">
        <v>1107</v>
      </c>
      <c r="BV53" s="237" t="s">
        <v>1107</v>
      </c>
      <c r="BW53" s="237" t="s">
        <v>1107</v>
      </c>
      <c r="BX53" s="237" t="s">
        <v>1107</v>
      </c>
      <c r="BY53" s="237" t="s">
        <v>1107</v>
      </c>
      <c r="BZ53" s="237" t="s">
        <v>231</v>
      </c>
      <c r="CA53" s="237" t="s">
        <v>231</v>
      </c>
      <c r="CB53" s="237" t="s">
        <v>231</v>
      </c>
      <c r="CC53" s="237" t="s">
        <v>492</v>
      </c>
      <c r="CD53" s="237" t="s">
        <v>492</v>
      </c>
      <c r="CE53" s="237" t="s">
        <v>492</v>
      </c>
      <c r="CF53" s="237" t="s">
        <v>1107</v>
      </c>
      <c r="CG53" s="237" t="s">
        <v>1107</v>
      </c>
      <c r="CH53" s="237" t="s">
        <v>1107</v>
      </c>
      <c r="CI53" s="237" t="s">
        <v>1107</v>
      </c>
      <c r="CJ53" s="237" t="s">
        <v>1107</v>
      </c>
      <c r="CK53" s="237" t="s">
        <v>1107</v>
      </c>
      <c r="CL53" s="237" t="s">
        <v>1107</v>
      </c>
      <c r="CM53" s="237" t="s">
        <v>1107</v>
      </c>
      <c r="CN53" s="237" t="s">
        <v>1107</v>
      </c>
      <c r="CO53" s="237" t="s">
        <v>1107</v>
      </c>
      <c r="CP53" s="237" t="s">
        <v>1107</v>
      </c>
      <c r="CQ53" s="237" t="s">
        <v>1107</v>
      </c>
      <c r="CR53" s="237" t="s">
        <v>1107</v>
      </c>
      <c r="CS53" s="237" t="s">
        <v>1107</v>
      </c>
      <c r="CT53" s="237" t="s">
        <v>1107</v>
      </c>
      <c r="CU53" s="237" t="s">
        <v>1107</v>
      </c>
      <c r="CV53" s="237" t="s">
        <v>1107</v>
      </c>
      <c r="CW53" s="237" t="s">
        <v>1107</v>
      </c>
      <c r="CX53" s="237" t="s">
        <v>1107</v>
      </c>
      <c r="CY53" s="237" t="s">
        <v>1107</v>
      </c>
      <c r="CZ53" s="237" t="s">
        <v>1107</v>
      </c>
      <c r="DA53" s="237" t="s">
        <v>1107</v>
      </c>
      <c r="DB53" s="237" t="s">
        <v>1107</v>
      </c>
      <c r="DC53" s="237" t="s">
        <v>1107</v>
      </c>
      <c r="DD53" s="237" t="s">
        <v>1107</v>
      </c>
      <c r="DE53" s="237" t="s">
        <v>1107</v>
      </c>
      <c r="DF53" s="237" t="s">
        <v>1107</v>
      </c>
      <c r="DG53" s="237" t="s">
        <v>1107</v>
      </c>
      <c r="DH53" s="237" t="s">
        <v>1107</v>
      </c>
      <c r="DI53" s="237" t="s">
        <v>1107</v>
      </c>
      <c r="DJ53" s="237" t="s">
        <v>1107</v>
      </c>
      <c r="DK53" s="237" t="s">
        <v>1107</v>
      </c>
      <c r="DL53" s="237" t="s">
        <v>1107</v>
      </c>
      <c r="DM53" s="237" t="s">
        <v>1107</v>
      </c>
      <c r="DN53" s="237" t="s">
        <v>1107</v>
      </c>
      <c r="DO53" s="237" t="s">
        <v>1107</v>
      </c>
      <c r="DP53" s="237" t="s">
        <v>1107</v>
      </c>
      <c r="DQ53" s="237" t="s">
        <v>1107</v>
      </c>
      <c r="DR53" s="237" t="s">
        <v>1107</v>
      </c>
      <c r="DS53" s="237" t="s">
        <v>1107</v>
      </c>
      <c r="DT53" s="237" t="s">
        <v>1107</v>
      </c>
      <c r="DU53" s="237" t="s">
        <v>1107</v>
      </c>
      <c r="DV53" s="237" t="s">
        <v>1107</v>
      </c>
      <c r="DW53" s="237" t="s">
        <v>1107</v>
      </c>
      <c r="DX53" s="237" t="s">
        <v>1107</v>
      </c>
      <c r="DY53" s="237" t="s">
        <v>1107</v>
      </c>
      <c r="DZ53" s="237" t="s">
        <v>1107</v>
      </c>
      <c r="EA53" s="237" t="s">
        <v>1107</v>
      </c>
      <c r="EB53" s="237" t="s">
        <v>1107</v>
      </c>
      <c r="EC53" s="237" t="s">
        <v>1107</v>
      </c>
      <c r="ED53" s="237" t="s">
        <v>1107</v>
      </c>
      <c r="EE53" s="237" t="s">
        <v>1107</v>
      </c>
      <c r="EF53" s="237" t="s">
        <v>1107</v>
      </c>
      <c r="EG53" s="237" t="s">
        <v>1107</v>
      </c>
      <c r="EH53" s="237" t="s">
        <v>1107</v>
      </c>
      <c r="EI53" s="237" t="s">
        <v>1107</v>
      </c>
      <c r="EJ53" s="237" t="s">
        <v>1107</v>
      </c>
      <c r="EK53" s="237" t="s">
        <v>1107</v>
      </c>
      <c r="EL53" s="237" t="s">
        <v>1107</v>
      </c>
      <c r="EM53" s="237" t="s">
        <v>1107</v>
      </c>
      <c r="EN53" s="237" t="s">
        <v>1107</v>
      </c>
      <c r="EO53" s="237" t="s">
        <v>1107</v>
      </c>
      <c r="EP53" s="237" t="s">
        <v>1107</v>
      </c>
      <c r="EQ53" s="237" t="s">
        <v>1107</v>
      </c>
      <c r="ER53" s="237" t="s">
        <v>1107</v>
      </c>
      <c r="ES53" s="237" t="s">
        <v>1107</v>
      </c>
      <c r="ET53" s="237" t="s">
        <v>1107</v>
      </c>
      <c r="EU53" s="237" t="s">
        <v>1107</v>
      </c>
      <c r="EV53" s="237" t="s">
        <v>1107</v>
      </c>
      <c r="EW53" s="237" t="s">
        <v>1107</v>
      </c>
      <c r="EX53" s="237" t="s">
        <v>1107</v>
      </c>
      <c r="EY53" s="237" t="s">
        <v>1107</v>
      </c>
      <c r="EZ53" s="237" t="s">
        <v>1107</v>
      </c>
      <c r="FA53" s="237" t="s">
        <v>1107</v>
      </c>
      <c r="FB53" s="237" t="s">
        <v>1107</v>
      </c>
      <c r="FC53" s="237" t="s">
        <v>1107</v>
      </c>
      <c r="FD53" s="237" t="s">
        <v>1107</v>
      </c>
      <c r="FE53" s="237" t="s">
        <v>1107</v>
      </c>
      <c r="FF53" s="237" t="s">
        <v>1107</v>
      </c>
      <c r="FG53" s="237" t="s">
        <v>1107</v>
      </c>
      <c r="FH53" s="237" t="s">
        <v>1107</v>
      </c>
      <c r="FI53" s="237" t="s">
        <v>1107</v>
      </c>
      <c r="FJ53" s="237" t="s">
        <v>1107</v>
      </c>
      <c r="FK53" s="237" t="s">
        <v>1107</v>
      </c>
      <c r="FL53" s="237" t="s">
        <v>1107</v>
      </c>
      <c r="FM53" s="237" t="s">
        <v>1107</v>
      </c>
      <c r="FN53" s="237" t="s">
        <v>1107</v>
      </c>
      <c r="FO53" s="237" t="s">
        <v>1107</v>
      </c>
      <c r="FP53" s="237" t="s">
        <v>1107</v>
      </c>
      <c r="FQ53" s="237" t="s">
        <v>1107</v>
      </c>
      <c r="FR53" s="237" t="s">
        <v>1107</v>
      </c>
      <c r="FS53" s="237" t="s">
        <v>1107</v>
      </c>
      <c r="FT53" s="237" t="s">
        <v>1107</v>
      </c>
      <c r="FU53" s="237" t="s">
        <v>1107</v>
      </c>
      <c r="FV53" s="237" t="s">
        <v>1107</v>
      </c>
      <c r="FW53" s="237" t="s">
        <v>1107</v>
      </c>
      <c r="FX53" s="237" t="s">
        <v>1107</v>
      </c>
      <c r="FY53" s="237" t="s">
        <v>1107</v>
      </c>
      <c r="FZ53" s="237" t="s">
        <v>231</v>
      </c>
      <c r="GA53" s="237" t="s">
        <v>1107</v>
      </c>
      <c r="GB53" s="237" t="s">
        <v>1107</v>
      </c>
      <c r="GC53" s="237" t="s">
        <v>231</v>
      </c>
      <c r="GD53" s="237" t="s">
        <v>1107</v>
      </c>
      <c r="GE53" s="237" t="s">
        <v>1107</v>
      </c>
      <c r="GF53" s="237" t="s">
        <v>1107</v>
      </c>
      <c r="GG53" s="237" t="s">
        <v>1107</v>
      </c>
      <c r="GH53" s="237" t="s">
        <v>1107</v>
      </c>
      <c r="GI53" s="237" t="s">
        <v>1107</v>
      </c>
      <c r="GJ53" s="237" t="s">
        <v>1107</v>
      </c>
      <c r="GK53" s="237" t="s">
        <v>1107</v>
      </c>
      <c r="GL53" s="237" t="s">
        <v>1107</v>
      </c>
      <c r="GM53" s="237" t="s">
        <v>1107</v>
      </c>
      <c r="GN53" s="237" t="s">
        <v>1107</v>
      </c>
      <c r="GO53" s="237" t="s">
        <v>1107</v>
      </c>
      <c r="GP53" s="237" t="s">
        <v>1107</v>
      </c>
      <c r="GQ53" s="237" t="s">
        <v>1107</v>
      </c>
      <c r="GR53" s="237" t="s">
        <v>1107</v>
      </c>
      <c r="GS53" s="237" t="s">
        <v>1107</v>
      </c>
      <c r="GT53" s="237" t="s">
        <v>1107</v>
      </c>
      <c r="GU53" s="237" t="s">
        <v>1107</v>
      </c>
      <c r="GV53" s="237" t="s">
        <v>1107</v>
      </c>
      <c r="GW53" s="237" t="s">
        <v>1107</v>
      </c>
      <c r="GX53" s="237" t="s">
        <v>1107</v>
      </c>
      <c r="GY53" s="237" t="s">
        <v>1107</v>
      </c>
      <c r="GZ53" s="237" t="s">
        <v>1107</v>
      </c>
      <c r="HA53" s="237" t="s">
        <v>1107</v>
      </c>
      <c r="HB53" s="237" t="s">
        <v>1107</v>
      </c>
      <c r="HC53" s="237" t="s">
        <v>1107</v>
      </c>
      <c r="HD53" s="237" t="s">
        <v>1107</v>
      </c>
      <c r="HE53" s="237" t="s">
        <v>1107</v>
      </c>
      <c r="HF53" s="237" t="s">
        <v>1107</v>
      </c>
      <c r="HG53" s="237" t="s">
        <v>1107</v>
      </c>
      <c r="HH53" s="237" t="s">
        <v>1107</v>
      </c>
      <c r="HI53" s="237" t="s">
        <v>1107</v>
      </c>
      <c r="HJ53" s="237" t="s">
        <v>1107</v>
      </c>
      <c r="HK53" s="237" t="s">
        <v>1107</v>
      </c>
      <c r="HL53" s="237" t="s">
        <v>1107</v>
      </c>
      <c r="HM53" s="237" t="s">
        <v>1107</v>
      </c>
      <c r="HN53" s="237" t="s">
        <v>1107</v>
      </c>
      <c r="HO53" s="237" t="s">
        <v>1107</v>
      </c>
      <c r="HP53" s="237" t="s">
        <v>1107</v>
      </c>
      <c r="HQ53" s="237" t="s">
        <v>1107</v>
      </c>
      <c r="HR53" s="237" t="s">
        <v>1107</v>
      </c>
      <c r="HS53" s="237" t="s">
        <v>1107</v>
      </c>
      <c r="HT53" s="237" t="s">
        <v>231</v>
      </c>
      <c r="HU53" s="237" t="s">
        <v>231</v>
      </c>
      <c r="HV53" s="237" t="s">
        <v>231</v>
      </c>
      <c r="HW53" s="237" t="s">
        <v>1107</v>
      </c>
      <c r="HX53" s="237" t="s">
        <v>220</v>
      </c>
      <c r="HY53" s="237" t="s">
        <v>493</v>
      </c>
      <c r="HZ53" s="237" t="s">
        <v>219</v>
      </c>
      <c r="IA53" s="237" t="s">
        <v>490</v>
      </c>
      <c r="IB53" s="237" t="s">
        <v>492</v>
      </c>
      <c r="IC53" s="237" t="s">
        <v>492</v>
      </c>
    </row>
    <row r="54" spans="1:237" ht="15" x14ac:dyDescent="0.25">
      <c r="A54" s="244" t="str">
        <f>HYPERLINK("http://www.ofsted.gov.uk/inspection-reports/find-inspection-report/provider/ELS/138563 ","Ofsted School Webpage")</f>
        <v>Ofsted School Webpage</v>
      </c>
      <c r="B54" s="240">
        <v>138563</v>
      </c>
      <c r="C54" s="240">
        <v>8036009</v>
      </c>
      <c r="D54" s="240" t="s">
        <v>1213</v>
      </c>
      <c r="E54" s="240" t="s">
        <v>248</v>
      </c>
      <c r="F54" s="240" t="s">
        <v>483</v>
      </c>
      <c r="G54" s="240" t="s">
        <v>483</v>
      </c>
      <c r="H54" s="240" t="s">
        <v>1214</v>
      </c>
      <c r="I54" s="240" t="s">
        <v>1215</v>
      </c>
      <c r="J54" s="240" t="s">
        <v>93</v>
      </c>
      <c r="K54" s="240" t="s">
        <v>93</v>
      </c>
      <c r="L54" s="240" t="s">
        <v>93</v>
      </c>
      <c r="M54" s="240" t="s">
        <v>90</v>
      </c>
      <c r="N54" s="240" t="s">
        <v>486</v>
      </c>
      <c r="O54" s="240" t="s">
        <v>487</v>
      </c>
      <c r="P54" s="240">
        <v>10077521</v>
      </c>
      <c r="Q54" s="242">
        <v>43397</v>
      </c>
      <c r="R54" s="242">
        <v>43397</v>
      </c>
      <c r="S54" s="242">
        <v>43420</v>
      </c>
      <c r="T54" s="240" t="s">
        <v>1104</v>
      </c>
      <c r="U54" s="240" t="s">
        <v>1105</v>
      </c>
      <c r="V54" s="240" t="s">
        <v>490</v>
      </c>
      <c r="W54" s="240" t="s">
        <v>486</v>
      </c>
      <c r="X54" s="240" t="s">
        <v>486</v>
      </c>
      <c r="Y54" s="240" t="s">
        <v>486</v>
      </c>
      <c r="Z54" s="240" t="s">
        <v>486</v>
      </c>
      <c r="AA54" s="240" t="s">
        <v>486</v>
      </c>
      <c r="AB54" s="240" t="s">
        <v>486</v>
      </c>
      <c r="AC54" s="240" t="s">
        <v>486</v>
      </c>
      <c r="AD54" s="240" t="s">
        <v>1106</v>
      </c>
      <c r="AE54" s="240" t="s">
        <v>1107</v>
      </c>
      <c r="AF54" s="240" t="s">
        <v>1107</v>
      </c>
      <c r="AG54" s="240" t="s">
        <v>1107</v>
      </c>
      <c r="AH54" s="240" t="s">
        <v>1107</v>
      </c>
      <c r="AI54" s="240" t="s">
        <v>1107</v>
      </c>
      <c r="AJ54" s="240" t="s">
        <v>1107</v>
      </c>
      <c r="AK54" s="240" t="s">
        <v>1107</v>
      </c>
      <c r="AL54" s="240" t="s">
        <v>1107</v>
      </c>
      <c r="AM54" s="240" t="s">
        <v>1107</v>
      </c>
      <c r="AN54" s="240" t="s">
        <v>1107</v>
      </c>
      <c r="AO54" s="240" t="s">
        <v>1107</v>
      </c>
      <c r="AP54" s="240" t="s">
        <v>1107</v>
      </c>
      <c r="AQ54" s="240" t="s">
        <v>1107</v>
      </c>
      <c r="AR54" s="240" t="s">
        <v>1107</v>
      </c>
      <c r="AS54" s="240" t="s">
        <v>1107</v>
      </c>
      <c r="AT54" s="240" t="s">
        <v>1107</v>
      </c>
      <c r="AU54" s="240" t="s">
        <v>1107</v>
      </c>
      <c r="AV54" s="240" t="s">
        <v>1107</v>
      </c>
      <c r="AW54" s="240" t="s">
        <v>1107</v>
      </c>
      <c r="AX54" s="240" t="s">
        <v>1107</v>
      </c>
      <c r="AY54" s="240" t="s">
        <v>1107</v>
      </c>
      <c r="AZ54" s="240" t="s">
        <v>1107</v>
      </c>
      <c r="BA54" s="240" t="s">
        <v>1107</v>
      </c>
      <c r="BB54" s="240" t="s">
        <v>1107</v>
      </c>
      <c r="BC54" s="240" t="s">
        <v>1107</v>
      </c>
      <c r="BD54" s="240" t="s">
        <v>1107</v>
      </c>
      <c r="BE54" s="240" t="s">
        <v>1107</v>
      </c>
      <c r="BF54" s="240" t="s">
        <v>1107</v>
      </c>
      <c r="BG54" s="240" t="s">
        <v>1107</v>
      </c>
      <c r="BH54" s="240" t="s">
        <v>1107</v>
      </c>
      <c r="BI54" s="240" t="s">
        <v>1107</v>
      </c>
      <c r="BJ54" s="240" t="s">
        <v>1107</v>
      </c>
      <c r="BK54" s="240" t="s">
        <v>1107</v>
      </c>
      <c r="BL54" s="240" t="s">
        <v>1107</v>
      </c>
      <c r="BM54" s="240" t="s">
        <v>1107</v>
      </c>
      <c r="BN54" s="240" t="s">
        <v>1107</v>
      </c>
      <c r="BO54" s="240" t="s">
        <v>1107</v>
      </c>
      <c r="BP54" s="240" t="s">
        <v>1107</v>
      </c>
      <c r="BQ54" s="240" t="s">
        <v>1107</v>
      </c>
      <c r="BR54" s="240" t="s">
        <v>1107</v>
      </c>
      <c r="BS54" s="240" t="s">
        <v>1107</v>
      </c>
      <c r="BT54" s="240" t="s">
        <v>1107</v>
      </c>
      <c r="BU54" s="240" t="s">
        <v>1107</v>
      </c>
      <c r="BV54" s="240" t="s">
        <v>1107</v>
      </c>
      <c r="BW54" s="240" t="s">
        <v>1107</v>
      </c>
      <c r="BX54" s="240" t="s">
        <v>1107</v>
      </c>
      <c r="BY54" s="240" t="s">
        <v>1107</v>
      </c>
      <c r="BZ54" s="240" t="s">
        <v>231</v>
      </c>
      <c r="CA54" s="240" t="s">
        <v>231</v>
      </c>
      <c r="CB54" s="240" t="s">
        <v>231</v>
      </c>
      <c r="CC54" s="240" t="s">
        <v>1107</v>
      </c>
      <c r="CD54" s="240" t="s">
        <v>492</v>
      </c>
      <c r="CE54" s="240" t="s">
        <v>492</v>
      </c>
      <c r="CF54" s="240" t="s">
        <v>1107</v>
      </c>
      <c r="CG54" s="240" t="s">
        <v>1107</v>
      </c>
      <c r="CH54" s="240" t="s">
        <v>1107</v>
      </c>
      <c r="CI54" s="240" t="s">
        <v>1107</v>
      </c>
      <c r="CJ54" s="240" t="s">
        <v>1107</v>
      </c>
      <c r="CK54" s="240" t="s">
        <v>231</v>
      </c>
      <c r="CL54" s="240" t="s">
        <v>231</v>
      </c>
      <c r="CM54" s="240" t="s">
        <v>1107</v>
      </c>
      <c r="CN54" s="240" t="s">
        <v>231</v>
      </c>
      <c r="CO54" s="240" t="s">
        <v>1107</v>
      </c>
      <c r="CP54" s="240" t="s">
        <v>231</v>
      </c>
      <c r="CQ54" s="240" t="s">
        <v>231</v>
      </c>
      <c r="CR54" s="240" t="s">
        <v>231</v>
      </c>
      <c r="CS54" s="240" t="s">
        <v>231</v>
      </c>
      <c r="CT54" s="240" t="s">
        <v>231</v>
      </c>
      <c r="CU54" s="240" t="s">
        <v>231</v>
      </c>
      <c r="CV54" s="240" t="s">
        <v>231</v>
      </c>
      <c r="CW54" s="240" t="s">
        <v>231</v>
      </c>
      <c r="CX54" s="240" t="s">
        <v>231</v>
      </c>
      <c r="CY54" s="240" t="s">
        <v>231</v>
      </c>
      <c r="CZ54" s="240" t="s">
        <v>231</v>
      </c>
      <c r="DA54" s="240" t="s">
        <v>231</v>
      </c>
      <c r="DB54" s="240" t="s">
        <v>231</v>
      </c>
      <c r="DC54" s="240" t="s">
        <v>492</v>
      </c>
      <c r="DD54" s="240" t="s">
        <v>231</v>
      </c>
      <c r="DE54" s="240" t="s">
        <v>231</v>
      </c>
      <c r="DF54" s="240" t="s">
        <v>231</v>
      </c>
      <c r="DG54" s="240" t="s">
        <v>231</v>
      </c>
      <c r="DH54" s="240" t="s">
        <v>231</v>
      </c>
      <c r="DI54" s="240" t="s">
        <v>231</v>
      </c>
      <c r="DJ54" s="240" t="s">
        <v>231</v>
      </c>
      <c r="DK54" s="240" t="s">
        <v>231</v>
      </c>
      <c r="DL54" s="240" t="s">
        <v>231</v>
      </c>
      <c r="DM54" s="240" t="s">
        <v>231</v>
      </c>
      <c r="DN54" s="240" t="s">
        <v>231</v>
      </c>
      <c r="DO54" s="240" t="s">
        <v>231</v>
      </c>
      <c r="DP54" s="240" t="s">
        <v>231</v>
      </c>
      <c r="DQ54" s="240" t="s">
        <v>492</v>
      </c>
      <c r="DR54" s="240" t="s">
        <v>492</v>
      </c>
      <c r="DS54" s="240" t="s">
        <v>231</v>
      </c>
      <c r="DT54" s="240" t="s">
        <v>231</v>
      </c>
      <c r="DU54" s="240" t="s">
        <v>231</v>
      </c>
      <c r="DV54" s="240" t="s">
        <v>231</v>
      </c>
      <c r="DW54" s="240" t="s">
        <v>231</v>
      </c>
      <c r="DX54" s="240" t="s">
        <v>231</v>
      </c>
      <c r="DY54" s="240" t="s">
        <v>231</v>
      </c>
      <c r="DZ54" s="240" t="s">
        <v>231</v>
      </c>
      <c r="EA54" s="240" t="s">
        <v>231</v>
      </c>
      <c r="EB54" s="240" t="s">
        <v>231</v>
      </c>
      <c r="EC54" s="240" t="s">
        <v>231</v>
      </c>
      <c r="ED54" s="240" t="s">
        <v>231</v>
      </c>
      <c r="EE54" s="240" t="s">
        <v>231</v>
      </c>
      <c r="EF54" s="240" t="s">
        <v>231</v>
      </c>
      <c r="EG54" s="240" t="s">
        <v>231</v>
      </c>
      <c r="EH54" s="240" t="s">
        <v>231</v>
      </c>
      <c r="EI54" s="240" t="s">
        <v>231</v>
      </c>
      <c r="EJ54" s="240" t="s">
        <v>231</v>
      </c>
      <c r="EK54" s="240" t="s">
        <v>231</v>
      </c>
      <c r="EL54" s="240" t="s">
        <v>231</v>
      </c>
      <c r="EM54" s="240" t="s">
        <v>231</v>
      </c>
      <c r="EN54" s="240" t="s">
        <v>231</v>
      </c>
      <c r="EO54" s="240" t="s">
        <v>231</v>
      </c>
      <c r="EP54" s="240" t="s">
        <v>231</v>
      </c>
      <c r="EQ54" s="240" t="s">
        <v>231</v>
      </c>
      <c r="ER54" s="240" t="s">
        <v>231</v>
      </c>
      <c r="ES54" s="240" t="s">
        <v>231</v>
      </c>
      <c r="ET54" s="240" t="s">
        <v>231</v>
      </c>
      <c r="EU54" s="240" t="s">
        <v>231</v>
      </c>
      <c r="EV54" s="240" t="s">
        <v>231</v>
      </c>
      <c r="EW54" s="240" t="s">
        <v>231</v>
      </c>
      <c r="EX54" s="240" t="s">
        <v>231</v>
      </c>
      <c r="EY54" s="240" t="s">
        <v>231</v>
      </c>
      <c r="EZ54" s="240" t="s">
        <v>231</v>
      </c>
      <c r="FA54" s="240" t="s">
        <v>231</v>
      </c>
      <c r="FB54" s="240" t="s">
        <v>231</v>
      </c>
      <c r="FC54" s="240" t="s">
        <v>231</v>
      </c>
      <c r="FD54" s="240" t="s">
        <v>231</v>
      </c>
      <c r="FE54" s="240" t="s">
        <v>231</v>
      </c>
      <c r="FF54" s="240" t="s">
        <v>231</v>
      </c>
      <c r="FG54" s="240" t="s">
        <v>231</v>
      </c>
      <c r="FH54" s="240" t="s">
        <v>231</v>
      </c>
      <c r="FI54" s="240" t="s">
        <v>231</v>
      </c>
      <c r="FJ54" s="240" t="s">
        <v>231</v>
      </c>
      <c r="FK54" s="240" t="s">
        <v>231</v>
      </c>
      <c r="FL54" s="240" t="s">
        <v>231</v>
      </c>
      <c r="FM54" s="240" t="s">
        <v>231</v>
      </c>
      <c r="FN54" s="240" t="s">
        <v>231</v>
      </c>
      <c r="FO54" s="240" t="s">
        <v>231</v>
      </c>
      <c r="FP54" s="240" t="s">
        <v>231</v>
      </c>
      <c r="FQ54" s="240" t="s">
        <v>231</v>
      </c>
      <c r="FR54" s="240" t="s">
        <v>231</v>
      </c>
      <c r="FS54" s="240" t="s">
        <v>231</v>
      </c>
      <c r="FT54" s="240" t="s">
        <v>231</v>
      </c>
      <c r="FU54" s="240" t="s">
        <v>231</v>
      </c>
      <c r="FV54" s="240" t="s">
        <v>231</v>
      </c>
      <c r="FW54" s="240" t="s">
        <v>231</v>
      </c>
      <c r="FX54" s="240" t="s">
        <v>231</v>
      </c>
      <c r="FY54" s="240" t="s">
        <v>231</v>
      </c>
      <c r="FZ54" s="240" t="s">
        <v>1107</v>
      </c>
      <c r="GA54" s="240" t="s">
        <v>1107</v>
      </c>
      <c r="GB54" s="240" t="s">
        <v>1107</v>
      </c>
      <c r="GC54" s="240" t="s">
        <v>1107</v>
      </c>
      <c r="GD54" s="240" t="s">
        <v>1107</v>
      </c>
      <c r="GE54" s="240" t="s">
        <v>1107</v>
      </c>
      <c r="GF54" s="240" t="s">
        <v>1107</v>
      </c>
      <c r="GG54" s="240" t="s">
        <v>1107</v>
      </c>
      <c r="GH54" s="240" t="s">
        <v>1107</v>
      </c>
      <c r="GI54" s="240" t="s">
        <v>1107</v>
      </c>
      <c r="GJ54" s="240" t="s">
        <v>1107</v>
      </c>
      <c r="GK54" s="240" t="s">
        <v>1107</v>
      </c>
      <c r="GL54" s="240" t="s">
        <v>1107</v>
      </c>
      <c r="GM54" s="240" t="s">
        <v>1107</v>
      </c>
      <c r="GN54" s="240" t="s">
        <v>1107</v>
      </c>
      <c r="GO54" s="240" t="s">
        <v>1107</v>
      </c>
      <c r="GP54" s="240" t="s">
        <v>1107</v>
      </c>
      <c r="GQ54" s="240" t="s">
        <v>1107</v>
      </c>
      <c r="GR54" s="240" t="s">
        <v>1107</v>
      </c>
      <c r="GS54" s="240" t="s">
        <v>1107</v>
      </c>
      <c r="GT54" s="240" t="s">
        <v>1107</v>
      </c>
      <c r="GU54" s="240" t="s">
        <v>1107</v>
      </c>
      <c r="GV54" s="240" t="s">
        <v>1107</v>
      </c>
      <c r="GW54" s="240" t="s">
        <v>1107</v>
      </c>
      <c r="GX54" s="240" t="s">
        <v>1107</v>
      </c>
      <c r="GY54" s="240" t="s">
        <v>1107</v>
      </c>
      <c r="GZ54" s="240" t="s">
        <v>1107</v>
      </c>
      <c r="HA54" s="240" t="s">
        <v>1107</v>
      </c>
      <c r="HB54" s="240" t="s">
        <v>1107</v>
      </c>
      <c r="HC54" s="240" t="s">
        <v>1107</v>
      </c>
      <c r="HD54" s="240" t="s">
        <v>1107</v>
      </c>
      <c r="HE54" s="240" t="s">
        <v>1107</v>
      </c>
      <c r="HF54" s="240" t="s">
        <v>1107</v>
      </c>
      <c r="HG54" s="240" t="s">
        <v>1107</v>
      </c>
      <c r="HH54" s="240" t="s">
        <v>1107</v>
      </c>
      <c r="HI54" s="240" t="s">
        <v>1107</v>
      </c>
      <c r="HJ54" s="240" t="s">
        <v>1107</v>
      </c>
      <c r="HK54" s="240" t="s">
        <v>1107</v>
      </c>
      <c r="HL54" s="240" t="s">
        <v>1107</v>
      </c>
      <c r="HM54" s="240" t="s">
        <v>1107</v>
      </c>
      <c r="HN54" s="240" t="s">
        <v>1107</v>
      </c>
      <c r="HO54" s="240" t="s">
        <v>1107</v>
      </c>
      <c r="HP54" s="240" t="s">
        <v>1107</v>
      </c>
      <c r="HQ54" s="240" t="s">
        <v>1107</v>
      </c>
      <c r="HR54" s="240" t="s">
        <v>1107</v>
      </c>
      <c r="HS54" s="240" t="s">
        <v>1107</v>
      </c>
      <c r="HT54" s="240" t="s">
        <v>231</v>
      </c>
      <c r="HU54" s="240" t="s">
        <v>231</v>
      </c>
      <c r="HV54" s="240" t="s">
        <v>231</v>
      </c>
      <c r="HW54" s="240" t="s">
        <v>231</v>
      </c>
      <c r="HX54" s="240" t="s">
        <v>220</v>
      </c>
      <c r="HY54" s="240" t="s">
        <v>493</v>
      </c>
      <c r="HZ54" s="240" t="s">
        <v>219</v>
      </c>
      <c r="IA54" s="240" t="s">
        <v>486</v>
      </c>
      <c r="IB54" s="240" t="s">
        <v>231</v>
      </c>
      <c r="IC54" s="240" t="s">
        <v>1107</v>
      </c>
    </row>
    <row r="55" spans="1:237" ht="15" x14ac:dyDescent="0.25">
      <c r="A55" s="243" t="str">
        <f>HYPERLINK("http://www.ofsted.gov.uk/inspection-reports/find-inspection-report/provider/ELS/139826 ","Ofsted School Webpage")</f>
        <v>Ofsted School Webpage</v>
      </c>
      <c r="B55" s="237">
        <v>139826</v>
      </c>
      <c r="C55" s="237">
        <v>3176000</v>
      </c>
      <c r="D55" s="237" t="s">
        <v>1216</v>
      </c>
      <c r="E55" s="237" t="s">
        <v>247</v>
      </c>
      <c r="F55" s="237" t="s">
        <v>506</v>
      </c>
      <c r="G55" s="237" t="s">
        <v>506</v>
      </c>
      <c r="H55" s="237" t="s">
        <v>731</v>
      </c>
      <c r="I55" s="237" t="s">
        <v>1217</v>
      </c>
      <c r="J55" s="237" t="s">
        <v>93</v>
      </c>
      <c r="K55" s="237" t="s">
        <v>84</v>
      </c>
      <c r="L55" s="237" t="s">
        <v>84</v>
      </c>
      <c r="M55" s="237" t="s">
        <v>84</v>
      </c>
      <c r="N55" s="237" t="s">
        <v>486</v>
      </c>
      <c r="O55" s="237" t="s">
        <v>487</v>
      </c>
      <c r="P55" s="237">
        <v>10077588</v>
      </c>
      <c r="Q55" s="239">
        <v>43403</v>
      </c>
      <c r="R55" s="239">
        <v>43403</v>
      </c>
      <c r="S55" s="239">
        <v>43431</v>
      </c>
      <c r="T55" s="237" t="s">
        <v>1109</v>
      </c>
      <c r="U55" s="237" t="s">
        <v>1105</v>
      </c>
      <c r="V55" s="237" t="s">
        <v>512</v>
      </c>
      <c r="W55" s="237" t="s">
        <v>490</v>
      </c>
      <c r="X55" s="237" t="s">
        <v>490</v>
      </c>
      <c r="Y55" s="237" t="s">
        <v>490</v>
      </c>
      <c r="Z55" s="237" t="s">
        <v>490</v>
      </c>
      <c r="AA55" s="237" t="s">
        <v>486</v>
      </c>
      <c r="AB55" s="237" t="s">
        <v>486</v>
      </c>
      <c r="AC55" s="237" t="s">
        <v>486</v>
      </c>
      <c r="AD55" s="237" t="s">
        <v>1136</v>
      </c>
      <c r="AE55" s="237" t="s">
        <v>1107</v>
      </c>
      <c r="AF55" s="237" t="s">
        <v>1107</v>
      </c>
      <c r="AG55" s="237" t="s">
        <v>1107</v>
      </c>
      <c r="AH55" s="237" t="s">
        <v>1107</v>
      </c>
      <c r="AI55" s="237" t="s">
        <v>1107</v>
      </c>
      <c r="AJ55" s="237" t="s">
        <v>232</v>
      </c>
      <c r="AK55" s="237" t="s">
        <v>1107</v>
      </c>
      <c r="AL55" s="237" t="s">
        <v>1107</v>
      </c>
      <c r="AM55" s="237" t="s">
        <v>1107</v>
      </c>
      <c r="AN55" s="237" t="s">
        <v>1107</v>
      </c>
      <c r="AO55" s="237" t="s">
        <v>1107</v>
      </c>
      <c r="AP55" s="237" t="s">
        <v>1107</v>
      </c>
      <c r="AQ55" s="237" t="s">
        <v>232</v>
      </c>
      <c r="AR55" s="237" t="s">
        <v>232</v>
      </c>
      <c r="AS55" s="237" t="s">
        <v>231</v>
      </c>
      <c r="AT55" s="237" t="s">
        <v>231</v>
      </c>
      <c r="AU55" s="237" t="s">
        <v>231</v>
      </c>
      <c r="AV55" s="237" t="s">
        <v>1107</v>
      </c>
      <c r="AW55" s="237" t="s">
        <v>1107</v>
      </c>
      <c r="AX55" s="237" t="s">
        <v>1107</v>
      </c>
      <c r="AY55" s="237" t="s">
        <v>1107</v>
      </c>
      <c r="AZ55" s="237" t="s">
        <v>1107</v>
      </c>
      <c r="BA55" s="237" t="s">
        <v>1107</v>
      </c>
      <c r="BB55" s="237" t="s">
        <v>1107</v>
      </c>
      <c r="BC55" s="237" t="s">
        <v>1107</v>
      </c>
      <c r="BD55" s="237" t="s">
        <v>1107</v>
      </c>
      <c r="BE55" s="237" t="s">
        <v>1107</v>
      </c>
      <c r="BF55" s="237" t="s">
        <v>1107</v>
      </c>
      <c r="BG55" s="237" t="s">
        <v>1107</v>
      </c>
      <c r="BH55" s="237" t="s">
        <v>1107</v>
      </c>
      <c r="BI55" s="237" t="s">
        <v>1107</v>
      </c>
      <c r="BJ55" s="237" t="s">
        <v>1107</v>
      </c>
      <c r="BK55" s="237" t="s">
        <v>1107</v>
      </c>
      <c r="BL55" s="237" t="s">
        <v>1107</v>
      </c>
      <c r="BM55" s="237" t="s">
        <v>1107</v>
      </c>
      <c r="BN55" s="237" t="s">
        <v>1107</v>
      </c>
      <c r="BO55" s="237" t="s">
        <v>1107</v>
      </c>
      <c r="BP55" s="237" t="s">
        <v>1107</v>
      </c>
      <c r="BQ55" s="237" t="s">
        <v>1107</v>
      </c>
      <c r="BR55" s="237" t="s">
        <v>1107</v>
      </c>
      <c r="BS55" s="237" t="s">
        <v>1107</v>
      </c>
      <c r="BT55" s="237" t="s">
        <v>1107</v>
      </c>
      <c r="BU55" s="237" t="s">
        <v>1107</v>
      </c>
      <c r="BV55" s="237" t="s">
        <v>1107</v>
      </c>
      <c r="BW55" s="237" t="s">
        <v>1107</v>
      </c>
      <c r="BX55" s="237" t="s">
        <v>1107</v>
      </c>
      <c r="BY55" s="237" t="s">
        <v>1107</v>
      </c>
      <c r="BZ55" s="237" t="s">
        <v>232</v>
      </c>
      <c r="CA55" s="237" t="s">
        <v>232</v>
      </c>
      <c r="CB55" s="237" t="s">
        <v>232</v>
      </c>
      <c r="CC55" s="237" t="s">
        <v>492</v>
      </c>
      <c r="CD55" s="237" t="s">
        <v>492</v>
      </c>
      <c r="CE55" s="237" t="s">
        <v>492</v>
      </c>
      <c r="CF55" s="237" t="s">
        <v>1107</v>
      </c>
      <c r="CG55" s="237" t="s">
        <v>1107</v>
      </c>
      <c r="CH55" s="237" t="s">
        <v>1107</v>
      </c>
      <c r="CI55" s="237" t="s">
        <v>1107</v>
      </c>
      <c r="CJ55" s="237" t="s">
        <v>1107</v>
      </c>
      <c r="CK55" s="237" t="s">
        <v>232</v>
      </c>
      <c r="CL55" s="237" t="s">
        <v>232</v>
      </c>
      <c r="CM55" s="237" t="s">
        <v>1107</v>
      </c>
      <c r="CN55" s="237" t="s">
        <v>1107</v>
      </c>
      <c r="CO55" s="237" t="s">
        <v>231</v>
      </c>
      <c r="CP55" s="237" t="s">
        <v>232</v>
      </c>
      <c r="CQ55" s="237" t="s">
        <v>232</v>
      </c>
      <c r="CR55" s="237" t="s">
        <v>232</v>
      </c>
      <c r="CS55" s="237" t="s">
        <v>231</v>
      </c>
      <c r="CT55" s="237" t="s">
        <v>1107</v>
      </c>
      <c r="CU55" s="237" t="s">
        <v>231</v>
      </c>
      <c r="CV55" s="237" t="s">
        <v>1107</v>
      </c>
      <c r="CW55" s="237" t="s">
        <v>1107</v>
      </c>
      <c r="CX55" s="237" t="s">
        <v>1107</v>
      </c>
      <c r="CY55" s="237" t="s">
        <v>1107</v>
      </c>
      <c r="CZ55" s="237" t="s">
        <v>1107</v>
      </c>
      <c r="DA55" s="237" t="s">
        <v>1107</v>
      </c>
      <c r="DB55" s="237" t="s">
        <v>1107</v>
      </c>
      <c r="DC55" s="237" t="s">
        <v>492</v>
      </c>
      <c r="DD55" s="237" t="s">
        <v>231</v>
      </c>
      <c r="DE55" s="237" t="s">
        <v>1107</v>
      </c>
      <c r="DF55" s="237" t="s">
        <v>1107</v>
      </c>
      <c r="DG55" s="237" t="s">
        <v>1107</v>
      </c>
      <c r="DH55" s="237" t="s">
        <v>1107</v>
      </c>
      <c r="DI55" s="237" t="s">
        <v>1107</v>
      </c>
      <c r="DJ55" s="237" t="s">
        <v>1107</v>
      </c>
      <c r="DK55" s="237" t="s">
        <v>1107</v>
      </c>
      <c r="DL55" s="237" t="s">
        <v>1107</v>
      </c>
      <c r="DM55" s="237" t="s">
        <v>1107</v>
      </c>
      <c r="DN55" s="237" t="s">
        <v>1107</v>
      </c>
      <c r="DO55" s="237" t="s">
        <v>1107</v>
      </c>
      <c r="DP55" s="237" t="s">
        <v>1107</v>
      </c>
      <c r="DQ55" s="237" t="s">
        <v>492</v>
      </c>
      <c r="DR55" s="237" t="s">
        <v>1107</v>
      </c>
      <c r="DS55" s="237" t="s">
        <v>232</v>
      </c>
      <c r="DT55" s="237" t="s">
        <v>232</v>
      </c>
      <c r="DU55" s="237" t="s">
        <v>231</v>
      </c>
      <c r="DV55" s="237" t="s">
        <v>232</v>
      </c>
      <c r="DW55" s="237" t="s">
        <v>231</v>
      </c>
      <c r="DX55" s="237" t="s">
        <v>231</v>
      </c>
      <c r="DY55" s="237" t="s">
        <v>231</v>
      </c>
      <c r="DZ55" s="237" t="s">
        <v>231</v>
      </c>
      <c r="EA55" s="237" t="s">
        <v>231</v>
      </c>
      <c r="EB55" s="237" t="s">
        <v>1107</v>
      </c>
      <c r="EC55" s="237" t="s">
        <v>1107</v>
      </c>
      <c r="ED55" s="237" t="s">
        <v>232</v>
      </c>
      <c r="EE55" s="237" t="s">
        <v>232</v>
      </c>
      <c r="EF55" s="237" t="s">
        <v>1107</v>
      </c>
      <c r="EG55" s="237" t="s">
        <v>1107</v>
      </c>
      <c r="EH55" s="237" t="s">
        <v>232</v>
      </c>
      <c r="EI55" s="237" t="s">
        <v>1107</v>
      </c>
      <c r="EJ55" s="237" t="s">
        <v>1107</v>
      </c>
      <c r="EK55" s="237" t="s">
        <v>1107</v>
      </c>
      <c r="EL55" s="237" t="s">
        <v>1107</v>
      </c>
      <c r="EM55" s="237" t="s">
        <v>1107</v>
      </c>
      <c r="EN55" s="237" t="s">
        <v>232</v>
      </c>
      <c r="EO55" s="237" t="s">
        <v>1107</v>
      </c>
      <c r="EP55" s="237" t="s">
        <v>1107</v>
      </c>
      <c r="EQ55" s="237" t="s">
        <v>1107</v>
      </c>
      <c r="ER55" s="237" t="s">
        <v>1107</v>
      </c>
      <c r="ES55" s="237" t="s">
        <v>1107</v>
      </c>
      <c r="ET55" s="237" t="s">
        <v>1107</v>
      </c>
      <c r="EU55" s="237" t="s">
        <v>1107</v>
      </c>
      <c r="EV55" s="237" t="s">
        <v>1107</v>
      </c>
      <c r="EW55" s="237" t="s">
        <v>231</v>
      </c>
      <c r="EX55" s="237" t="s">
        <v>231</v>
      </c>
      <c r="EY55" s="237" t="s">
        <v>231</v>
      </c>
      <c r="EZ55" s="237" t="s">
        <v>231</v>
      </c>
      <c r="FA55" s="237" t="s">
        <v>231</v>
      </c>
      <c r="FB55" s="237" t="s">
        <v>231</v>
      </c>
      <c r="FC55" s="237" t="s">
        <v>231</v>
      </c>
      <c r="FD55" s="237" t="s">
        <v>231</v>
      </c>
      <c r="FE55" s="237" t="s">
        <v>231</v>
      </c>
      <c r="FF55" s="237" t="s">
        <v>231</v>
      </c>
      <c r="FG55" s="237" t="s">
        <v>492</v>
      </c>
      <c r="FH55" s="237" t="s">
        <v>231</v>
      </c>
      <c r="FI55" s="237" t="s">
        <v>232</v>
      </c>
      <c r="FJ55" s="237" t="s">
        <v>231</v>
      </c>
      <c r="FK55" s="237" t="s">
        <v>231</v>
      </c>
      <c r="FL55" s="237" t="s">
        <v>231</v>
      </c>
      <c r="FM55" s="237" t="s">
        <v>231</v>
      </c>
      <c r="FN55" s="237" t="s">
        <v>231</v>
      </c>
      <c r="FO55" s="237" t="s">
        <v>231</v>
      </c>
      <c r="FP55" s="237" t="s">
        <v>231</v>
      </c>
      <c r="FQ55" s="237" t="s">
        <v>231</v>
      </c>
      <c r="FR55" s="237" t="s">
        <v>231</v>
      </c>
      <c r="FS55" s="237" t="s">
        <v>231</v>
      </c>
      <c r="FT55" s="237" t="s">
        <v>231</v>
      </c>
      <c r="FU55" s="237" t="s">
        <v>231</v>
      </c>
      <c r="FV55" s="237" t="s">
        <v>231</v>
      </c>
      <c r="FW55" s="237" t="s">
        <v>231</v>
      </c>
      <c r="FX55" s="237" t="s">
        <v>231</v>
      </c>
      <c r="FY55" s="237" t="s">
        <v>492</v>
      </c>
      <c r="FZ55" s="237" t="s">
        <v>231</v>
      </c>
      <c r="GA55" s="237" t="s">
        <v>1107</v>
      </c>
      <c r="GB55" s="237" t="s">
        <v>1107</v>
      </c>
      <c r="GC55" s="237" t="s">
        <v>231</v>
      </c>
      <c r="GD55" s="237" t="s">
        <v>1107</v>
      </c>
      <c r="GE55" s="237" t="s">
        <v>1107</v>
      </c>
      <c r="GF55" s="237" t="s">
        <v>1107</v>
      </c>
      <c r="GG55" s="237" t="s">
        <v>1107</v>
      </c>
      <c r="GH55" s="237" t="s">
        <v>1107</v>
      </c>
      <c r="GI55" s="237" t="s">
        <v>1107</v>
      </c>
      <c r="GJ55" s="237" t="s">
        <v>1107</v>
      </c>
      <c r="GK55" s="237" t="s">
        <v>1107</v>
      </c>
      <c r="GL55" s="237" t="s">
        <v>1107</v>
      </c>
      <c r="GM55" s="237" t="s">
        <v>1107</v>
      </c>
      <c r="GN55" s="237" t="s">
        <v>1107</v>
      </c>
      <c r="GO55" s="237" t="s">
        <v>1107</v>
      </c>
      <c r="GP55" s="237" t="s">
        <v>1107</v>
      </c>
      <c r="GQ55" s="237" t="s">
        <v>1107</v>
      </c>
      <c r="GR55" s="237" t="s">
        <v>1107</v>
      </c>
      <c r="GS55" s="237" t="s">
        <v>1107</v>
      </c>
      <c r="GT55" s="237" t="s">
        <v>1107</v>
      </c>
      <c r="GU55" s="237" t="s">
        <v>1107</v>
      </c>
      <c r="GV55" s="237" t="s">
        <v>1107</v>
      </c>
      <c r="GW55" s="237" t="s">
        <v>1107</v>
      </c>
      <c r="GX55" s="237" t="s">
        <v>1107</v>
      </c>
      <c r="GY55" s="237" t="s">
        <v>1107</v>
      </c>
      <c r="GZ55" s="237" t="s">
        <v>1107</v>
      </c>
      <c r="HA55" s="237" t="s">
        <v>1107</v>
      </c>
      <c r="HB55" s="237" t="s">
        <v>1107</v>
      </c>
      <c r="HC55" s="237" t="s">
        <v>1107</v>
      </c>
      <c r="HD55" s="237" t="s">
        <v>1107</v>
      </c>
      <c r="HE55" s="237" t="s">
        <v>1107</v>
      </c>
      <c r="HF55" s="237" t="s">
        <v>1107</v>
      </c>
      <c r="HG55" s="237" t="s">
        <v>1107</v>
      </c>
      <c r="HH55" s="237" t="s">
        <v>1107</v>
      </c>
      <c r="HI55" s="237" t="s">
        <v>1107</v>
      </c>
      <c r="HJ55" s="237" t="s">
        <v>1107</v>
      </c>
      <c r="HK55" s="237" t="s">
        <v>1107</v>
      </c>
      <c r="HL55" s="237" t="s">
        <v>1107</v>
      </c>
      <c r="HM55" s="237" t="s">
        <v>1107</v>
      </c>
      <c r="HN55" s="237" t="s">
        <v>1107</v>
      </c>
      <c r="HO55" s="237" t="s">
        <v>1107</v>
      </c>
      <c r="HP55" s="237" t="s">
        <v>1107</v>
      </c>
      <c r="HQ55" s="237" t="s">
        <v>1107</v>
      </c>
      <c r="HR55" s="237" t="s">
        <v>1107</v>
      </c>
      <c r="HS55" s="237" t="s">
        <v>1107</v>
      </c>
      <c r="HT55" s="237" t="s">
        <v>232</v>
      </c>
      <c r="HU55" s="237" t="s">
        <v>232</v>
      </c>
      <c r="HV55" s="237" t="s">
        <v>232</v>
      </c>
      <c r="HW55" s="237" t="s">
        <v>232</v>
      </c>
      <c r="HX55" s="237" t="s">
        <v>220</v>
      </c>
      <c r="HY55" s="237" t="s">
        <v>493</v>
      </c>
      <c r="HZ55" s="237" t="s">
        <v>219</v>
      </c>
      <c r="IA55" s="237" t="s">
        <v>490</v>
      </c>
      <c r="IB55" s="237" t="s">
        <v>232</v>
      </c>
      <c r="IC55" s="237" t="s">
        <v>231</v>
      </c>
    </row>
    <row r="56" spans="1:237" ht="15" x14ac:dyDescent="0.25">
      <c r="A56" s="244" t="str">
        <f>HYPERLINK("http://www.ofsted.gov.uk/inspection-reports/find-inspection-report/provider/ELS/130245 ","Ofsted School Webpage")</f>
        <v>Ofsted School Webpage</v>
      </c>
      <c r="B56" s="240">
        <v>130245</v>
      </c>
      <c r="C56" s="240">
        <v>3806119</v>
      </c>
      <c r="D56" s="240" t="s">
        <v>1218</v>
      </c>
      <c r="E56" s="240" t="s">
        <v>247</v>
      </c>
      <c r="F56" s="240" t="s">
        <v>523</v>
      </c>
      <c r="G56" s="240" t="s">
        <v>524</v>
      </c>
      <c r="H56" s="240" t="s">
        <v>674</v>
      </c>
      <c r="I56" s="240" t="s">
        <v>675</v>
      </c>
      <c r="J56" s="240" t="s">
        <v>83</v>
      </c>
      <c r="K56" s="240" t="s">
        <v>84</v>
      </c>
      <c r="L56" s="240" t="s">
        <v>83</v>
      </c>
      <c r="M56" s="240" t="s">
        <v>84</v>
      </c>
      <c r="N56" s="240" t="s">
        <v>486</v>
      </c>
      <c r="O56" s="240" t="s">
        <v>487</v>
      </c>
      <c r="P56" s="240">
        <v>10081712</v>
      </c>
      <c r="Q56" s="242">
        <v>43404</v>
      </c>
      <c r="R56" s="242">
        <v>43404</v>
      </c>
      <c r="S56" s="242">
        <v>43426</v>
      </c>
      <c r="T56" s="240" t="s">
        <v>1109</v>
      </c>
      <c r="U56" s="240" t="s">
        <v>1105</v>
      </c>
      <c r="V56" s="240" t="s">
        <v>490</v>
      </c>
      <c r="W56" s="240" t="s">
        <v>486</v>
      </c>
      <c r="X56" s="240" t="s">
        <v>486</v>
      </c>
      <c r="Y56" s="240" t="s">
        <v>486</v>
      </c>
      <c r="Z56" s="240" t="s">
        <v>486</v>
      </c>
      <c r="AA56" s="240" t="s">
        <v>486</v>
      </c>
      <c r="AB56" s="240" t="s">
        <v>486</v>
      </c>
      <c r="AC56" s="240" t="s">
        <v>486</v>
      </c>
      <c r="AD56" s="240" t="s">
        <v>1136</v>
      </c>
      <c r="AE56" s="240" t="s">
        <v>1107</v>
      </c>
      <c r="AF56" s="240" t="s">
        <v>1107</v>
      </c>
      <c r="AG56" s="240" t="s">
        <v>1107</v>
      </c>
      <c r="AH56" s="240" t="s">
        <v>1107</v>
      </c>
      <c r="AI56" s="240" t="s">
        <v>1107</v>
      </c>
      <c r="AJ56" s="240" t="s">
        <v>231</v>
      </c>
      <c r="AK56" s="240" t="s">
        <v>1107</v>
      </c>
      <c r="AL56" s="240" t="s">
        <v>231</v>
      </c>
      <c r="AM56" s="240" t="s">
        <v>1107</v>
      </c>
      <c r="AN56" s="240" t="s">
        <v>1107</v>
      </c>
      <c r="AO56" s="240" t="s">
        <v>1107</v>
      </c>
      <c r="AP56" s="240" t="s">
        <v>1107</v>
      </c>
      <c r="AQ56" s="240" t="s">
        <v>1107</v>
      </c>
      <c r="AR56" s="240" t="s">
        <v>1107</v>
      </c>
      <c r="AS56" s="240" t="s">
        <v>1107</v>
      </c>
      <c r="AT56" s="240" t="s">
        <v>1107</v>
      </c>
      <c r="AU56" s="240" t="s">
        <v>1107</v>
      </c>
      <c r="AV56" s="240" t="s">
        <v>1107</v>
      </c>
      <c r="AW56" s="240" t="s">
        <v>1107</v>
      </c>
      <c r="AX56" s="240" t="s">
        <v>231</v>
      </c>
      <c r="AY56" s="240" t="s">
        <v>231</v>
      </c>
      <c r="AZ56" s="240" t="s">
        <v>231</v>
      </c>
      <c r="BA56" s="240" t="s">
        <v>231</v>
      </c>
      <c r="BB56" s="240" t="s">
        <v>231</v>
      </c>
      <c r="BC56" s="240" t="s">
        <v>231</v>
      </c>
      <c r="BD56" s="240" t="s">
        <v>1107</v>
      </c>
      <c r="BE56" s="240" t="s">
        <v>1107</v>
      </c>
      <c r="BF56" s="240" t="s">
        <v>1107</v>
      </c>
      <c r="BG56" s="240" t="s">
        <v>231</v>
      </c>
      <c r="BH56" s="240" t="s">
        <v>1107</v>
      </c>
      <c r="BI56" s="240" t="s">
        <v>1107</v>
      </c>
      <c r="BJ56" s="240" t="s">
        <v>1107</v>
      </c>
      <c r="BK56" s="240" t="s">
        <v>231</v>
      </c>
      <c r="BL56" s="240" t="s">
        <v>1107</v>
      </c>
      <c r="BM56" s="240" t="s">
        <v>231</v>
      </c>
      <c r="BN56" s="240" t="s">
        <v>231</v>
      </c>
      <c r="BO56" s="240" t="s">
        <v>1107</v>
      </c>
      <c r="BP56" s="240" t="s">
        <v>1107</v>
      </c>
      <c r="BQ56" s="240" t="s">
        <v>1107</v>
      </c>
      <c r="BR56" s="240" t="s">
        <v>1107</v>
      </c>
      <c r="BS56" s="240" t="s">
        <v>1107</v>
      </c>
      <c r="BT56" s="240" t="s">
        <v>1107</v>
      </c>
      <c r="BU56" s="240" t="s">
        <v>1107</v>
      </c>
      <c r="BV56" s="240" t="s">
        <v>1107</v>
      </c>
      <c r="BW56" s="240" t="s">
        <v>1107</v>
      </c>
      <c r="BX56" s="240" t="s">
        <v>1107</v>
      </c>
      <c r="BY56" s="240" t="s">
        <v>1107</v>
      </c>
      <c r="BZ56" s="240" t="s">
        <v>231</v>
      </c>
      <c r="CA56" s="240" t="s">
        <v>231</v>
      </c>
      <c r="CB56" s="240" t="s">
        <v>231</v>
      </c>
      <c r="CC56" s="240" t="s">
        <v>1107</v>
      </c>
      <c r="CD56" s="240" t="s">
        <v>1107</v>
      </c>
      <c r="CE56" s="240" t="s">
        <v>1107</v>
      </c>
      <c r="CF56" s="240" t="s">
        <v>1107</v>
      </c>
      <c r="CG56" s="240" t="s">
        <v>1107</v>
      </c>
      <c r="CH56" s="240" t="s">
        <v>1107</v>
      </c>
      <c r="CI56" s="240" t="s">
        <v>1107</v>
      </c>
      <c r="CJ56" s="240" t="s">
        <v>1107</v>
      </c>
      <c r="CK56" s="240" t="s">
        <v>1107</v>
      </c>
      <c r="CL56" s="240" t="s">
        <v>1107</v>
      </c>
      <c r="CM56" s="240" t="s">
        <v>1107</v>
      </c>
      <c r="CN56" s="240" t="s">
        <v>1107</v>
      </c>
      <c r="CO56" s="240" t="s">
        <v>232</v>
      </c>
      <c r="CP56" s="240" t="s">
        <v>1107</v>
      </c>
      <c r="CQ56" s="240" t="s">
        <v>1107</v>
      </c>
      <c r="CR56" s="240" t="s">
        <v>1107</v>
      </c>
      <c r="CS56" s="240" t="s">
        <v>231</v>
      </c>
      <c r="CT56" s="240" t="s">
        <v>231</v>
      </c>
      <c r="CU56" s="240" t="s">
        <v>231</v>
      </c>
      <c r="CV56" s="240" t="s">
        <v>231</v>
      </c>
      <c r="CW56" s="240" t="s">
        <v>231</v>
      </c>
      <c r="CX56" s="240" t="s">
        <v>231</v>
      </c>
      <c r="CY56" s="240" t="s">
        <v>231</v>
      </c>
      <c r="CZ56" s="240" t="s">
        <v>231</v>
      </c>
      <c r="DA56" s="240" t="s">
        <v>231</v>
      </c>
      <c r="DB56" s="240" t="s">
        <v>492</v>
      </c>
      <c r="DC56" s="240" t="s">
        <v>492</v>
      </c>
      <c r="DD56" s="240" t="s">
        <v>231</v>
      </c>
      <c r="DE56" s="240" t="s">
        <v>492</v>
      </c>
      <c r="DF56" s="240" t="s">
        <v>492</v>
      </c>
      <c r="DG56" s="240" t="s">
        <v>492</v>
      </c>
      <c r="DH56" s="240" t="s">
        <v>492</v>
      </c>
      <c r="DI56" s="240" t="s">
        <v>492</v>
      </c>
      <c r="DJ56" s="240" t="s">
        <v>492</v>
      </c>
      <c r="DK56" s="240" t="s">
        <v>492</v>
      </c>
      <c r="DL56" s="240" t="s">
        <v>492</v>
      </c>
      <c r="DM56" s="240" t="s">
        <v>492</v>
      </c>
      <c r="DN56" s="240" t="s">
        <v>492</v>
      </c>
      <c r="DO56" s="240" t="s">
        <v>492</v>
      </c>
      <c r="DP56" s="240" t="s">
        <v>492</v>
      </c>
      <c r="DQ56" s="240" t="s">
        <v>492</v>
      </c>
      <c r="DR56" s="240" t="s">
        <v>492</v>
      </c>
      <c r="DS56" s="240" t="s">
        <v>492</v>
      </c>
      <c r="DT56" s="240" t="s">
        <v>492</v>
      </c>
      <c r="DU56" s="240" t="s">
        <v>492</v>
      </c>
      <c r="DV56" s="240" t="s">
        <v>492</v>
      </c>
      <c r="DW56" s="240" t="s">
        <v>492</v>
      </c>
      <c r="DX56" s="240" t="s">
        <v>492</v>
      </c>
      <c r="DY56" s="240" t="s">
        <v>492</v>
      </c>
      <c r="DZ56" s="240" t="s">
        <v>492</v>
      </c>
      <c r="EA56" s="240" t="s">
        <v>492</v>
      </c>
      <c r="EB56" s="240" t="s">
        <v>231</v>
      </c>
      <c r="EC56" s="240" t="s">
        <v>231</v>
      </c>
      <c r="ED56" s="240" t="s">
        <v>231</v>
      </c>
      <c r="EE56" s="240" t="s">
        <v>231</v>
      </c>
      <c r="EF56" s="240" t="s">
        <v>231</v>
      </c>
      <c r="EG56" s="240" t="s">
        <v>231</v>
      </c>
      <c r="EH56" s="240" t="s">
        <v>231</v>
      </c>
      <c r="EI56" s="240" t="s">
        <v>231</v>
      </c>
      <c r="EJ56" s="240" t="s">
        <v>231</v>
      </c>
      <c r="EK56" s="240" t="s">
        <v>231</v>
      </c>
      <c r="EL56" s="240" t="s">
        <v>231</v>
      </c>
      <c r="EM56" s="240" t="s">
        <v>231</v>
      </c>
      <c r="EN56" s="240" t="s">
        <v>231</v>
      </c>
      <c r="EO56" s="240" t="s">
        <v>231</v>
      </c>
      <c r="EP56" s="240" t="s">
        <v>492</v>
      </c>
      <c r="EQ56" s="240" t="s">
        <v>492</v>
      </c>
      <c r="ER56" s="240" t="s">
        <v>492</v>
      </c>
      <c r="ES56" s="240" t="s">
        <v>492</v>
      </c>
      <c r="ET56" s="240" t="s">
        <v>492</v>
      </c>
      <c r="EU56" s="240" t="s">
        <v>492</v>
      </c>
      <c r="EV56" s="240" t="s">
        <v>492</v>
      </c>
      <c r="EW56" s="240" t="s">
        <v>492</v>
      </c>
      <c r="EX56" s="240" t="s">
        <v>492</v>
      </c>
      <c r="EY56" s="240" t="s">
        <v>492</v>
      </c>
      <c r="EZ56" s="240" t="s">
        <v>1107</v>
      </c>
      <c r="FA56" s="240" t="s">
        <v>1107</v>
      </c>
      <c r="FB56" s="240" t="s">
        <v>1107</v>
      </c>
      <c r="FC56" s="240" t="s">
        <v>1107</v>
      </c>
      <c r="FD56" s="240" t="s">
        <v>1107</v>
      </c>
      <c r="FE56" s="240" t="s">
        <v>1107</v>
      </c>
      <c r="FF56" s="240" t="s">
        <v>1107</v>
      </c>
      <c r="FG56" s="240" t="s">
        <v>1107</v>
      </c>
      <c r="FH56" s="240" t="s">
        <v>1107</v>
      </c>
      <c r="FI56" s="240" t="s">
        <v>1107</v>
      </c>
      <c r="FJ56" s="240" t="s">
        <v>1107</v>
      </c>
      <c r="FK56" s="240" t="s">
        <v>1107</v>
      </c>
      <c r="FL56" s="240" t="s">
        <v>1107</v>
      </c>
      <c r="FM56" s="240" t="s">
        <v>1107</v>
      </c>
      <c r="FN56" s="240" t="s">
        <v>1107</v>
      </c>
      <c r="FO56" s="240" t="s">
        <v>1107</v>
      </c>
      <c r="FP56" s="240" t="s">
        <v>1107</v>
      </c>
      <c r="FQ56" s="240" t="s">
        <v>1107</v>
      </c>
      <c r="FR56" s="240" t="s">
        <v>1107</v>
      </c>
      <c r="FS56" s="240" t="s">
        <v>1107</v>
      </c>
      <c r="FT56" s="240" t="s">
        <v>1107</v>
      </c>
      <c r="FU56" s="240" t="s">
        <v>1107</v>
      </c>
      <c r="FV56" s="240" t="s">
        <v>1107</v>
      </c>
      <c r="FW56" s="240" t="s">
        <v>1107</v>
      </c>
      <c r="FX56" s="240" t="s">
        <v>1107</v>
      </c>
      <c r="FY56" s="240" t="s">
        <v>1107</v>
      </c>
      <c r="FZ56" s="240" t="s">
        <v>1107</v>
      </c>
      <c r="GA56" s="240" t="s">
        <v>1107</v>
      </c>
      <c r="GB56" s="240" t="s">
        <v>1107</v>
      </c>
      <c r="GC56" s="240" t="s">
        <v>1107</v>
      </c>
      <c r="GD56" s="240" t="s">
        <v>1107</v>
      </c>
      <c r="GE56" s="240" t="s">
        <v>1107</v>
      </c>
      <c r="GF56" s="240" t="s">
        <v>1107</v>
      </c>
      <c r="GG56" s="240" t="s">
        <v>1107</v>
      </c>
      <c r="GH56" s="240" t="s">
        <v>1107</v>
      </c>
      <c r="GI56" s="240" t="s">
        <v>1107</v>
      </c>
      <c r="GJ56" s="240" t="s">
        <v>1107</v>
      </c>
      <c r="GK56" s="240" t="s">
        <v>1107</v>
      </c>
      <c r="GL56" s="240" t="s">
        <v>1107</v>
      </c>
      <c r="GM56" s="240" t="s">
        <v>1107</v>
      </c>
      <c r="GN56" s="240" t="s">
        <v>1107</v>
      </c>
      <c r="GO56" s="240" t="s">
        <v>1107</v>
      </c>
      <c r="GP56" s="240" t="s">
        <v>1107</v>
      </c>
      <c r="GQ56" s="240" t="s">
        <v>1107</v>
      </c>
      <c r="GR56" s="240" t="s">
        <v>1107</v>
      </c>
      <c r="GS56" s="240" t="s">
        <v>1107</v>
      </c>
      <c r="GT56" s="240" t="s">
        <v>1107</v>
      </c>
      <c r="GU56" s="240" t="s">
        <v>1107</v>
      </c>
      <c r="GV56" s="240" t="s">
        <v>1107</v>
      </c>
      <c r="GW56" s="240" t="s">
        <v>1107</v>
      </c>
      <c r="GX56" s="240" t="s">
        <v>1107</v>
      </c>
      <c r="GY56" s="240" t="s">
        <v>1107</v>
      </c>
      <c r="GZ56" s="240" t="s">
        <v>1107</v>
      </c>
      <c r="HA56" s="240" t="s">
        <v>1107</v>
      </c>
      <c r="HB56" s="240" t="s">
        <v>1107</v>
      </c>
      <c r="HC56" s="240" t="s">
        <v>1107</v>
      </c>
      <c r="HD56" s="240" t="s">
        <v>1107</v>
      </c>
      <c r="HE56" s="240" t="s">
        <v>1107</v>
      </c>
      <c r="HF56" s="240" t="s">
        <v>1107</v>
      </c>
      <c r="HG56" s="240" t="s">
        <v>1107</v>
      </c>
      <c r="HH56" s="240" t="s">
        <v>1107</v>
      </c>
      <c r="HI56" s="240" t="s">
        <v>1107</v>
      </c>
      <c r="HJ56" s="240" t="s">
        <v>1107</v>
      </c>
      <c r="HK56" s="240" t="s">
        <v>1107</v>
      </c>
      <c r="HL56" s="240" t="s">
        <v>1107</v>
      </c>
      <c r="HM56" s="240" t="s">
        <v>1107</v>
      </c>
      <c r="HN56" s="240" t="s">
        <v>1107</v>
      </c>
      <c r="HO56" s="240" t="s">
        <v>1107</v>
      </c>
      <c r="HP56" s="240" t="s">
        <v>1107</v>
      </c>
      <c r="HQ56" s="240" t="s">
        <v>1107</v>
      </c>
      <c r="HR56" s="240" t="s">
        <v>1107</v>
      </c>
      <c r="HS56" s="240" t="s">
        <v>1107</v>
      </c>
      <c r="HT56" s="240" t="s">
        <v>231</v>
      </c>
      <c r="HU56" s="240" t="s">
        <v>231</v>
      </c>
      <c r="HV56" s="240" t="s">
        <v>231</v>
      </c>
      <c r="HW56" s="240" t="s">
        <v>1107</v>
      </c>
      <c r="HX56" s="240" t="s">
        <v>220</v>
      </c>
      <c r="HY56" s="240" t="s">
        <v>493</v>
      </c>
      <c r="HZ56" s="240" t="s">
        <v>219</v>
      </c>
      <c r="IA56" s="240" t="s">
        <v>512</v>
      </c>
      <c r="IB56" s="240" t="s">
        <v>492</v>
      </c>
      <c r="IC56" s="240" t="s">
        <v>492</v>
      </c>
    </row>
    <row r="57" spans="1:237" ht="15" x14ac:dyDescent="0.25">
      <c r="A57" s="243" t="str">
        <f>HYPERLINK("http://www.ofsted.gov.uk/inspection-reports/find-inspection-report/provider/ELS/119015 ","Ofsted School Webpage")</f>
        <v>Ofsted School Webpage</v>
      </c>
      <c r="B57" s="237">
        <v>119015</v>
      </c>
      <c r="C57" s="237">
        <v>8866065</v>
      </c>
      <c r="D57" s="237" t="s">
        <v>911</v>
      </c>
      <c r="E57" s="237" t="s">
        <v>248</v>
      </c>
      <c r="F57" s="237" t="s">
        <v>581</v>
      </c>
      <c r="G57" s="237" t="s">
        <v>581</v>
      </c>
      <c r="H57" s="237" t="s">
        <v>694</v>
      </c>
      <c r="I57" s="237" t="s">
        <v>912</v>
      </c>
      <c r="J57" s="237" t="s">
        <v>93</v>
      </c>
      <c r="K57" s="237" t="s">
        <v>93</v>
      </c>
      <c r="L57" s="237" t="s">
        <v>93</v>
      </c>
      <c r="M57" s="237" t="s">
        <v>90</v>
      </c>
      <c r="N57" s="237" t="s">
        <v>486</v>
      </c>
      <c r="O57" s="237" t="s">
        <v>487</v>
      </c>
      <c r="P57" s="237">
        <v>10056731</v>
      </c>
      <c r="Q57" s="239">
        <v>43404</v>
      </c>
      <c r="R57" s="239">
        <v>43404</v>
      </c>
      <c r="S57" s="239">
        <v>43426</v>
      </c>
      <c r="T57" s="237" t="s">
        <v>1104</v>
      </c>
      <c r="U57" s="237" t="s">
        <v>1105</v>
      </c>
      <c r="V57" s="237" t="s">
        <v>490</v>
      </c>
      <c r="W57" s="237" t="s">
        <v>486</v>
      </c>
      <c r="X57" s="237" t="s">
        <v>486</v>
      </c>
      <c r="Y57" s="237" t="s">
        <v>486</v>
      </c>
      <c r="Z57" s="237" t="s">
        <v>486</v>
      </c>
      <c r="AA57" s="237" t="s">
        <v>486</v>
      </c>
      <c r="AB57" s="237" t="s">
        <v>486</v>
      </c>
      <c r="AC57" s="237" t="s">
        <v>486</v>
      </c>
      <c r="AD57" s="237" t="s">
        <v>1106</v>
      </c>
      <c r="AE57" s="237" t="s">
        <v>1107</v>
      </c>
      <c r="AF57" s="237" t="s">
        <v>1107</v>
      </c>
      <c r="AG57" s="237" t="s">
        <v>1107</v>
      </c>
      <c r="AH57" s="237" t="s">
        <v>1107</v>
      </c>
      <c r="AI57" s="237" t="s">
        <v>1107</v>
      </c>
      <c r="AJ57" s="237" t="s">
        <v>1107</v>
      </c>
      <c r="AK57" s="237" t="s">
        <v>1107</v>
      </c>
      <c r="AL57" s="237" t="s">
        <v>1107</v>
      </c>
      <c r="AM57" s="237" t="s">
        <v>1107</v>
      </c>
      <c r="AN57" s="237" t="s">
        <v>1107</v>
      </c>
      <c r="AO57" s="237" t="s">
        <v>1107</v>
      </c>
      <c r="AP57" s="237" t="s">
        <v>1107</v>
      </c>
      <c r="AQ57" s="237" t="s">
        <v>1107</v>
      </c>
      <c r="AR57" s="237" t="s">
        <v>1107</v>
      </c>
      <c r="AS57" s="237" t="s">
        <v>1107</v>
      </c>
      <c r="AT57" s="237" t="s">
        <v>1107</v>
      </c>
      <c r="AU57" s="237" t="s">
        <v>1107</v>
      </c>
      <c r="AV57" s="237" t="s">
        <v>1107</v>
      </c>
      <c r="AW57" s="237" t="s">
        <v>1107</v>
      </c>
      <c r="AX57" s="237" t="s">
        <v>1107</v>
      </c>
      <c r="AY57" s="237" t="s">
        <v>1107</v>
      </c>
      <c r="AZ57" s="237" t="s">
        <v>1107</v>
      </c>
      <c r="BA57" s="237" t="s">
        <v>1107</v>
      </c>
      <c r="BB57" s="237" t="s">
        <v>1107</v>
      </c>
      <c r="BC57" s="237" t="s">
        <v>1107</v>
      </c>
      <c r="BD57" s="237" t="s">
        <v>1107</v>
      </c>
      <c r="BE57" s="237" t="s">
        <v>1107</v>
      </c>
      <c r="BF57" s="237" t="s">
        <v>1107</v>
      </c>
      <c r="BG57" s="237" t="s">
        <v>1107</v>
      </c>
      <c r="BH57" s="237" t="s">
        <v>1107</v>
      </c>
      <c r="BI57" s="237" t="s">
        <v>1107</v>
      </c>
      <c r="BJ57" s="237" t="s">
        <v>1107</v>
      </c>
      <c r="BK57" s="237" t="s">
        <v>1107</v>
      </c>
      <c r="BL57" s="237" t="s">
        <v>1107</v>
      </c>
      <c r="BM57" s="237" t="s">
        <v>1107</v>
      </c>
      <c r="BN57" s="237" t="s">
        <v>1107</v>
      </c>
      <c r="BO57" s="237" t="s">
        <v>1107</v>
      </c>
      <c r="BP57" s="237" t="s">
        <v>1107</v>
      </c>
      <c r="BQ57" s="237" t="s">
        <v>1107</v>
      </c>
      <c r="BR57" s="237" t="s">
        <v>1107</v>
      </c>
      <c r="BS57" s="237" t="s">
        <v>1107</v>
      </c>
      <c r="BT57" s="237" t="s">
        <v>1107</v>
      </c>
      <c r="BU57" s="237" t="s">
        <v>1107</v>
      </c>
      <c r="BV57" s="237" t="s">
        <v>1107</v>
      </c>
      <c r="BW57" s="237" t="s">
        <v>1107</v>
      </c>
      <c r="BX57" s="237" t="s">
        <v>1107</v>
      </c>
      <c r="BY57" s="237" t="s">
        <v>1107</v>
      </c>
      <c r="BZ57" s="237" t="s">
        <v>231</v>
      </c>
      <c r="CA57" s="237" t="s">
        <v>231</v>
      </c>
      <c r="CB57" s="237" t="s">
        <v>231</v>
      </c>
      <c r="CC57" s="237" t="s">
        <v>1107</v>
      </c>
      <c r="CD57" s="237" t="s">
        <v>1107</v>
      </c>
      <c r="CE57" s="237" t="s">
        <v>1107</v>
      </c>
      <c r="CF57" s="237" t="s">
        <v>1107</v>
      </c>
      <c r="CG57" s="237" t="s">
        <v>1107</v>
      </c>
      <c r="CH57" s="237" t="s">
        <v>1107</v>
      </c>
      <c r="CI57" s="237" t="s">
        <v>1107</v>
      </c>
      <c r="CJ57" s="237" t="s">
        <v>1107</v>
      </c>
      <c r="CK57" s="237" t="s">
        <v>231</v>
      </c>
      <c r="CL57" s="237" t="s">
        <v>231</v>
      </c>
      <c r="CM57" s="237" t="s">
        <v>1107</v>
      </c>
      <c r="CN57" s="237" t="s">
        <v>1107</v>
      </c>
      <c r="CO57" s="237" t="s">
        <v>1107</v>
      </c>
      <c r="CP57" s="237" t="s">
        <v>231</v>
      </c>
      <c r="CQ57" s="237" t="s">
        <v>231</v>
      </c>
      <c r="CR57" s="237" t="s">
        <v>231</v>
      </c>
      <c r="CS57" s="237" t="s">
        <v>1107</v>
      </c>
      <c r="CT57" s="237" t="s">
        <v>1107</v>
      </c>
      <c r="CU57" s="237" t="s">
        <v>1107</v>
      </c>
      <c r="CV57" s="237" t="s">
        <v>1107</v>
      </c>
      <c r="CW57" s="237" t="s">
        <v>1107</v>
      </c>
      <c r="CX57" s="237" t="s">
        <v>1107</v>
      </c>
      <c r="CY57" s="237" t="s">
        <v>1107</v>
      </c>
      <c r="CZ57" s="237" t="s">
        <v>1107</v>
      </c>
      <c r="DA57" s="237" t="s">
        <v>1107</v>
      </c>
      <c r="DB57" s="237" t="s">
        <v>1107</v>
      </c>
      <c r="DC57" s="237" t="s">
        <v>1107</v>
      </c>
      <c r="DD57" s="237" t="s">
        <v>1107</v>
      </c>
      <c r="DE57" s="237" t="s">
        <v>1107</v>
      </c>
      <c r="DF57" s="237" t="s">
        <v>1107</v>
      </c>
      <c r="DG57" s="237" t="s">
        <v>1107</v>
      </c>
      <c r="DH57" s="237" t="s">
        <v>1107</v>
      </c>
      <c r="DI57" s="237" t="s">
        <v>1107</v>
      </c>
      <c r="DJ57" s="237" t="s">
        <v>1107</v>
      </c>
      <c r="DK57" s="237" t="s">
        <v>1107</v>
      </c>
      <c r="DL57" s="237" t="s">
        <v>1107</v>
      </c>
      <c r="DM57" s="237" t="s">
        <v>1107</v>
      </c>
      <c r="DN57" s="237" t="s">
        <v>1107</v>
      </c>
      <c r="DO57" s="237" t="s">
        <v>1107</v>
      </c>
      <c r="DP57" s="237" t="s">
        <v>1107</v>
      </c>
      <c r="DQ57" s="237" t="s">
        <v>1107</v>
      </c>
      <c r="DR57" s="237" t="s">
        <v>1107</v>
      </c>
      <c r="DS57" s="237" t="s">
        <v>1107</v>
      </c>
      <c r="DT57" s="237" t="s">
        <v>1107</v>
      </c>
      <c r="DU57" s="237" t="s">
        <v>1107</v>
      </c>
      <c r="DV57" s="237" t="s">
        <v>1107</v>
      </c>
      <c r="DW57" s="237" t="s">
        <v>1107</v>
      </c>
      <c r="DX57" s="237" t="s">
        <v>1107</v>
      </c>
      <c r="DY57" s="237" t="s">
        <v>1107</v>
      </c>
      <c r="DZ57" s="237" t="s">
        <v>1107</v>
      </c>
      <c r="EA57" s="237" t="s">
        <v>1107</v>
      </c>
      <c r="EB57" s="237" t="s">
        <v>1107</v>
      </c>
      <c r="EC57" s="237" t="s">
        <v>1107</v>
      </c>
      <c r="ED57" s="237" t="s">
        <v>1107</v>
      </c>
      <c r="EE57" s="237" t="s">
        <v>1107</v>
      </c>
      <c r="EF57" s="237" t="s">
        <v>1107</v>
      </c>
      <c r="EG57" s="237" t="s">
        <v>1107</v>
      </c>
      <c r="EH57" s="237" t="s">
        <v>1107</v>
      </c>
      <c r="EI57" s="237" t="s">
        <v>1107</v>
      </c>
      <c r="EJ57" s="237" t="s">
        <v>1107</v>
      </c>
      <c r="EK57" s="237" t="s">
        <v>1107</v>
      </c>
      <c r="EL57" s="237" t="s">
        <v>1107</v>
      </c>
      <c r="EM57" s="237" t="s">
        <v>1107</v>
      </c>
      <c r="EN57" s="237" t="s">
        <v>1107</v>
      </c>
      <c r="EO57" s="237" t="s">
        <v>1107</v>
      </c>
      <c r="EP57" s="237" t="s">
        <v>1107</v>
      </c>
      <c r="EQ57" s="237" t="s">
        <v>1107</v>
      </c>
      <c r="ER57" s="237" t="s">
        <v>1107</v>
      </c>
      <c r="ES57" s="237" t="s">
        <v>1107</v>
      </c>
      <c r="ET57" s="237" t="s">
        <v>1107</v>
      </c>
      <c r="EU57" s="237" t="s">
        <v>1107</v>
      </c>
      <c r="EV57" s="237" t="s">
        <v>1107</v>
      </c>
      <c r="EW57" s="237" t="s">
        <v>1107</v>
      </c>
      <c r="EX57" s="237" t="s">
        <v>1107</v>
      </c>
      <c r="EY57" s="237" t="s">
        <v>1107</v>
      </c>
      <c r="EZ57" s="237" t="s">
        <v>231</v>
      </c>
      <c r="FA57" s="237" t="s">
        <v>231</v>
      </c>
      <c r="FB57" s="237" t="s">
        <v>231</v>
      </c>
      <c r="FC57" s="237" t="s">
        <v>231</v>
      </c>
      <c r="FD57" s="237" t="s">
        <v>231</v>
      </c>
      <c r="FE57" s="237" t="s">
        <v>231</v>
      </c>
      <c r="FF57" s="237" t="s">
        <v>231</v>
      </c>
      <c r="FG57" s="237" t="s">
        <v>492</v>
      </c>
      <c r="FH57" s="237" t="s">
        <v>231</v>
      </c>
      <c r="FI57" s="237" t="s">
        <v>231</v>
      </c>
      <c r="FJ57" s="237" t="s">
        <v>231</v>
      </c>
      <c r="FK57" s="237" t="s">
        <v>231</v>
      </c>
      <c r="FL57" s="237" t="s">
        <v>231</v>
      </c>
      <c r="FM57" s="237" t="s">
        <v>231</v>
      </c>
      <c r="FN57" s="237" t="s">
        <v>231</v>
      </c>
      <c r="FO57" s="237" t="s">
        <v>231</v>
      </c>
      <c r="FP57" s="237" t="s">
        <v>231</v>
      </c>
      <c r="FQ57" s="237" t="s">
        <v>231</v>
      </c>
      <c r="FR57" s="237" t="s">
        <v>231</v>
      </c>
      <c r="FS57" s="237" t="s">
        <v>231</v>
      </c>
      <c r="FT57" s="237" t="s">
        <v>231</v>
      </c>
      <c r="FU57" s="237" t="s">
        <v>231</v>
      </c>
      <c r="FV57" s="237" t="s">
        <v>231</v>
      </c>
      <c r="FW57" s="237" t="s">
        <v>231</v>
      </c>
      <c r="FX57" s="237" t="s">
        <v>231</v>
      </c>
      <c r="FY57" s="237" t="s">
        <v>492</v>
      </c>
      <c r="FZ57" s="237" t="s">
        <v>231</v>
      </c>
      <c r="GA57" s="237" t="s">
        <v>1107</v>
      </c>
      <c r="GB57" s="237" t="s">
        <v>1107</v>
      </c>
      <c r="GC57" s="237" t="s">
        <v>231</v>
      </c>
      <c r="GD57" s="237" t="s">
        <v>1107</v>
      </c>
      <c r="GE57" s="237" t="s">
        <v>1107</v>
      </c>
      <c r="GF57" s="237" t="s">
        <v>1107</v>
      </c>
      <c r="GG57" s="237" t="s">
        <v>1107</v>
      </c>
      <c r="GH57" s="237" t="s">
        <v>1107</v>
      </c>
      <c r="GI57" s="237" t="s">
        <v>1107</v>
      </c>
      <c r="GJ57" s="237" t="s">
        <v>1107</v>
      </c>
      <c r="GK57" s="237" t="s">
        <v>1107</v>
      </c>
      <c r="GL57" s="237" t="s">
        <v>1107</v>
      </c>
      <c r="GM57" s="237" t="s">
        <v>1107</v>
      </c>
      <c r="GN57" s="237" t="s">
        <v>1107</v>
      </c>
      <c r="GO57" s="237" t="s">
        <v>1107</v>
      </c>
      <c r="GP57" s="237" t="s">
        <v>1107</v>
      </c>
      <c r="GQ57" s="237" t="s">
        <v>1107</v>
      </c>
      <c r="GR57" s="237" t="s">
        <v>1107</v>
      </c>
      <c r="GS57" s="237" t="s">
        <v>1107</v>
      </c>
      <c r="GT57" s="237" t="s">
        <v>1107</v>
      </c>
      <c r="GU57" s="237" t="s">
        <v>1107</v>
      </c>
      <c r="GV57" s="237" t="s">
        <v>1107</v>
      </c>
      <c r="GW57" s="237" t="s">
        <v>1107</v>
      </c>
      <c r="GX57" s="237" t="s">
        <v>1107</v>
      </c>
      <c r="GY57" s="237" t="s">
        <v>1107</v>
      </c>
      <c r="GZ57" s="237" t="s">
        <v>1107</v>
      </c>
      <c r="HA57" s="237" t="s">
        <v>1107</v>
      </c>
      <c r="HB57" s="237" t="s">
        <v>1107</v>
      </c>
      <c r="HC57" s="237" t="s">
        <v>1107</v>
      </c>
      <c r="HD57" s="237" t="s">
        <v>1107</v>
      </c>
      <c r="HE57" s="237" t="s">
        <v>1107</v>
      </c>
      <c r="HF57" s="237" t="s">
        <v>1107</v>
      </c>
      <c r="HG57" s="237" t="s">
        <v>1107</v>
      </c>
      <c r="HH57" s="237" t="s">
        <v>1107</v>
      </c>
      <c r="HI57" s="237" t="s">
        <v>1107</v>
      </c>
      <c r="HJ57" s="237" t="s">
        <v>1107</v>
      </c>
      <c r="HK57" s="237" t="s">
        <v>1107</v>
      </c>
      <c r="HL57" s="237" t="s">
        <v>1107</v>
      </c>
      <c r="HM57" s="237" t="s">
        <v>1107</v>
      </c>
      <c r="HN57" s="237" t="s">
        <v>1107</v>
      </c>
      <c r="HO57" s="237" t="s">
        <v>1107</v>
      </c>
      <c r="HP57" s="237" t="s">
        <v>1107</v>
      </c>
      <c r="HQ57" s="237" t="s">
        <v>1107</v>
      </c>
      <c r="HR57" s="237" t="s">
        <v>1107</v>
      </c>
      <c r="HS57" s="237" t="s">
        <v>1107</v>
      </c>
      <c r="HT57" s="237" t="s">
        <v>231</v>
      </c>
      <c r="HU57" s="237" t="s">
        <v>231</v>
      </c>
      <c r="HV57" s="237" t="s">
        <v>231</v>
      </c>
      <c r="HW57" s="237" t="s">
        <v>231</v>
      </c>
      <c r="HX57" s="237" t="s">
        <v>220</v>
      </c>
      <c r="HY57" s="237" t="s">
        <v>493</v>
      </c>
      <c r="HZ57" s="237" t="s">
        <v>219</v>
      </c>
      <c r="IA57" s="237" t="s">
        <v>490</v>
      </c>
      <c r="IB57" s="237" t="s">
        <v>492</v>
      </c>
      <c r="IC57" s="237" t="s">
        <v>492</v>
      </c>
    </row>
    <row r="58" spans="1:237" ht="15" x14ac:dyDescent="0.25">
      <c r="A58" s="244" t="str">
        <f>HYPERLINK("http://www.ofsted.gov.uk/inspection-reports/find-inspection-report/provider/ELS/144366 ","Ofsted School Webpage")</f>
        <v>Ofsted School Webpage</v>
      </c>
      <c r="B58" s="240">
        <v>144366</v>
      </c>
      <c r="C58" s="240">
        <v>8126005</v>
      </c>
      <c r="D58" s="240" t="s">
        <v>1219</v>
      </c>
      <c r="E58" s="240" t="s">
        <v>247</v>
      </c>
      <c r="F58" s="240" t="s">
        <v>523</v>
      </c>
      <c r="G58" s="240" t="s">
        <v>524</v>
      </c>
      <c r="H58" s="240" t="s">
        <v>1220</v>
      </c>
      <c r="I58" s="240" t="s">
        <v>1221</v>
      </c>
      <c r="J58" s="240" t="s">
        <v>93</v>
      </c>
      <c r="K58" s="240" t="s">
        <v>93</v>
      </c>
      <c r="L58" s="240" t="s">
        <v>93</v>
      </c>
      <c r="M58" s="240" t="s">
        <v>90</v>
      </c>
      <c r="N58" s="240" t="s">
        <v>486</v>
      </c>
      <c r="O58" s="240" t="s">
        <v>487</v>
      </c>
      <c r="P58" s="240">
        <v>10078198</v>
      </c>
      <c r="Q58" s="242">
        <v>43405</v>
      </c>
      <c r="R58" s="242">
        <v>43405</v>
      </c>
      <c r="S58" s="242">
        <v>43432</v>
      </c>
      <c r="T58" s="240" t="s">
        <v>1104</v>
      </c>
      <c r="U58" s="240" t="s">
        <v>1105</v>
      </c>
      <c r="V58" s="240" t="s">
        <v>490</v>
      </c>
      <c r="W58" s="240" t="s">
        <v>486</v>
      </c>
      <c r="X58" s="240" t="s">
        <v>486</v>
      </c>
      <c r="Y58" s="240" t="s">
        <v>486</v>
      </c>
      <c r="Z58" s="240" t="s">
        <v>486</v>
      </c>
      <c r="AA58" s="240" t="s">
        <v>486</v>
      </c>
      <c r="AB58" s="240" t="s">
        <v>486</v>
      </c>
      <c r="AC58" s="240" t="s">
        <v>486</v>
      </c>
      <c r="AD58" s="240" t="s">
        <v>1106</v>
      </c>
      <c r="AE58" s="240" t="s">
        <v>231</v>
      </c>
      <c r="AF58" s="240" t="s">
        <v>231</v>
      </c>
      <c r="AG58" s="240" t="s">
        <v>231</v>
      </c>
      <c r="AH58" s="240" t="s">
        <v>231</v>
      </c>
      <c r="AI58" s="240" t="s">
        <v>231</v>
      </c>
      <c r="AJ58" s="240" t="s">
        <v>231</v>
      </c>
      <c r="AK58" s="240" t="s">
        <v>231</v>
      </c>
      <c r="AL58" s="240" t="s">
        <v>231</v>
      </c>
      <c r="AM58" s="240" t="s">
        <v>492</v>
      </c>
      <c r="AN58" s="240" t="s">
        <v>231</v>
      </c>
      <c r="AO58" s="240" t="s">
        <v>231</v>
      </c>
      <c r="AP58" s="240" t="s">
        <v>231</v>
      </c>
      <c r="AQ58" s="240" t="s">
        <v>231</v>
      </c>
      <c r="AR58" s="240" t="s">
        <v>231</v>
      </c>
      <c r="AS58" s="240" t="s">
        <v>231</v>
      </c>
      <c r="AT58" s="240" t="s">
        <v>231</v>
      </c>
      <c r="AU58" s="240" t="s">
        <v>492</v>
      </c>
      <c r="AV58" s="240" t="s">
        <v>492</v>
      </c>
      <c r="AW58" s="240" t="s">
        <v>231</v>
      </c>
      <c r="AX58" s="240" t="s">
        <v>231</v>
      </c>
      <c r="AY58" s="240" t="s">
        <v>231</v>
      </c>
      <c r="AZ58" s="240" t="s">
        <v>231</v>
      </c>
      <c r="BA58" s="240" t="s">
        <v>231</v>
      </c>
      <c r="BB58" s="240" t="s">
        <v>231</v>
      </c>
      <c r="BC58" s="240" t="s">
        <v>231</v>
      </c>
      <c r="BD58" s="240" t="s">
        <v>231</v>
      </c>
      <c r="BE58" s="240" t="s">
        <v>231</v>
      </c>
      <c r="BF58" s="240" t="s">
        <v>231</v>
      </c>
      <c r="BG58" s="240" t="s">
        <v>231</v>
      </c>
      <c r="BH58" s="240" t="s">
        <v>231</v>
      </c>
      <c r="BI58" s="240" t="s">
        <v>231</v>
      </c>
      <c r="BJ58" s="240" t="s">
        <v>231</v>
      </c>
      <c r="BK58" s="240" t="s">
        <v>1107</v>
      </c>
      <c r="BL58" s="240" t="s">
        <v>1107</v>
      </c>
      <c r="BM58" s="240" t="s">
        <v>1107</v>
      </c>
      <c r="BN58" s="240" t="s">
        <v>1107</v>
      </c>
      <c r="BO58" s="240" t="s">
        <v>1107</v>
      </c>
      <c r="BP58" s="240" t="s">
        <v>1107</v>
      </c>
      <c r="BQ58" s="240" t="s">
        <v>1107</v>
      </c>
      <c r="BR58" s="240" t="s">
        <v>1107</v>
      </c>
      <c r="BS58" s="240" t="s">
        <v>1107</v>
      </c>
      <c r="BT58" s="240" t="s">
        <v>1107</v>
      </c>
      <c r="BU58" s="240" t="s">
        <v>1107</v>
      </c>
      <c r="BV58" s="240" t="s">
        <v>1107</v>
      </c>
      <c r="BW58" s="240" t="s">
        <v>1107</v>
      </c>
      <c r="BX58" s="240" t="s">
        <v>1107</v>
      </c>
      <c r="BY58" s="240" t="s">
        <v>1107</v>
      </c>
      <c r="BZ58" s="240" t="s">
        <v>231</v>
      </c>
      <c r="CA58" s="240" t="s">
        <v>231</v>
      </c>
      <c r="CB58" s="240" t="s">
        <v>231</v>
      </c>
      <c r="CC58" s="240" t="s">
        <v>492</v>
      </c>
      <c r="CD58" s="240" t="s">
        <v>492</v>
      </c>
      <c r="CE58" s="240" t="s">
        <v>492</v>
      </c>
      <c r="CF58" s="240" t="s">
        <v>231</v>
      </c>
      <c r="CG58" s="240" t="s">
        <v>231</v>
      </c>
      <c r="CH58" s="240" t="s">
        <v>231</v>
      </c>
      <c r="CI58" s="240" t="s">
        <v>231</v>
      </c>
      <c r="CJ58" s="240" t="s">
        <v>231</v>
      </c>
      <c r="CK58" s="240" t="s">
        <v>231</v>
      </c>
      <c r="CL58" s="240" t="s">
        <v>231</v>
      </c>
      <c r="CM58" s="240" t="s">
        <v>231</v>
      </c>
      <c r="CN58" s="240" t="s">
        <v>231</v>
      </c>
      <c r="CO58" s="240" t="s">
        <v>231</v>
      </c>
      <c r="CP58" s="240" t="s">
        <v>231</v>
      </c>
      <c r="CQ58" s="240" t="s">
        <v>231</v>
      </c>
      <c r="CR58" s="240" t="s">
        <v>231</v>
      </c>
      <c r="CS58" s="240" t="s">
        <v>1107</v>
      </c>
      <c r="CT58" s="240" t="s">
        <v>1107</v>
      </c>
      <c r="CU58" s="240" t="s">
        <v>1107</v>
      </c>
      <c r="CV58" s="240" t="s">
        <v>1107</v>
      </c>
      <c r="CW58" s="240" t="s">
        <v>1107</v>
      </c>
      <c r="CX58" s="240" t="s">
        <v>1107</v>
      </c>
      <c r="CY58" s="240" t="s">
        <v>1107</v>
      </c>
      <c r="CZ58" s="240" t="s">
        <v>1107</v>
      </c>
      <c r="DA58" s="240" t="s">
        <v>1107</v>
      </c>
      <c r="DB58" s="240" t="s">
        <v>1107</v>
      </c>
      <c r="DC58" s="240" t="s">
        <v>492</v>
      </c>
      <c r="DD58" s="240" t="s">
        <v>1107</v>
      </c>
      <c r="DE58" s="240" t="s">
        <v>1107</v>
      </c>
      <c r="DF58" s="240" t="s">
        <v>1107</v>
      </c>
      <c r="DG58" s="240" t="s">
        <v>1107</v>
      </c>
      <c r="DH58" s="240" t="s">
        <v>1107</v>
      </c>
      <c r="DI58" s="240" t="s">
        <v>1107</v>
      </c>
      <c r="DJ58" s="240" t="s">
        <v>1107</v>
      </c>
      <c r="DK58" s="240" t="s">
        <v>1107</v>
      </c>
      <c r="DL58" s="240" t="s">
        <v>1107</v>
      </c>
      <c r="DM58" s="240" t="s">
        <v>1107</v>
      </c>
      <c r="DN58" s="240" t="s">
        <v>1107</v>
      </c>
      <c r="DO58" s="240" t="s">
        <v>1107</v>
      </c>
      <c r="DP58" s="240" t="s">
        <v>1107</v>
      </c>
      <c r="DQ58" s="240" t="s">
        <v>1107</v>
      </c>
      <c r="DR58" s="240" t="s">
        <v>1107</v>
      </c>
      <c r="DS58" s="240" t="s">
        <v>1107</v>
      </c>
      <c r="DT58" s="240" t="s">
        <v>1107</v>
      </c>
      <c r="DU58" s="240" t="s">
        <v>1107</v>
      </c>
      <c r="DV58" s="240" t="s">
        <v>1107</v>
      </c>
      <c r="DW58" s="240" t="s">
        <v>1107</v>
      </c>
      <c r="DX58" s="240" t="s">
        <v>1107</v>
      </c>
      <c r="DY58" s="240" t="s">
        <v>1107</v>
      </c>
      <c r="DZ58" s="240" t="s">
        <v>1107</v>
      </c>
      <c r="EA58" s="240" t="s">
        <v>1107</v>
      </c>
      <c r="EB58" s="240" t="s">
        <v>1107</v>
      </c>
      <c r="EC58" s="240" t="s">
        <v>1107</v>
      </c>
      <c r="ED58" s="240" t="s">
        <v>1107</v>
      </c>
      <c r="EE58" s="240" t="s">
        <v>1107</v>
      </c>
      <c r="EF58" s="240" t="s">
        <v>1107</v>
      </c>
      <c r="EG58" s="240" t="s">
        <v>1107</v>
      </c>
      <c r="EH58" s="240" t="s">
        <v>1107</v>
      </c>
      <c r="EI58" s="240" t="s">
        <v>1107</v>
      </c>
      <c r="EJ58" s="240" t="s">
        <v>1107</v>
      </c>
      <c r="EK58" s="240" t="s">
        <v>1107</v>
      </c>
      <c r="EL58" s="240" t="s">
        <v>1107</v>
      </c>
      <c r="EM58" s="240" t="s">
        <v>1107</v>
      </c>
      <c r="EN58" s="240" t="s">
        <v>1107</v>
      </c>
      <c r="EO58" s="240" t="s">
        <v>1107</v>
      </c>
      <c r="EP58" s="240" t="s">
        <v>1107</v>
      </c>
      <c r="EQ58" s="240" t="s">
        <v>1107</v>
      </c>
      <c r="ER58" s="240" t="s">
        <v>1107</v>
      </c>
      <c r="ES58" s="240" t="s">
        <v>1107</v>
      </c>
      <c r="ET58" s="240" t="s">
        <v>1107</v>
      </c>
      <c r="EU58" s="240" t="s">
        <v>1107</v>
      </c>
      <c r="EV58" s="240" t="s">
        <v>1107</v>
      </c>
      <c r="EW58" s="240" t="s">
        <v>1107</v>
      </c>
      <c r="EX58" s="240" t="s">
        <v>1107</v>
      </c>
      <c r="EY58" s="240" t="s">
        <v>1107</v>
      </c>
      <c r="EZ58" s="240" t="s">
        <v>231</v>
      </c>
      <c r="FA58" s="240" t="s">
        <v>231</v>
      </c>
      <c r="FB58" s="240" t="s">
        <v>231</v>
      </c>
      <c r="FC58" s="240" t="s">
        <v>231</v>
      </c>
      <c r="FD58" s="240" t="s">
        <v>231</v>
      </c>
      <c r="FE58" s="240" t="s">
        <v>231</v>
      </c>
      <c r="FF58" s="240" t="s">
        <v>231</v>
      </c>
      <c r="FG58" s="240" t="s">
        <v>492</v>
      </c>
      <c r="FH58" s="240" t="s">
        <v>231</v>
      </c>
      <c r="FI58" s="240" t="s">
        <v>231</v>
      </c>
      <c r="FJ58" s="240" t="s">
        <v>231</v>
      </c>
      <c r="FK58" s="240" t="s">
        <v>231</v>
      </c>
      <c r="FL58" s="240" t="s">
        <v>231</v>
      </c>
      <c r="FM58" s="240" t="s">
        <v>231</v>
      </c>
      <c r="FN58" s="240" t="s">
        <v>231</v>
      </c>
      <c r="FO58" s="240" t="s">
        <v>231</v>
      </c>
      <c r="FP58" s="240" t="s">
        <v>231</v>
      </c>
      <c r="FQ58" s="240" t="s">
        <v>231</v>
      </c>
      <c r="FR58" s="240" t="s">
        <v>231</v>
      </c>
      <c r="FS58" s="240" t="s">
        <v>231</v>
      </c>
      <c r="FT58" s="240" t="s">
        <v>231</v>
      </c>
      <c r="FU58" s="240" t="s">
        <v>231</v>
      </c>
      <c r="FV58" s="240" t="s">
        <v>231</v>
      </c>
      <c r="FW58" s="240" t="s">
        <v>231</v>
      </c>
      <c r="FX58" s="240" t="s">
        <v>231</v>
      </c>
      <c r="FY58" s="240" t="s">
        <v>492</v>
      </c>
      <c r="FZ58" s="240" t="s">
        <v>231</v>
      </c>
      <c r="GA58" s="240" t="s">
        <v>231</v>
      </c>
      <c r="GB58" s="240" t="s">
        <v>231</v>
      </c>
      <c r="GC58" s="240" t="s">
        <v>231</v>
      </c>
      <c r="GD58" s="240" t="s">
        <v>231</v>
      </c>
      <c r="GE58" s="240" t="s">
        <v>492</v>
      </c>
      <c r="GF58" s="240" t="s">
        <v>231</v>
      </c>
      <c r="GG58" s="240" t="s">
        <v>231</v>
      </c>
      <c r="GH58" s="240" t="s">
        <v>231</v>
      </c>
      <c r="GI58" s="240" t="s">
        <v>231</v>
      </c>
      <c r="GJ58" s="240" t="s">
        <v>231</v>
      </c>
      <c r="GK58" s="240" t="s">
        <v>231</v>
      </c>
      <c r="GL58" s="240" t="s">
        <v>231</v>
      </c>
      <c r="GM58" s="240" t="s">
        <v>231</v>
      </c>
      <c r="GN58" s="240" t="s">
        <v>492</v>
      </c>
      <c r="GO58" s="240" t="s">
        <v>231</v>
      </c>
      <c r="GP58" s="240" t="s">
        <v>492</v>
      </c>
      <c r="GQ58" s="240" t="s">
        <v>231</v>
      </c>
      <c r="GR58" s="240" t="s">
        <v>231</v>
      </c>
      <c r="GS58" s="240" t="s">
        <v>231</v>
      </c>
      <c r="GT58" s="240" t="s">
        <v>231</v>
      </c>
      <c r="GU58" s="240" t="s">
        <v>231</v>
      </c>
      <c r="GV58" s="240" t="s">
        <v>231</v>
      </c>
      <c r="GW58" s="240" t="s">
        <v>231</v>
      </c>
      <c r="GX58" s="240" t="s">
        <v>231</v>
      </c>
      <c r="GY58" s="240" t="s">
        <v>231</v>
      </c>
      <c r="GZ58" s="240" t="s">
        <v>231</v>
      </c>
      <c r="HA58" s="240" t="s">
        <v>492</v>
      </c>
      <c r="HB58" s="240" t="s">
        <v>492</v>
      </c>
      <c r="HC58" s="240" t="s">
        <v>492</v>
      </c>
      <c r="HD58" s="240" t="s">
        <v>1107</v>
      </c>
      <c r="HE58" s="240" t="s">
        <v>1107</v>
      </c>
      <c r="HF58" s="240" t="s">
        <v>1107</v>
      </c>
      <c r="HG58" s="240" t="s">
        <v>1107</v>
      </c>
      <c r="HH58" s="240" t="s">
        <v>1107</v>
      </c>
      <c r="HI58" s="240" t="s">
        <v>1107</v>
      </c>
      <c r="HJ58" s="240" t="s">
        <v>1107</v>
      </c>
      <c r="HK58" s="240" t="s">
        <v>1107</v>
      </c>
      <c r="HL58" s="240" t="s">
        <v>1107</v>
      </c>
      <c r="HM58" s="240" t="s">
        <v>1107</v>
      </c>
      <c r="HN58" s="240" t="s">
        <v>1107</v>
      </c>
      <c r="HO58" s="240" t="s">
        <v>1107</v>
      </c>
      <c r="HP58" s="240" t="s">
        <v>1107</v>
      </c>
      <c r="HQ58" s="240" t="s">
        <v>1107</v>
      </c>
      <c r="HR58" s="240" t="s">
        <v>1107</v>
      </c>
      <c r="HS58" s="240" t="s">
        <v>1107</v>
      </c>
      <c r="HT58" s="240" t="s">
        <v>231</v>
      </c>
      <c r="HU58" s="240" t="s">
        <v>231</v>
      </c>
      <c r="HV58" s="240" t="s">
        <v>231</v>
      </c>
      <c r="HW58" s="240" t="s">
        <v>231</v>
      </c>
      <c r="HX58" s="240" t="s">
        <v>220</v>
      </c>
      <c r="HY58" s="240" t="s">
        <v>493</v>
      </c>
      <c r="HZ58" s="240" t="s">
        <v>219</v>
      </c>
      <c r="IA58" s="240" t="s">
        <v>490</v>
      </c>
      <c r="IB58" s="240" t="s">
        <v>492</v>
      </c>
      <c r="IC58" s="240" t="s">
        <v>492</v>
      </c>
    </row>
    <row r="59" spans="1:237" ht="15" x14ac:dyDescent="0.25">
      <c r="A59" s="243" t="str">
        <f>HYPERLINK("http://www.ofsted.gov.uk/inspection-reports/find-inspection-report/provider/ELS/136000 ","Ofsted School Webpage")</f>
        <v>Ofsted School Webpage</v>
      </c>
      <c r="B59" s="237">
        <v>136000</v>
      </c>
      <c r="C59" s="237">
        <v>3906008</v>
      </c>
      <c r="D59" s="237" t="s">
        <v>1222</v>
      </c>
      <c r="E59" s="237" t="s">
        <v>247</v>
      </c>
      <c r="F59" s="237" t="s">
        <v>523</v>
      </c>
      <c r="G59" s="237" t="s">
        <v>539</v>
      </c>
      <c r="H59" s="237" t="s">
        <v>883</v>
      </c>
      <c r="I59" s="237" t="s">
        <v>1223</v>
      </c>
      <c r="J59" s="237" t="s">
        <v>93</v>
      </c>
      <c r="K59" s="237" t="s">
        <v>81</v>
      </c>
      <c r="L59" s="237" t="s">
        <v>81</v>
      </c>
      <c r="M59" s="237" t="s">
        <v>81</v>
      </c>
      <c r="N59" s="237" t="s">
        <v>486</v>
      </c>
      <c r="O59" s="237" t="s">
        <v>487</v>
      </c>
      <c r="P59" s="237">
        <v>10067614</v>
      </c>
      <c r="Q59" s="239">
        <v>43405</v>
      </c>
      <c r="R59" s="239">
        <v>43405</v>
      </c>
      <c r="S59" s="239">
        <v>43438</v>
      </c>
      <c r="T59" s="237" t="s">
        <v>1104</v>
      </c>
      <c r="U59" s="237" t="s">
        <v>1105</v>
      </c>
      <c r="V59" s="237" t="s">
        <v>512</v>
      </c>
      <c r="W59" s="237" t="s">
        <v>486</v>
      </c>
      <c r="X59" s="237" t="s">
        <v>486</v>
      </c>
      <c r="Y59" s="237" t="s">
        <v>490</v>
      </c>
      <c r="Z59" s="237" t="s">
        <v>486</v>
      </c>
      <c r="AA59" s="237" t="s">
        <v>486</v>
      </c>
      <c r="AB59" s="237" t="s">
        <v>486</v>
      </c>
      <c r="AC59" s="237" t="s">
        <v>486</v>
      </c>
      <c r="AD59" s="237" t="s">
        <v>1128</v>
      </c>
      <c r="AE59" s="237" t="s">
        <v>232</v>
      </c>
      <c r="AF59" s="237" t="s">
        <v>232</v>
      </c>
      <c r="AG59" s="237" t="s">
        <v>232</v>
      </c>
      <c r="AH59" s="237" t="s">
        <v>232</v>
      </c>
      <c r="AI59" s="237" t="s">
        <v>231</v>
      </c>
      <c r="AJ59" s="237" t="s">
        <v>232</v>
      </c>
      <c r="AK59" s="237" t="s">
        <v>231</v>
      </c>
      <c r="AL59" s="237" t="s">
        <v>231</v>
      </c>
      <c r="AM59" s="237" t="s">
        <v>492</v>
      </c>
      <c r="AN59" s="237" t="s">
        <v>231</v>
      </c>
      <c r="AO59" s="237" t="s">
        <v>231</v>
      </c>
      <c r="AP59" s="237" t="s">
        <v>231</v>
      </c>
      <c r="AQ59" s="237" t="s">
        <v>232</v>
      </c>
      <c r="AR59" s="237" t="s">
        <v>232</v>
      </c>
      <c r="AS59" s="237" t="s">
        <v>232</v>
      </c>
      <c r="AT59" s="237" t="s">
        <v>232</v>
      </c>
      <c r="AU59" s="237" t="s">
        <v>1107</v>
      </c>
      <c r="AV59" s="237" t="s">
        <v>492</v>
      </c>
      <c r="AW59" s="237" t="s">
        <v>232</v>
      </c>
      <c r="AX59" s="237" t="s">
        <v>232</v>
      </c>
      <c r="AY59" s="237" t="s">
        <v>232</v>
      </c>
      <c r="AZ59" s="237" t="s">
        <v>232</v>
      </c>
      <c r="BA59" s="237" t="s">
        <v>232</v>
      </c>
      <c r="BB59" s="237" t="s">
        <v>232</v>
      </c>
      <c r="BC59" s="237" t="s">
        <v>232</v>
      </c>
      <c r="BD59" s="237" t="s">
        <v>232</v>
      </c>
      <c r="BE59" s="237" t="s">
        <v>232</v>
      </c>
      <c r="BF59" s="237" t="s">
        <v>232</v>
      </c>
      <c r="BG59" s="237" t="s">
        <v>231</v>
      </c>
      <c r="BH59" s="237" t="s">
        <v>231</v>
      </c>
      <c r="BI59" s="237" t="s">
        <v>231</v>
      </c>
      <c r="BJ59" s="237" t="s">
        <v>232</v>
      </c>
      <c r="BK59" s="237" t="s">
        <v>1107</v>
      </c>
      <c r="BL59" s="237" t="s">
        <v>1107</v>
      </c>
      <c r="BM59" s="237" t="s">
        <v>1107</v>
      </c>
      <c r="BN59" s="237" t="s">
        <v>1107</v>
      </c>
      <c r="BO59" s="237" t="s">
        <v>1107</v>
      </c>
      <c r="BP59" s="237" t="s">
        <v>1107</v>
      </c>
      <c r="BQ59" s="237" t="s">
        <v>1107</v>
      </c>
      <c r="BR59" s="237" t="s">
        <v>1107</v>
      </c>
      <c r="BS59" s="237" t="s">
        <v>1107</v>
      </c>
      <c r="BT59" s="237" t="s">
        <v>1107</v>
      </c>
      <c r="BU59" s="237" t="s">
        <v>1107</v>
      </c>
      <c r="BV59" s="237" t="s">
        <v>1107</v>
      </c>
      <c r="BW59" s="237" t="s">
        <v>1107</v>
      </c>
      <c r="BX59" s="237" t="s">
        <v>1107</v>
      </c>
      <c r="BY59" s="237" t="s">
        <v>1107</v>
      </c>
      <c r="BZ59" s="237" t="s">
        <v>231</v>
      </c>
      <c r="CA59" s="237" t="s">
        <v>231</v>
      </c>
      <c r="CB59" s="237" t="s">
        <v>231</v>
      </c>
      <c r="CC59" s="237" t="s">
        <v>492</v>
      </c>
      <c r="CD59" s="237" t="s">
        <v>492</v>
      </c>
      <c r="CE59" s="237" t="s">
        <v>492</v>
      </c>
      <c r="CF59" s="237" t="s">
        <v>231</v>
      </c>
      <c r="CG59" s="237" t="s">
        <v>231</v>
      </c>
      <c r="CH59" s="237" t="s">
        <v>231</v>
      </c>
      <c r="CI59" s="237" t="s">
        <v>231</v>
      </c>
      <c r="CJ59" s="237" t="s">
        <v>231</v>
      </c>
      <c r="CK59" s="237" t="s">
        <v>231</v>
      </c>
      <c r="CL59" s="237" t="s">
        <v>231</v>
      </c>
      <c r="CM59" s="237" t="s">
        <v>231</v>
      </c>
      <c r="CN59" s="237" t="s">
        <v>231</v>
      </c>
      <c r="CO59" s="237" t="s">
        <v>231</v>
      </c>
      <c r="CP59" s="237" t="s">
        <v>231</v>
      </c>
      <c r="CQ59" s="237" t="s">
        <v>231</v>
      </c>
      <c r="CR59" s="237" t="s">
        <v>231</v>
      </c>
      <c r="CS59" s="237" t="s">
        <v>1107</v>
      </c>
      <c r="CT59" s="237" t="s">
        <v>1107</v>
      </c>
      <c r="CU59" s="237" t="s">
        <v>1107</v>
      </c>
      <c r="CV59" s="237" t="s">
        <v>1107</v>
      </c>
      <c r="CW59" s="237" t="s">
        <v>1107</v>
      </c>
      <c r="CX59" s="237" t="s">
        <v>1107</v>
      </c>
      <c r="CY59" s="237" t="s">
        <v>1107</v>
      </c>
      <c r="CZ59" s="237" t="s">
        <v>1107</v>
      </c>
      <c r="DA59" s="237" t="s">
        <v>1107</v>
      </c>
      <c r="DB59" s="237" t="s">
        <v>1107</v>
      </c>
      <c r="DC59" s="237" t="s">
        <v>1107</v>
      </c>
      <c r="DD59" s="237" t="s">
        <v>1107</v>
      </c>
      <c r="DE59" s="237" t="s">
        <v>1107</v>
      </c>
      <c r="DF59" s="237" t="s">
        <v>1107</v>
      </c>
      <c r="DG59" s="237" t="s">
        <v>1107</v>
      </c>
      <c r="DH59" s="237" t="s">
        <v>1107</v>
      </c>
      <c r="DI59" s="237" t="s">
        <v>1107</v>
      </c>
      <c r="DJ59" s="237" t="s">
        <v>1107</v>
      </c>
      <c r="DK59" s="237" t="s">
        <v>1107</v>
      </c>
      <c r="DL59" s="237" t="s">
        <v>1107</v>
      </c>
      <c r="DM59" s="237" t="s">
        <v>1107</v>
      </c>
      <c r="DN59" s="237" t="s">
        <v>1107</v>
      </c>
      <c r="DO59" s="237" t="s">
        <v>1107</v>
      </c>
      <c r="DP59" s="237" t="s">
        <v>1107</v>
      </c>
      <c r="DQ59" s="237" t="s">
        <v>1107</v>
      </c>
      <c r="DR59" s="237" t="s">
        <v>1107</v>
      </c>
      <c r="DS59" s="237" t="s">
        <v>1107</v>
      </c>
      <c r="DT59" s="237" t="s">
        <v>1107</v>
      </c>
      <c r="DU59" s="237" t="s">
        <v>1107</v>
      </c>
      <c r="DV59" s="237" t="s">
        <v>1107</v>
      </c>
      <c r="DW59" s="237" t="s">
        <v>1107</v>
      </c>
      <c r="DX59" s="237" t="s">
        <v>1107</v>
      </c>
      <c r="DY59" s="237" t="s">
        <v>1107</v>
      </c>
      <c r="DZ59" s="237" t="s">
        <v>1107</v>
      </c>
      <c r="EA59" s="237" t="s">
        <v>1107</v>
      </c>
      <c r="EB59" s="237" t="s">
        <v>1107</v>
      </c>
      <c r="EC59" s="237" t="s">
        <v>1107</v>
      </c>
      <c r="ED59" s="237" t="s">
        <v>1107</v>
      </c>
      <c r="EE59" s="237" t="s">
        <v>1107</v>
      </c>
      <c r="EF59" s="237" t="s">
        <v>1107</v>
      </c>
      <c r="EG59" s="237" t="s">
        <v>1107</v>
      </c>
      <c r="EH59" s="237" t="s">
        <v>1107</v>
      </c>
      <c r="EI59" s="237" t="s">
        <v>1107</v>
      </c>
      <c r="EJ59" s="237" t="s">
        <v>1107</v>
      </c>
      <c r="EK59" s="237" t="s">
        <v>1107</v>
      </c>
      <c r="EL59" s="237" t="s">
        <v>1107</v>
      </c>
      <c r="EM59" s="237" t="s">
        <v>1107</v>
      </c>
      <c r="EN59" s="237" t="s">
        <v>1107</v>
      </c>
      <c r="EO59" s="237" t="s">
        <v>1107</v>
      </c>
      <c r="EP59" s="237" t="s">
        <v>1107</v>
      </c>
      <c r="EQ59" s="237" t="s">
        <v>1107</v>
      </c>
      <c r="ER59" s="237" t="s">
        <v>1107</v>
      </c>
      <c r="ES59" s="237" t="s">
        <v>1107</v>
      </c>
      <c r="ET59" s="237" t="s">
        <v>1107</v>
      </c>
      <c r="EU59" s="237" t="s">
        <v>1107</v>
      </c>
      <c r="EV59" s="237" t="s">
        <v>1107</v>
      </c>
      <c r="EW59" s="237" t="s">
        <v>1107</v>
      </c>
      <c r="EX59" s="237" t="s">
        <v>1107</v>
      </c>
      <c r="EY59" s="237" t="s">
        <v>1107</v>
      </c>
      <c r="EZ59" s="237" t="s">
        <v>231</v>
      </c>
      <c r="FA59" s="237" t="s">
        <v>231</v>
      </c>
      <c r="FB59" s="237" t="s">
        <v>492</v>
      </c>
      <c r="FC59" s="237" t="s">
        <v>231</v>
      </c>
      <c r="FD59" s="237" t="s">
        <v>231</v>
      </c>
      <c r="FE59" s="237" t="s">
        <v>231</v>
      </c>
      <c r="FF59" s="237" t="s">
        <v>231</v>
      </c>
      <c r="FG59" s="237" t="s">
        <v>492</v>
      </c>
      <c r="FH59" s="237" t="s">
        <v>231</v>
      </c>
      <c r="FI59" s="237" t="s">
        <v>231</v>
      </c>
      <c r="FJ59" s="237" t="s">
        <v>231</v>
      </c>
      <c r="FK59" s="237" t="s">
        <v>231</v>
      </c>
      <c r="FL59" s="237" t="s">
        <v>231</v>
      </c>
      <c r="FM59" s="237" t="s">
        <v>231</v>
      </c>
      <c r="FN59" s="237" t="s">
        <v>231</v>
      </c>
      <c r="FO59" s="237" t="s">
        <v>231</v>
      </c>
      <c r="FP59" s="237" t="s">
        <v>231</v>
      </c>
      <c r="FQ59" s="237" t="s">
        <v>231</v>
      </c>
      <c r="FR59" s="237" t="s">
        <v>231</v>
      </c>
      <c r="FS59" s="237" t="s">
        <v>231</v>
      </c>
      <c r="FT59" s="237" t="s">
        <v>231</v>
      </c>
      <c r="FU59" s="237" t="s">
        <v>231</v>
      </c>
      <c r="FV59" s="237" t="s">
        <v>231</v>
      </c>
      <c r="FW59" s="237" t="s">
        <v>231</v>
      </c>
      <c r="FX59" s="237" t="s">
        <v>231</v>
      </c>
      <c r="FY59" s="237" t="s">
        <v>492</v>
      </c>
      <c r="FZ59" s="237" t="s">
        <v>1107</v>
      </c>
      <c r="GA59" s="237" t="s">
        <v>1107</v>
      </c>
      <c r="GB59" s="237" t="s">
        <v>1107</v>
      </c>
      <c r="GC59" s="237" t="s">
        <v>1107</v>
      </c>
      <c r="GD59" s="237" t="s">
        <v>1107</v>
      </c>
      <c r="GE59" s="237" t="s">
        <v>1107</v>
      </c>
      <c r="GF59" s="237" t="s">
        <v>1107</v>
      </c>
      <c r="GG59" s="237" t="s">
        <v>1107</v>
      </c>
      <c r="GH59" s="237" t="s">
        <v>1107</v>
      </c>
      <c r="GI59" s="237" t="s">
        <v>1107</v>
      </c>
      <c r="GJ59" s="237" t="s">
        <v>1107</v>
      </c>
      <c r="GK59" s="237" t="s">
        <v>1107</v>
      </c>
      <c r="GL59" s="237" t="s">
        <v>1107</v>
      </c>
      <c r="GM59" s="237" t="s">
        <v>1107</v>
      </c>
      <c r="GN59" s="237" t="s">
        <v>1107</v>
      </c>
      <c r="GO59" s="237" t="s">
        <v>1107</v>
      </c>
      <c r="GP59" s="237" t="s">
        <v>1107</v>
      </c>
      <c r="GQ59" s="237" t="s">
        <v>1107</v>
      </c>
      <c r="GR59" s="237" t="s">
        <v>1107</v>
      </c>
      <c r="GS59" s="237" t="s">
        <v>1107</v>
      </c>
      <c r="GT59" s="237" t="s">
        <v>1107</v>
      </c>
      <c r="GU59" s="237" t="s">
        <v>1107</v>
      </c>
      <c r="GV59" s="237" t="s">
        <v>1107</v>
      </c>
      <c r="GW59" s="237" t="s">
        <v>1107</v>
      </c>
      <c r="GX59" s="237" t="s">
        <v>1107</v>
      </c>
      <c r="GY59" s="237" t="s">
        <v>1107</v>
      </c>
      <c r="GZ59" s="237" t="s">
        <v>1107</v>
      </c>
      <c r="HA59" s="237" t="s">
        <v>1107</v>
      </c>
      <c r="HB59" s="237" t="s">
        <v>1107</v>
      </c>
      <c r="HC59" s="237" t="s">
        <v>1107</v>
      </c>
      <c r="HD59" s="237" t="s">
        <v>1107</v>
      </c>
      <c r="HE59" s="237" t="s">
        <v>1107</v>
      </c>
      <c r="HF59" s="237" t="s">
        <v>1107</v>
      </c>
      <c r="HG59" s="237" t="s">
        <v>1107</v>
      </c>
      <c r="HH59" s="237" t="s">
        <v>1107</v>
      </c>
      <c r="HI59" s="237" t="s">
        <v>1107</v>
      </c>
      <c r="HJ59" s="237" t="s">
        <v>1107</v>
      </c>
      <c r="HK59" s="237" t="s">
        <v>1107</v>
      </c>
      <c r="HL59" s="237" t="s">
        <v>1107</v>
      </c>
      <c r="HM59" s="237" t="s">
        <v>1107</v>
      </c>
      <c r="HN59" s="237" t="s">
        <v>1107</v>
      </c>
      <c r="HO59" s="237" t="s">
        <v>1107</v>
      </c>
      <c r="HP59" s="237" t="s">
        <v>1107</v>
      </c>
      <c r="HQ59" s="237" t="s">
        <v>1107</v>
      </c>
      <c r="HR59" s="237" t="s">
        <v>1107</v>
      </c>
      <c r="HS59" s="237" t="s">
        <v>1107</v>
      </c>
      <c r="HT59" s="237" t="s">
        <v>232</v>
      </c>
      <c r="HU59" s="237" t="s">
        <v>232</v>
      </c>
      <c r="HV59" s="237" t="s">
        <v>232</v>
      </c>
      <c r="HW59" s="237" t="s">
        <v>232</v>
      </c>
      <c r="HX59" s="237" t="s">
        <v>220</v>
      </c>
      <c r="HY59" s="237" t="s">
        <v>493</v>
      </c>
      <c r="HZ59" s="237" t="s">
        <v>219</v>
      </c>
      <c r="IA59" s="237" t="s">
        <v>490</v>
      </c>
      <c r="IB59" s="237" t="s">
        <v>1107</v>
      </c>
      <c r="IC59" s="237" t="s">
        <v>1107</v>
      </c>
    </row>
    <row r="60" spans="1:237" ht="15" x14ac:dyDescent="0.25">
      <c r="A60" s="244" t="str">
        <f>HYPERLINK("http://www.ofsted.gov.uk/inspection-reports/find-inspection-report/provider/ELS/124899 ","Ofsted School Webpage")</f>
        <v>Ofsted School Webpage</v>
      </c>
      <c r="B60" s="240">
        <v>124899</v>
      </c>
      <c r="C60" s="240">
        <v>9356076</v>
      </c>
      <c r="D60" s="240" t="s">
        <v>1224</v>
      </c>
      <c r="E60" s="240" t="s">
        <v>247</v>
      </c>
      <c r="F60" s="240" t="s">
        <v>516</v>
      </c>
      <c r="G60" s="240" t="s">
        <v>516</v>
      </c>
      <c r="H60" s="240" t="s">
        <v>937</v>
      </c>
      <c r="I60" s="240" t="s">
        <v>1225</v>
      </c>
      <c r="J60" s="240" t="s">
        <v>93</v>
      </c>
      <c r="K60" s="240" t="s">
        <v>74</v>
      </c>
      <c r="L60" s="240" t="s">
        <v>74</v>
      </c>
      <c r="M60" s="240" t="s">
        <v>71</v>
      </c>
      <c r="N60" s="240" t="s">
        <v>486</v>
      </c>
      <c r="O60" s="240" t="s">
        <v>487</v>
      </c>
      <c r="P60" s="240">
        <v>10083003</v>
      </c>
      <c r="Q60" s="242">
        <v>43405</v>
      </c>
      <c r="R60" s="242">
        <v>43405</v>
      </c>
      <c r="S60" s="242">
        <v>43422</v>
      </c>
      <c r="T60" s="240" t="s">
        <v>1124</v>
      </c>
      <c r="U60" s="240" t="s">
        <v>1105</v>
      </c>
      <c r="V60" s="240" t="s">
        <v>512</v>
      </c>
      <c r="W60" s="240" t="s">
        <v>486</v>
      </c>
      <c r="X60" s="240" t="s">
        <v>490</v>
      </c>
      <c r="Y60" s="240" t="s">
        <v>486</v>
      </c>
      <c r="Z60" s="240" t="s">
        <v>486</v>
      </c>
      <c r="AA60" s="240" t="s">
        <v>486</v>
      </c>
      <c r="AB60" s="240" t="s">
        <v>486</v>
      </c>
      <c r="AC60" s="240" t="s">
        <v>486</v>
      </c>
      <c r="AD60" s="240" t="s">
        <v>1110</v>
      </c>
      <c r="AE60" s="240" t="s">
        <v>1107</v>
      </c>
      <c r="AF60" s="240" t="s">
        <v>1107</v>
      </c>
      <c r="AG60" s="240" t="s">
        <v>1107</v>
      </c>
      <c r="AH60" s="240" t="s">
        <v>1107</v>
      </c>
      <c r="AI60" s="240" t="s">
        <v>1107</v>
      </c>
      <c r="AJ60" s="240" t="s">
        <v>1107</v>
      </c>
      <c r="AK60" s="240" t="s">
        <v>1107</v>
      </c>
      <c r="AL60" s="240" t="s">
        <v>1107</v>
      </c>
      <c r="AM60" s="240" t="s">
        <v>1107</v>
      </c>
      <c r="AN60" s="240" t="s">
        <v>1107</v>
      </c>
      <c r="AO60" s="240" t="s">
        <v>1107</v>
      </c>
      <c r="AP60" s="240" t="s">
        <v>1107</v>
      </c>
      <c r="AQ60" s="240" t="s">
        <v>1107</v>
      </c>
      <c r="AR60" s="240" t="s">
        <v>1107</v>
      </c>
      <c r="AS60" s="240" t="s">
        <v>1107</v>
      </c>
      <c r="AT60" s="240" t="s">
        <v>1107</v>
      </c>
      <c r="AU60" s="240" t="s">
        <v>1107</v>
      </c>
      <c r="AV60" s="240" t="s">
        <v>1107</v>
      </c>
      <c r="AW60" s="240" t="s">
        <v>1107</v>
      </c>
      <c r="AX60" s="240" t="s">
        <v>1107</v>
      </c>
      <c r="AY60" s="240" t="s">
        <v>1107</v>
      </c>
      <c r="AZ60" s="240" t="s">
        <v>1107</v>
      </c>
      <c r="BA60" s="240" t="s">
        <v>1107</v>
      </c>
      <c r="BB60" s="240" t="s">
        <v>1107</v>
      </c>
      <c r="BC60" s="240" t="s">
        <v>1107</v>
      </c>
      <c r="BD60" s="240" t="s">
        <v>1107</v>
      </c>
      <c r="BE60" s="240" t="s">
        <v>1107</v>
      </c>
      <c r="BF60" s="240" t="s">
        <v>1107</v>
      </c>
      <c r="BG60" s="240" t="s">
        <v>1107</v>
      </c>
      <c r="BH60" s="240" t="s">
        <v>1107</v>
      </c>
      <c r="BI60" s="240" t="s">
        <v>1107</v>
      </c>
      <c r="BJ60" s="240" t="s">
        <v>1107</v>
      </c>
      <c r="BK60" s="240" t="s">
        <v>1107</v>
      </c>
      <c r="BL60" s="240" t="s">
        <v>1107</v>
      </c>
      <c r="BM60" s="240" t="s">
        <v>1107</v>
      </c>
      <c r="BN60" s="240" t="s">
        <v>1107</v>
      </c>
      <c r="BO60" s="240" t="s">
        <v>1107</v>
      </c>
      <c r="BP60" s="240" t="s">
        <v>1107</v>
      </c>
      <c r="BQ60" s="240" t="s">
        <v>1107</v>
      </c>
      <c r="BR60" s="240" t="s">
        <v>1107</v>
      </c>
      <c r="BS60" s="240" t="s">
        <v>1107</v>
      </c>
      <c r="BT60" s="240" t="s">
        <v>1107</v>
      </c>
      <c r="BU60" s="240" t="s">
        <v>1107</v>
      </c>
      <c r="BV60" s="240" t="s">
        <v>1107</v>
      </c>
      <c r="BW60" s="240" t="s">
        <v>1107</v>
      </c>
      <c r="BX60" s="240" t="s">
        <v>1107</v>
      </c>
      <c r="BY60" s="240" t="s">
        <v>1107</v>
      </c>
      <c r="BZ60" s="240" t="s">
        <v>231</v>
      </c>
      <c r="CA60" s="240" t="s">
        <v>231</v>
      </c>
      <c r="CB60" s="240" t="s">
        <v>231</v>
      </c>
      <c r="CC60" s="240" t="s">
        <v>1107</v>
      </c>
      <c r="CD60" s="240" t="s">
        <v>1107</v>
      </c>
      <c r="CE60" s="240" t="s">
        <v>1107</v>
      </c>
      <c r="CF60" s="240" t="s">
        <v>1107</v>
      </c>
      <c r="CG60" s="240" t="s">
        <v>1107</v>
      </c>
      <c r="CH60" s="240" t="s">
        <v>1107</v>
      </c>
      <c r="CI60" s="240" t="s">
        <v>1107</v>
      </c>
      <c r="CJ60" s="240" t="s">
        <v>1107</v>
      </c>
      <c r="CK60" s="240" t="s">
        <v>1107</v>
      </c>
      <c r="CL60" s="240" t="s">
        <v>1107</v>
      </c>
      <c r="CM60" s="240" t="s">
        <v>1107</v>
      </c>
      <c r="CN60" s="240" t="s">
        <v>1107</v>
      </c>
      <c r="CO60" s="240" t="s">
        <v>231</v>
      </c>
      <c r="CP60" s="240" t="s">
        <v>1107</v>
      </c>
      <c r="CQ60" s="240" t="s">
        <v>1107</v>
      </c>
      <c r="CR60" s="240" t="s">
        <v>1107</v>
      </c>
      <c r="CS60" s="240" t="s">
        <v>1107</v>
      </c>
      <c r="CT60" s="240" t="s">
        <v>1107</v>
      </c>
      <c r="CU60" s="240" t="s">
        <v>1107</v>
      </c>
      <c r="CV60" s="240" t="s">
        <v>1107</v>
      </c>
      <c r="CW60" s="240" t="s">
        <v>1107</v>
      </c>
      <c r="CX60" s="240" t="s">
        <v>1107</v>
      </c>
      <c r="CY60" s="240" t="s">
        <v>1107</v>
      </c>
      <c r="CZ60" s="240" t="s">
        <v>1107</v>
      </c>
      <c r="DA60" s="240" t="s">
        <v>1107</v>
      </c>
      <c r="DB60" s="240" t="s">
        <v>1107</v>
      </c>
      <c r="DC60" s="240" t="s">
        <v>1107</v>
      </c>
      <c r="DD60" s="240" t="s">
        <v>1107</v>
      </c>
      <c r="DE60" s="240" t="s">
        <v>1107</v>
      </c>
      <c r="DF60" s="240" t="s">
        <v>1107</v>
      </c>
      <c r="DG60" s="240" t="s">
        <v>1107</v>
      </c>
      <c r="DH60" s="240" t="s">
        <v>1107</v>
      </c>
      <c r="DI60" s="240" t="s">
        <v>1107</v>
      </c>
      <c r="DJ60" s="240" t="s">
        <v>1107</v>
      </c>
      <c r="DK60" s="240" t="s">
        <v>1107</v>
      </c>
      <c r="DL60" s="240" t="s">
        <v>1107</v>
      </c>
      <c r="DM60" s="240" t="s">
        <v>1107</v>
      </c>
      <c r="DN60" s="240" t="s">
        <v>1107</v>
      </c>
      <c r="DO60" s="240" t="s">
        <v>1107</v>
      </c>
      <c r="DP60" s="240" t="s">
        <v>1107</v>
      </c>
      <c r="DQ60" s="240" t="s">
        <v>1107</v>
      </c>
      <c r="DR60" s="240" t="s">
        <v>1107</v>
      </c>
      <c r="DS60" s="240" t="s">
        <v>1107</v>
      </c>
      <c r="DT60" s="240" t="s">
        <v>1107</v>
      </c>
      <c r="DU60" s="240" t="s">
        <v>1107</v>
      </c>
      <c r="DV60" s="240" t="s">
        <v>1107</v>
      </c>
      <c r="DW60" s="240" t="s">
        <v>1107</v>
      </c>
      <c r="DX60" s="240" t="s">
        <v>1107</v>
      </c>
      <c r="DY60" s="240" t="s">
        <v>1107</v>
      </c>
      <c r="DZ60" s="240" t="s">
        <v>1107</v>
      </c>
      <c r="EA60" s="240" t="s">
        <v>1107</v>
      </c>
      <c r="EB60" s="240" t="s">
        <v>1107</v>
      </c>
      <c r="EC60" s="240" t="s">
        <v>1107</v>
      </c>
      <c r="ED60" s="240" t="s">
        <v>1107</v>
      </c>
      <c r="EE60" s="240" t="s">
        <v>1107</v>
      </c>
      <c r="EF60" s="240" t="s">
        <v>1107</v>
      </c>
      <c r="EG60" s="240" t="s">
        <v>1107</v>
      </c>
      <c r="EH60" s="240" t="s">
        <v>1107</v>
      </c>
      <c r="EI60" s="240" t="s">
        <v>1107</v>
      </c>
      <c r="EJ60" s="240" t="s">
        <v>1107</v>
      </c>
      <c r="EK60" s="240" t="s">
        <v>1107</v>
      </c>
      <c r="EL60" s="240" t="s">
        <v>1107</v>
      </c>
      <c r="EM60" s="240" t="s">
        <v>1107</v>
      </c>
      <c r="EN60" s="240" t="s">
        <v>1107</v>
      </c>
      <c r="EO60" s="240" t="s">
        <v>1107</v>
      </c>
      <c r="EP60" s="240" t="s">
        <v>1107</v>
      </c>
      <c r="EQ60" s="240" t="s">
        <v>1107</v>
      </c>
      <c r="ER60" s="240" t="s">
        <v>1107</v>
      </c>
      <c r="ES60" s="240" t="s">
        <v>1107</v>
      </c>
      <c r="ET60" s="240" t="s">
        <v>1107</v>
      </c>
      <c r="EU60" s="240" t="s">
        <v>1107</v>
      </c>
      <c r="EV60" s="240" t="s">
        <v>1107</v>
      </c>
      <c r="EW60" s="240" t="s">
        <v>1107</v>
      </c>
      <c r="EX60" s="240" t="s">
        <v>1107</v>
      </c>
      <c r="EY60" s="240" t="s">
        <v>1107</v>
      </c>
      <c r="EZ60" s="240" t="s">
        <v>1107</v>
      </c>
      <c r="FA60" s="240" t="s">
        <v>1107</v>
      </c>
      <c r="FB60" s="240" t="s">
        <v>1107</v>
      </c>
      <c r="FC60" s="240" t="s">
        <v>1107</v>
      </c>
      <c r="FD60" s="240" t="s">
        <v>1107</v>
      </c>
      <c r="FE60" s="240" t="s">
        <v>1107</v>
      </c>
      <c r="FF60" s="240" t="s">
        <v>1107</v>
      </c>
      <c r="FG60" s="240" t="s">
        <v>1107</v>
      </c>
      <c r="FH60" s="240" t="s">
        <v>1107</v>
      </c>
      <c r="FI60" s="240" t="s">
        <v>1107</v>
      </c>
      <c r="FJ60" s="240" t="s">
        <v>1107</v>
      </c>
      <c r="FK60" s="240" t="s">
        <v>1107</v>
      </c>
      <c r="FL60" s="240" t="s">
        <v>1107</v>
      </c>
      <c r="FM60" s="240" t="s">
        <v>1107</v>
      </c>
      <c r="FN60" s="240" t="s">
        <v>1107</v>
      </c>
      <c r="FO60" s="240" t="s">
        <v>1107</v>
      </c>
      <c r="FP60" s="240" t="s">
        <v>1107</v>
      </c>
      <c r="FQ60" s="240" t="s">
        <v>1107</v>
      </c>
      <c r="FR60" s="240" t="s">
        <v>1107</v>
      </c>
      <c r="FS60" s="240" t="s">
        <v>1107</v>
      </c>
      <c r="FT60" s="240" t="s">
        <v>1107</v>
      </c>
      <c r="FU60" s="240" t="s">
        <v>1107</v>
      </c>
      <c r="FV60" s="240" t="s">
        <v>1107</v>
      </c>
      <c r="FW60" s="240" t="s">
        <v>1107</v>
      </c>
      <c r="FX60" s="240" t="s">
        <v>1107</v>
      </c>
      <c r="FY60" s="240" t="s">
        <v>1107</v>
      </c>
      <c r="FZ60" s="240" t="s">
        <v>1107</v>
      </c>
      <c r="GA60" s="240" t="s">
        <v>1107</v>
      </c>
      <c r="GB60" s="240" t="s">
        <v>1107</v>
      </c>
      <c r="GC60" s="240" t="s">
        <v>1107</v>
      </c>
      <c r="GD60" s="240" t="s">
        <v>1107</v>
      </c>
      <c r="GE60" s="240" t="s">
        <v>1107</v>
      </c>
      <c r="GF60" s="240" t="s">
        <v>1107</v>
      </c>
      <c r="GG60" s="240" t="s">
        <v>1107</v>
      </c>
      <c r="GH60" s="240" t="s">
        <v>1107</v>
      </c>
      <c r="GI60" s="240" t="s">
        <v>1107</v>
      </c>
      <c r="GJ60" s="240" t="s">
        <v>1107</v>
      </c>
      <c r="GK60" s="240" t="s">
        <v>1107</v>
      </c>
      <c r="GL60" s="240" t="s">
        <v>1107</v>
      </c>
      <c r="GM60" s="240" t="s">
        <v>1107</v>
      </c>
      <c r="GN60" s="240" t="s">
        <v>1107</v>
      </c>
      <c r="GO60" s="240" t="s">
        <v>1107</v>
      </c>
      <c r="GP60" s="240" t="s">
        <v>1107</v>
      </c>
      <c r="GQ60" s="240" t="s">
        <v>1107</v>
      </c>
      <c r="GR60" s="240" t="s">
        <v>1107</v>
      </c>
      <c r="GS60" s="240" t="s">
        <v>1107</v>
      </c>
      <c r="GT60" s="240" t="s">
        <v>1107</v>
      </c>
      <c r="GU60" s="240" t="s">
        <v>1107</v>
      </c>
      <c r="GV60" s="240" t="s">
        <v>1107</v>
      </c>
      <c r="GW60" s="240" t="s">
        <v>1107</v>
      </c>
      <c r="GX60" s="240" t="s">
        <v>1107</v>
      </c>
      <c r="GY60" s="240" t="s">
        <v>1107</v>
      </c>
      <c r="GZ60" s="240" t="s">
        <v>1107</v>
      </c>
      <c r="HA60" s="240" t="s">
        <v>1107</v>
      </c>
      <c r="HB60" s="240" t="s">
        <v>1107</v>
      </c>
      <c r="HC60" s="240" t="s">
        <v>1107</v>
      </c>
      <c r="HD60" s="240" t="s">
        <v>1107</v>
      </c>
      <c r="HE60" s="240" t="s">
        <v>1107</v>
      </c>
      <c r="HF60" s="240" t="s">
        <v>1107</v>
      </c>
      <c r="HG60" s="240" t="s">
        <v>1107</v>
      </c>
      <c r="HH60" s="240" t="s">
        <v>1107</v>
      </c>
      <c r="HI60" s="240" t="s">
        <v>1107</v>
      </c>
      <c r="HJ60" s="240" t="s">
        <v>1107</v>
      </c>
      <c r="HK60" s="240" t="s">
        <v>1107</v>
      </c>
      <c r="HL60" s="240" t="s">
        <v>1107</v>
      </c>
      <c r="HM60" s="240" t="s">
        <v>1107</v>
      </c>
      <c r="HN60" s="240" t="s">
        <v>1107</v>
      </c>
      <c r="HO60" s="240" t="s">
        <v>1107</v>
      </c>
      <c r="HP60" s="240" t="s">
        <v>1107</v>
      </c>
      <c r="HQ60" s="240" t="s">
        <v>1107</v>
      </c>
      <c r="HR60" s="240" t="s">
        <v>1107</v>
      </c>
      <c r="HS60" s="240" t="s">
        <v>1107</v>
      </c>
      <c r="HT60" s="240" t="s">
        <v>1107</v>
      </c>
      <c r="HU60" s="240" t="s">
        <v>1107</v>
      </c>
      <c r="HV60" s="240" t="s">
        <v>1107</v>
      </c>
      <c r="HW60" s="240" t="s">
        <v>1107</v>
      </c>
      <c r="HX60" s="240" t="s">
        <v>220</v>
      </c>
      <c r="HY60" s="240" t="s">
        <v>493</v>
      </c>
      <c r="HZ60" s="240" t="s">
        <v>219</v>
      </c>
      <c r="IA60" s="240" t="s">
        <v>490</v>
      </c>
      <c r="IB60" s="240" t="s">
        <v>1107</v>
      </c>
      <c r="IC60" s="240" t="s">
        <v>1107</v>
      </c>
    </row>
    <row r="61" spans="1:237" ht="15" x14ac:dyDescent="0.25">
      <c r="A61" s="243" t="str">
        <f>HYPERLINK("http://www.ofsted.gov.uk/inspection-reports/find-inspection-report/provider/ELS/131788 ","Ofsted School Webpage")</f>
        <v>Ofsted School Webpage</v>
      </c>
      <c r="B61" s="237">
        <v>131788</v>
      </c>
      <c r="C61" s="237">
        <v>3076080</v>
      </c>
      <c r="D61" s="237" t="s">
        <v>1226</v>
      </c>
      <c r="E61" s="237" t="s">
        <v>247</v>
      </c>
      <c r="F61" s="237" t="s">
        <v>506</v>
      </c>
      <c r="G61" s="237" t="s">
        <v>506</v>
      </c>
      <c r="H61" s="237" t="s">
        <v>507</v>
      </c>
      <c r="I61" s="237" t="s">
        <v>1227</v>
      </c>
      <c r="J61" s="237" t="s">
        <v>93</v>
      </c>
      <c r="K61" s="237" t="s">
        <v>76</v>
      </c>
      <c r="L61" s="237" t="s">
        <v>76</v>
      </c>
      <c r="M61" s="237" t="s">
        <v>71</v>
      </c>
      <c r="N61" s="237" t="s">
        <v>486</v>
      </c>
      <c r="O61" s="237" t="s">
        <v>487</v>
      </c>
      <c r="P61" s="237">
        <v>10056883</v>
      </c>
      <c r="Q61" s="239">
        <v>43409</v>
      </c>
      <c r="R61" s="239">
        <v>43409</v>
      </c>
      <c r="S61" s="239">
        <v>43480</v>
      </c>
      <c r="T61" s="237" t="s">
        <v>1109</v>
      </c>
      <c r="U61" s="237" t="s">
        <v>1105</v>
      </c>
      <c r="V61" s="237" t="s">
        <v>490</v>
      </c>
      <c r="W61" s="237" t="s">
        <v>486</v>
      </c>
      <c r="X61" s="237" t="s">
        <v>486</v>
      </c>
      <c r="Y61" s="237" t="s">
        <v>486</v>
      </c>
      <c r="Z61" s="237" t="s">
        <v>486</v>
      </c>
      <c r="AA61" s="237" t="s">
        <v>486</v>
      </c>
      <c r="AB61" s="237" t="s">
        <v>486</v>
      </c>
      <c r="AC61" s="237" t="s">
        <v>486</v>
      </c>
      <c r="AD61" s="237" t="s">
        <v>1136</v>
      </c>
      <c r="AE61" s="237" t="s">
        <v>1107</v>
      </c>
      <c r="AF61" s="237" t="s">
        <v>1107</v>
      </c>
      <c r="AG61" s="237" t="s">
        <v>1107</v>
      </c>
      <c r="AH61" s="237" t="s">
        <v>1107</v>
      </c>
      <c r="AI61" s="237" t="s">
        <v>1107</v>
      </c>
      <c r="AJ61" s="237" t="s">
        <v>232</v>
      </c>
      <c r="AK61" s="237" t="s">
        <v>1107</v>
      </c>
      <c r="AL61" s="237" t="s">
        <v>1107</v>
      </c>
      <c r="AM61" s="237" t="s">
        <v>1107</v>
      </c>
      <c r="AN61" s="237" t="s">
        <v>232</v>
      </c>
      <c r="AO61" s="237" t="s">
        <v>1107</v>
      </c>
      <c r="AP61" s="237" t="s">
        <v>232</v>
      </c>
      <c r="AQ61" s="237" t="s">
        <v>1107</v>
      </c>
      <c r="AR61" s="237" t="s">
        <v>1107</v>
      </c>
      <c r="AS61" s="237" t="s">
        <v>1107</v>
      </c>
      <c r="AT61" s="237" t="s">
        <v>1107</v>
      </c>
      <c r="AU61" s="237" t="s">
        <v>1107</v>
      </c>
      <c r="AV61" s="237" t="s">
        <v>1107</v>
      </c>
      <c r="AW61" s="237" t="s">
        <v>1107</v>
      </c>
      <c r="AX61" s="237" t="s">
        <v>232</v>
      </c>
      <c r="AY61" s="237" t="s">
        <v>1107</v>
      </c>
      <c r="AZ61" s="237" t="s">
        <v>1107</v>
      </c>
      <c r="BA61" s="237" t="s">
        <v>1107</v>
      </c>
      <c r="BB61" s="237" t="s">
        <v>1107</v>
      </c>
      <c r="BC61" s="237" t="s">
        <v>1107</v>
      </c>
      <c r="BD61" s="237" t="s">
        <v>1107</v>
      </c>
      <c r="BE61" s="237" t="s">
        <v>1107</v>
      </c>
      <c r="BF61" s="237" t="s">
        <v>1107</v>
      </c>
      <c r="BG61" s="237" t="s">
        <v>1107</v>
      </c>
      <c r="BH61" s="237" t="s">
        <v>1107</v>
      </c>
      <c r="BI61" s="237" t="s">
        <v>1107</v>
      </c>
      <c r="BJ61" s="237" t="s">
        <v>1107</v>
      </c>
      <c r="BK61" s="237" t="s">
        <v>232</v>
      </c>
      <c r="BL61" s="237" t="s">
        <v>231</v>
      </c>
      <c r="BM61" s="237" t="s">
        <v>1107</v>
      </c>
      <c r="BN61" s="237" t="s">
        <v>1107</v>
      </c>
      <c r="BO61" s="237" t="s">
        <v>1107</v>
      </c>
      <c r="BP61" s="237" t="s">
        <v>1107</v>
      </c>
      <c r="BQ61" s="237" t="s">
        <v>1107</v>
      </c>
      <c r="BR61" s="237" t="s">
        <v>1107</v>
      </c>
      <c r="BS61" s="237" t="s">
        <v>232</v>
      </c>
      <c r="BT61" s="237" t="s">
        <v>1107</v>
      </c>
      <c r="BU61" s="237" t="s">
        <v>1107</v>
      </c>
      <c r="BV61" s="237" t="s">
        <v>1107</v>
      </c>
      <c r="BW61" s="237" t="s">
        <v>1107</v>
      </c>
      <c r="BX61" s="237" t="s">
        <v>1107</v>
      </c>
      <c r="BY61" s="237" t="s">
        <v>1107</v>
      </c>
      <c r="BZ61" s="237" t="s">
        <v>232</v>
      </c>
      <c r="CA61" s="237" t="s">
        <v>232</v>
      </c>
      <c r="CB61" s="237" t="s">
        <v>232</v>
      </c>
      <c r="CC61" s="237" t="s">
        <v>1107</v>
      </c>
      <c r="CD61" s="237" t="s">
        <v>1107</v>
      </c>
      <c r="CE61" s="237" t="s">
        <v>1107</v>
      </c>
      <c r="CF61" s="237" t="s">
        <v>1107</v>
      </c>
      <c r="CG61" s="237" t="s">
        <v>1107</v>
      </c>
      <c r="CH61" s="237" t="s">
        <v>1107</v>
      </c>
      <c r="CI61" s="237" t="s">
        <v>1107</v>
      </c>
      <c r="CJ61" s="237" t="s">
        <v>1107</v>
      </c>
      <c r="CK61" s="237" t="s">
        <v>1107</v>
      </c>
      <c r="CL61" s="237" t="s">
        <v>231</v>
      </c>
      <c r="CM61" s="237" t="s">
        <v>1107</v>
      </c>
      <c r="CN61" s="237" t="s">
        <v>1107</v>
      </c>
      <c r="CO61" s="237" t="s">
        <v>1107</v>
      </c>
      <c r="CP61" s="237" t="s">
        <v>232</v>
      </c>
      <c r="CQ61" s="237" t="s">
        <v>232</v>
      </c>
      <c r="CR61" s="237" t="s">
        <v>232</v>
      </c>
      <c r="CS61" s="237" t="s">
        <v>1107</v>
      </c>
      <c r="CT61" s="237" t="s">
        <v>1107</v>
      </c>
      <c r="CU61" s="237" t="s">
        <v>1107</v>
      </c>
      <c r="CV61" s="237" t="s">
        <v>1107</v>
      </c>
      <c r="CW61" s="237" t="s">
        <v>1107</v>
      </c>
      <c r="CX61" s="237" t="s">
        <v>1107</v>
      </c>
      <c r="CY61" s="237" t="s">
        <v>1107</v>
      </c>
      <c r="CZ61" s="237" t="s">
        <v>1107</v>
      </c>
      <c r="DA61" s="237" t="s">
        <v>1107</v>
      </c>
      <c r="DB61" s="237" t="s">
        <v>1107</v>
      </c>
      <c r="DC61" s="237" t="s">
        <v>1107</v>
      </c>
      <c r="DD61" s="237" t="s">
        <v>1107</v>
      </c>
      <c r="DE61" s="237" t="s">
        <v>1107</v>
      </c>
      <c r="DF61" s="237" t="s">
        <v>1107</v>
      </c>
      <c r="DG61" s="237" t="s">
        <v>1107</v>
      </c>
      <c r="DH61" s="237" t="s">
        <v>1107</v>
      </c>
      <c r="DI61" s="237" t="s">
        <v>1107</v>
      </c>
      <c r="DJ61" s="237" t="s">
        <v>1107</v>
      </c>
      <c r="DK61" s="237" t="s">
        <v>1107</v>
      </c>
      <c r="DL61" s="237" t="s">
        <v>1107</v>
      </c>
      <c r="DM61" s="237" t="s">
        <v>1107</v>
      </c>
      <c r="DN61" s="237" t="s">
        <v>1107</v>
      </c>
      <c r="DO61" s="237" t="s">
        <v>1107</v>
      </c>
      <c r="DP61" s="237" t="s">
        <v>1107</v>
      </c>
      <c r="DQ61" s="237" t="s">
        <v>1107</v>
      </c>
      <c r="DR61" s="237" t="s">
        <v>1107</v>
      </c>
      <c r="DS61" s="237" t="s">
        <v>1107</v>
      </c>
      <c r="DT61" s="237" t="s">
        <v>1107</v>
      </c>
      <c r="DU61" s="237" t="s">
        <v>1107</v>
      </c>
      <c r="DV61" s="237" t="s">
        <v>1107</v>
      </c>
      <c r="DW61" s="237" t="s">
        <v>1107</v>
      </c>
      <c r="DX61" s="237" t="s">
        <v>1107</v>
      </c>
      <c r="DY61" s="237" t="s">
        <v>1107</v>
      </c>
      <c r="DZ61" s="237" t="s">
        <v>1107</v>
      </c>
      <c r="EA61" s="237" t="s">
        <v>1107</v>
      </c>
      <c r="EB61" s="237" t="s">
        <v>1107</v>
      </c>
      <c r="EC61" s="237" t="s">
        <v>1107</v>
      </c>
      <c r="ED61" s="237" t="s">
        <v>1107</v>
      </c>
      <c r="EE61" s="237" t="s">
        <v>1107</v>
      </c>
      <c r="EF61" s="237" t="s">
        <v>1107</v>
      </c>
      <c r="EG61" s="237" t="s">
        <v>1107</v>
      </c>
      <c r="EH61" s="237" t="s">
        <v>1107</v>
      </c>
      <c r="EI61" s="237" t="s">
        <v>1107</v>
      </c>
      <c r="EJ61" s="237" t="s">
        <v>1107</v>
      </c>
      <c r="EK61" s="237" t="s">
        <v>1107</v>
      </c>
      <c r="EL61" s="237" t="s">
        <v>1107</v>
      </c>
      <c r="EM61" s="237" t="s">
        <v>1107</v>
      </c>
      <c r="EN61" s="237" t="s">
        <v>1107</v>
      </c>
      <c r="EO61" s="237" t="s">
        <v>1107</v>
      </c>
      <c r="EP61" s="237" t="s">
        <v>1107</v>
      </c>
      <c r="EQ61" s="237" t="s">
        <v>1107</v>
      </c>
      <c r="ER61" s="237" t="s">
        <v>1107</v>
      </c>
      <c r="ES61" s="237" t="s">
        <v>1107</v>
      </c>
      <c r="ET61" s="237" t="s">
        <v>1107</v>
      </c>
      <c r="EU61" s="237" t="s">
        <v>1107</v>
      </c>
      <c r="EV61" s="237" t="s">
        <v>1107</v>
      </c>
      <c r="EW61" s="237" t="s">
        <v>1107</v>
      </c>
      <c r="EX61" s="237" t="s">
        <v>1107</v>
      </c>
      <c r="EY61" s="237" t="s">
        <v>1107</v>
      </c>
      <c r="EZ61" s="237" t="s">
        <v>1107</v>
      </c>
      <c r="FA61" s="237" t="s">
        <v>1107</v>
      </c>
      <c r="FB61" s="237" t="s">
        <v>1107</v>
      </c>
      <c r="FC61" s="237" t="s">
        <v>1107</v>
      </c>
      <c r="FD61" s="237" t="s">
        <v>1107</v>
      </c>
      <c r="FE61" s="237" t="s">
        <v>1107</v>
      </c>
      <c r="FF61" s="237" t="s">
        <v>1107</v>
      </c>
      <c r="FG61" s="237" t="s">
        <v>1107</v>
      </c>
      <c r="FH61" s="237" t="s">
        <v>1107</v>
      </c>
      <c r="FI61" s="237" t="s">
        <v>1107</v>
      </c>
      <c r="FJ61" s="237" t="s">
        <v>1107</v>
      </c>
      <c r="FK61" s="237" t="s">
        <v>1107</v>
      </c>
      <c r="FL61" s="237" t="s">
        <v>1107</v>
      </c>
      <c r="FM61" s="237" t="s">
        <v>1107</v>
      </c>
      <c r="FN61" s="237" t="s">
        <v>1107</v>
      </c>
      <c r="FO61" s="237" t="s">
        <v>1107</v>
      </c>
      <c r="FP61" s="237" t="s">
        <v>1107</v>
      </c>
      <c r="FQ61" s="237" t="s">
        <v>1107</v>
      </c>
      <c r="FR61" s="237" t="s">
        <v>1107</v>
      </c>
      <c r="FS61" s="237" t="s">
        <v>1107</v>
      </c>
      <c r="FT61" s="237" t="s">
        <v>1107</v>
      </c>
      <c r="FU61" s="237" t="s">
        <v>1107</v>
      </c>
      <c r="FV61" s="237" t="s">
        <v>1107</v>
      </c>
      <c r="FW61" s="237" t="s">
        <v>1107</v>
      </c>
      <c r="FX61" s="237" t="s">
        <v>1107</v>
      </c>
      <c r="FY61" s="237" t="s">
        <v>1107</v>
      </c>
      <c r="FZ61" s="237" t="s">
        <v>232</v>
      </c>
      <c r="GA61" s="237" t="s">
        <v>231</v>
      </c>
      <c r="GB61" s="237" t="s">
        <v>231</v>
      </c>
      <c r="GC61" s="237" t="s">
        <v>232</v>
      </c>
      <c r="GD61" s="237" t="s">
        <v>231</v>
      </c>
      <c r="GE61" s="237" t="s">
        <v>1107</v>
      </c>
      <c r="GF61" s="237" t="s">
        <v>1107</v>
      </c>
      <c r="GG61" s="237" t="s">
        <v>1107</v>
      </c>
      <c r="GH61" s="237" t="s">
        <v>1107</v>
      </c>
      <c r="GI61" s="237" t="s">
        <v>1107</v>
      </c>
      <c r="GJ61" s="237" t="s">
        <v>231</v>
      </c>
      <c r="GK61" s="237" t="s">
        <v>232</v>
      </c>
      <c r="GL61" s="237" t="s">
        <v>231</v>
      </c>
      <c r="GM61" s="237" t="s">
        <v>231</v>
      </c>
      <c r="GN61" s="237" t="s">
        <v>1107</v>
      </c>
      <c r="GO61" s="237" t="s">
        <v>231</v>
      </c>
      <c r="GP61" s="237" t="s">
        <v>1107</v>
      </c>
      <c r="GQ61" s="237" t="s">
        <v>1107</v>
      </c>
      <c r="GR61" s="237" t="s">
        <v>232</v>
      </c>
      <c r="GS61" s="237" t="s">
        <v>232</v>
      </c>
      <c r="GT61" s="237" t="s">
        <v>1107</v>
      </c>
      <c r="GU61" s="237" t="s">
        <v>231</v>
      </c>
      <c r="GV61" s="237" t="s">
        <v>232</v>
      </c>
      <c r="GW61" s="237" t="s">
        <v>232</v>
      </c>
      <c r="GX61" s="237" t="s">
        <v>231</v>
      </c>
      <c r="GY61" s="237" t="s">
        <v>231</v>
      </c>
      <c r="GZ61" s="237" t="s">
        <v>1107</v>
      </c>
      <c r="HA61" s="237" t="s">
        <v>1107</v>
      </c>
      <c r="HB61" s="237" t="s">
        <v>1107</v>
      </c>
      <c r="HC61" s="237" t="s">
        <v>1107</v>
      </c>
      <c r="HD61" s="237" t="s">
        <v>231</v>
      </c>
      <c r="HE61" s="237" t="s">
        <v>1107</v>
      </c>
      <c r="HF61" s="237" t="s">
        <v>231</v>
      </c>
      <c r="HG61" s="237" t="s">
        <v>1107</v>
      </c>
      <c r="HH61" s="237" t="s">
        <v>1107</v>
      </c>
      <c r="HI61" s="237" t="s">
        <v>1107</v>
      </c>
      <c r="HJ61" s="237" t="s">
        <v>1107</v>
      </c>
      <c r="HK61" s="237" t="s">
        <v>1107</v>
      </c>
      <c r="HL61" s="237" t="s">
        <v>1107</v>
      </c>
      <c r="HM61" s="237" t="s">
        <v>1107</v>
      </c>
      <c r="HN61" s="237" t="s">
        <v>1107</v>
      </c>
      <c r="HO61" s="237" t="s">
        <v>1107</v>
      </c>
      <c r="HP61" s="237" t="s">
        <v>1107</v>
      </c>
      <c r="HQ61" s="237" t="s">
        <v>1107</v>
      </c>
      <c r="HR61" s="237" t="s">
        <v>1107</v>
      </c>
      <c r="HS61" s="237" t="s">
        <v>1107</v>
      </c>
      <c r="HT61" s="237" t="s">
        <v>232</v>
      </c>
      <c r="HU61" s="237" t="s">
        <v>232</v>
      </c>
      <c r="HV61" s="237" t="s">
        <v>232</v>
      </c>
      <c r="HW61" s="237" t="s">
        <v>1107</v>
      </c>
      <c r="HX61" s="237" t="s">
        <v>220</v>
      </c>
      <c r="HY61" s="237" t="s">
        <v>493</v>
      </c>
      <c r="HZ61" s="237" t="s">
        <v>219</v>
      </c>
      <c r="IA61" s="237" t="s">
        <v>512</v>
      </c>
      <c r="IB61" s="237" t="s">
        <v>1107</v>
      </c>
      <c r="IC61" s="237" t="s">
        <v>1107</v>
      </c>
    </row>
    <row r="62" spans="1:237" ht="15" x14ac:dyDescent="0.25">
      <c r="A62" s="244" t="str">
        <f>HYPERLINK("http://www.ofsted.gov.uk/inspection-reports/find-inspection-report/provider/ELS/120345 ","Ofsted School Webpage")</f>
        <v>Ofsted School Webpage</v>
      </c>
      <c r="B62" s="240">
        <v>120345</v>
      </c>
      <c r="C62" s="240">
        <v>8566004</v>
      </c>
      <c r="D62" s="240" t="s">
        <v>1228</v>
      </c>
      <c r="E62" s="240" t="s">
        <v>247</v>
      </c>
      <c r="F62" s="240" t="s">
        <v>572</v>
      </c>
      <c r="G62" s="240" t="s">
        <v>572</v>
      </c>
      <c r="H62" s="240" t="s">
        <v>589</v>
      </c>
      <c r="I62" s="240" t="s">
        <v>1229</v>
      </c>
      <c r="J62" s="240" t="s">
        <v>93</v>
      </c>
      <c r="K62" s="240" t="s">
        <v>84</v>
      </c>
      <c r="L62" s="240" t="s">
        <v>84</v>
      </c>
      <c r="M62" s="240" t="s">
        <v>84</v>
      </c>
      <c r="N62" s="240" t="s">
        <v>486</v>
      </c>
      <c r="O62" s="240" t="s">
        <v>487</v>
      </c>
      <c r="P62" s="240">
        <v>10068435</v>
      </c>
      <c r="Q62" s="242">
        <v>43410</v>
      </c>
      <c r="R62" s="242">
        <v>43410</v>
      </c>
      <c r="S62" s="242">
        <v>43440</v>
      </c>
      <c r="T62" s="240" t="s">
        <v>1202</v>
      </c>
      <c r="U62" s="240" t="s">
        <v>1105</v>
      </c>
      <c r="V62" s="240" t="s">
        <v>490</v>
      </c>
      <c r="W62" s="240" t="s">
        <v>486</v>
      </c>
      <c r="X62" s="240" t="s">
        <v>486</v>
      </c>
      <c r="Y62" s="240" t="s">
        <v>486</v>
      </c>
      <c r="Z62" s="240" t="s">
        <v>486</v>
      </c>
      <c r="AA62" s="240" t="s">
        <v>486</v>
      </c>
      <c r="AB62" s="240" t="s">
        <v>486</v>
      </c>
      <c r="AC62" s="240" t="s">
        <v>486</v>
      </c>
      <c r="AD62" s="240" t="s">
        <v>1110</v>
      </c>
      <c r="AE62" s="240" t="s">
        <v>1107</v>
      </c>
      <c r="AF62" s="240" t="s">
        <v>1107</v>
      </c>
      <c r="AG62" s="240" t="s">
        <v>1107</v>
      </c>
      <c r="AH62" s="240" t="s">
        <v>1107</v>
      </c>
      <c r="AI62" s="240" t="s">
        <v>1107</v>
      </c>
      <c r="AJ62" s="240" t="s">
        <v>1107</v>
      </c>
      <c r="AK62" s="240" t="s">
        <v>1107</v>
      </c>
      <c r="AL62" s="240" t="s">
        <v>1107</v>
      </c>
      <c r="AM62" s="240" t="s">
        <v>1107</v>
      </c>
      <c r="AN62" s="240" t="s">
        <v>1107</v>
      </c>
      <c r="AO62" s="240" t="s">
        <v>1107</v>
      </c>
      <c r="AP62" s="240" t="s">
        <v>1107</v>
      </c>
      <c r="AQ62" s="240" t="s">
        <v>1107</v>
      </c>
      <c r="AR62" s="240" t="s">
        <v>1107</v>
      </c>
      <c r="AS62" s="240" t="s">
        <v>1107</v>
      </c>
      <c r="AT62" s="240" t="s">
        <v>1107</v>
      </c>
      <c r="AU62" s="240" t="s">
        <v>1107</v>
      </c>
      <c r="AV62" s="240" t="s">
        <v>1107</v>
      </c>
      <c r="AW62" s="240" t="s">
        <v>1107</v>
      </c>
      <c r="AX62" s="240" t="s">
        <v>1107</v>
      </c>
      <c r="AY62" s="240" t="s">
        <v>231</v>
      </c>
      <c r="AZ62" s="240" t="s">
        <v>231</v>
      </c>
      <c r="BA62" s="240" t="s">
        <v>1107</v>
      </c>
      <c r="BB62" s="240" t="s">
        <v>231</v>
      </c>
      <c r="BC62" s="240" t="s">
        <v>231</v>
      </c>
      <c r="BD62" s="240" t="s">
        <v>1107</v>
      </c>
      <c r="BE62" s="240" t="s">
        <v>1107</v>
      </c>
      <c r="BF62" s="240" t="s">
        <v>1107</v>
      </c>
      <c r="BG62" s="240" t="s">
        <v>1107</v>
      </c>
      <c r="BH62" s="240" t="s">
        <v>1107</v>
      </c>
      <c r="BI62" s="240" t="s">
        <v>1107</v>
      </c>
      <c r="BJ62" s="240" t="s">
        <v>1107</v>
      </c>
      <c r="BK62" s="240" t="s">
        <v>1107</v>
      </c>
      <c r="BL62" s="240" t="s">
        <v>1107</v>
      </c>
      <c r="BM62" s="240" t="s">
        <v>1107</v>
      </c>
      <c r="BN62" s="240" t="s">
        <v>1107</v>
      </c>
      <c r="BO62" s="240" t="s">
        <v>1107</v>
      </c>
      <c r="BP62" s="240" t="s">
        <v>1107</v>
      </c>
      <c r="BQ62" s="240" t="s">
        <v>1107</v>
      </c>
      <c r="BR62" s="240" t="s">
        <v>1107</v>
      </c>
      <c r="BS62" s="240" t="s">
        <v>1107</v>
      </c>
      <c r="BT62" s="240" t="s">
        <v>1107</v>
      </c>
      <c r="BU62" s="240" t="s">
        <v>1107</v>
      </c>
      <c r="BV62" s="240" t="s">
        <v>1107</v>
      </c>
      <c r="BW62" s="240" t="s">
        <v>1107</v>
      </c>
      <c r="BX62" s="240" t="s">
        <v>1107</v>
      </c>
      <c r="BY62" s="240" t="s">
        <v>1107</v>
      </c>
      <c r="BZ62" s="240" t="s">
        <v>231</v>
      </c>
      <c r="CA62" s="240" t="s">
        <v>231</v>
      </c>
      <c r="CB62" s="240" t="s">
        <v>231</v>
      </c>
      <c r="CC62" s="240" t="s">
        <v>231</v>
      </c>
      <c r="CD62" s="240" t="s">
        <v>231</v>
      </c>
      <c r="CE62" s="240" t="s">
        <v>231</v>
      </c>
      <c r="CF62" s="240" t="s">
        <v>1107</v>
      </c>
      <c r="CG62" s="240" t="s">
        <v>1107</v>
      </c>
      <c r="CH62" s="240" t="s">
        <v>1107</v>
      </c>
      <c r="CI62" s="240" t="s">
        <v>1107</v>
      </c>
      <c r="CJ62" s="240" t="s">
        <v>1107</v>
      </c>
      <c r="CK62" s="240" t="s">
        <v>1107</v>
      </c>
      <c r="CL62" s="240" t="s">
        <v>1107</v>
      </c>
      <c r="CM62" s="240" t="s">
        <v>1107</v>
      </c>
      <c r="CN62" s="240" t="s">
        <v>1107</v>
      </c>
      <c r="CO62" s="240" t="s">
        <v>231</v>
      </c>
      <c r="CP62" s="240" t="s">
        <v>1107</v>
      </c>
      <c r="CQ62" s="240" t="s">
        <v>1107</v>
      </c>
      <c r="CR62" s="240" t="s">
        <v>1107</v>
      </c>
      <c r="CS62" s="240" t="s">
        <v>1107</v>
      </c>
      <c r="CT62" s="240" t="s">
        <v>1107</v>
      </c>
      <c r="CU62" s="240" t="s">
        <v>1107</v>
      </c>
      <c r="CV62" s="240" t="s">
        <v>1107</v>
      </c>
      <c r="CW62" s="240" t="s">
        <v>1107</v>
      </c>
      <c r="CX62" s="240" t="s">
        <v>1107</v>
      </c>
      <c r="CY62" s="240" t="s">
        <v>1107</v>
      </c>
      <c r="CZ62" s="240" t="s">
        <v>1107</v>
      </c>
      <c r="DA62" s="240" t="s">
        <v>1107</v>
      </c>
      <c r="DB62" s="240" t="s">
        <v>1107</v>
      </c>
      <c r="DC62" s="240" t="s">
        <v>1107</v>
      </c>
      <c r="DD62" s="240" t="s">
        <v>1107</v>
      </c>
      <c r="DE62" s="240" t="s">
        <v>1107</v>
      </c>
      <c r="DF62" s="240" t="s">
        <v>1107</v>
      </c>
      <c r="DG62" s="240" t="s">
        <v>1107</v>
      </c>
      <c r="DH62" s="240" t="s">
        <v>1107</v>
      </c>
      <c r="DI62" s="240" t="s">
        <v>1107</v>
      </c>
      <c r="DJ62" s="240" t="s">
        <v>1107</v>
      </c>
      <c r="DK62" s="240" t="s">
        <v>1107</v>
      </c>
      <c r="DL62" s="240" t="s">
        <v>1107</v>
      </c>
      <c r="DM62" s="240" t="s">
        <v>1107</v>
      </c>
      <c r="DN62" s="240" t="s">
        <v>1107</v>
      </c>
      <c r="DO62" s="240" t="s">
        <v>1107</v>
      </c>
      <c r="DP62" s="240" t="s">
        <v>1107</v>
      </c>
      <c r="DQ62" s="240" t="s">
        <v>1107</v>
      </c>
      <c r="DR62" s="240" t="s">
        <v>1107</v>
      </c>
      <c r="DS62" s="240" t="s">
        <v>1107</v>
      </c>
      <c r="DT62" s="240" t="s">
        <v>1107</v>
      </c>
      <c r="DU62" s="240" t="s">
        <v>1107</v>
      </c>
      <c r="DV62" s="240" t="s">
        <v>1107</v>
      </c>
      <c r="DW62" s="240" t="s">
        <v>1107</v>
      </c>
      <c r="DX62" s="240" t="s">
        <v>1107</v>
      </c>
      <c r="DY62" s="240" t="s">
        <v>1107</v>
      </c>
      <c r="DZ62" s="240" t="s">
        <v>1107</v>
      </c>
      <c r="EA62" s="240" t="s">
        <v>1107</v>
      </c>
      <c r="EB62" s="240" t="s">
        <v>1107</v>
      </c>
      <c r="EC62" s="240" t="s">
        <v>1107</v>
      </c>
      <c r="ED62" s="240" t="s">
        <v>1107</v>
      </c>
      <c r="EE62" s="240" t="s">
        <v>1107</v>
      </c>
      <c r="EF62" s="240" t="s">
        <v>1107</v>
      </c>
      <c r="EG62" s="240" t="s">
        <v>1107</v>
      </c>
      <c r="EH62" s="240" t="s">
        <v>1107</v>
      </c>
      <c r="EI62" s="240" t="s">
        <v>1107</v>
      </c>
      <c r="EJ62" s="240" t="s">
        <v>1107</v>
      </c>
      <c r="EK62" s="240" t="s">
        <v>1107</v>
      </c>
      <c r="EL62" s="240" t="s">
        <v>1107</v>
      </c>
      <c r="EM62" s="240" t="s">
        <v>1107</v>
      </c>
      <c r="EN62" s="240" t="s">
        <v>1107</v>
      </c>
      <c r="EO62" s="240" t="s">
        <v>1107</v>
      </c>
      <c r="EP62" s="240" t="s">
        <v>1107</v>
      </c>
      <c r="EQ62" s="240" t="s">
        <v>1107</v>
      </c>
      <c r="ER62" s="240" t="s">
        <v>1107</v>
      </c>
      <c r="ES62" s="240" t="s">
        <v>1107</v>
      </c>
      <c r="ET62" s="240" t="s">
        <v>1107</v>
      </c>
      <c r="EU62" s="240" t="s">
        <v>1107</v>
      </c>
      <c r="EV62" s="240" t="s">
        <v>1107</v>
      </c>
      <c r="EW62" s="240" t="s">
        <v>1107</v>
      </c>
      <c r="EX62" s="240" t="s">
        <v>1107</v>
      </c>
      <c r="EY62" s="240" t="s">
        <v>1107</v>
      </c>
      <c r="EZ62" s="240" t="s">
        <v>1107</v>
      </c>
      <c r="FA62" s="240" t="s">
        <v>1107</v>
      </c>
      <c r="FB62" s="240" t="s">
        <v>1107</v>
      </c>
      <c r="FC62" s="240" t="s">
        <v>1107</v>
      </c>
      <c r="FD62" s="240" t="s">
        <v>1107</v>
      </c>
      <c r="FE62" s="240" t="s">
        <v>1107</v>
      </c>
      <c r="FF62" s="240" t="s">
        <v>1107</v>
      </c>
      <c r="FG62" s="240" t="s">
        <v>1107</v>
      </c>
      <c r="FH62" s="240" t="s">
        <v>1107</v>
      </c>
      <c r="FI62" s="240" t="s">
        <v>1107</v>
      </c>
      <c r="FJ62" s="240" t="s">
        <v>1107</v>
      </c>
      <c r="FK62" s="240" t="s">
        <v>1107</v>
      </c>
      <c r="FL62" s="240" t="s">
        <v>1107</v>
      </c>
      <c r="FM62" s="240" t="s">
        <v>1107</v>
      </c>
      <c r="FN62" s="240" t="s">
        <v>1107</v>
      </c>
      <c r="FO62" s="240" t="s">
        <v>1107</v>
      </c>
      <c r="FP62" s="240" t="s">
        <v>1107</v>
      </c>
      <c r="FQ62" s="240" t="s">
        <v>1107</v>
      </c>
      <c r="FR62" s="240" t="s">
        <v>1107</v>
      </c>
      <c r="FS62" s="240" t="s">
        <v>1107</v>
      </c>
      <c r="FT62" s="240" t="s">
        <v>1107</v>
      </c>
      <c r="FU62" s="240" t="s">
        <v>1107</v>
      </c>
      <c r="FV62" s="240" t="s">
        <v>1107</v>
      </c>
      <c r="FW62" s="240" t="s">
        <v>1107</v>
      </c>
      <c r="FX62" s="240" t="s">
        <v>1107</v>
      </c>
      <c r="FY62" s="240" t="s">
        <v>1107</v>
      </c>
      <c r="FZ62" s="240" t="s">
        <v>231</v>
      </c>
      <c r="GA62" s="240" t="s">
        <v>1107</v>
      </c>
      <c r="GB62" s="240" t="s">
        <v>1107</v>
      </c>
      <c r="GC62" s="240" t="s">
        <v>231</v>
      </c>
      <c r="GD62" s="240" t="s">
        <v>1107</v>
      </c>
      <c r="GE62" s="240" t="s">
        <v>1107</v>
      </c>
      <c r="GF62" s="240" t="s">
        <v>1107</v>
      </c>
      <c r="GG62" s="240" t="s">
        <v>1107</v>
      </c>
      <c r="GH62" s="240" t="s">
        <v>1107</v>
      </c>
      <c r="GI62" s="240" t="s">
        <v>1107</v>
      </c>
      <c r="GJ62" s="240" t="s">
        <v>1107</v>
      </c>
      <c r="GK62" s="240" t="s">
        <v>1107</v>
      </c>
      <c r="GL62" s="240" t="s">
        <v>1107</v>
      </c>
      <c r="GM62" s="240" t="s">
        <v>1107</v>
      </c>
      <c r="GN62" s="240" t="s">
        <v>1107</v>
      </c>
      <c r="GO62" s="240" t="s">
        <v>1107</v>
      </c>
      <c r="GP62" s="240" t="s">
        <v>1107</v>
      </c>
      <c r="GQ62" s="240" t="s">
        <v>1107</v>
      </c>
      <c r="GR62" s="240" t="s">
        <v>1107</v>
      </c>
      <c r="GS62" s="240" t="s">
        <v>1107</v>
      </c>
      <c r="GT62" s="240" t="s">
        <v>1107</v>
      </c>
      <c r="GU62" s="240" t="s">
        <v>1107</v>
      </c>
      <c r="GV62" s="240" t="s">
        <v>1107</v>
      </c>
      <c r="GW62" s="240" t="s">
        <v>1107</v>
      </c>
      <c r="GX62" s="240" t="s">
        <v>1107</v>
      </c>
      <c r="GY62" s="240" t="s">
        <v>1107</v>
      </c>
      <c r="GZ62" s="240" t="s">
        <v>1107</v>
      </c>
      <c r="HA62" s="240" t="s">
        <v>1107</v>
      </c>
      <c r="HB62" s="240" t="s">
        <v>1107</v>
      </c>
      <c r="HC62" s="240" t="s">
        <v>1107</v>
      </c>
      <c r="HD62" s="240" t="s">
        <v>1107</v>
      </c>
      <c r="HE62" s="240" t="s">
        <v>1107</v>
      </c>
      <c r="HF62" s="240" t="s">
        <v>1107</v>
      </c>
      <c r="HG62" s="240" t="s">
        <v>1107</v>
      </c>
      <c r="HH62" s="240" t="s">
        <v>1107</v>
      </c>
      <c r="HI62" s="240" t="s">
        <v>1107</v>
      </c>
      <c r="HJ62" s="240" t="s">
        <v>1107</v>
      </c>
      <c r="HK62" s="240" t="s">
        <v>1107</v>
      </c>
      <c r="HL62" s="240" t="s">
        <v>1107</v>
      </c>
      <c r="HM62" s="240" t="s">
        <v>1107</v>
      </c>
      <c r="HN62" s="240" t="s">
        <v>1107</v>
      </c>
      <c r="HO62" s="240" t="s">
        <v>1107</v>
      </c>
      <c r="HP62" s="240" t="s">
        <v>1107</v>
      </c>
      <c r="HQ62" s="240" t="s">
        <v>1107</v>
      </c>
      <c r="HR62" s="240" t="s">
        <v>1107</v>
      </c>
      <c r="HS62" s="240" t="s">
        <v>1107</v>
      </c>
      <c r="HT62" s="240" t="s">
        <v>231</v>
      </c>
      <c r="HU62" s="240" t="s">
        <v>231</v>
      </c>
      <c r="HV62" s="240" t="s">
        <v>231</v>
      </c>
      <c r="HW62" s="240" t="s">
        <v>1107</v>
      </c>
      <c r="HX62" s="240" t="s">
        <v>220</v>
      </c>
      <c r="HY62" s="240" t="s">
        <v>493</v>
      </c>
      <c r="HZ62" s="240" t="s">
        <v>219</v>
      </c>
      <c r="IA62" s="240" t="s">
        <v>490</v>
      </c>
      <c r="IB62" s="240" t="s">
        <v>1107</v>
      </c>
      <c r="IC62" s="240" t="s">
        <v>1107</v>
      </c>
    </row>
    <row r="63" spans="1:237" ht="15" x14ac:dyDescent="0.25">
      <c r="A63" s="243" t="str">
        <f>HYPERLINK("http://www.ofsted.gov.uk/inspection-reports/find-inspection-report/provider/ELS/113623 ","Ofsted School Webpage")</f>
        <v>Ofsted School Webpage</v>
      </c>
      <c r="B63" s="237">
        <v>113623</v>
      </c>
      <c r="C63" s="237">
        <v>8786045</v>
      </c>
      <c r="D63" s="237" t="s">
        <v>1230</v>
      </c>
      <c r="E63" s="237" t="s">
        <v>247</v>
      </c>
      <c r="F63" s="237" t="s">
        <v>483</v>
      </c>
      <c r="G63" s="237" t="s">
        <v>483</v>
      </c>
      <c r="H63" s="237" t="s">
        <v>747</v>
      </c>
      <c r="I63" s="237" t="s">
        <v>1231</v>
      </c>
      <c r="J63" s="237" t="s">
        <v>93</v>
      </c>
      <c r="K63" s="237" t="s">
        <v>93</v>
      </c>
      <c r="L63" s="237" t="s">
        <v>93</v>
      </c>
      <c r="M63" s="237" t="s">
        <v>90</v>
      </c>
      <c r="N63" s="237" t="s">
        <v>486</v>
      </c>
      <c r="O63" s="237" t="s">
        <v>487</v>
      </c>
      <c r="P63" s="237">
        <v>10061323</v>
      </c>
      <c r="Q63" s="239">
        <v>43411</v>
      </c>
      <c r="R63" s="239">
        <v>43411</v>
      </c>
      <c r="S63" s="239">
        <v>43438</v>
      </c>
      <c r="T63" s="237" t="s">
        <v>1109</v>
      </c>
      <c r="U63" s="237" t="s">
        <v>1105</v>
      </c>
      <c r="V63" s="237" t="s">
        <v>490</v>
      </c>
      <c r="W63" s="237" t="s">
        <v>486</v>
      </c>
      <c r="X63" s="237" t="s">
        <v>486</v>
      </c>
      <c r="Y63" s="237" t="s">
        <v>486</v>
      </c>
      <c r="Z63" s="237" t="s">
        <v>486</v>
      </c>
      <c r="AA63" s="237" t="s">
        <v>486</v>
      </c>
      <c r="AB63" s="237" t="s">
        <v>486</v>
      </c>
      <c r="AC63" s="237" t="s">
        <v>486</v>
      </c>
      <c r="AD63" s="237" t="s">
        <v>1136</v>
      </c>
      <c r="AE63" s="237" t="s">
        <v>232</v>
      </c>
      <c r="AF63" s="237" t="s">
        <v>232</v>
      </c>
      <c r="AG63" s="237" t="s">
        <v>232</v>
      </c>
      <c r="AH63" s="237" t="s">
        <v>232</v>
      </c>
      <c r="AI63" s="237" t="s">
        <v>231</v>
      </c>
      <c r="AJ63" s="237" t="s">
        <v>231</v>
      </c>
      <c r="AK63" s="237" t="s">
        <v>1107</v>
      </c>
      <c r="AL63" s="237" t="s">
        <v>1107</v>
      </c>
      <c r="AM63" s="237" t="s">
        <v>492</v>
      </c>
      <c r="AN63" s="237" t="s">
        <v>231</v>
      </c>
      <c r="AO63" s="237" t="s">
        <v>231</v>
      </c>
      <c r="AP63" s="237" t="s">
        <v>1107</v>
      </c>
      <c r="AQ63" s="237" t="s">
        <v>1107</v>
      </c>
      <c r="AR63" s="237" t="s">
        <v>1107</v>
      </c>
      <c r="AS63" s="237" t="s">
        <v>231</v>
      </c>
      <c r="AT63" s="237" t="s">
        <v>231</v>
      </c>
      <c r="AU63" s="237" t="s">
        <v>492</v>
      </c>
      <c r="AV63" s="237" t="s">
        <v>231</v>
      </c>
      <c r="AW63" s="237" t="s">
        <v>231</v>
      </c>
      <c r="AX63" s="237" t="s">
        <v>231</v>
      </c>
      <c r="AY63" s="237" t="s">
        <v>232</v>
      </c>
      <c r="AZ63" s="237" t="s">
        <v>232</v>
      </c>
      <c r="BA63" s="237" t="s">
        <v>232</v>
      </c>
      <c r="BB63" s="237" t="s">
        <v>232</v>
      </c>
      <c r="BC63" s="237" t="s">
        <v>232</v>
      </c>
      <c r="BD63" s="237" t="s">
        <v>232</v>
      </c>
      <c r="BE63" s="237" t="s">
        <v>232</v>
      </c>
      <c r="BF63" s="237" t="s">
        <v>232</v>
      </c>
      <c r="BG63" s="237" t="s">
        <v>1107</v>
      </c>
      <c r="BH63" s="237" t="s">
        <v>1107</v>
      </c>
      <c r="BI63" s="237" t="s">
        <v>1107</v>
      </c>
      <c r="BJ63" s="237" t="s">
        <v>232</v>
      </c>
      <c r="BK63" s="237" t="s">
        <v>231</v>
      </c>
      <c r="BL63" s="237" t="s">
        <v>231</v>
      </c>
      <c r="BM63" s="237" t="s">
        <v>231</v>
      </c>
      <c r="BN63" s="237" t="s">
        <v>1107</v>
      </c>
      <c r="BO63" s="237" t="s">
        <v>1107</v>
      </c>
      <c r="BP63" s="237" t="s">
        <v>1107</v>
      </c>
      <c r="BQ63" s="237" t="s">
        <v>1107</v>
      </c>
      <c r="BR63" s="237" t="s">
        <v>231</v>
      </c>
      <c r="BS63" s="237" t="s">
        <v>1107</v>
      </c>
      <c r="BT63" s="237" t="s">
        <v>1107</v>
      </c>
      <c r="BU63" s="237" t="s">
        <v>1107</v>
      </c>
      <c r="BV63" s="237" t="s">
        <v>1107</v>
      </c>
      <c r="BW63" s="237" t="s">
        <v>1107</v>
      </c>
      <c r="BX63" s="237" t="s">
        <v>1107</v>
      </c>
      <c r="BY63" s="237" t="s">
        <v>1107</v>
      </c>
      <c r="BZ63" s="237" t="s">
        <v>1107</v>
      </c>
      <c r="CA63" s="237" t="s">
        <v>1107</v>
      </c>
      <c r="CB63" s="237" t="s">
        <v>1107</v>
      </c>
      <c r="CC63" s="237" t="s">
        <v>1107</v>
      </c>
      <c r="CD63" s="237" t="s">
        <v>1107</v>
      </c>
      <c r="CE63" s="237" t="s">
        <v>1107</v>
      </c>
      <c r="CF63" s="237" t="s">
        <v>1107</v>
      </c>
      <c r="CG63" s="237" t="s">
        <v>1107</v>
      </c>
      <c r="CH63" s="237" t="s">
        <v>1107</v>
      </c>
      <c r="CI63" s="237" t="s">
        <v>1107</v>
      </c>
      <c r="CJ63" s="237" t="s">
        <v>1107</v>
      </c>
      <c r="CK63" s="237" t="s">
        <v>231</v>
      </c>
      <c r="CL63" s="237" t="s">
        <v>231</v>
      </c>
      <c r="CM63" s="237" t="s">
        <v>1107</v>
      </c>
      <c r="CN63" s="237" t="s">
        <v>1107</v>
      </c>
      <c r="CO63" s="237" t="s">
        <v>1107</v>
      </c>
      <c r="CP63" s="237" t="s">
        <v>1107</v>
      </c>
      <c r="CQ63" s="237" t="s">
        <v>1107</v>
      </c>
      <c r="CR63" s="237" t="s">
        <v>1107</v>
      </c>
      <c r="CS63" s="237" t="s">
        <v>1107</v>
      </c>
      <c r="CT63" s="237" t="s">
        <v>1107</v>
      </c>
      <c r="CU63" s="237" t="s">
        <v>1107</v>
      </c>
      <c r="CV63" s="237" t="s">
        <v>1107</v>
      </c>
      <c r="CW63" s="237" t="s">
        <v>1107</v>
      </c>
      <c r="CX63" s="237" t="s">
        <v>1107</v>
      </c>
      <c r="CY63" s="237" t="s">
        <v>1107</v>
      </c>
      <c r="CZ63" s="237" t="s">
        <v>1107</v>
      </c>
      <c r="DA63" s="237" t="s">
        <v>1107</v>
      </c>
      <c r="DB63" s="237" t="s">
        <v>1107</v>
      </c>
      <c r="DC63" s="237" t="s">
        <v>1107</v>
      </c>
      <c r="DD63" s="237" t="s">
        <v>1107</v>
      </c>
      <c r="DE63" s="237" t="s">
        <v>1107</v>
      </c>
      <c r="DF63" s="237" t="s">
        <v>1107</v>
      </c>
      <c r="DG63" s="237" t="s">
        <v>1107</v>
      </c>
      <c r="DH63" s="237" t="s">
        <v>1107</v>
      </c>
      <c r="DI63" s="237" t="s">
        <v>1107</v>
      </c>
      <c r="DJ63" s="237" t="s">
        <v>1107</v>
      </c>
      <c r="DK63" s="237" t="s">
        <v>1107</v>
      </c>
      <c r="DL63" s="237" t="s">
        <v>1107</v>
      </c>
      <c r="DM63" s="237" t="s">
        <v>1107</v>
      </c>
      <c r="DN63" s="237" t="s">
        <v>1107</v>
      </c>
      <c r="DO63" s="237" t="s">
        <v>1107</v>
      </c>
      <c r="DP63" s="237" t="s">
        <v>1107</v>
      </c>
      <c r="DQ63" s="237" t="s">
        <v>492</v>
      </c>
      <c r="DR63" s="237" t="s">
        <v>1107</v>
      </c>
      <c r="DS63" s="237" t="s">
        <v>1107</v>
      </c>
      <c r="DT63" s="237" t="s">
        <v>1107</v>
      </c>
      <c r="DU63" s="237" t="s">
        <v>1107</v>
      </c>
      <c r="DV63" s="237" t="s">
        <v>1107</v>
      </c>
      <c r="DW63" s="237" t="s">
        <v>1107</v>
      </c>
      <c r="DX63" s="237" t="s">
        <v>1107</v>
      </c>
      <c r="DY63" s="237" t="s">
        <v>1107</v>
      </c>
      <c r="DZ63" s="237" t="s">
        <v>1107</v>
      </c>
      <c r="EA63" s="237" t="s">
        <v>1107</v>
      </c>
      <c r="EB63" s="237" t="s">
        <v>1107</v>
      </c>
      <c r="EC63" s="237" t="s">
        <v>1107</v>
      </c>
      <c r="ED63" s="237" t="s">
        <v>1107</v>
      </c>
      <c r="EE63" s="237" t="s">
        <v>1107</v>
      </c>
      <c r="EF63" s="237" t="s">
        <v>1107</v>
      </c>
      <c r="EG63" s="237" t="s">
        <v>1107</v>
      </c>
      <c r="EH63" s="237" t="s">
        <v>1107</v>
      </c>
      <c r="EI63" s="237" t="s">
        <v>1107</v>
      </c>
      <c r="EJ63" s="237" t="s">
        <v>1107</v>
      </c>
      <c r="EK63" s="237" t="s">
        <v>1107</v>
      </c>
      <c r="EL63" s="237" t="s">
        <v>1107</v>
      </c>
      <c r="EM63" s="237" t="s">
        <v>1107</v>
      </c>
      <c r="EN63" s="237" t="s">
        <v>1107</v>
      </c>
      <c r="EO63" s="237" t="s">
        <v>1107</v>
      </c>
      <c r="EP63" s="237" t="s">
        <v>1107</v>
      </c>
      <c r="EQ63" s="237" t="s">
        <v>1107</v>
      </c>
      <c r="ER63" s="237" t="s">
        <v>1107</v>
      </c>
      <c r="ES63" s="237" t="s">
        <v>1107</v>
      </c>
      <c r="ET63" s="237" t="s">
        <v>1107</v>
      </c>
      <c r="EU63" s="237" t="s">
        <v>1107</v>
      </c>
      <c r="EV63" s="237" t="s">
        <v>1107</v>
      </c>
      <c r="EW63" s="237" t="s">
        <v>1107</v>
      </c>
      <c r="EX63" s="237" t="s">
        <v>1107</v>
      </c>
      <c r="EY63" s="237" t="s">
        <v>1107</v>
      </c>
      <c r="EZ63" s="237" t="s">
        <v>1107</v>
      </c>
      <c r="FA63" s="237" t="s">
        <v>1107</v>
      </c>
      <c r="FB63" s="237" t="s">
        <v>1107</v>
      </c>
      <c r="FC63" s="237" t="s">
        <v>1107</v>
      </c>
      <c r="FD63" s="237" t="s">
        <v>1107</v>
      </c>
      <c r="FE63" s="237" t="s">
        <v>1107</v>
      </c>
      <c r="FF63" s="237" t="s">
        <v>1107</v>
      </c>
      <c r="FG63" s="237" t="s">
        <v>1107</v>
      </c>
      <c r="FH63" s="237" t="s">
        <v>1107</v>
      </c>
      <c r="FI63" s="237" t="s">
        <v>231</v>
      </c>
      <c r="FJ63" s="237" t="s">
        <v>1107</v>
      </c>
      <c r="FK63" s="237" t="s">
        <v>1107</v>
      </c>
      <c r="FL63" s="237" t="s">
        <v>1107</v>
      </c>
      <c r="FM63" s="237" t="s">
        <v>1107</v>
      </c>
      <c r="FN63" s="237" t="s">
        <v>1107</v>
      </c>
      <c r="FO63" s="237" t="s">
        <v>1107</v>
      </c>
      <c r="FP63" s="237" t="s">
        <v>1107</v>
      </c>
      <c r="FQ63" s="237" t="s">
        <v>1107</v>
      </c>
      <c r="FR63" s="237" t="s">
        <v>1107</v>
      </c>
      <c r="FS63" s="237" t="s">
        <v>1107</v>
      </c>
      <c r="FT63" s="237" t="s">
        <v>1107</v>
      </c>
      <c r="FU63" s="237" t="s">
        <v>1107</v>
      </c>
      <c r="FV63" s="237" t="s">
        <v>1107</v>
      </c>
      <c r="FW63" s="237" t="s">
        <v>1107</v>
      </c>
      <c r="FX63" s="237" t="s">
        <v>1107</v>
      </c>
      <c r="FY63" s="237" t="s">
        <v>1107</v>
      </c>
      <c r="FZ63" s="237" t="s">
        <v>231</v>
      </c>
      <c r="GA63" s="237" t="s">
        <v>1107</v>
      </c>
      <c r="GB63" s="237" t="s">
        <v>1107</v>
      </c>
      <c r="GC63" s="237" t="s">
        <v>1107</v>
      </c>
      <c r="GD63" s="237" t="s">
        <v>1107</v>
      </c>
      <c r="GE63" s="237" t="s">
        <v>1107</v>
      </c>
      <c r="GF63" s="237" t="s">
        <v>1107</v>
      </c>
      <c r="GG63" s="237" t="s">
        <v>1107</v>
      </c>
      <c r="GH63" s="237" t="s">
        <v>231</v>
      </c>
      <c r="GI63" s="237" t="s">
        <v>231</v>
      </c>
      <c r="GJ63" s="237" t="s">
        <v>1107</v>
      </c>
      <c r="GK63" s="237" t="s">
        <v>1107</v>
      </c>
      <c r="GL63" s="237" t="s">
        <v>1107</v>
      </c>
      <c r="GM63" s="237" t="s">
        <v>1107</v>
      </c>
      <c r="GN63" s="237" t="s">
        <v>1107</v>
      </c>
      <c r="GO63" s="237" t="s">
        <v>1107</v>
      </c>
      <c r="GP63" s="237" t="s">
        <v>1107</v>
      </c>
      <c r="GQ63" s="237" t="s">
        <v>1107</v>
      </c>
      <c r="GR63" s="237" t="s">
        <v>1107</v>
      </c>
      <c r="GS63" s="237" t="s">
        <v>1107</v>
      </c>
      <c r="GT63" s="237" t="s">
        <v>1107</v>
      </c>
      <c r="GU63" s="237" t="s">
        <v>1107</v>
      </c>
      <c r="GV63" s="237" t="s">
        <v>1107</v>
      </c>
      <c r="GW63" s="237" t="s">
        <v>1107</v>
      </c>
      <c r="GX63" s="237" t="s">
        <v>1107</v>
      </c>
      <c r="GY63" s="237" t="s">
        <v>1107</v>
      </c>
      <c r="GZ63" s="237" t="s">
        <v>1107</v>
      </c>
      <c r="HA63" s="237" t="s">
        <v>1107</v>
      </c>
      <c r="HB63" s="237" t="s">
        <v>1107</v>
      </c>
      <c r="HC63" s="237" t="s">
        <v>1107</v>
      </c>
      <c r="HD63" s="237" t="s">
        <v>1107</v>
      </c>
      <c r="HE63" s="237" t="s">
        <v>1107</v>
      </c>
      <c r="HF63" s="237" t="s">
        <v>1107</v>
      </c>
      <c r="HG63" s="237" t="s">
        <v>1107</v>
      </c>
      <c r="HH63" s="237" t="s">
        <v>1107</v>
      </c>
      <c r="HI63" s="237" t="s">
        <v>1107</v>
      </c>
      <c r="HJ63" s="237" t="s">
        <v>1107</v>
      </c>
      <c r="HK63" s="237" t="s">
        <v>1107</v>
      </c>
      <c r="HL63" s="237" t="s">
        <v>1107</v>
      </c>
      <c r="HM63" s="237" t="s">
        <v>1107</v>
      </c>
      <c r="HN63" s="237" t="s">
        <v>1107</v>
      </c>
      <c r="HO63" s="237" t="s">
        <v>1107</v>
      </c>
      <c r="HP63" s="237" t="s">
        <v>1107</v>
      </c>
      <c r="HQ63" s="237" t="s">
        <v>1107</v>
      </c>
      <c r="HR63" s="237" t="s">
        <v>1107</v>
      </c>
      <c r="HS63" s="237" t="s">
        <v>1107</v>
      </c>
      <c r="HT63" s="237" t="s">
        <v>232</v>
      </c>
      <c r="HU63" s="237" t="s">
        <v>232</v>
      </c>
      <c r="HV63" s="237" t="s">
        <v>232</v>
      </c>
      <c r="HW63" s="237" t="s">
        <v>232</v>
      </c>
      <c r="HX63" s="237" t="s">
        <v>220</v>
      </c>
      <c r="HY63" s="237" t="s">
        <v>493</v>
      </c>
      <c r="HZ63" s="237" t="s">
        <v>219</v>
      </c>
      <c r="IA63" s="237" t="s">
        <v>490</v>
      </c>
      <c r="IB63" s="237" t="s">
        <v>1107</v>
      </c>
      <c r="IC63" s="237" t="s">
        <v>1107</v>
      </c>
    </row>
    <row r="64" spans="1:237" ht="15" x14ac:dyDescent="0.25">
      <c r="A64" s="244" t="str">
        <f>HYPERLINK("http://www.ofsted.gov.uk/inspection-reports/find-inspection-report/provider/ELS/130331 ","Ofsted School Webpage")</f>
        <v>Ofsted School Webpage</v>
      </c>
      <c r="B64" s="240">
        <v>130331</v>
      </c>
      <c r="C64" s="240">
        <v>8216001</v>
      </c>
      <c r="D64" s="240" t="s">
        <v>1232</v>
      </c>
      <c r="E64" s="240" t="s">
        <v>247</v>
      </c>
      <c r="F64" s="240" t="s">
        <v>516</v>
      </c>
      <c r="G64" s="240" t="s">
        <v>516</v>
      </c>
      <c r="H64" s="240" t="s">
        <v>517</v>
      </c>
      <c r="I64" s="240" t="s">
        <v>1233</v>
      </c>
      <c r="J64" s="240" t="s">
        <v>93</v>
      </c>
      <c r="K64" s="240" t="s">
        <v>84</v>
      </c>
      <c r="L64" s="240" t="s">
        <v>84</v>
      </c>
      <c r="M64" s="240" t="s">
        <v>84</v>
      </c>
      <c r="N64" s="240" t="s">
        <v>486</v>
      </c>
      <c r="O64" s="240" t="s">
        <v>487</v>
      </c>
      <c r="P64" s="240">
        <v>10081702</v>
      </c>
      <c r="Q64" s="242">
        <v>43410</v>
      </c>
      <c r="R64" s="242">
        <v>43411</v>
      </c>
      <c r="S64" s="242">
        <v>43440</v>
      </c>
      <c r="T64" s="240" t="s">
        <v>1109</v>
      </c>
      <c r="U64" s="240" t="s">
        <v>1105</v>
      </c>
      <c r="V64" s="240" t="s">
        <v>490</v>
      </c>
      <c r="W64" s="240" t="s">
        <v>486</v>
      </c>
      <c r="X64" s="240" t="s">
        <v>486</v>
      </c>
      <c r="Y64" s="240" t="s">
        <v>486</v>
      </c>
      <c r="Z64" s="240" t="s">
        <v>486</v>
      </c>
      <c r="AA64" s="240" t="s">
        <v>486</v>
      </c>
      <c r="AB64" s="240" t="s">
        <v>486</v>
      </c>
      <c r="AC64" s="240" t="s">
        <v>486</v>
      </c>
      <c r="AD64" s="240" t="s">
        <v>1136</v>
      </c>
      <c r="AE64" s="240" t="s">
        <v>232</v>
      </c>
      <c r="AF64" s="240" t="s">
        <v>232</v>
      </c>
      <c r="AG64" s="240" t="s">
        <v>232</v>
      </c>
      <c r="AH64" s="240" t="s">
        <v>232</v>
      </c>
      <c r="AI64" s="240" t="s">
        <v>231</v>
      </c>
      <c r="AJ64" s="240" t="s">
        <v>231</v>
      </c>
      <c r="AK64" s="240" t="s">
        <v>231</v>
      </c>
      <c r="AL64" s="240" t="s">
        <v>231</v>
      </c>
      <c r="AM64" s="240" t="s">
        <v>492</v>
      </c>
      <c r="AN64" s="240" t="s">
        <v>231</v>
      </c>
      <c r="AO64" s="240" t="s">
        <v>231</v>
      </c>
      <c r="AP64" s="240" t="s">
        <v>231</v>
      </c>
      <c r="AQ64" s="240" t="s">
        <v>1107</v>
      </c>
      <c r="AR64" s="240" t="s">
        <v>1107</v>
      </c>
      <c r="AS64" s="240" t="s">
        <v>1107</v>
      </c>
      <c r="AT64" s="240" t="s">
        <v>1107</v>
      </c>
      <c r="AU64" s="240" t="s">
        <v>492</v>
      </c>
      <c r="AV64" s="240" t="s">
        <v>492</v>
      </c>
      <c r="AW64" s="240" t="s">
        <v>231</v>
      </c>
      <c r="AX64" s="240" t="s">
        <v>231</v>
      </c>
      <c r="AY64" s="240" t="s">
        <v>232</v>
      </c>
      <c r="AZ64" s="240" t="s">
        <v>232</v>
      </c>
      <c r="BA64" s="240" t="s">
        <v>231</v>
      </c>
      <c r="BB64" s="240" t="s">
        <v>232</v>
      </c>
      <c r="BC64" s="240" t="s">
        <v>232</v>
      </c>
      <c r="BD64" s="240" t="s">
        <v>231</v>
      </c>
      <c r="BE64" s="240" t="s">
        <v>232</v>
      </c>
      <c r="BF64" s="240" t="s">
        <v>232</v>
      </c>
      <c r="BG64" s="240" t="s">
        <v>231</v>
      </c>
      <c r="BH64" s="240" t="s">
        <v>231</v>
      </c>
      <c r="BI64" s="240" t="s">
        <v>231</v>
      </c>
      <c r="BJ64" s="240" t="s">
        <v>231</v>
      </c>
      <c r="BK64" s="240" t="s">
        <v>231</v>
      </c>
      <c r="BL64" s="240" t="s">
        <v>231</v>
      </c>
      <c r="BM64" s="240" t="s">
        <v>1107</v>
      </c>
      <c r="BN64" s="240" t="s">
        <v>1107</v>
      </c>
      <c r="BO64" s="240" t="s">
        <v>1107</v>
      </c>
      <c r="BP64" s="240" t="s">
        <v>1107</v>
      </c>
      <c r="BQ64" s="240" t="s">
        <v>1107</v>
      </c>
      <c r="BR64" s="240" t="s">
        <v>1107</v>
      </c>
      <c r="BS64" s="240" t="s">
        <v>1107</v>
      </c>
      <c r="BT64" s="240" t="s">
        <v>1107</v>
      </c>
      <c r="BU64" s="240" t="s">
        <v>1107</v>
      </c>
      <c r="BV64" s="240" t="s">
        <v>1107</v>
      </c>
      <c r="BW64" s="240" t="s">
        <v>1107</v>
      </c>
      <c r="BX64" s="240" t="s">
        <v>1107</v>
      </c>
      <c r="BY64" s="240" t="s">
        <v>1107</v>
      </c>
      <c r="BZ64" s="240" t="s">
        <v>232</v>
      </c>
      <c r="CA64" s="240" t="s">
        <v>232</v>
      </c>
      <c r="CB64" s="240" t="s">
        <v>232</v>
      </c>
      <c r="CC64" s="240" t="s">
        <v>492</v>
      </c>
      <c r="CD64" s="240" t="s">
        <v>492</v>
      </c>
      <c r="CE64" s="240" t="s">
        <v>492</v>
      </c>
      <c r="CF64" s="240" t="s">
        <v>1107</v>
      </c>
      <c r="CG64" s="240" t="s">
        <v>1107</v>
      </c>
      <c r="CH64" s="240" t="s">
        <v>1107</v>
      </c>
      <c r="CI64" s="240" t="s">
        <v>1107</v>
      </c>
      <c r="CJ64" s="240" t="s">
        <v>1107</v>
      </c>
      <c r="CK64" s="240" t="s">
        <v>231</v>
      </c>
      <c r="CL64" s="240" t="s">
        <v>231</v>
      </c>
      <c r="CM64" s="240" t="s">
        <v>1107</v>
      </c>
      <c r="CN64" s="240" t="s">
        <v>1107</v>
      </c>
      <c r="CO64" s="240" t="s">
        <v>231</v>
      </c>
      <c r="CP64" s="240" t="s">
        <v>231</v>
      </c>
      <c r="CQ64" s="240" t="s">
        <v>231</v>
      </c>
      <c r="CR64" s="240" t="s">
        <v>231</v>
      </c>
      <c r="CS64" s="240" t="s">
        <v>231</v>
      </c>
      <c r="CT64" s="240" t="s">
        <v>231</v>
      </c>
      <c r="CU64" s="240" t="s">
        <v>231</v>
      </c>
      <c r="CV64" s="240" t="s">
        <v>231</v>
      </c>
      <c r="CW64" s="240" t="s">
        <v>231</v>
      </c>
      <c r="CX64" s="240" t="s">
        <v>231</v>
      </c>
      <c r="CY64" s="240" t="s">
        <v>231</v>
      </c>
      <c r="CZ64" s="240" t="s">
        <v>231</v>
      </c>
      <c r="DA64" s="240" t="s">
        <v>231</v>
      </c>
      <c r="DB64" s="240" t="s">
        <v>231</v>
      </c>
      <c r="DC64" s="240" t="s">
        <v>492</v>
      </c>
      <c r="DD64" s="240" t="s">
        <v>231</v>
      </c>
      <c r="DE64" s="240" t="s">
        <v>1107</v>
      </c>
      <c r="DF64" s="240" t="s">
        <v>1107</v>
      </c>
      <c r="DG64" s="240" t="s">
        <v>1107</v>
      </c>
      <c r="DH64" s="240" t="s">
        <v>1107</v>
      </c>
      <c r="DI64" s="240" t="s">
        <v>1107</v>
      </c>
      <c r="DJ64" s="240" t="s">
        <v>1107</v>
      </c>
      <c r="DK64" s="240" t="s">
        <v>1107</v>
      </c>
      <c r="DL64" s="240" t="s">
        <v>1107</v>
      </c>
      <c r="DM64" s="240" t="s">
        <v>1107</v>
      </c>
      <c r="DN64" s="240" t="s">
        <v>1107</v>
      </c>
      <c r="DO64" s="240" t="s">
        <v>1107</v>
      </c>
      <c r="DP64" s="240" t="s">
        <v>1107</v>
      </c>
      <c r="DQ64" s="240" t="s">
        <v>492</v>
      </c>
      <c r="DR64" s="240" t="s">
        <v>1107</v>
      </c>
      <c r="DS64" s="240" t="s">
        <v>231</v>
      </c>
      <c r="DT64" s="240" t="s">
        <v>231</v>
      </c>
      <c r="DU64" s="240" t="s">
        <v>231</v>
      </c>
      <c r="DV64" s="240" t="s">
        <v>231</v>
      </c>
      <c r="DW64" s="240" t="s">
        <v>231</v>
      </c>
      <c r="DX64" s="240" t="s">
        <v>231</v>
      </c>
      <c r="DY64" s="240" t="s">
        <v>231</v>
      </c>
      <c r="DZ64" s="240" t="s">
        <v>231</v>
      </c>
      <c r="EA64" s="240" t="s">
        <v>231</v>
      </c>
      <c r="EB64" s="240" t="s">
        <v>231</v>
      </c>
      <c r="EC64" s="240" t="s">
        <v>231</v>
      </c>
      <c r="ED64" s="240" t="s">
        <v>231</v>
      </c>
      <c r="EE64" s="240" t="s">
        <v>231</v>
      </c>
      <c r="EF64" s="240" t="s">
        <v>231</v>
      </c>
      <c r="EG64" s="240" t="s">
        <v>231</v>
      </c>
      <c r="EH64" s="240" t="s">
        <v>231</v>
      </c>
      <c r="EI64" s="240" t="s">
        <v>231</v>
      </c>
      <c r="EJ64" s="240" t="s">
        <v>231</v>
      </c>
      <c r="EK64" s="240" t="s">
        <v>231</v>
      </c>
      <c r="EL64" s="240" t="s">
        <v>231</v>
      </c>
      <c r="EM64" s="240" t="s">
        <v>231</v>
      </c>
      <c r="EN64" s="240" t="s">
        <v>231</v>
      </c>
      <c r="EO64" s="240" t="s">
        <v>231</v>
      </c>
      <c r="EP64" s="240" t="s">
        <v>1107</v>
      </c>
      <c r="EQ64" s="240" t="s">
        <v>1107</v>
      </c>
      <c r="ER64" s="240" t="s">
        <v>1107</v>
      </c>
      <c r="ES64" s="240" t="s">
        <v>1107</v>
      </c>
      <c r="ET64" s="240" t="s">
        <v>1107</v>
      </c>
      <c r="EU64" s="240" t="s">
        <v>1107</v>
      </c>
      <c r="EV64" s="240" t="s">
        <v>231</v>
      </c>
      <c r="EW64" s="240" t="s">
        <v>231</v>
      </c>
      <c r="EX64" s="240" t="s">
        <v>231</v>
      </c>
      <c r="EY64" s="240" t="s">
        <v>231</v>
      </c>
      <c r="EZ64" s="240" t="s">
        <v>231</v>
      </c>
      <c r="FA64" s="240" t="s">
        <v>231</v>
      </c>
      <c r="FB64" s="240" t="s">
        <v>231</v>
      </c>
      <c r="FC64" s="240" t="s">
        <v>231</v>
      </c>
      <c r="FD64" s="240" t="s">
        <v>231</v>
      </c>
      <c r="FE64" s="240" t="s">
        <v>231</v>
      </c>
      <c r="FF64" s="240" t="s">
        <v>231</v>
      </c>
      <c r="FG64" s="240" t="s">
        <v>492</v>
      </c>
      <c r="FH64" s="240" t="s">
        <v>231</v>
      </c>
      <c r="FI64" s="240" t="s">
        <v>231</v>
      </c>
      <c r="FJ64" s="240" t="s">
        <v>1107</v>
      </c>
      <c r="FK64" s="240" t="s">
        <v>1107</v>
      </c>
      <c r="FL64" s="240" t="s">
        <v>1107</v>
      </c>
      <c r="FM64" s="240" t="s">
        <v>1107</v>
      </c>
      <c r="FN64" s="240" t="s">
        <v>1107</v>
      </c>
      <c r="FO64" s="240" t="s">
        <v>1107</v>
      </c>
      <c r="FP64" s="240" t="s">
        <v>1107</v>
      </c>
      <c r="FQ64" s="240" t="s">
        <v>1107</v>
      </c>
      <c r="FR64" s="240" t="s">
        <v>1107</v>
      </c>
      <c r="FS64" s="240" t="s">
        <v>1107</v>
      </c>
      <c r="FT64" s="240" t="s">
        <v>1107</v>
      </c>
      <c r="FU64" s="240" t="s">
        <v>1107</v>
      </c>
      <c r="FV64" s="240" t="s">
        <v>231</v>
      </c>
      <c r="FW64" s="240" t="s">
        <v>231</v>
      </c>
      <c r="FX64" s="240" t="s">
        <v>231</v>
      </c>
      <c r="FY64" s="240" t="s">
        <v>492</v>
      </c>
      <c r="FZ64" s="240" t="s">
        <v>232</v>
      </c>
      <c r="GA64" s="240" t="s">
        <v>231</v>
      </c>
      <c r="GB64" s="240" t="s">
        <v>231</v>
      </c>
      <c r="GC64" s="240" t="s">
        <v>231</v>
      </c>
      <c r="GD64" s="240" t="s">
        <v>231</v>
      </c>
      <c r="GE64" s="240" t="s">
        <v>492</v>
      </c>
      <c r="GF64" s="240" t="s">
        <v>231</v>
      </c>
      <c r="GG64" s="240" t="s">
        <v>231</v>
      </c>
      <c r="GH64" s="240" t="s">
        <v>492</v>
      </c>
      <c r="GI64" s="240" t="s">
        <v>492</v>
      </c>
      <c r="GJ64" s="240" t="s">
        <v>232</v>
      </c>
      <c r="GK64" s="240" t="s">
        <v>231</v>
      </c>
      <c r="GL64" s="240" t="s">
        <v>231</v>
      </c>
      <c r="GM64" s="240" t="s">
        <v>231</v>
      </c>
      <c r="GN64" s="240" t="s">
        <v>492</v>
      </c>
      <c r="GO64" s="240" t="s">
        <v>231</v>
      </c>
      <c r="GP64" s="240" t="s">
        <v>231</v>
      </c>
      <c r="GQ64" s="240" t="s">
        <v>231</v>
      </c>
      <c r="GR64" s="240" t="s">
        <v>231</v>
      </c>
      <c r="GS64" s="240" t="s">
        <v>231</v>
      </c>
      <c r="GT64" s="240" t="s">
        <v>231</v>
      </c>
      <c r="GU64" s="240" t="s">
        <v>231</v>
      </c>
      <c r="GV64" s="240" t="s">
        <v>231</v>
      </c>
      <c r="GW64" s="240" t="s">
        <v>231</v>
      </c>
      <c r="GX64" s="240" t="s">
        <v>231</v>
      </c>
      <c r="GY64" s="240" t="s">
        <v>231</v>
      </c>
      <c r="GZ64" s="240" t="s">
        <v>232</v>
      </c>
      <c r="HA64" s="240" t="s">
        <v>492</v>
      </c>
      <c r="HB64" s="240" t="s">
        <v>232</v>
      </c>
      <c r="HC64" s="240" t="s">
        <v>492</v>
      </c>
      <c r="HD64" s="240" t="s">
        <v>232</v>
      </c>
      <c r="HE64" s="240" t="s">
        <v>231</v>
      </c>
      <c r="HF64" s="240" t="s">
        <v>231</v>
      </c>
      <c r="HG64" s="240" t="s">
        <v>231</v>
      </c>
      <c r="HH64" s="240" t="s">
        <v>231</v>
      </c>
      <c r="HI64" s="240" t="s">
        <v>231</v>
      </c>
      <c r="HJ64" s="240" t="s">
        <v>231</v>
      </c>
      <c r="HK64" s="240" t="s">
        <v>231</v>
      </c>
      <c r="HL64" s="240" t="s">
        <v>231</v>
      </c>
      <c r="HM64" s="240" t="s">
        <v>231</v>
      </c>
      <c r="HN64" s="240" t="s">
        <v>231</v>
      </c>
      <c r="HO64" s="240" t="s">
        <v>231</v>
      </c>
      <c r="HP64" s="240" t="s">
        <v>232</v>
      </c>
      <c r="HQ64" s="240" t="s">
        <v>232</v>
      </c>
      <c r="HR64" s="240" t="s">
        <v>232</v>
      </c>
      <c r="HS64" s="240" t="s">
        <v>231</v>
      </c>
      <c r="HT64" s="240" t="s">
        <v>232</v>
      </c>
      <c r="HU64" s="240" t="s">
        <v>232</v>
      </c>
      <c r="HV64" s="240" t="s">
        <v>232</v>
      </c>
      <c r="HW64" s="240" t="s">
        <v>232</v>
      </c>
      <c r="HX64" s="240" t="s">
        <v>220</v>
      </c>
      <c r="HY64" s="240" t="s">
        <v>493</v>
      </c>
      <c r="HZ64" s="240" t="s">
        <v>219</v>
      </c>
      <c r="IA64" s="240" t="s">
        <v>490</v>
      </c>
      <c r="IB64" s="240" t="s">
        <v>492</v>
      </c>
      <c r="IC64" s="240" t="s">
        <v>492</v>
      </c>
    </row>
    <row r="65" spans="1:237" ht="15" x14ac:dyDescent="0.25">
      <c r="A65" s="243" t="str">
        <f>HYPERLINK("http://www.ofsted.gov.uk/inspection-reports/find-inspection-report/provider/ELS/139784 ","Ofsted School Webpage")</f>
        <v>Ofsted School Webpage</v>
      </c>
      <c r="B65" s="237">
        <v>139784</v>
      </c>
      <c r="C65" s="237">
        <v>8616010</v>
      </c>
      <c r="D65" s="237" t="s">
        <v>1234</v>
      </c>
      <c r="E65" s="237" t="s">
        <v>247</v>
      </c>
      <c r="F65" s="237" t="s">
        <v>502</v>
      </c>
      <c r="G65" s="237" t="s">
        <v>502</v>
      </c>
      <c r="H65" s="237" t="s">
        <v>655</v>
      </c>
      <c r="I65" s="237" t="s">
        <v>1235</v>
      </c>
      <c r="J65" s="237" t="s">
        <v>93</v>
      </c>
      <c r="K65" s="237" t="s">
        <v>84</v>
      </c>
      <c r="L65" s="237" t="s">
        <v>84</v>
      </c>
      <c r="M65" s="237" t="s">
        <v>84</v>
      </c>
      <c r="N65" s="237" t="s">
        <v>486</v>
      </c>
      <c r="O65" s="237" t="s">
        <v>487</v>
      </c>
      <c r="P65" s="237">
        <v>10081961</v>
      </c>
      <c r="Q65" s="239">
        <v>43411</v>
      </c>
      <c r="R65" s="239">
        <v>43411</v>
      </c>
      <c r="S65" s="239">
        <v>43450</v>
      </c>
      <c r="T65" s="237" t="s">
        <v>1124</v>
      </c>
      <c r="U65" s="237" t="s">
        <v>1105</v>
      </c>
      <c r="V65" s="237" t="s">
        <v>490</v>
      </c>
      <c r="W65" s="237" t="s">
        <v>486</v>
      </c>
      <c r="X65" s="237" t="s">
        <v>486</v>
      </c>
      <c r="Y65" s="237" t="s">
        <v>486</v>
      </c>
      <c r="Z65" s="237" t="s">
        <v>486</v>
      </c>
      <c r="AA65" s="237" t="s">
        <v>486</v>
      </c>
      <c r="AB65" s="237" t="s">
        <v>486</v>
      </c>
      <c r="AC65" s="237" t="s">
        <v>486</v>
      </c>
      <c r="AD65" s="237" t="s">
        <v>1136</v>
      </c>
      <c r="AE65" s="237" t="s">
        <v>1107</v>
      </c>
      <c r="AF65" s="237" t="s">
        <v>1107</v>
      </c>
      <c r="AG65" s="237" t="s">
        <v>1107</v>
      </c>
      <c r="AH65" s="237" t="s">
        <v>1107</v>
      </c>
      <c r="AI65" s="237" t="s">
        <v>1107</v>
      </c>
      <c r="AJ65" s="237" t="s">
        <v>1107</v>
      </c>
      <c r="AK65" s="237" t="s">
        <v>1107</v>
      </c>
      <c r="AL65" s="237" t="s">
        <v>1107</v>
      </c>
      <c r="AM65" s="237" t="s">
        <v>1107</v>
      </c>
      <c r="AN65" s="237" t="s">
        <v>1107</v>
      </c>
      <c r="AO65" s="237" t="s">
        <v>1107</v>
      </c>
      <c r="AP65" s="237" t="s">
        <v>1107</v>
      </c>
      <c r="AQ65" s="237" t="s">
        <v>1107</v>
      </c>
      <c r="AR65" s="237" t="s">
        <v>1107</v>
      </c>
      <c r="AS65" s="237" t="s">
        <v>1107</v>
      </c>
      <c r="AT65" s="237" t="s">
        <v>1107</v>
      </c>
      <c r="AU65" s="237" t="s">
        <v>1107</v>
      </c>
      <c r="AV65" s="237" t="s">
        <v>1107</v>
      </c>
      <c r="AW65" s="237" t="s">
        <v>1107</v>
      </c>
      <c r="AX65" s="237" t="s">
        <v>1107</v>
      </c>
      <c r="AY65" s="237" t="s">
        <v>1107</v>
      </c>
      <c r="AZ65" s="237" t="s">
        <v>1107</v>
      </c>
      <c r="BA65" s="237" t="s">
        <v>1107</v>
      </c>
      <c r="BB65" s="237" t="s">
        <v>1107</v>
      </c>
      <c r="BC65" s="237" t="s">
        <v>1107</v>
      </c>
      <c r="BD65" s="237" t="s">
        <v>1107</v>
      </c>
      <c r="BE65" s="237" t="s">
        <v>1107</v>
      </c>
      <c r="BF65" s="237" t="s">
        <v>1107</v>
      </c>
      <c r="BG65" s="237" t="s">
        <v>1107</v>
      </c>
      <c r="BH65" s="237" t="s">
        <v>1107</v>
      </c>
      <c r="BI65" s="237" t="s">
        <v>1107</v>
      </c>
      <c r="BJ65" s="237" t="s">
        <v>1107</v>
      </c>
      <c r="BK65" s="237" t="s">
        <v>1107</v>
      </c>
      <c r="BL65" s="237" t="s">
        <v>1107</v>
      </c>
      <c r="BM65" s="237" t="s">
        <v>1107</v>
      </c>
      <c r="BN65" s="237" t="s">
        <v>1107</v>
      </c>
      <c r="BO65" s="237" t="s">
        <v>1107</v>
      </c>
      <c r="BP65" s="237" t="s">
        <v>1107</v>
      </c>
      <c r="BQ65" s="237" t="s">
        <v>1107</v>
      </c>
      <c r="BR65" s="237" t="s">
        <v>1107</v>
      </c>
      <c r="BS65" s="237" t="s">
        <v>1107</v>
      </c>
      <c r="BT65" s="237" t="s">
        <v>1107</v>
      </c>
      <c r="BU65" s="237" t="s">
        <v>1107</v>
      </c>
      <c r="BV65" s="237" t="s">
        <v>1107</v>
      </c>
      <c r="BW65" s="237" t="s">
        <v>1107</v>
      </c>
      <c r="BX65" s="237" t="s">
        <v>1107</v>
      </c>
      <c r="BY65" s="237" t="s">
        <v>1107</v>
      </c>
      <c r="BZ65" s="237" t="s">
        <v>232</v>
      </c>
      <c r="CA65" s="237" t="s">
        <v>232</v>
      </c>
      <c r="CB65" s="237" t="s">
        <v>232</v>
      </c>
      <c r="CC65" s="237" t="s">
        <v>492</v>
      </c>
      <c r="CD65" s="237" t="s">
        <v>492</v>
      </c>
      <c r="CE65" s="237" t="s">
        <v>492</v>
      </c>
      <c r="CF65" s="237" t="s">
        <v>1107</v>
      </c>
      <c r="CG65" s="237" t="s">
        <v>1107</v>
      </c>
      <c r="CH65" s="237" t="s">
        <v>1107</v>
      </c>
      <c r="CI65" s="237" t="s">
        <v>1107</v>
      </c>
      <c r="CJ65" s="237" t="s">
        <v>1107</v>
      </c>
      <c r="CK65" s="237" t="s">
        <v>1107</v>
      </c>
      <c r="CL65" s="237" t="s">
        <v>1107</v>
      </c>
      <c r="CM65" s="237" t="s">
        <v>1107</v>
      </c>
      <c r="CN65" s="237" t="s">
        <v>1107</v>
      </c>
      <c r="CO65" s="237" t="s">
        <v>232</v>
      </c>
      <c r="CP65" s="237" t="s">
        <v>1107</v>
      </c>
      <c r="CQ65" s="237" t="s">
        <v>1107</v>
      </c>
      <c r="CR65" s="237" t="s">
        <v>1107</v>
      </c>
      <c r="CS65" s="237" t="s">
        <v>1107</v>
      </c>
      <c r="CT65" s="237" t="s">
        <v>1107</v>
      </c>
      <c r="CU65" s="237" t="s">
        <v>1107</v>
      </c>
      <c r="CV65" s="237" t="s">
        <v>1107</v>
      </c>
      <c r="CW65" s="237" t="s">
        <v>1107</v>
      </c>
      <c r="CX65" s="237" t="s">
        <v>1107</v>
      </c>
      <c r="CY65" s="237" t="s">
        <v>1107</v>
      </c>
      <c r="CZ65" s="237" t="s">
        <v>1107</v>
      </c>
      <c r="DA65" s="237" t="s">
        <v>1107</v>
      </c>
      <c r="DB65" s="237" t="s">
        <v>1107</v>
      </c>
      <c r="DC65" s="237" t="s">
        <v>1107</v>
      </c>
      <c r="DD65" s="237" t="s">
        <v>1107</v>
      </c>
      <c r="DE65" s="237" t="s">
        <v>1107</v>
      </c>
      <c r="DF65" s="237" t="s">
        <v>1107</v>
      </c>
      <c r="DG65" s="237" t="s">
        <v>1107</v>
      </c>
      <c r="DH65" s="237" t="s">
        <v>1107</v>
      </c>
      <c r="DI65" s="237" t="s">
        <v>1107</v>
      </c>
      <c r="DJ65" s="237" t="s">
        <v>1107</v>
      </c>
      <c r="DK65" s="237" t="s">
        <v>1107</v>
      </c>
      <c r="DL65" s="237" t="s">
        <v>1107</v>
      </c>
      <c r="DM65" s="237" t="s">
        <v>1107</v>
      </c>
      <c r="DN65" s="237" t="s">
        <v>1107</v>
      </c>
      <c r="DO65" s="237" t="s">
        <v>1107</v>
      </c>
      <c r="DP65" s="237" t="s">
        <v>1107</v>
      </c>
      <c r="DQ65" s="237" t="s">
        <v>1107</v>
      </c>
      <c r="DR65" s="237" t="s">
        <v>1107</v>
      </c>
      <c r="DS65" s="237" t="s">
        <v>1107</v>
      </c>
      <c r="DT65" s="237" t="s">
        <v>1107</v>
      </c>
      <c r="DU65" s="237" t="s">
        <v>1107</v>
      </c>
      <c r="DV65" s="237" t="s">
        <v>1107</v>
      </c>
      <c r="DW65" s="237" t="s">
        <v>1107</v>
      </c>
      <c r="DX65" s="237" t="s">
        <v>1107</v>
      </c>
      <c r="DY65" s="237" t="s">
        <v>1107</v>
      </c>
      <c r="DZ65" s="237" t="s">
        <v>1107</v>
      </c>
      <c r="EA65" s="237" t="s">
        <v>1107</v>
      </c>
      <c r="EB65" s="237" t="s">
        <v>1107</v>
      </c>
      <c r="EC65" s="237" t="s">
        <v>1107</v>
      </c>
      <c r="ED65" s="237" t="s">
        <v>1107</v>
      </c>
      <c r="EE65" s="237" t="s">
        <v>1107</v>
      </c>
      <c r="EF65" s="237" t="s">
        <v>1107</v>
      </c>
      <c r="EG65" s="237" t="s">
        <v>1107</v>
      </c>
      <c r="EH65" s="237" t="s">
        <v>1107</v>
      </c>
      <c r="EI65" s="237" t="s">
        <v>1107</v>
      </c>
      <c r="EJ65" s="237" t="s">
        <v>1107</v>
      </c>
      <c r="EK65" s="237" t="s">
        <v>1107</v>
      </c>
      <c r="EL65" s="237" t="s">
        <v>1107</v>
      </c>
      <c r="EM65" s="237" t="s">
        <v>1107</v>
      </c>
      <c r="EN65" s="237" t="s">
        <v>1107</v>
      </c>
      <c r="EO65" s="237" t="s">
        <v>1107</v>
      </c>
      <c r="EP65" s="237" t="s">
        <v>1107</v>
      </c>
      <c r="EQ65" s="237" t="s">
        <v>1107</v>
      </c>
      <c r="ER65" s="237" t="s">
        <v>1107</v>
      </c>
      <c r="ES65" s="237" t="s">
        <v>1107</v>
      </c>
      <c r="ET65" s="237" t="s">
        <v>1107</v>
      </c>
      <c r="EU65" s="237" t="s">
        <v>1107</v>
      </c>
      <c r="EV65" s="237" t="s">
        <v>1107</v>
      </c>
      <c r="EW65" s="237" t="s">
        <v>1107</v>
      </c>
      <c r="EX65" s="237" t="s">
        <v>1107</v>
      </c>
      <c r="EY65" s="237" t="s">
        <v>1107</v>
      </c>
      <c r="EZ65" s="237" t="s">
        <v>1107</v>
      </c>
      <c r="FA65" s="237" t="s">
        <v>1107</v>
      </c>
      <c r="FB65" s="237" t="s">
        <v>1107</v>
      </c>
      <c r="FC65" s="237" t="s">
        <v>1107</v>
      </c>
      <c r="FD65" s="237" t="s">
        <v>1107</v>
      </c>
      <c r="FE65" s="237" t="s">
        <v>1107</v>
      </c>
      <c r="FF65" s="237" t="s">
        <v>1107</v>
      </c>
      <c r="FG65" s="237" t="s">
        <v>1107</v>
      </c>
      <c r="FH65" s="237" t="s">
        <v>1107</v>
      </c>
      <c r="FI65" s="237" t="s">
        <v>1107</v>
      </c>
      <c r="FJ65" s="237" t="s">
        <v>1107</v>
      </c>
      <c r="FK65" s="237" t="s">
        <v>1107</v>
      </c>
      <c r="FL65" s="237" t="s">
        <v>1107</v>
      </c>
      <c r="FM65" s="237" t="s">
        <v>1107</v>
      </c>
      <c r="FN65" s="237" t="s">
        <v>1107</v>
      </c>
      <c r="FO65" s="237" t="s">
        <v>1107</v>
      </c>
      <c r="FP65" s="237" t="s">
        <v>1107</v>
      </c>
      <c r="FQ65" s="237" t="s">
        <v>1107</v>
      </c>
      <c r="FR65" s="237" t="s">
        <v>1107</v>
      </c>
      <c r="FS65" s="237" t="s">
        <v>1107</v>
      </c>
      <c r="FT65" s="237" t="s">
        <v>1107</v>
      </c>
      <c r="FU65" s="237" t="s">
        <v>1107</v>
      </c>
      <c r="FV65" s="237" t="s">
        <v>1107</v>
      </c>
      <c r="FW65" s="237" t="s">
        <v>1107</v>
      </c>
      <c r="FX65" s="237" t="s">
        <v>1107</v>
      </c>
      <c r="FY65" s="237" t="s">
        <v>1107</v>
      </c>
      <c r="FZ65" s="237" t="s">
        <v>232</v>
      </c>
      <c r="GA65" s="237" t="s">
        <v>1107</v>
      </c>
      <c r="GB65" s="237" t="s">
        <v>1107</v>
      </c>
      <c r="GC65" s="237" t="s">
        <v>232</v>
      </c>
      <c r="GD65" s="237" t="s">
        <v>1107</v>
      </c>
      <c r="GE65" s="237" t="s">
        <v>1107</v>
      </c>
      <c r="GF65" s="237" t="s">
        <v>1107</v>
      </c>
      <c r="GG65" s="237" t="s">
        <v>1107</v>
      </c>
      <c r="GH65" s="237" t="s">
        <v>1107</v>
      </c>
      <c r="GI65" s="237" t="s">
        <v>1107</v>
      </c>
      <c r="GJ65" s="237" t="s">
        <v>1107</v>
      </c>
      <c r="GK65" s="237" t="s">
        <v>1107</v>
      </c>
      <c r="GL65" s="237" t="s">
        <v>1107</v>
      </c>
      <c r="GM65" s="237" t="s">
        <v>1107</v>
      </c>
      <c r="GN65" s="237" t="s">
        <v>1107</v>
      </c>
      <c r="GO65" s="237" t="s">
        <v>1107</v>
      </c>
      <c r="GP65" s="237" t="s">
        <v>1107</v>
      </c>
      <c r="GQ65" s="237" t="s">
        <v>1107</v>
      </c>
      <c r="GR65" s="237" t="s">
        <v>1107</v>
      </c>
      <c r="GS65" s="237" t="s">
        <v>1107</v>
      </c>
      <c r="GT65" s="237" t="s">
        <v>1107</v>
      </c>
      <c r="GU65" s="237" t="s">
        <v>1107</v>
      </c>
      <c r="GV65" s="237" t="s">
        <v>1107</v>
      </c>
      <c r="GW65" s="237" t="s">
        <v>1107</v>
      </c>
      <c r="GX65" s="237" t="s">
        <v>1107</v>
      </c>
      <c r="GY65" s="237" t="s">
        <v>1107</v>
      </c>
      <c r="GZ65" s="237" t="s">
        <v>1107</v>
      </c>
      <c r="HA65" s="237" t="s">
        <v>1107</v>
      </c>
      <c r="HB65" s="237" t="s">
        <v>1107</v>
      </c>
      <c r="HC65" s="237" t="s">
        <v>1107</v>
      </c>
      <c r="HD65" s="237" t="s">
        <v>1107</v>
      </c>
      <c r="HE65" s="237" t="s">
        <v>1107</v>
      </c>
      <c r="HF65" s="237" t="s">
        <v>1107</v>
      </c>
      <c r="HG65" s="237" t="s">
        <v>1107</v>
      </c>
      <c r="HH65" s="237" t="s">
        <v>1107</v>
      </c>
      <c r="HI65" s="237" t="s">
        <v>1107</v>
      </c>
      <c r="HJ65" s="237" t="s">
        <v>1107</v>
      </c>
      <c r="HK65" s="237" t="s">
        <v>1107</v>
      </c>
      <c r="HL65" s="237" t="s">
        <v>1107</v>
      </c>
      <c r="HM65" s="237" t="s">
        <v>1107</v>
      </c>
      <c r="HN65" s="237" t="s">
        <v>1107</v>
      </c>
      <c r="HO65" s="237" t="s">
        <v>1107</v>
      </c>
      <c r="HP65" s="237" t="s">
        <v>1107</v>
      </c>
      <c r="HQ65" s="237" t="s">
        <v>1107</v>
      </c>
      <c r="HR65" s="237" t="s">
        <v>1107</v>
      </c>
      <c r="HS65" s="237" t="s">
        <v>1107</v>
      </c>
      <c r="HT65" s="237" t="s">
        <v>1107</v>
      </c>
      <c r="HU65" s="237" t="s">
        <v>1107</v>
      </c>
      <c r="HV65" s="237" t="s">
        <v>1107</v>
      </c>
      <c r="HW65" s="237" t="s">
        <v>1107</v>
      </c>
      <c r="HX65" s="237" t="s">
        <v>597</v>
      </c>
      <c r="HY65" s="237" t="s">
        <v>597</v>
      </c>
      <c r="HZ65" s="237" t="s">
        <v>597</v>
      </c>
      <c r="IA65" s="237" t="s">
        <v>512</v>
      </c>
      <c r="IB65" s="237" t="s">
        <v>492</v>
      </c>
      <c r="IC65" s="237" t="s">
        <v>492</v>
      </c>
    </row>
    <row r="66" spans="1:237" ht="15" x14ac:dyDescent="0.25">
      <c r="A66" s="244" t="str">
        <f>HYPERLINK("http://www.ofsted.gov.uk/inspection-reports/find-inspection-report/provider/ELS/135259 ","Ofsted School Webpage")</f>
        <v>Ofsted School Webpage</v>
      </c>
      <c r="B66" s="240">
        <v>135259</v>
      </c>
      <c r="C66" s="240">
        <v>9376105</v>
      </c>
      <c r="D66" s="240" t="s">
        <v>1236</v>
      </c>
      <c r="E66" s="240" t="s">
        <v>248</v>
      </c>
      <c r="F66" s="240" t="s">
        <v>502</v>
      </c>
      <c r="G66" s="240" t="s">
        <v>502</v>
      </c>
      <c r="H66" s="240" t="s">
        <v>503</v>
      </c>
      <c r="I66" s="240" t="s">
        <v>1237</v>
      </c>
      <c r="J66" s="240" t="s">
        <v>93</v>
      </c>
      <c r="K66" s="240" t="s">
        <v>93</v>
      </c>
      <c r="L66" s="240" t="s">
        <v>93</v>
      </c>
      <c r="M66" s="240" t="s">
        <v>90</v>
      </c>
      <c r="N66" s="240" t="s">
        <v>486</v>
      </c>
      <c r="O66" s="240" t="s">
        <v>487</v>
      </c>
      <c r="P66" s="240">
        <v>10082678</v>
      </c>
      <c r="Q66" s="242">
        <v>43416</v>
      </c>
      <c r="R66" s="242">
        <v>43416</v>
      </c>
      <c r="S66" s="242">
        <v>43445</v>
      </c>
      <c r="T66" s="240" t="s">
        <v>1104</v>
      </c>
      <c r="U66" s="240" t="s">
        <v>1105</v>
      </c>
      <c r="V66" s="240" t="s">
        <v>490</v>
      </c>
      <c r="W66" s="240" t="s">
        <v>486</v>
      </c>
      <c r="X66" s="240" t="s">
        <v>486</v>
      </c>
      <c r="Y66" s="240" t="s">
        <v>486</v>
      </c>
      <c r="Z66" s="240" t="s">
        <v>486</v>
      </c>
      <c r="AA66" s="240" t="s">
        <v>486</v>
      </c>
      <c r="AB66" s="240" t="s">
        <v>486</v>
      </c>
      <c r="AC66" s="240" t="s">
        <v>486</v>
      </c>
      <c r="AD66" s="240" t="s">
        <v>1106</v>
      </c>
      <c r="AE66" s="240" t="s">
        <v>1107</v>
      </c>
      <c r="AF66" s="240" t="s">
        <v>1107</v>
      </c>
      <c r="AG66" s="240" t="s">
        <v>1107</v>
      </c>
      <c r="AH66" s="240" t="s">
        <v>1107</v>
      </c>
      <c r="AI66" s="240" t="s">
        <v>1107</v>
      </c>
      <c r="AJ66" s="240" t="s">
        <v>1107</v>
      </c>
      <c r="AK66" s="240" t="s">
        <v>1107</v>
      </c>
      <c r="AL66" s="240" t="s">
        <v>1107</v>
      </c>
      <c r="AM66" s="240" t="s">
        <v>1107</v>
      </c>
      <c r="AN66" s="240" t="s">
        <v>1107</v>
      </c>
      <c r="AO66" s="240" t="s">
        <v>1107</v>
      </c>
      <c r="AP66" s="240" t="s">
        <v>1107</v>
      </c>
      <c r="AQ66" s="240" t="s">
        <v>1107</v>
      </c>
      <c r="AR66" s="240" t="s">
        <v>1107</v>
      </c>
      <c r="AS66" s="240" t="s">
        <v>1107</v>
      </c>
      <c r="AT66" s="240" t="s">
        <v>1107</v>
      </c>
      <c r="AU66" s="240" t="s">
        <v>1107</v>
      </c>
      <c r="AV66" s="240" t="s">
        <v>1107</v>
      </c>
      <c r="AW66" s="240" t="s">
        <v>1107</v>
      </c>
      <c r="AX66" s="240" t="s">
        <v>1107</v>
      </c>
      <c r="AY66" s="240" t="s">
        <v>1107</v>
      </c>
      <c r="AZ66" s="240" t="s">
        <v>1107</v>
      </c>
      <c r="BA66" s="240" t="s">
        <v>1107</v>
      </c>
      <c r="BB66" s="240" t="s">
        <v>1107</v>
      </c>
      <c r="BC66" s="240" t="s">
        <v>1107</v>
      </c>
      <c r="BD66" s="240" t="s">
        <v>1107</v>
      </c>
      <c r="BE66" s="240" t="s">
        <v>1107</v>
      </c>
      <c r="BF66" s="240" t="s">
        <v>1107</v>
      </c>
      <c r="BG66" s="240" t="s">
        <v>1107</v>
      </c>
      <c r="BH66" s="240" t="s">
        <v>1107</v>
      </c>
      <c r="BI66" s="240" t="s">
        <v>1107</v>
      </c>
      <c r="BJ66" s="240" t="s">
        <v>1107</v>
      </c>
      <c r="BK66" s="240" t="s">
        <v>1107</v>
      </c>
      <c r="BL66" s="240" t="s">
        <v>1107</v>
      </c>
      <c r="BM66" s="240" t="s">
        <v>1107</v>
      </c>
      <c r="BN66" s="240" t="s">
        <v>1107</v>
      </c>
      <c r="BO66" s="240" t="s">
        <v>1107</v>
      </c>
      <c r="BP66" s="240" t="s">
        <v>1107</v>
      </c>
      <c r="BQ66" s="240" t="s">
        <v>1107</v>
      </c>
      <c r="BR66" s="240" t="s">
        <v>1107</v>
      </c>
      <c r="BS66" s="240" t="s">
        <v>1107</v>
      </c>
      <c r="BT66" s="240" t="s">
        <v>1107</v>
      </c>
      <c r="BU66" s="240" t="s">
        <v>1107</v>
      </c>
      <c r="BV66" s="240" t="s">
        <v>1107</v>
      </c>
      <c r="BW66" s="240" t="s">
        <v>1107</v>
      </c>
      <c r="BX66" s="240" t="s">
        <v>1107</v>
      </c>
      <c r="BY66" s="240" t="s">
        <v>1107</v>
      </c>
      <c r="BZ66" s="240" t="s">
        <v>231</v>
      </c>
      <c r="CA66" s="240" t="s">
        <v>231</v>
      </c>
      <c r="CB66" s="240" t="s">
        <v>231</v>
      </c>
      <c r="CC66" s="240" t="s">
        <v>492</v>
      </c>
      <c r="CD66" s="240" t="s">
        <v>492</v>
      </c>
      <c r="CE66" s="240" t="s">
        <v>492</v>
      </c>
      <c r="CF66" s="240" t="s">
        <v>231</v>
      </c>
      <c r="CG66" s="240" t="s">
        <v>231</v>
      </c>
      <c r="CH66" s="240" t="s">
        <v>231</v>
      </c>
      <c r="CI66" s="240" t="s">
        <v>231</v>
      </c>
      <c r="CJ66" s="240" t="s">
        <v>231</v>
      </c>
      <c r="CK66" s="240" t="s">
        <v>231</v>
      </c>
      <c r="CL66" s="240" t="s">
        <v>231</v>
      </c>
      <c r="CM66" s="240" t="s">
        <v>231</v>
      </c>
      <c r="CN66" s="240" t="s">
        <v>231</v>
      </c>
      <c r="CO66" s="240" t="s">
        <v>231</v>
      </c>
      <c r="CP66" s="240" t="s">
        <v>231</v>
      </c>
      <c r="CQ66" s="240" t="s">
        <v>231</v>
      </c>
      <c r="CR66" s="240" t="s">
        <v>231</v>
      </c>
      <c r="CS66" s="240" t="s">
        <v>1107</v>
      </c>
      <c r="CT66" s="240" t="s">
        <v>1107</v>
      </c>
      <c r="CU66" s="240" t="s">
        <v>1107</v>
      </c>
      <c r="CV66" s="240" t="s">
        <v>1107</v>
      </c>
      <c r="CW66" s="240" t="s">
        <v>1107</v>
      </c>
      <c r="CX66" s="240" t="s">
        <v>1107</v>
      </c>
      <c r="CY66" s="240" t="s">
        <v>1107</v>
      </c>
      <c r="CZ66" s="240" t="s">
        <v>1107</v>
      </c>
      <c r="DA66" s="240" t="s">
        <v>1107</v>
      </c>
      <c r="DB66" s="240" t="s">
        <v>1107</v>
      </c>
      <c r="DC66" s="240" t="s">
        <v>1107</v>
      </c>
      <c r="DD66" s="240" t="s">
        <v>1107</v>
      </c>
      <c r="DE66" s="240" t="s">
        <v>1107</v>
      </c>
      <c r="DF66" s="240" t="s">
        <v>1107</v>
      </c>
      <c r="DG66" s="240" t="s">
        <v>1107</v>
      </c>
      <c r="DH66" s="240" t="s">
        <v>1107</v>
      </c>
      <c r="DI66" s="240" t="s">
        <v>1107</v>
      </c>
      <c r="DJ66" s="240" t="s">
        <v>1107</v>
      </c>
      <c r="DK66" s="240" t="s">
        <v>1107</v>
      </c>
      <c r="DL66" s="240" t="s">
        <v>1107</v>
      </c>
      <c r="DM66" s="240" t="s">
        <v>1107</v>
      </c>
      <c r="DN66" s="240" t="s">
        <v>1107</v>
      </c>
      <c r="DO66" s="240" t="s">
        <v>1107</v>
      </c>
      <c r="DP66" s="240" t="s">
        <v>1107</v>
      </c>
      <c r="DQ66" s="240" t="s">
        <v>1107</v>
      </c>
      <c r="DR66" s="240" t="s">
        <v>1107</v>
      </c>
      <c r="DS66" s="240" t="s">
        <v>1107</v>
      </c>
      <c r="DT66" s="240" t="s">
        <v>1107</v>
      </c>
      <c r="DU66" s="240" t="s">
        <v>1107</v>
      </c>
      <c r="DV66" s="240" t="s">
        <v>1107</v>
      </c>
      <c r="DW66" s="240" t="s">
        <v>1107</v>
      </c>
      <c r="DX66" s="240" t="s">
        <v>1107</v>
      </c>
      <c r="DY66" s="240" t="s">
        <v>1107</v>
      </c>
      <c r="DZ66" s="240" t="s">
        <v>1107</v>
      </c>
      <c r="EA66" s="240" t="s">
        <v>1107</v>
      </c>
      <c r="EB66" s="240" t="s">
        <v>1107</v>
      </c>
      <c r="EC66" s="240" t="s">
        <v>1107</v>
      </c>
      <c r="ED66" s="240" t="s">
        <v>1107</v>
      </c>
      <c r="EE66" s="240" t="s">
        <v>1107</v>
      </c>
      <c r="EF66" s="240" t="s">
        <v>1107</v>
      </c>
      <c r="EG66" s="240" t="s">
        <v>1107</v>
      </c>
      <c r="EH66" s="240" t="s">
        <v>1107</v>
      </c>
      <c r="EI66" s="240" t="s">
        <v>1107</v>
      </c>
      <c r="EJ66" s="240" t="s">
        <v>1107</v>
      </c>
      <c r="EK66" s="240" t="s">
        <v>1107</v>
      </c>
      <c r="EL66" s="240" t="s">
        <v>1107</v>
      </c>
      <c r="EM66" s="240" t="s">
        <v>1107</v>
      </c>
      <c r="EN66" s="240" t="s">
        <v>1107</v>
      </c>
      <c r="EO66" s="240" t="s">
        <v>1107</v>
      </c>
      <c r="EP66" s="240" t="s">
        <v>1107</v>
      </c>
      <c r="EQ66" s="240" t="s">
        <v>1107</v>
      </c>
      <c r="ER66" s="240" t="s">
        <v>1107</v>
      </c>
      <c r="ES66" s="240" t="s">
        <v>1107</v>
      </c>
      <c r="ET66" s="240" t="s">
        <v>1107</v>
      </c>
      <c r="EU66" s="240" t="s">
        <v>1107</v>
      </c>
      <c r="EV66" s="240" t="s">
        <v>1107</v>
      </c>
      <c r="EW66" s="240" t="s">
        <v>1107</v>
      </c>
      <c r="EX66" s="240" t="s">
        <v>1107</v>
      </c>
      <c r="EY66" s="240" t="s">
        <v>1107</v>
      </c>
      <c r="EZ66" s="240" t="s">
        <v>231</v>
      </c>
      <c r="FA66" s="240" t="s">
        <v>231</v>
      </c>
      <c r="FB66" s="240" t="s">
        <v>231</v>
      </c>
      <c r="FC66" s="240" t="s">
        <v>231</v>
      </c>
      <c r="FD66" s="240" t="s">
        <v>231</v>
      </c>
      <c r="FE66" s="240" t="s">
        <v>231</v>
      </c>
      <c r="FF66" s="240" t="s">
        <v>231</v>
      </c>
      <c r="FG66" s="240" t="s">
        <v>492</v>
      </c>
      <c r="FH66" s="240" t="s">
        <v>492</v>
      </c>
      <c r="FI66" s="240" t="s">
        <v>231</v>
      </c>
      <c r="FJ66" s="240" t="s">
        <v>231</v>
      </c>
      <c r="FK66" s="240" t="s">
        <v>231</v>
      </c>
      <c r="FL66" s="240" t="s">
        <v>231</v>
      </c>
      <c r="FM66" s="240" t="s">
        <v>231</v>
      </c>
      <c r="FN66" s="240" t="s">
        <v>231</v>
      </c>
      <c r="FO66" s="240" t="s">
        <v>231</v>
      </c>
      <c r="FP66" s="240" t="s">
        <v>231</v>
      </c>
      <c r="FQ66" s="240" t="s">
        <v>231</v>
      </c>
      <c r="FR66" s="240" t="s">
        <v>231</v>
      </c>
      <c r="FS66" s="240" t="s">
        <v>231</v>
      </c>
      <c r="FT66" s="240" t="s">
        <v>231</v>
      </c>
      <c r="FU66" s="240" t="s">
        <v>231</v>
      </c>
      <c r="FV66" s="240" t="s">
        <v>231</v>
      </c>
      <c r="FW66" s="240" t="s">
        <v>231</v>
      </c>
      <c r="FX66" s="240" t="s">
        <v>231</v>
      </c>
      <c r="FY66" s="240" t="s">
        <v>231</v>
      </c>
      <c r="FZ66" s="240" t="s">
        <v>231</v>
      </c>
      <c r="GA66" s="240" t="s">
        <v>1107</v>
      </c>
      <c r="GB66" s="240" t="s">
        <v>1107</v>
      </c>
      <c r="GC66" s="240" t="s">
        <v>231</v>
      </c>
      <c r="GD66" s="240" t="s">
        <v>1107</v>
      </c>
      <c r="GE66" s="240" t="s">
        <v>1107</v>
      </c>
      <c r="GF66" s="240" t="s">
        <v>1107</v>
      </c>
      <c r="GG66" s="240" t="s">
        <v>1107</v>
      </c>
      <c r="GH66" s="240" t="s">
        <v>1107</v>
      </c>
      <c r="GI66" s="240" t="s">
        <v>1107</v>
      </c>
      <c r="GJ66" s="240" t="s">
        <v>1107</v>
      </c>
      <c r="GK66" s="240" t="s">
        <v>1107</v>
      </c>
      <c r="GL66" s="240" t="s">
        <v>1107</v>
      </c>
      <c r="GM66" s="240" t="s">
        <v>1107</v>
      </c>
      <c r="GN66" s="240" t="s">
        <v>1107</v>
      </c>
      <c r="GO66" s="240" t="s">
        <v>1107</v>
      </c>
      <c r="GP66" s="240" t="s">
        <v>1107</v>
      </c>
      <c r="GQ66" s="240" t="s">
        <v>1107</v>
      </c>
      <c r="GR66" s="240" t="s">
        <v>1107</v>
      </c>
      <c r="GS66" s="240" t="s">
        <v>1107</v>
      </c>
      <c r="GT66" s="240" t="s">
        <v>1107</v>
      </c>
      <c r="GU66" s="240" t="s">
        <v>1107</v>
      </c>
      <c r="GV66" s="240" t="s">
        <v>1107</v>
      </c>
      <c r="GW66" s="240" t="s">
        <v>1107</v>
      </c>
      <c r="GX66" s="240" t="s">
        <v>1107</v>
      </c>
      <c r="GY66" s="240" t="s">
        <v>1107</v>
      </c>
      <c r="GZ66" s="240" t="s">
        <v>1107</v>
      </c>
      <c r="HA66" s="240" t="s">
        <v>1107</v>
      </c>
      <c r="HB66" s="240" t="s">
        <v>1107</v>
      </c>
      <c r="HC66" s="240" t="s">
        <v>1107</v>
      </c>
      <c r="HD66" s="240" t="s">
        <v>1107</v>
      </c>
      <c r="HE66" s="240" t="s">
        <v>1107</v>
      </c>
      <c r="HF66" s="240" t="s">
        <v>1107</v>
      </c>
      <c r="HG66" s="240" t="s">
        <v>1107</v>
      </c>
      <c r="HH66" s="240" t="s">
        <v>1107</v>
      </c>
      <c r="HI66" s="240" t="s">
        <v>1107</v>
      </c>
      <c r="HJ66" s="240" t="s">
        <v>1107</v>
      </c>
      <c r="HK66" s="240" t="s">
        <v>1107</v>
      </c>
      <c r="HL66" s="240" t="s">
        <v>1107</v>
      </c>
      <c r="HM66" s="240" t="s">
        <v>1107</v>
      </c>
      <c r="HN66" s="240" t="s">
        <v>1107</v>
      </c>
      <c r="HO66" s="240" t="s">
        <v>1107</v>
      </c>
      <c r="HP66" s="240" t="s">
        <v>1107</v>
      </c>
      <c r="HQ66" s="240" t="s">
        <v>1107</v>
      </c>
      <c r="HR66" s="240" t="s">
        <v>1107</v>
      </c>
      <c r="HS66" s="240" t="s">
        <v>1107</v>
      </c>
      <c r="HT66" s="240" t="s">
        <v>231</v>
      </c>
      <c r="HU66" s="240" t="s">
        <v>231</v>
      </c>
      <c r="HV66" s="240" t="s">
        <v>231</v>
      </c>
      <c r="HW66" s="240" t="s">
        <v>231</v>
      </c>
      <c r="HX66" s="240" t="s">
        <v>220</v>
      </c>
      <c r="HY66" s="240" t="s">
        <v>493</v>
      </c>
      <c r="HZ66" s="240" t="s">
        <v>219</v>
      </c>
      <c r="IA66" s="240" t="s">
        <v>490</v>
      </c>
      <c r="IB66" s="240" t="s">
        <v>492</v>
      </c>
      <c r="IC66" s="240" t="s">
        <v>492</v>
      </c>
    </row>
    <row r="67" spans="1:237" ht="15" x14ac:dyDescent="0.25">
      <c r="A67" s="243" t="str">
        <f>HYPERLINK("http://www.ofsted.gov.uk/inspection-reports/find-inspection-report/provider/ELS/108886 ","Ofsted School Webpage")</f>
        <v>Ofsted School Webpage</v>
      </c>
      <c r="B67" s="237">
        <v>108886</v>
      </c>
      <c r="C67" s="237">
        <v>8736051</v>
      </c>
      <c r="D67" s="237" t="s">
        <v>1238</v>
      </c>
      <c r="E67" s="237" t="s">
        <v>248</v>
      </c>
      <c r="F67" s="237" t="s">
        <v>516</v>
      </c>
      <c r="G67" s="237" t="s">
        <v>516</v>
      </c>
      <c r="H67" s="237" t="s">
        <v>867</v>
      </c>
      <c r="I67" s="237" t="s">
        <v>1239</v>
      </c>
      <c r="J67" s="237" t="s">
        <v>93</v>
      </c>
      <c r="K67" s="237" t="s">
        <v>93</v>
      </c>
      <c r="L67" s="237" t="s">
        <v>93</v>
      </c>
      <c r="M67" s="237" t="s">
        <v>90</v>
      </c>
      <c r="N67" s="237" t="s">
        <v>486</v>
      </c>
      <c r="O67" s="237" t="s">
        <v>487</v>
      </c>
      <c r="P67" s="237">
        <v>10081645</v>
      </c>
      <c r="Q67" s="239">
        <v>43418</v>
      </c>
      <c r="R67" s="239">
        <v>43418</v>
      </c>
      <c r="S67" s="239">
        <v>43479</v>
      </c>
      <c r="T67" s="237" t="s">
        <v>1104</v>
      </c>
      <c r="U67" s="237" t="s">
        <v>1105</v>
      </c>
      <c r="V67" s="237" t="s">
        <v>490</v>
      </c>
      <c r="W67" s="237" t="s">
        <v>486</v>
      </c>
      <c r="X67" s="237" t="s">
        <v>486</v>
      </c>
      <c r="Y67" s="237" t="s">
        <v>486</v>
      </c>
      <c r="Z67" s="237" t="s">
        <v>486</v>
      </c>
      <c r="AA67" s="237" t="s">
        <v>486</v>
      </c>
      <c r="AB67" s="237" t="s">
        <v>486</v>
      </c>
      <c r="AC67" s="237" t="s">
        <v>486</v>
      </c>
      <c r="AD67" s="237" t="s">
        <v>1163</v>
      </c>
      <c r="AE67" s="237" t="s">
        <v>1107</v>
      </c>
      <c r="AF67" s="237" t="s">
        <v>1107</v>
      </c>
      <c r="AG67" s="237" t="s">
        <v>1107</v>
      </c>
      <c r="AH67" s="237" t="s">
        <v>1107</v>
      </c>
      <c r="AI67" s="237" t="s">
        <v>1107</v>
      </c>
      <c r="AJ67" s="237" t="s">
        <v>1107</v>
      </c>
      <c r="AK67" s="237" t="s">
        <v>1107</v>
      </c>
      <c r="AL67" s="237" t="s">
        <v>1107</v>
      </c>
      <c r="AM67" s="237" t="s">
        <v>1107</v>
      </c>
      <c r="AN67" s="237" t="s">
        <v>1107</v>
      </c>
      <c r="AO67" s="237" t="s">
        <v>1107</v>
      </c>
      <c r="AP67" s="237" t="s">
        <v>1107</v>
      </c>
      <c r="AQ67" s="237" t="s">
        <v>1107</v>
      </c>
      <c r="AR67" s="237" t="s">
        <v>1107</v>
      </c>
      <c r="AS67" s="237" t="s">
        <v>1107</v>
      </c>
      <c r="AT67" s="237" t="s">
        <v>1107</v>
      </c>
      <c r="AU67" s="237" t="s">
        <v>1107</v>
      </c>
      <c r="AV67" s="237" t="s">
        <v>1107</v>
      </c>
      <c r="AW67" s="237" t="s">
        <v>1107</v>
      </c>
      <c r="AX67" s="237" t="s">
        <v>1107</v>
      </c>
      <c r="AY67" s="237" t="s">
        <v>1107</v>
      </c>
      <c r="AZ67" s="237" t="s">
        <v>1107</v>
      </c>
      <c r="BA67" s="237" t="s">
        <v>1107</v>
      </c>
      <c r="BB67" s="237" t="s">
        <v>1107</v>
      </c>
      <c r="BC67" s="237" t="s">
        <v>1107</v>
      </c>
      <c r="BD67" s="237" t="s">
        <v>1107</v>
      </c>
      <c r="BE67" s="237" t="s">
        <v>1107</v>
      </c>
      <c r="BF67" s="237" t="s">
        <v>1107</v>
      </c>
      <c r="BG67" s="237" t="s">
        <v>1107</v>
      </c>
      <c r="BH67" s="237" t="s">
        <v>1107</v>
      </c>
      <c r="BI67" s="237" t="s">
        <v>1107</v>
      </c>
      <c r="BJ67" s="237" t="s">
        <v>1107</v>
      </c>
      <c r="BK67" s="237" t="s">
        <v>1107</v>
      </c>
      <c r="BL67" s="237" t="s">
        <v>1107</v>
      </c>
      <c r="BM67" s="237" t="s">
        <v>1107</v>
      </c>
      <c r="BN67" s="237" t="s">
        <v>1107</v>
      </c>
      <c r="BO67" s="237" t="s">
        <v>1107</v>
      </c>
      <c r="BP67" s="237" t="s">
        <v>1107</v>
      </c>
      <c r="BQ67" s="237" t="s">
        <v>1107</v>
      </c>
      <c r="BR67" s="237" t="s">
        <v>1107</v>
      </c>
      <c r="BS67" s="237" t="s">
        <v>1107</v>
      </c>
      <c r="BT67" s="237" t="s">
        <v>1107</v>
      </c>
      <c r="BU67" s="237" t="s">
        <v>1107</v>
      </c>
      <c r="BV67" s="237" t="s">
        <v>1107</v>
      </c>
      <c r="BW67" s="237" t="s">
        <v>1107</v>
      </c>
      <c r="BX67" s="237" t="s">
        <v>1107</v>
      </c>
      <c r="BY67" s="237" t="s">
        <v>1107</v>
      </c>
      <c r="BZ67" s="237" t="s">
        <v>232</v>
      </c>
      <c r="CA67" s="237" t="s">
        <v>232</v>
      </c>
      <c r="CB67" s="237" t="s">
        <v>232</v>
      </c>
      <c r="CC67" s="237" t="s">
        <v>492</v>
      </c>
      <c r="CD67" s="237" t="s">
        <v>492</v>
      </c>
      <c r="CE67" s="237" t="s">
        <v>492</v>
      </c>
      <c r="CF67" s="237" t="s">
        <v>1107</v>
      </c>
      <c r="CG67" s="237" t="s">
        <v>1107</v>
      </c>
      <c r="CH67" s="237" t="s">
        <v>1107</v>
      </c>
      <c r="CI67" s="237" t="s">
        <v>1107</v>
      </c>
      <c r="CJ67" s="237" t="s">
        <v>1107</v>
      </c>
      <c r="CK67" s="237" t="s">
        <v>232</v>
      </c>
      <c r="CL67" s="237" t="s">
        <v>232</v>
      </c>
      <c r="CM67" s="237" t="s">
        <v>1107</v>
      </c>
      <c r="CN67" s="237" t="s">
        <v>232</v>
      </c>
      <c r="CO67" s="237" t="s">
        <v>1107</v>
      </c>
      <c r="CP67" s="237" t="s">
        <v>232</v>
      </c>
      <c r="CQ67" s="237" t="s">
        <v>232</v>
      </c>
      <c r="CR67" s="237" t="s">
        <v>232</v>
      </c>
      <c r="CS67" s="237" t="s">
        <v>232</v>
      </c>
      <c r="CT67" s="237" t="s">
        <v>232</v>
      </c>
      <c r="CU67" s="237" t="s">
        <v>232</v>
      </c>
      <c r="CV67" s="237" t="s">
        <v>232</v>
      </c>
      <c r="CW67" s="237" t="s">
        <v>232</v>
      </c>
      <c r="CX67" s="237" t="s">
        <v>232</v>
      </c>
      <c r="CY67" s="237" t="s">
        <v>232</v>
      </c>
      <c r="CZ67" s="237" t="s">
        <v>232</v>
      </c>
      <c r="DA67" s="237" t="s">
        <v>232</v>
      </c>
      <c r="DB67" s="237" t="s">
        <v>232</v>
      </c>
      <c r="DC67" s="237" t="s">
        <v>492</v>
      </c>
      <c r="DD67" s="237" t="s">
        <v>232</v>
      </c>
      <c r="DE67" s="237" t="s">
        <v>232</v>
      </c>
      <c r="DF67" s="237" t="s">
        <v>232</v>
      </c>
      <c r="DG67" s="237" t="s">
        <v>232</v>
      </c>
      <c r="DH67" s="237" t="s">
        <v>232</v>
      </c>
      <c r="DI67" s="237" t="s">
        <v>232</v>
      </c>
      <c r="DJ67" s="237" t="s">
        <v>232</v>
      </c>
      <c r="DK67" s="237" t="s">
        <v>232</v>
      </c>
      <c r="DL67" s="237" t="s">
        <v>232</v>
      </c>
      <c r="DM67" s="237" t="s">
        <v>232</v>
      </c>
      <c r="DN67" s="237" t="s">
        <v>232</v>
      </c>
      <c r="DO67" s="237" t="s">
        <v>232</v>
      </c>
      <c r="DP67" s="237" t="s">
        <v>232</v>
      </c>
      <c r="DQ67" s="237" t="s">
        <v>492</v>
      </c>
      <c r="DR67" s="237" t="s">
        <v>492</v>
      </c>
      <c r="DS67" s="237" t="s">
        <v>492</v>
      </c>
      <c r="DT67" s="237" t="s">
        <v>492</v>
      </c>
      <c r="DU67" s="237" t="s">
        <v>492</v>
      </c>
      <c r="DV67" s="237" t="s">
        <v>492</v>
      </c>
      <c r="DW67" s="237" t="s">
        <v>492</v>
      </c>
      <c r="DX67" s="237" t="s">
        <v>492</v>
      </c>
      <c r="DY67" s="237" t="s">
        <v>492</v>
      </c>
      <c r="DZ67" s="237" t="s">
        <v>492</v>
      </c>
      <c r="EA67" s="237" t="s">
        <v>492</v>
      </c>
      <c r="EB67" s="237" t="s">
        <v>232</v>
      </c>
      <c r="EC67" s="237" t="s">
        <v>232</v>
      </c>
      <c r="ED67" s="237" t="s">
        <v>232</v>
      </c>
      <c r="EE67" s="237" t="s">
        <v>232</v>
      </c>
      <c r="EF67" s="237" t="s">
        <v>232</v>
      </c>
      <c r="EG67" s="237" t="s">
        <v>232</v>
      </c>
      <c r="EH67" s="237" t="s">
        <v>232</v>
      </c>
      <c r="EI67" s="237" t="s">
        <v>232</v>
      </c>
      <c r="EJ67" s="237" t="s">
        <v>232</v>
      </c>
      <c r="EK67" s="237" t="s">
        <v>232</v>
      </c>
      <c r="EL67" s="237" t="s">
        <v>232</v>
      </c>
      <c r="EM67" s="237" t="s">
        <v>232</v>
      </c>
      <c r="EN67" s="237" t="s">
        <v>232</v>
      </c>
      <c r="EO67" s="237" t="s">
        <v>232</v>
      </c>
      <c r="EP67" s="237" t="s">
        <v>232</v>
      </c>
      <c r="EQ67" s="237" t="s">
        <v>232</v>
      </c>
      <c r="ER67" s="237" t="s">
        <v>232</v>
      </c>
      <c r="ES67" s="237" t="s">
        <v>232</v>
      </c>
      <c r="ET67" s="237" t="s">
        <v>232</v>
      </c>
      <c r="EU67" s="237" t="s">
        <v>232</v>
      </c>
      <c r="EV67" s="237" t="s">
        <v>232</v>
      </c>
      <c r="EW67" s="237" t="s">
        <v>232</v>
      </c>
      <c r="EX67" s="237" t="s">
        <v>232</v>
      </c>
      <c r="EY67" s="237" t="s">
        <v>232</v>
      </c>
      <c r="EZ67" s="237" t="s">
        <v>232</v>
      </c>
      <c r="FA67" s="237" t="s">
        <v>231</v>
      </c>
      <c r="FB67" s="237" t="s">
        <v>231</v>
      </c>
      <c r="FC67" s="237" t="s">
        <v>232</v>
      </c>
      <c r="FD67" s="237" t="s">
        <v>232</v>
      </c>
      <c r="FE67" s="237" t="s">
        <v>232</v>
      </c>
      <c r="FF67" s="237" t="s">
        <v>232</v>
      </c>
      <c r="FG67" s="237" t="s">
        <v>492</v>
      </c>
      <c r="FH67" s="237" t="s">
        <v>232</v>
      </c>
      <c r="FI67" s="237" t="s">
        <v>232</v>
      </c>
      <c r="FJ67" s="237" t="s">
        <v>232</v>
      </c>
      <c r="FK67" s="237" t="s">
        <v>232</v>
      </c>
      <c r="FL67" s="237" t="s">
        <v>232</v>
      </c>
      <c r="FM67" s="237" t="s">
        <v>232</v>
      </c>
      <c r="FN67" s="237" t="s">
        <v>232</v>
      </c>
      <c r="FO67" s="237" t="s">
        <v>231</v>
      </c>
      <c r="FP67" s="237" t="s">
        <v>231</v>
      </c>
      <c r="FQ67" s="237" t="s">
        <v>232</v>
      </c>
      <c r="FR67" s="237" t="s">
        <v>231</v>
      </c>
      <c r="FS67" s="237" t="s">
        <v>231</v>
      </c>
      <c r="FT67" s="237" t="s">
        <v>231</v>
      </c>
      <c r="FU67" s="237" t="s">
        <v>231</v>
      </c>
      <c r="FV67" s="237" t="s">
        <v>231</v>
      </c>
      <c r="FW67" s="237" t="s">
        <v>231</v>
      </c>
      <c r="FX67" s="237" t="s">
        <v>231</v>
      </c>
      <c r="FY67" s="237" t="s">
        <v>492</v>
      </c>
      <c r="FZ67" s="237" t="s">
        <v>1107</v>
      </c>
      <c r="GA67" s="237" t="s">
        <v>1107</v>
      </c>
      <c r="GB67" s="237" t="s">
        <v>1107</v>
      </c>
      <c r="GC67" s="237" t="s">
        <v>1107</v>
      </c>
      <c r="GD67" s="237" t="s">
        <v>1107</v>
      </c>
      <c r="GE67" s="237" t="s">
        <v>1107</v>
      </c>
      <c r="GF67" s="237" t="s">
        <v>1107</v>
      </c>
      <c r="GG67" s="237" t="s">
        <v>1107</v>
      </c>
      <c r="GH67" s="237" t="s">
        <v>1107</v>
      </c>
      <c r="GI67" s="237" t="s">
        <v>1107</v>
      </c>
      <c r="GJ67" s="237" t="s">
        <v>1107</v>
      </c>
      <c r="GK67" s="237" t="s">
        <v>1107</v>
      </c>
      <c r="GL67" s="237" t="s">
        <v>1107</v>
      </c>
      <c r="GM67" s="237" t="s">
        <v>1107</v>
      </c>
      <c r="GN67" s="237" t="s">
        <v>1107</v>
      </c>
      <c r="GO67" s="237" t="s">
        <v>1107</v>
      </c>
      <c r="GP67" s="237" t="s">
        <v>1107</v>
      </c>
      <c r="GQ67" s="237" t="s">
        <v>1107</v>
      </c>
      <c r="GR67" s="237" t="s">
        <v>1107</v>
      </c>
      <c r="GS67" s="237" t="s">
        <v>1107</v>
      </c>
      <c r="GT67" s="237" t="s">
        <v>1107</v>
      </c>
      <c r="GU67" s="237" t="s">
        <v>1107</v>
      </c>
      <c r="GV67" s="237" t="s">
        <v>1107</v>
      </c>
      <c r="GW67" s="237" t="s">
        <v>1107</v>
      </c>
      <c r="GX67" s="237" t="s">
        <v>1107</v>
      </c>
      <c r="GY67" s="237" t="s">
        <v>1107</v>
      </c>
      <c r="GZ67" s="237" t="s">
        <v>1107</v>
      </c>
      <c r="HA67" s="237" t="s">
        <v>1107</v>
      </c>
      <c r="HB67" s="237" t="s">
        <v>1107</v>
      </c>
      <c r="HC67" s="237" t="s">
        <v>1107</v>
      </c>
      <c r="HD67" s="237" t="s">
        <v>1107</v>
      </c>
      <c r="HE67" s="237" t="s">
        <v>1107</v>
      </c>
      <c r="HF67" s="237" t="s">
        <v>1107</v>
      </c>
      <c r="HG67" s="237" t="s">
        <v>1107</v>
      </c>
      <c r="HH67" s="237" t="s">
        <v>1107</v>
      </c>
      <c r="HI67" s="237" t="s">
        <v>1107</v>
      </c>
      <c r="HJ67" s="237" t="s">
        <v>1107</v>
      </c>
      <c r="HK67" s="237" t="s">
        <v>1107</v>
      </c>
      <c r="HL67" s="237" t="s">
        <v>1107</v>
      </c>
      <c r="HM67" s="237" t="s">
        <v>1107</v>
      </c>
      <c r="HN67" s="237" t="s">
        <v>1107</v>
      </c>
      <c r="HO67" s="237" t="s">
        <v>1107</v>
      </c>
      <c r="HP67" s="237" t="s">
        <v>1107</v>
      </c>
      <c r="HQ67" s="237" t="s">
        <v>1107</v>
      </c>
      <c r="HR67" s="237" t="s">
        <v>1107</v>
      </c>
      <c r="HS67" s="237" t="s">
        <v>1107</v>
      </c>
      <c r="HT67" s="237" t="s">
        <v>232</v>
      </c>
      <c r="HU67" s="237" t="s">
        <v>232</v>
      </c>
      <c r="HV67" s="237" t="s">
        <v>232</v>
      </c>
      <c r="HW67" s="237" t="s">
        <v>232</v>
      </c>
      <c r="HX67" s="237" t="s">
        <v>220</v>
      </c>
      <c r="HY67" s="237" t="s">
        <v>493</v>
      </c>
      <c r="HZ67" s="237" t="s">
        <v>219</v>
      </c>
      <c r="IA67" s="237" t="s">
        <v>512</v>
      </c>
      <c r="IB67" s="237" t="s">
        <v>492</v>
      </c>
      <c r="IC67" s="237" t="s">
        <v>492</v>
      </c>
    </row>
    <row r="68" spans="1:237" ht="15" x14ac:dyDescent="0.25">
      <c r="A68" s="244" t="str">
        <f>HYPERLINK("http://www.ofsted.gov.uk/inspection-reports/find-inspection-report/provider/ELS/135216 ","Ofsted School Webpage")</f>
        <v>Ofsted School Webpage</v>
      </c>
      <c r="B68" s="240">
        <v>135216</v>
      </c>
      <c r="C68" s="240">
        <v>3846348</v>
      </c>
      <c r="D68" s="240" t="s">
        <v>1240</v>
      </c>
      <c r="E68" s="240" t="s">
        <v>248</v>
      </c>
      <c r="F68" s="240" t="s">
        <v>523</v>
      </c>
      <c r="G68" s="240" t="s">
        <v>524</v>
      </c>
      <c r="H68" s="240" t="s">
        <v>525</v>
      </c>
      <c r="I68" s="240" t="s">
        <v>1241</v>
      </c>
      <c r="J68" s="240" t="s">
        <v>93</v>
      </c>
      <c r="K68" s="240" t="s">
        <v>93</v>
      </c>
      <c r="L68" s="240" t="s">
        <v>93</v>
      </c>
      <c r="M68" s="240" t="s">
        <v>90</v>
      </c>
      <c r="N68" s="240" t="s">
        <v>486</v>
      </c>
      <c r="O68" s="240" t="s">
        <v>487</v>
      </c>
      <c r="P68" s="240">
        <v>10080526</v>
      </c>
      <c r="Q68" s="242">
        <v>43418</v>
      </c>
      <c r="R68" s="242">
        <v>43418</v>
      </c>
      <c r="S68" s="242">
        <v>43444</v>
      </c>
      <c r="T68" s="240" t="s">
        <v>1124</v>
      </c>
      <c r="U68" s="240" t="s">
        <v>1105</v>
      </c>
      <c r="V68" s="240" t="s">
        <v>512</v>
      </c>
      <c r="W68" s="240" t="s">
        <v>486</v>
      </c>
      <c r="X68" s="240" t="s">
        <v>490</v>
      </c>
      <c r="Y68" s="240" t="s">
        <v>486</v>
      </c>
      <c r="Z68" s="240" t="s">
        <v>486</v>
      </c>
      <c r="AA68" s="240" t="s">
        <v>486</v>
      </c>
      <c r="AB68" s="240" t="s">
        <v>486</v>
      </c>
      <c r="AC68" s="240" t="s">
        <v>486</v>
      </c>
      <c r="AD68" s="240" t="s">
        <v>1110</v>
      </c>
      <c r="AE68" s="240" t="s">
        <v>1107</v>
      </c>
      <c r="AF68" s="240" t="s">
        <v>1107</v>
      </c>
      <c r="AG68" s="240" t="s">
        <v>1107</v>
      </c>
      <c r="AH68" s="240" t="s">
        <v>1107</v>
      </c>
      <c r="AI68" s="240" t="s">
        <v>1107</v>
      </c>
      <c r="AJ68" s="240" t="s">
        <v>1107</v>
      </c>
      <c r="AK68" s="240" t="s">
        <v>1107</v>
      </c>
      <c r="AL68" s="240" t="s">
        <v>1107</v>
      </c>
      <c r="AM68" s="240" t="s">
        <v>1107</v>
      </c>
      <c r="AN68" s="240" t="s">
        <v>1107</v>
      </c>
      <c r="AO68" s="240" t="s">
        <v>1107</v>
      </c>
      <c r="AP68" s="240" t="s">
        <v>1107</v>
      </c>
      <c r="AQ68" s="240" t="s">
        <v>1107</v>
      </c>
      <c r="AR68" s="240" t="s">
        <v>1107</v>
      </c>
      <c r="AS68" s="240" t="s">
        <v>1107</v>
      </c>
      <c r="AT68" s="240" t="s">
        <v>1107</v>
      </c>
      <c r="AU68" s="240" t="s">
        <v>1107</v>
      </c>
      <c r="AV68" s="240" t="s">
        <v>1107</v>
      </c>
      <c r="AW68" s="240" t="s">
        <v>1107</v>
      </c>
      <c r="AX68" s="240" t="s">
        <v>1107</v>
      </c>
      <c r="AY68" s="240" t="s">
        <v>1107</v>
      </c>
      <c r="AZ68" s="240" t="s">
        <v>1107</v>
      </c>
      <c r="BA68" s="240" t="s">
        <v>1107</v>
      </c>
      <c r="BB68" s="240" t="s">
        <v>1107</v>
      </c>
      <c r="BC68" s="240" t="s">
        <v>1107</v>
      </c>
      <c r="BD68" s="240" t="s">
        <v>1107</v>
      </c>
      <c r="BE68" s="240" t="s">
        <v>1107</v>
      </c>
      <c r="BF68" s="240" t="s">
        <v>1107</v>
      </c>
      <c r="BG68" s="240" t="s">
        <v>1107</v>
      </c>
      <c r="BH68" s="240" t="s">
        <v>1107</v>
      </c>
      <c r="BI68" s="240" t="s">
        <v>1107</v>
      </c>
      <c r="BJ68" s="240" t="s">
        <v>1107</v>
      </c>
      <c r="BK68" s="240" t="s">
        <v>1107</v>
      </c>
      <c r="BL68" s="240" t="s">
        <v>1107</v>
      </c>
      <c r="BM68" s="240" t="s">
        <v>1107</v>
      </c>
      <c r="BN68" s="240" t="s">
        <v>1107</v>
      </c>
      <c r="BO68" s="240" t="s">
        <v>1107</v>
      </c>
      <c r="BP68" s="240" t="s">
        <v>1107</v>
      </c>
      <c r="BQ68" s="240" t="s">
        <v>1107</v>
      </c>
      <c r="BR68" s="240" t="s">
        <v>1107</v>
      </c>
      <c r="BS68" s="240" t="s">
        <v>1107</v>
      </c>
      <c r="BT68" s="240" t="s">
        <v>1107</v>
      </c>
      <c r="BU68" s="240" t="s">
        <v>1107</v>
      </c>
      <c r="BV68" s="240" t="s">
        <v>1107</v>
      </c>
      <c r="BW68" s="240" t="s">
        <v>1107</v>
      </c>
      <c r="BX68" s="240" t="s">
        <v>1107</v>
      </c>
      <c r="BY68" s="240" t="s">
        <v>1107</v>
      </c>
      <c r="BZ68" s="240" t="s">
        <v>231</v>
      </c>
      <c r="CA68" s="240" t="s">
        <v>231</v>
      </c>
      <c r="CB68" s="240" t="s">
        <v>231</v>
      </c>
      <c r="CC68" s="240" t="s">
        <v>1107</v>
      </c>
      <c r="CD68" s="240" t="s">
        <v>1107</v>
      </c>
      <c r="CE68" s="240" t="s">
        <v>1107</v>
      </c>
      <c r="CF68" s="240" t="s">
        <v>231</v>
      </c>
      <c r="CG68" s="240" t="s">
        <v>231</v>
      </c>
      <c r="CH68" s="240" t="s">
        <v>231</v>
      </c>
      <c r="CI68" s="240" t="s">
        <v>231</v>
      </c>
      <c r="CJ68" s="240" t="s">
        <v>1107</v>
      </c>
      <c r="CK68" s="240" t="s">
        <v>231</v>
      </c>
      <c r="CL68" s="240" t="s">
        <v>231</v>
      </c>
      <c r="CM68" s="240" t="s">
        <v>1107</v>
      </c>
      <c r="CN68" s="240" t="s">
        <v>231</v>
      </c>
      <c r="CO68" s="240" t="s">
        <v>492</v>
      </c>
      <c r="CP68" s="240" t="s">
        <v>231</v>
      </c>
      <c r="CQ68" s="240" t="s">
        <v>231</v>
      </c>
      <c r="CR68" s="240" t="s">
        <v>231</v>
      </c>
      <c r="CS68" s="240" t="s">
        <v>231</v>
      </c>
      <c r="CT68" s="240" t="s">
        <v>231</v>
      </c>
      <c r="CU68" s="240" t="s">
        <v>231</v>
      </c>
      <c r="CV68" s="240" t="s">
        <v>231</v>
      </c>
      <c r="CW68" s="240" t="s">
        <v>231</v>
      </c>
      <c r="CX68" s="240" t="s">
        <v>231</v>
      </c>
      <c r="CY68" s="240" t="s">
        <v>231</v>
      </c>
      <c r="CZ68" s="240" t="s">
        <v>231</v>
      </c>
      <c r="DA68" s="240" t="s">
        <v>231</v>
      </c>
      <c r="DB68" s="240" t="s">
        <v>231</v>
      </c>
      <c r="DC68" s="240" t="s">
        <v>492</v>
      </c>
      <c r="DD68" s="240" t="s">
        <v>231</v>
      </c>
      <c r="DE68" s="240" t="s">
        <v>231</v>
      </c>
      <c r="DF68" s="240" t="s">
        <v>231</v>
      </c>
      <c r="DG68" s="240" t="s">
        <v>231</v>
      </c>
      <c r="DH68" s="240" t="s">
        <v>231</v>
      </c>
      <c r="DI68" s="240" t="s">
        <v>231</v>
      </c>
      <c r="DJ68" s="240" t="s">
        <v>231</v>
      </c>
      <c r="DK68" s="240" t="s">
        <v>231</v>
      </c>
      <c r="DL68" s="240" t="s">
        <v>231</v>
      </c>
      <c r="DM68" s="240" t="s">
        <v>231</v>
      </c>
      <c r="DN68" s="240" t="s">
        <v>231</v>
      </c>
      <c r="DO68" s="240" t="s">
        <v>231</v>
      </c>
      <c r="DP68" s="240" t="s">
        <v>231</v>
      </c>
      <c r="DQ68" s="240" t="s">
        <v>492</v>
      </c>
      <c r="DR68" s="240" t="s">
        <v>231</v>
      </c>
      <c r="DS68" s="240" t="s">
        <v>231</v>
      </c>
      <c r="DT68" s="240" t="s">
        <v>231</v>
      </c>
      <c r="DU68" s="240" t="s">
        <v>231</v>
      </c>
      <c r="DV68" s="240" t="s">
        <v>231</v>
      </c>
      <c r="DW68" s="240" t="s">
        <v>231</v>
      </c>
      <c r="DX68" s="240" t="s">
        <v>231</v>
      </c>
      <c r="DY68" s="240" t="s">
        <v>231</v>
      </c>
      <c r="DZ68" s="240" t="s">
        <v>231</v>
      </c>
      <c r="EA68" s="240" t="s">
        <v>231</v>
      </c>
      <c r="EB68" s="240" t="s">
        <v>231</v>
      </c>
      <c r="EC68" s="240" t="s">
        <v>231</v>
      </c>
      <c r="ED68" s="240" t="s">
        <v>231</v>
      </c>
      <c r="EE68" s="240" t="s">
        <v>231</v>
      </c>
      <c r="EF68" s="240" t="s">
        <v>231</v>
      </c>
      <c r="EG68" s="240" t="s">
        <v>231</v>
      </c>
      <c r="EH68" s="240" t="s">
        <v>231</v>
      </c>
      <c r="EI68" s="240" t="s">
        <v>231</v>
      </c>
      <c r="EJ68" s="240" t="s">
        <v>231</v>
      </c>
      <c r="EK68" s="240" t="s">
        <v>231</v>
      </c>
      <c r="EL68" s="240" t="s">
        <v>231</v>
      </c>
      <c r="EM68" s="240" t="s">
        <v>231</v>
      </c>
      <c r="EN68" s="240" t="s">
        <v>231</v>
      </c>
      <c r="EO68" s="240" t="s">
        <v>492</v>
      </c>
      <c r="EP68" s="240" t="s">
        <v>231</v>
      </c>
      <c r="EQ68" s="240" t="s">
        <v>231</v>
      </c>
      <c r="ER68" s="240" t="s">
        <v>231</v>
      </c>
      <c r="ES68" s="240" t="s">
        <v>231</v>
      </c>
      <c r="ET68" s="240" t="s">
        <v>231</v>
      </c>
      <c r="EU68" s="240" t="s">
        <v>231</v>
      </c>
      <c r="EV68" s="240" t="s">
        <v>231</v>
      </c>
      <c r="EW68" s="240" t="s">
        <v>492</v>
      </c>
      <c r="EX68" s="240" t="s">
        <v>492</v>
      </c>
      <c r="EY68" s="240" t="s">
        <v>492</v>
      </c>
      <c r="EZ68" s="240" t="s">
        <v>231</v>
      </c>
      <c r="FA68" s="240" t="s">
        <v>231</v>
      </c>
      <c r="FB68" s="240" t="s">
        <v>231</v>
      </c>
      <c r="FC68" s="240" t="s">
        <v>231</v>
      </c>
      <c r="FD68" s="240" t="s">
        <v>231</v>
      </c>
      <c r="FE68" s="240" t="s">
        <v>231</v>
      </c>
      <c r="FF68" s="240" t="s">
        <v>231</v>
      </c>
      <c r="FG68" s="240" t="s">
        <v>231</v>
      </c>
      <c r="FH68" s="240" t="s">
        <v>231</v>
      </c>
      <c r="FI68" s="240" t="s">
        <v>231</v>
      </c>
      <c r="FJ68" s="240" t="s">
        <v>231</v>
      </c>
      <c r="FK68" s="240" t="s">
        <v>231</v>
      </c>
      <c r="FL68" s="240" t="s">
        <v>231</v>
      </c>
      <c r="FM68" s="240" t="s">
        <v>231</v>
      </c>
      <c r="FN68" s="240" t="s">
        <v>231</v>
      </c>
      <c r="FO68" s="240" t="s">
        <v>231</v>
      </c>
      <c r="FP68" s="240" t="s">
        <v>231</v>
      </c>
      <c r="FQ68" s="240" t="s">
        <v>231</v>
      </c>
      <c r="FR68" s="240" t="s">
        <v>231</v>
      </c>
      <c r="FS68" s="240" t="s">
        <v>231</v>
      </c>
      <c r="FT68" s="240" t="s">
        <v>231</v>
      </c>
      <c r="FU68" s="240" t="s">
        <v>231</v>
      </c>
      <c r="FV68" s="240" t="s">
        <v>231</v>
      </c>
      <c r="FW68" s="240" t="s">
        <v>231</v>
      </c>
      <c r="FX68" s="240" t="s">
        <v>231</v>
      </c>
      <c r="FY68" s="240" t="s">
        <v>492</v>
      </c>
      <c r="FZ68" s="240" t="s">
        <v>1107</v>
      </c>
      <c r="GA68" s="240" t="s">
        <v>1107</v>
      </c>
      <c r="GB68" s="240" t="s">
        <v>1107</v>
      </c>
      <c r="GC68" s="240" t="s">
        <v>1107</v>
      </c>
      <c r="GD68" s="240" t="s">
        <v>1107</v>
      </c>
      <c r="GE68" s="240" t="s">
        <v>1107</v>
      </c>
      <c r="GF68" s="240" t="s">
        <v>1107</v>
      </c>
      <c r="GG68" s="240" t="s">
        <v>1107</v>
      </c>
      <c r="GH68" s="240" t="s">
        <v>1107</v>
      </c>
      <c r="GI68" s="240" t="s">
        <v>1107</v>
      </c>
      <c r="GJ68" s="240" t="s">
        <v>1107</v>
      </c>
      <c r="GK68" s="240" t="s">
        <v>1107</v>
      </c>
      <c r="GL68" s="240" t="s">
        <v>1107</v>
      </c>
      <c r="GM68" s="240" t="s">
        <v>1107</v>
      </c>
      <c r="GN68" s="240" t="s">
        <v>1107</v>
      </c>
      <c r="GO68" s="240" t="s">
        <v>1107</v>
      </c>
      <c r="GP68" s="240" t="s">
        <v>1107</v>
      </c>
      <c r="GQ68" s="240" t="s">
        <v>1107</v>
      </c>
      <c r="GR68" s="240" t="s">
        <v>1107</v>
      </c>
      <c r="GS68" s="240" t="s">
        <v>1107</v>
      </c>
      <c r="GT68" s="240" t="s">
        <v>1107</v>
      </c>
      <c r="GU68" s="240" t="s">
        <v>1107</v>
      </c>
      <c r="GV68" s="240" t="s">
        <v>1107</v>
      </c>
      <c r="GW68" s="240" t="s">
        <v>1107</v>
      </c>
      <c r="GX68" s="240" t="s">
        <v>1107</v>
      </c>
      <c r="GY68" s="240" t="s">
        <v>1107</v>
      </c>
      <c r="GZ68" s="240" t="s">
        <v>1107</v>
      </c>
      <c r="HA68" s="240" t="s">
        <v>1107</v>
      </c>
      <c r="HB68" s="240" t="s">
        <v>1107</v>
      </c>
      <c r="HC68" s="240" t="s">
        <v>1107</v>
      </c>
      <c r="HD68" s="240" t="s">
        <v>1107</v>
      </c>
      <c r="HE68" s="240" t="s">
        <v>1107</v>
      </c>
      <c r="HF68" s="240" t="s">
        <v>1107</v>
      </c>
      <c r="HG68" s="240" t="s">
        <v>1107</v>
      </c>
      <c r="HH68" s="240" t="s">
        <v>1107</v>
      </c>
      <c r="HI68" s="240" t="s">
        <v>1107</v>
      </c>
      <c r="HJ68" s="240" t="s">
        <v>1107</v>
      </c>
      <c r="HK68" s="240" t="s">
        <v>1107</v>
      </c>
      <c r="HL68" s="240" t="s">
        <v>1107</v>
      </c>
      <c r="HM68" s="240" t="s">
        <v>1107</v>
      </c>
      <c r="HN68" s="240" t="s">
        <v>1107</v>
      </c>
      <c r="HO68" s="240" t="s">
        <v>1107</v>
      </c>
      <c r="HP68" s="240" t="s">
        <v>1107</v>
      </c>
      <c r="HQ68" s="240" t="s">
        <v>1107</v>
      </c>
      <c r="HR68" s="240" t="s">
        <v>1107</v>
      </c>
      <c r="HS68" s="240" t="s">
        <v>1107</v>
      </c>
      <c r="HT68" s="240" t="s">
        <v>231</v>
      </c>
      <c r="HU68" s="240" t="s">
        <v>231</v>
      </c>
      <c r="HV68" s="240" t="s">
        <v>231</v>
      </c>
      <c r="HW68" s="240" t="s">
        <v>231</v>
      </c>
      <c r="HX68" s="240" t="s">
        <v>219</v>
      </c>
      <c r="HY68" s="240" t="s">
        <v>219</v>
      </c>
      <c r="HZ68" s="240" t="s">
        <v>219</v>
      </c>
      <c r="IA68" s="240" t="s">
        <v>490</v>
      </c>
      <c r="IB68" s="240" t="s">
        <v>492</v>
      </c>
      <c r="IC68" s="240" t="s">
        <v>492</v>
      </c>
    </row>
    <row r="69" spans="1:237" ht="15" x14ac:dyDescent="0.25">
      <c r="A69" s="243" t="str">
        <f>HYPERLINK("http://www.ofsted.gov.uk/inspection-reports/find-inspection-report/provider/ELS/141087 ","Ofsted School Webpage")</f>
        <v>Ofsted School Webpage</v>
      </c>
      <c r="B69" s="237">
        <v>141087</v>
      </c>
      <c r="C69" s="237">
        <v>3536002</v>
      </c>
      <c r="D69" s="237" t="s">
        <v>1242</v>
      </c>
      <c r="E69" s="237" t="s">
        <v>247</v>
      </c>
      <c r="F69" s="237" t="s">
        <v>495</v>
      </c>
      <c r="G69" s="237" t="s">
        <v>495</v>
      </c>
      <c r="H69" s="237" t="s">
        <v>880</v>
      </c>
      <c r="I69" s="237" t="s">
        <v>1243</v>
      </c>
      <c r="J69" s="237" t="s">
        <v>93</v>
      </c>
      <c r="K69" s="237" t="s">
        <v>84</v>
      </c>
      <c r="L69" s="237" t="s">
        <v>84</v>
      </c>
      <c r="M69" s="237" t="s">
        <v>84</v>
      </c>
      <c r="N69" s="237" t="s">
        <v>486</v>
      </c>
      <c r="O69" s="237" t="s">
        <v>487</v>
      </c>
      <c r="P69" s="237">
        <v>10084064</v>
      </c>
      <c r="Q69" s="239">
        <v>43418</v>
      </c>
      <c r="R69" s="239">
        <v>43418</v>
      </c>
      <c r="S69" s="239">
        <v>43450</v>
      </c>
      <c r="T69" s="237" t="s">
        <v>1109</v>
      </c>
      <c r="U69" s="237" t="s">
        <v>1105</v>
      </c>
      <c r="V69" s="237" t="s">
        <v>490</v>
      </c>
      <c r="W69" s="237" t="s">
        <v>486</v>
      </c>
      <c r="X69" s="237" t="s">
        <v>486</v>
      </c>
      <c r="Y69" s="237" t="s">
        <v>486</v>
      </c>
      <c r="Z69" s="237" t="s">
        <v>486</v>
      </c>
      <c r="AA69" s="237" t="s">
        <v>486</v>
      </c>
      <c r="AB69" s="237" t="s">
        <v>486</v>
      </c>
      <c r="AC69" s="237" t="s">
        <v>486</v>
      </c>
      <c r="AD69" s="237" t="s">
        <v>1110</v>
      </c>
      <c r="AE69" s="237" t="s">
        <v>1107</v>
      </c>
      <c r="AF69" s="237" t="s">
        <v>1107</v>
      </c>
      <c r="AG69" s="237" t="s">
        <v>1107</v>
      </c>
      <c r="AH69" s="237" t="s">
        <v>1107</v>
      </c>
      <c r="AI69" s="237" t="s">
        <v>1107</v>
      </c>
      <c r="AJ69" s="237" t="s">
        <v>1107</v>
      </c>
      <c r="AK69" s="237" t="s">
        <v>1107</v>
      </c>
      <c r="AL69" s="237" t="s">
        <v>1107</v>
      </c>
      <c r="AM69" s="237" t="s">
        <v>1107</v>
      </c>
      <c r="AN69" s="237" t="s">
        <v>1107</v>
      </c>
      <c r="AO69" s="237" t="s">
        <v>1107</v>
      </c>
      <c r="AP69" s="237" t="s">
        <v>1107</v>
      </c>
      <c r="AQ69" s="237" t="s">
        <v>1107</v>
      </c>
      <c r="AR69" s="237" t="s">
        <v>1107</v>
      </c>
      <c r="AS69" s="237" t="s">
        <v>1107</v>
      </c>
      <c r="AT69" s="237" t="s">
        <v>1107</v>
      </c>
      <c r="AU69" s="237" t="s">
        <v>1107</v>
      </c>
      <c r="AV69" s="237" t="s">
        <v>1107</v>
      </c>
      <c r="AW69" s="237" t="s">
        <v>1107</v>
      </c>
      <c r="AX69" s="237" t="s">
        <v>1107</v>
      </c>
      <c r="AY69" s="237" t="s">
        <v>1107</v>
      </c>
      <c r="AZ69" s="237" t="s">
        <v>1107</v>
      </c>
      <c r="BA69" s="237" t="s">
        <v>1107</v>
      </c>
      <c r="BB69" s="237" t="s">
        <v>1107</v>
      </c>
      <c r="BC69" s="237" t="s">
        <v>1107</v>
      </c>
      <c r="BD69" s="237" t="s">
        <v>1107</v>
      </c>
      <c r="BE69" s="237" t="s">
        <v>1107</v>
      </c>
      <c r="BF69" s="237" t="s">
        <v>1107</v>
      </c>
      <c r="BG69" s="237" t="s">
        <v>1107</v>
      </c>
      <c r="BH69" s="237" t="s">
        <v>1107</v>
      </c>
      <c r="BI69" s="237" t="s">
        <v>1107</v>
      </c>
      <c r="BJ69" s="237" t="s">
        <v>1107</v>
      </c>
      <c r="BK69" s="237" t="s">
        <v>1107</v>
      </c>
      <c r="BL69" s="237" t="s">
        <v>1107</v>
      </c>
      <c r="BM69" s="237" t="s">
        <v>1107</v>
      </c>
      <c r="BN69" s="237" t="s">
        <v>1107</v>
      </c>
      <c r="BO69" s="237" t="s">
        <v>1107</v>
      </c>
      <c r="BP69" s="237" t="s">
        <v>1107</v>
      </c>
      <c r="BQ69" s="237" t="s">
        <v>1107</v>
      </c>
      <c r="BR69" s="237" t="s">
        <v>1107</v>
      </c>
      <c r="BS69" s="237" t="s">
        <v>1107</v>
      </c>
      <c r="BT69" s="237" t="s">
        <v>1107</v>
      </c>
      <c r="BU69" s="237" t="s">
        <v>1107</v>
      </c>
      <c r="BV69" s="237" t="s">
        <v>1107</v>
      </c>
      <c r="BW69" s="237" t="s">
        <v>1107</v>
      </c>
      <c r="BX69" s="237" t="s">
        <v>1107</v>
      </c>
      <c r="BY69" s="237" t="s">
        <v>1107</v>
      </c>
      <c r="BZ69" s="237" t="s">
        <v>231</v>
      </c>
      <c r="CA69" s="237" t="s">
        <v>231</v>
      </c>
      <c r="CB69" s="237" t="s">
        <v>231</v>
      </c>
      <c r="CC69" s="237" t="s">
        <v>1107</v>
      </c>
      <c r="CD69" s="237" t="s">
        <v>1107</v>
      </c>
      <c r="CE69" s="237" t="s">
        <v>1107</v>
      </c>
      <c r="CF69" s="237" t="s">
        <v>1107</v>
      </c>
      <c r="CG69" s="237" t="s">
        <v>1107</v>
      </c>
      <c r="CH69" s="237" t="s">
        <v>1107</v>
      </c>
      <c r="CI69" s="237" t="s">
        <v>1107</v>
      </c>
      <c r="CJ69" s="237" t="s">
        <v>1107</v>
      </c>
      <c r="CK69" s="237" t="s">
        <v>1107</v>
      </c>
      <c r="CL69" s="237" t="s">
        <v>1107</v>
      </c>
      <c r="CM69" s="237" t="s">
        <v>1107</v>
      </c>
      <c r="CN69" s="237" t="s">
        <v>1107</v>
      </c>
      <c r="CO69" s="237" t="s">
        <v>1107</v>
      </c>
      <c r="CP69" s="237" t="s">
        <v>1107</v>
      </c>
      <c r="CQ69" s="237" t="s">
        <v>1107</v>
      </c>
      <c r="CR69" s="237" t="s">
        <v>1107</v>
      </c>
      <c r="CS69" s="237" t="s">
        <v>1107</v>
      </c>
      <c r="CT69" s="237" t="s">
        <v>1107</v>
      </c>
      <c r="CU69" s="237" t="s">
        <v>1107</v>
      </c>
      <c r="CV69" s="237" t="s">
        <v>1107</v>
      </c>
      <c r="CW69" s="237" t="s">
        <v>1107</v>
      </c>
      <c r="CX69" s="237" t="s">
        <v>1107</v>
      </c>
      <c r="CY69" s="237" t="s">
        <v>1107</v>
      </c>
      <c r="CZ69" s="237" t="s">
        <v>1107</v>
      </c>
      <c r="DA69" s="237" t="s">
        <v>1107</v>
      </c>
      <c r="DB69" s="237" t="s">
        <v>1107</v>
      </c>
      <c r="DC69" s="237" t="s">
        <v>1107</v>
      </c>
      <c r="DD69" s="237" t="s">
        <v>1107</v>
      </c>
      <c r="DE69" s="237" t="s">
        <v>1107</v>
      </c>
      <c r="DF69" s="237" t="s">
        <v>1107</v>
      </c>
      <c r="DG69" s="237" t="s">
        <v>1107</v>
      </c>
      <c r="DH69" s="237" t="s">
        <v>1107</v>
      </c>
      <c r="DI69" s="237" t="s">
        <v>1107</v>
      </c>
      <c r="DJ69" s="237" t="s">
        <v>1107</v>
      </c>
      <c r="DK69" s="237" t="s">
        <v>1107</v>
      </c>
      <c r="DL69" s="237" t="s">
        <v>1107</v>
      </c>
      <c r="DM69" s="237" t="s">
        <v>1107</v>
      </c>
      <c r="DN69" s="237" t="s">
        <v>1107</v>
      </c>
      <c r="DO69" s="237" t="s">
        <v>1107</v>
      </c>
      <c r="DP69" s="237" t="s">
        <v>1107</v>
      </c>
      <c r="DQ69" s="237" t="s">
        <v>1107</v>
      </c>
      <c r="DR69" s="237" t="s">
        <v>1107</v>
      </c>
      <c r="DS69" s="237" t="s">
        <v>1107</v>
      </c>
      <c r="DT69" s="237" t="s">
        <v>1107</v>
      </c>
      <c r="DU69" s="237" t="s">
        <v>1107</v>
      </c>
      <c r="DV69" s="237" t="s">
        <v>1107</v>
      </c>
      <c r="DW69" s="237" t="s">
        <v>1107</v>
      </c>
      <c r="DX69" s="237" t="s">
        <v>1107</v>
      </c>
      <c r="DY69" s="237" t="s">
        <v>1107</v>
      </c>
      <c r="DZ69" s="237" t="s">
        <v>1107</v>
      </c>
      <c r="EA69" s="237" t="s">
        <v>1107</v>
      </c>
      <c r="EB69" s="237" t="s">
        <v>1107</v>
      </c>
      <c r="EC69" s="237" t="s">
        <v>1107</v>
      </c>
      <c r="ED69" s="237" t="s">
        <v>1107</v>
      </c>
      <c r="EE69" s="237" t="s">
        <v>1107</v>
      </c>
      <c r="EF69" s="237" t="s">
        <v>1107</v>
      </c>
      <c r="EG69" s="237" t="s">
        <v>1107</v>
      </c>
      <c r="EH69" s="237" t="s">
        <v>1107</v>
      </c>
      <c r="EI69" s="237" t="s">
        <v>1107</v>
      </c>
      <c r="EJ69" s="237" t="s">
        <v>1107</v>
      </c>
      <c r="EK69" s="237" t="s">
        <v>1107</v>
      </c>
      <c r="EL69" s="237" t="s">
        <v>1107</v>
      </c>
      <c r="EM69" s="237" t="s">
        <v>1107</v>
      </c>
      <c r="EN69" s="237" t="s">
        <v>1107</v>
      </c>
      <c r="EO69" s="237" t="s">
        <v>1107</v>
      </c>
      <c r="EP69" s="237" t="s">
        <v>1107</v>
      </c>
      <c r="EQ69" s="237" t="s">
        <v>1107</v>
      </c>
      <c r="ER69" s="237" t="s">
        <v>1107</v>
      </c>
      <c r="ES69" s="237" t="s">
        <v>1107</v>
      </c>
      <c r="ET69" s="237" t="s">
        <v>1107</v>
      </c>
      <c r="EU69" s="237" t="s">
        <v>1107</v>
      </c>
      <c r="EV69" s="237" t="s">
        <v>1107</v>
      </c>
      <c r="EW69" s="237" t="s">
        <v>1107</v>
      </c>
      <c r="EX69" s="237" t="s">
        <v>1107</v>
      </c>
      <c r="EY69" s="237" t="s">
        <v>1107</v>
      </c>
      <c r="EZ69" s="237" t="s">
        <v>1107</v>
      </c>
      <c r="FA69" s="237" t="s">
        <v>1107</v>
      </c>
      <c r="FB69" s="237" t="s">
        <v>1107</v>
      </c>
      <c r="FC69" s="237" t="s">
        <v>1107</v>
      </c>
      <c r="FD69" s="237" t="s">
        <v>1107</v>
      </c>
      <c r="FE69" s="237" t="s">
        <v>1107</v>
      </c>
      <c r="FF69" s="237" t="s">
        <v>1107</v>
      </c>
      <c r="FG69" s="237" t="s">
        <v>1107</v>
      </c>
      <c r="FH69" s="237" t="s">
        <v>1107</v>
      </c>
      <c r="FI69" s="237" t="s">
        <v>1107</v>
      </c>
      <c r="FJ69" s="237" t="s">
        <v>1107</v>
      </c>
      <c r="FK69" s="237" t="s">
        <v>1107</v>
      </c>
      <c r="FL69" s="237" t="s">
        <v>1107</v>
      </c>
      <c r="FM69" s="237" t="s">
        <v>1107</v>
      </c>
      <c r="FN69" s="237" t="s">
        <v>1107</v>
      </c>
      <c r="FO69" s="237" t="s">
        <v>1107</v>
      </c>
      <c r="FP69" s="237" t="s">
        <v>1107</v>
      </c>
      <c r="FQ69" s="237" t="s">
        <v>1107</v>
      </c>
      <c r="FR69" s="237" t="s">
        <v>1107</v>
      </c>
      <c r="FS69" s="237" t="s">
        <v>1107</v>
      </c>
      <c r="FT69" s="237" t="s">
        <v>1107</v>
      </c>
      <c r="FU69" s="237" t="s">
        <v>1107</v>
      </c>
      <c r="FV69" s="237" t="s">
        <v>1107</v>
      </c>
      <c r="FW69" s="237" t="s">
        <v>1107</v>
      </c>
      <c r="FX69" s="237" t="s">
        <v>1107</v>
      </c>
      <c r="FY69" s="237" t="s">
        <v>1107</v>
      </c>
      <c r="FZ69" s="237" t="s">
        <v>1107</v>
      </c>
      <c r="GA69" s="237" t="s">
        <v>1107</v>
      </c>
      <c r="GB69" s="237" t="s">
        <v>1107</v>
      </c>
      <c r="GC69" s="237" t="s">
        <v>1107</v>
      </c>
      <c r="GD69" s="237" t="s">
        <v>1107</v>
      </c>
      <c r="GE69" s="237" t="s">
        <v>1107</v>
      </c>
      <c r="GF69" s="237" t="s">
        <v>1107</v>
      </c>
      <c r="GG69" s="237" t="s">
        <v>1107</v>
      </c>
      <c r="GH69" s="237" t="s">
        <v>1107</v>
      </c>
      <c r="GI69" s="237" t="s">
        <v>1107</v>
      </c>
      <c r="GJ69" s="237" t="s">
        <v>1107</v>
      </c>
      <c r="GK69" s="237" t="s">
        <v>1107</v>
      </c>
      <c r="GL69" s="237" t="s">
        <v>1107</v>
      </c>
      <c r="GM69" s="237" t="s">
        <v>1107</v>
      </c>
      <c r="GN69" s="237" t="s">
        <v>1107</v>
      </c>
      <c r="GO69" s="237" t="s">
        <v>1107</v>
      </c>
      <c r="GP69" s="237" t="s">
        <v>1107</v>
      </c>
      <c r="GQ69" s="237" t="s">
        <v>1107</v>
      </c>
      <c r="GR69" s="237" t="s">
        <v>1107</v>
      </c>
      <c r="GS69" s="237" t="s">
        <v>1107</v>
      </c>
      <c r="GT69" s="237" t="s">
        <v>1107</v>
      </c>
      <c r="GU69" s="237" t="s">
        <v>1107</v>
      </c>
      <c r="GV69" s="237" t="s">
        <v>1107</v>
      </c>
      <c r="GW69" s="237" t="s">
        <v>1107</v>
      </c>
      <c r="GX69" s="237" t="s">
        <v>1107</v>
      </c>
      <c r="GY69" s="237" t="s">
        <v>1107</v>
      </c>
      <c r="GZ69" s="237" t="s">
        <v>1107</v>
      </c>
      <c r="HA69" s="237" t="s">
        <v>1107</v>
      </c>
      <c r="HB69" s="237" t="s">
        <v>1107</v>
      </c>
      <c r="HC69" s="237" t="s">
        <v>1107</v>
      </c>
      <c r="HD69" s="237" t="s">
        <v>1107</v>
      </c>
      <c r="HE69" s="237" t="s">
        <v>1107</v>
      </c>
      <c r="HF69" s="237" t="s">
        <v>1107</v>
      </c>
      <c r="HG69" s="237" t="s">
        <v>1107</v>
      </c>
      <c r="HH69" s="237" t="s">
        <v>1107</v>
      </c>
      <c r="HI69" s="237" t="s">
        <v>1107</v>
      </c>
      <c r="HJ69" s="237" t="s">
        <v>1107</v>
      </c>
      <c r="HK69" s="237" t="s">
        <v>1107</v>
      </c>
      <c r="HL69" s="237" t="s">
        <v>1107</v>
      </c>
      <c r="HM69" s="237" t="s">
        <v>1107</v>
      </c>
      <c r="HN69" s="237" t="s">
        <v>1107</v>
      </c>
      <c r="HO69" s="237" t="s">
        <v>1107</v>
      </c>
      <c r="HP69" s="237" t="s">
        <v>1107</v>
      </c>
      <c r="HQ69" s="237" t="s">
        <v>1107</v>
      </c>
      <c r="HR69" s="237" t="s">
        <v>1107</v>
      </c>
      <c r="HS69" s="237" t="s">
        <v>1107</v>
      </c>
      <c r="HT69" s="237" t="s">
        <v>231</v>
      </c>
      <c r="HU69" s="237" t="s">
        <v>231</v>
      </c>
      <c r="HV69" s="237" t="s">
        <v>231</v>
      </c>
      <c r="HW69" s="237" t="s">
        <v>231</v>
      </c>
      <c r="HX69" s="237" t="s">
        <v>220</v>
      </c>
      <c r="HY69" s="237" t="s">
        <v>493</v>
      </c>
      <c r="HZ69" s="237" t="s">
        <v>219</v>
      </c>
      <c r="IA69" s="237" t="s">
        <v>490</v>
      </c>
      <c r="IB69" s="237" t="s">
        <v>1107</v>
      </c>
      <c r="IC69" s="237" t="s">
        <v>1107</v>
      </c>
    </row>
    <row r="70" spans="1:237" ht="15" x14ac:dyDescent="0.25">
      <c r="A70" s="244" t="str">
        <f>HYPERLINK("http://www.ofsted.gov.uk/inspection-reports/find-inspection-report/provider/ELS/143174 ","Ofsted School Webpage")</f>
        <v>Ofsted School Webpage</v>
      </c>
      <c r="B70" s="240">
        <v>143174</v>
      </c>
      <c r="C70" s="240">
        <v>3306031</v>
      </c>
      <c r="D70" s="240" t="s">
        <v>1244</v>
      </c>
      <c r="E70" s="240" t="s">
        <v>247</v>
      </c>
      <c r="F70" s="240" t="s">
        <v>502</v>
      </c>
      <c r="G70" s="240" t="s">
        <v>502</v>
      </c>
      <c r="H70" s="240" t="s">
        <v>909</v>
      </c>
      <c r="I70" s="240" t="s">
        <v>1245</v>
      </c>
      <c r="J70" s="240" t="s">
        <v>93</v>
      </c>
      <c r="K70" s="240" t="s">
        <v>93</v>
      </c>
      <c r="L70" s="240" t="s">
        <v>93</v>
      </c>
      <c r="M70" s="240" t="s">
        <v>90</v>
      </c>
      <c r="N70" s="240" t="s">
        <v>486</v>
      </c>
      <c r="O70" s="240" t="s">
        <v>487</v>
      </c>
      <c r="P70" s="240">
        <v>10055386</v>
      </c>
      <c r="Q70" s="242">
        <v>43419</v>
      </c>
      <c r="R70" s="242">
        <v>43419</v>
      </c>
      <c r="S70" s="242">
        <v>43444</v>
      </c>
      <c r="T70" s="240" t="s">
        <v>1109</v>
      </c>
      <c r="U70" s="240" t="s">
        <v>1105</v>
      </c>
      <c r="V70" s="240" t="s">
        <v>490</v>
      </c>
      <c r="W70" s="240" t="s">
        <v>486</v>
      </c>
      <c r="X70" s="240" t="s">
        <v>486</v>
      </c>
      <c r="Y70" s="240" t="s">
        <v>486</v>
      </c>
      <c r="Z70" s="240" t="s">
        <v>486</v>
      </c>
      <c r="AA70" s="240" t="s">
        <v>486</v>
      </c>
      <c r="AB70" s="240" t="s">
        <v>486</v>
      </c>
      <c r="AC70" s="240" t="s">
        <v>486</v>
      </c>
      <c r="AD70" s="240" t="s">
        <v>1110</v>
      </c>
      <c r="AE70" s="240" t="s">
        <v>231</v>
      </c>
      <c r="AF70" s="240" t="s">
        <v>231</v>
      </c>
      <c r="AG70" s="240" t="s">
        <v>231</v>
      </c>
      <c r="AH70" s="240" t="s">
        <v>231</v>
      </c>
      <c r="AI70" s="240" t="s">
        <v>1107</v>
      </c>
      <c r="AJ70" s="240" t="s">
        <v>231</v>
      </c>
      <c r="AK70" s="240" t="s">
        <v>231</v>
      </c>
      <c r="AL70" s="240" t="s">
        <v>1107</v>
      </c>
      <c r="AM70" s="240" t="s">
        <v>1107</v>
      </c>
      <c r="AN70" s="240" t="s">
        <v>231</v>
      </c>
      <c r="AO70" s="240" t="s">
        <v>231</v>
      </c>
      <c r="AP70" s="240" t="s">
        <v>1107</v>
      </c>
      <c r="AQ70" s="240" t="s">
        <v>231</v>
      </c>
      <c r="AR70" s="240" t="s">
        <v>231</v>
      </c>
      <c r="AS70" s="240" t="s">
        <v>231</v>
      </c>
      <c r="AT70" s="240" t="s">
        <v>231</v>
      </c>
      <c r="AU70" s="240" t="s">
        <v>492</v>
      </c>
      <c r="AV70" s="240" t="s">
        <v>231</v>
      </c>
      <c r="AW70" s="240" t="s">
        <v>231</v>
      </c>
      <c r="AX70" s="240" t="s">
        <v>231</v>
      </c>
      <c r="AY70" s="240" t="s">
        <v>231</v>
      </c>
      <c r="AZ70" s="240" t="s">
        <v>231</v>
      </c>
      <c r="BA70" s="240" t="s">
        <v>1107</v>
      </c>
      <c r="BB70" s="240" t="s">
        <v>231</v>
      </c>
      <c r="BC70" s="240" t="s">
        <v>231</v>
      </c>
      <c r="BD70" s="240" t="s">
        <v>1107</v>
      </c>
      <c r="BE70" s="240" t="s">
        <v>1107</v>
      </c>
      <c r="BF70" s="240" t="s">
        <v>231</v>
      </c>
      <c r="BG70" s="240" t="s">
        <v>231</v>
      </c>
      <c r="BH70" s="240" t="s">
        <v>1107</v>
      </c>
      <c r="BI70" s="240" t="s">
        <v>1107</v>
      </c>
      <c r="BJ70" s="240" t="s">
        <v>231</v>
      </c>
      <c r="BK70" s="240" t="s">
        <v>492</v>
      </c>
      <c r="BL70" s="240" t="s">
        <v>1107</v>
      </c>
      <c r="BM70" s="240" t="s">
        <v>1107</v>
      </c>
      <c r="BN70" s="240" t="s">
        <v>1107</v>
      </c>
      <c r="BO70" s="240" t="s">
        <v>1107</v>
      </c>
      <c r="BP70" s="240" t="s">
        <v>1107</v>
      </c>
      <c r="BQ70" s="240" t="s">
        <v>1107</v>
      </c>
      <c r="BR70" s="240" t="s">
        <v>1107</v>
      </c>
      <c r="BS70" s="240" t="s">
        <v>1107</v>
      </c>
      <c r="BT70" s="240" t="s">
        <v>1107</v>
      </c>
      <c r="BU70" s="240" t="s">
        <v>1107</v>
      </c>
      <c r="BV70" s="240" t="s">
        <v>1107</v>
      </c>
      <c r="BW70" s="240" t="s">
        <v>1107</v>
      </c>
      <c r="BX70" s="240" t="s">
        <v>1107</v>
      </c>
      <c r="BY70" s="240" t="s">
        <v>1107</v>
      </c>
      <c r="BZ70" s="240" t="s">
        <v>231</v>
      </c>
      <c r="CA70" s="240" t="s">
        <v>231</v>
      </c>
      <c r="CB70" s="240" t="s">
        <v>231</v>
      </c>
      <c r="CC70" s="240" t="s">
        <v>492</v>
      </c>
      <c r="CD70" s="240" t="s">
        <v>492</v>
      </c>
      <c r="CE70" s="240" t="s">
        <v>492</v>
      </c>
      <c r="CF70" s="240" t="s">
        <v>231</v>
      </c>
      <c r="CG70" s="240" t="s">
        <v>1107</v>
      </c>
      <c r="CH70" s="240" t="s">
        <v>231</v>
      </c>
      <c r="CI70" s="240" t="s">
        <v>1107</v>
      </c>
      <c r="CJ70" s="240" t="s">
        <v>1107</v>
      </c>
      <c r="CK70" s="240" t="s">
        <v>231</v>
      </c>
      <c r="CL70" s="240" t="s">
        <v>231</v>
      </c>
      <c r="CM70" s="240" t="s">
        <v>231</v>
      </c>
      <c r="CN70" s="240" t="s">
        <v>1107</v>
      </c>
      <c r="CO70" s="240" t="s">
        <v>1107</v>
      </c>
      <c r="CP70" s="240" t="s">
        <v>1107</v>
      </c>
      <c r="CQ70" s="240" t="s">
        <v>1107</v>
      </c>
      <c r="CR70" s="240" t="s">
        <v>1107</v>
      </c>
      <c r="CS70" s="240" t="s">
        <v>1107</v>
      </c>
      <c r="CT70" s="240" t="s">
        <v>1107</v>
      </c>
      <c r="CU70" s="240" t="s">
        <v>1107</v>
      </c>
      <c r="CV70" s="240" t="s">
        <v>1107</v>
      </c>
      <c r="CW70" s="240" t="s">
        <v>1107</v>
      </c>
      <c r="CX70" s="240" t="s">
        <v>1107</v>
      </c>
      <c r="CY70" s="240" t="s">
        <v>1107</v>
      </c>
      <c r="CZ70" s="240" t="s">
        <v>1107</v>
      </c>
      <c r="DA70" s="240" t="s">
        <v>1107</v>
      </c>
      <c r="DB70" s="240" t="s">
        <v>1107</v>
      </c>
      <c r="DC70" s="240" t="s">
        <v>1107</v>
      </c>
      <c r="DD70" s="240" t="s">
        <v>1107</v>
      </c>
      <c r="DE70" s="240" t="s">
        <v>1107</v>
      </c>
      <c r="DF70" s="240" t="s">
        <v>1107</v>
      </c>
      <c r="DG70" s="240" t="s">
        <v>1107</v>
      </c>
      <c r="DH70" s="240" t="s">
        <v>1107</v>
      </c>
      <c r="DI70" s="240" t="s">
        <v>1107</v>
      </c>
      <c r="DJ70" s="240" t="s">
        <v>1107</v>
      </c>
      <c r="DK70" s="240" t="s">
        <v>1107</v>
      </c>
      <c r="DL70" s="240" t="s">
        <v>1107</v>
      </c>
      <c r="DM70" s="240" t="s">
        <v>1107</v>
      </c>
      <c r="DN70" s="240" t="s">
        <v>1107</v>
      </c>
      <c r="DO70" s="240" t="s">
        <v>1107</v>
      </c>
      <c r="DP70" s="240" t="s">
        <v>1107</v>
      </c>
      <c r="DQ70" s="240" t="s">
        <v>1107</v>
      </c>
      <c r="DR70" s="240" t="s">
        <v>1107</v>
      </c>
      <c r="DS70" s="240" t="s">
        <v>1107</v>
      </c>
      <c r="DT70" s="240" t="s">
        <v>1107</v>
      </c>
      <c r="DU70" s="240" t="s">
        <v>1107</v>
      </c>
      <c r="DV70" s="240" t="s">
        <v>1107</v>
      </c>
      <c r="DW70" s="240" t="s">
        <v>1107</v>
      </c>
      <c r="DX70" s="240" t="s">
        <v>1107</v>
      </c>
      <c r="DY70" s="240" t="s">
        <v>1107</v>
      </c>
      <c r="DZ70" s="240" t="s">
        <v>1107</v>
      </c>
      <c r="EA70" s="240" t="s">
        <v>1107</v>
      </c>
      <c r="EB70" s="240" t="s">
        <v>1107</v>
      </c>
      <c r="EC70" s="240" t="s">
        <v>1107</v>
      </c>
      <c r="ED70" s="240" t="s">
        <v>1107</v>
      </c>
      <c r="EE70" s="240" t="s">
        <v>1107</v>
      </c>
      <c r="EF70" s="240" t="s">
        <v>1107</v>
      </c>
      <c r="EG70" s="240" t="s">
        <v>1107</v>
      </c>
      <c r="EH70" s="240" t="s">
        <v>1107</v>
      </c>
      <c r="EI70" s="240" t="s">
        <v>1107</v>
      </c>
      <c r="EJ70" s="240" t="s">
        <v>1107</v>
      </c>
      <c r="EK70" s="240" t="s">
        <v>1107</v>
      </c>
      <c r="EL70" s="240" t="s">
        <v>1107</v>
      </c>
      <c r="EM70" s="240" t="s">
        <v>1107</v>
      </c>
      <c r="EN70" s="240" t="s">
        <v>1107</v>
      </c>
      <c r="EO70" s="240" t="s">
        <v>1107</v>
      </c>
      <c r="EP70" s="240" t="s">
        <v>1107</v>
      </c>
      <c r="EQ70" s="240" t="s">
        <v>1107</v>
      </c>
      <c r="ER70" s="240" t="s">
        <v>1107</v>
      </c>
      <c r="ES70" s="240" t="s">
        <v>1107</v>
      </c>
      <c r="ET70" s="240" t="s">
        <v>1107</v>
      </c>
      <c r="EU70" s="240" t="s">
        <v>1107</v>
      </c>
      <c r="EV70" s="240" t="s">
        <v>1107</v>
      </c>
      <c r="EW70" s="240" t="s">
        <v>1107</v>
      </c>
      <c r="EX70" s="240" t="s">
        <v>1107</v>
      </c>
      <c r="EY70" s="240" t="s">
        <v>1107</v>
      </c>
      <c r="EZ70" s="240" t="s">
        <v>1107</v>
      </c>
      <c r="FA70" s="240" t="s">
        <v>1107</v>
      </c>
      <c r="FB70" s="240" t="s">
        <v>1107</v>
      </c>
      <c r="FC70" s="240" t="s">
        <v>231</v>
      </c>
      <c r="FD70" s="240" t="s">
        <v>1107</v>
      </c>
      <c r="FE70" s="240" t="s">
        <v>1107</v>
      </c>
      <c r="FF70" s="240" t="s">
        <v>1107</v>
      </c>
      <c r="FG70" s="240" t="s">
        <v>1107</v>
      </c>
      <c r="FH70" s="240" t="s">
        <v>1107</v>
      </c>
      <c r="FI70" s="240" t="s">
        <v>231</v>
      </c>
      <c r="FJ70" s="240" t="s">
        <v>1107</v>
      </c>
      <c r="FK70" s="240" t="s">
        <v>1107</v>
      </c>
      <c r="FL70" s="240" t="s">
        <v>1107</v>
      </c>
      <c r="FM70" s="240" t="s">
        <v>1107</v>
      </c>
      <c r="FN70" s="240" t="s">
        <v>1107</v>
      </c>
      <c r="FO70" s="240" t="s">
        <v>1107</v>
      </c>
      <c r="FP70" s="240" t="s">
        <v>1107</v>
      </c>
      <c r="FQ70" s="240" t="s">
        <v>1107</v>
      </c>
      <c r="FR70" s="240" t="s">
        <v>1107</v>
      </c>
      <c r="FS70" s="240" t="s">
        <v>1107</v>
      </c>
      <c r="FT70" s="240" t="s">
        <v>1107</v>
      </c>
      <c r="FU70" s="240" t="s">
        <v>1107</v>
      </c>
      <c r="FV70" s="240" t="s">
        <v>1107</v>
      </c>
      <c r="FW70" s="240" t="s">
        <v>1107</v>
      </c>
      <c r="FX70" s="240" t="s">
        <v>1107</v>
      </c>
      <c r="FY70" s="240" t="s">
        <v>492</v>
      </c>
      <c r="FZ70" s="240" t="s">
        <v>1107</v>
      </c>
      <c r="GA70" s="240" t="s">
        <v>1107</v>
      </c>
      <c r="GB70" s="240" t="s">
        <v>1107</v>
      </c>
      <c r="GC70" s="240" t="s">
        <v>231</v>
      </c>
      <c r="GD70" s="240" t="s">
        <v>1107</v>
      </c>
      <c r="GE70" s="240" t="s">
        <v>1107</v>
      </c>
      <c r="GF70" s="240" t="s">
        <v>1107</v>
      </c>
      <c r="GG70" s="240" t="s">
        <v>1107</v>
      </c>
      <c r="GH70" s="240" t="s">
        <v>1107</v>
      </c>
      <c r="GI70" s="240" t="s">
        <v>1107</v>
      </c>
      <c r="GJ70" s="240" t="s">
        <v>1107</v>
      </c>
      <c r="GK70" s="240" t="s">
        <v>1107</v>
      </c>
      <c r="GL70" s="240" t="s">
        <v>1107</v>
      </c>
      <c r="GM70" s="240" t="s">
        <v>1107</v>
      </c>
      <c r="GN70" s="240" t="s">
        <v>1107</v>
      </c>
      <c r="GO70" s="240" t="s">
        <v>1107</v>
      </c>
      <c r="GP70" s="240" t="s">
        <v>1107</v>
      </c>
      <c r="GQ70" s="240" t="s">
        <v>1107</v>
      </c>
      <c r="GR70" s="240" t="s">
        <v>1107</v>
      </c>
      <c r="GS70" s="240" t="s">
        <v>1107</v>
      </c>
      <c r="GT70" s="240" t="s">
        <v>1107</v>
      </c>
      <c r="GU70" s="240" t="s">
        <v>1107</v>
      </c>
      <c r="GV70" s="240" t="s">
        <v>1107</v>
      </c>
      <c r="GW70" s="240" t="s">
        <v>1107</v>
      </c>
      <c r="GX70" s="240" t="s">
        <v>1107</v>
      </c>
      <c r="GY70" s="240" t="s">
        <v>1107</v>
      </c>
      <c r="GZ70" s="240" t="s">
        <v>1107</v>
      </c>
      <c r="HA70" s="240" t="s">
        <v>1107</v>
      </c>
      <c r="HB70" s="240" t="s">
        <v>1107</v>
      </c>
      <c r="HC70" s="240" t="s">
        <v>1107</v>
      </c>
      <c r="HD70" s="240" t="s">
        <v>1107</v>
      </c>
      <c r="HE70" s="240" t="s">
        <v>1107</v>
      </c>
      <c r="HF70" s="240" t="s">
        <v>1107</v>
      </c>
      <c r="HG70" s="240" t="s">
        <v>1107</v>
      </c>
      <c r="HH70" s="240" t="s">
        <v>1107</v>
      </c>
      <c r="HI70" s="240" t="s">
        <v>1107</v>
      </c>
      <c r="HJ70" s="240" t="s">
        <v>1107</v>
      </c>
      <c r="HK70" s="240" t="s">
        <v>1107</v>
      </c>
      <c r="HL70" s="240" t="s">
        <v>1107</v>
      </c>
      <c r="HM70" s="240" t="s">
        <v>1107</v>
      </c>
      <c r="HN70" s="240" t="s">
        <v>1107</v>
      </c>
      <c r="HO70" s="240" t="s">
        <v>1107</v>
      </c>
      <c r="HP70" s="240" t="s">
        <v>1107</v>
      </c>
      <c r="HQ70" s="240" t="s">
        <v>1107</v>
      </c>
      <c r="HR70" s="240" t="s">
        <v>1107</v>
      </c>
      <c r="HS70" s="240" t="s">
        <v>1107</v>
      </c>
      <c r="HT70" s="240" t="s">
        <v>231</v>
      </c>
      <c r="HU70" s="240" t="s">
        <v>231</v>
      </c>
      <c r="HV70" s="240" t="s">
        <v>231</v>
      </c>
      <c r="HW70" s="240" t="s">
        <v>231</v>
      </c>
      <c r="HX70" s="240" t="s">
        <v>220</v>
      </c>
      <c r="HY70" s="240" t="s">
        <v>493</v>
      </c>
      <c r="HZ70" s="240" t="s">
        <v>219</v>
      </c>
      <c r="IA70" s="240" t="s">
        <v>490</v>
      </c>
      <c r="IB70" s="240" t="s">
        <v>492</v>
      </c>
      <c r="IC70" s="240" t="s">
        <v>492</v>
      </c>
    </row>
    <row r="71" spans="1:237" ht="15" x14ac:dyDescent="0.25">
      <c r="A71" s="243" t="str">
        <f>HYPERLINK("http://www.ofsted.gov.uk/inspection-reports/find-inspection-report/provider/ELS/134982 ","Ofsted School Webpage")</f>
        <v>Ofsted School Webpage</v>
      </c>
      <c r="B71" s="237">
        <v>134982</v>
      </c>
      <c r="C71" s="237">
        <v>3306112</v>
      </c>
      <c r="D71" s="237" t="s">
        <v>1246</v>
      </c>
      <c r="E71" s="237" t="s">
        <v>248</v>
      </c>
      <c r="F71" s="237" t="s">
        <v>502</v>
      </c>
      <c r="G71" s="237" t="s">
        <v>502</v>
      </c>
      <c r="H71" s="237" t="s">
        <v>909</v>
      </c>
      <c r="I71" s="237" t="s">
        <v>1247</v>
      </c>
      <c r="J71" s="237" t="s">
        <v>93</v>
      </c>
      <c r="K71" s="237" t="s">
        <v>93</v>
      </c>
      <c r="L71" s="237" t="s">
        <v>93</v>
      </c>
      <c r="M71" s="237" t="s">
        <v>90</v>
      </c>
      <c r="N71" s="237" t="s">
        <v>486</v>
      </c>
      <c r="O71" s="237" t="s">
        <v>487</v>
      </c>
      <c r="P71" s="237">
        <v>10083683</v>
      </c>
      <c r="Q71" s="239">
        <v>43419</v>
      </c>
      <c r="R71" s="239">
        <v>43419</v>
      </c>
      <c r="S71" s="239">
        <v>43451</v>
      </c>
      <c r="T71" s="237" t="s">
        <v>1124</v>
      </c>
      <c r="U71" s="237" t="s">
        <v>1105</v>
      </c>
      <c r="V71" s="237" t="s">
        <v>512</v>
      </c>
      <c r="W71" s="237" t="s">
        <v>490</v>
      </c>
      <c r="X71" s="237" t="s">
        <v>486</v>
      </c>
      <c r="Y71" s="237" t="s">
        <v>486</v>
      </c>
      <c r="Z71" s="237" t="s">
        <v>486</v>
      </c>
      <c r="AA71" s="237" t="s">
        <v>486</v>
      </c>
      <c r="AB71" s="237" t="s">
        <v>486</v>
      </c>
      <c r="AC71" s="237" t="s">
        <v>486</v>
      </c>
      <c r="AD71" s="237" t="s">
        <v>1110</v>
      </c>
      <c r="AE71" s="237" t="s">
        <v>1107</v>
      </c>
      <c r="AF71" s="237" t="s">
        <v>1107</v>
      </c>
      <c r="AG71" s="237" t="s">
        <v>1107</v>
      </c>
      <c r="AH71" s="237" t="s">
        <v>1107</v>
      </c>
      <c r="AI71" s="237" t="s">
        <v>1107</v>
      </c>
      <c r="AJ71" s="237" t="s">
        <v>1107</v>
      </c>
      <c r="AK71" s="237" t="s">
        <v>1107</v>
      </c>
      <c r="AL71" s="237" t="s">
        <v>1107</v>
      </c>
      <c r="AM71" s="237" t="s">
        <v>492</v>
      </c>
      <c r="AN71" s="237" t="s">
        <v>1107</v>
      </c>
      <c r="AO71" s="237" t="s">
        <v>1107</v>
      </c>
      <c r="AP71" s="237" t="s">
        <v>1107</v>
      </c>
      <c r="AQ71" s="237" t="s">
        <v>1107</v>
      </c>
      <c r="AR71" s="237" t="s">
        <v>1107</v>
      </c>
      <c r="AS71" s="237" t="s">
        <v>1107</v>
      </c>
      <c r="AT71" s="237" t="s">
        <v>1107</v>
      </c>
      <c r="AU71" s="237" t="s">
        <v>492</v>
      </c>
      <c r="AV71" s="237" t="s">
        <v>1107</v>
      </c>
      <c r="AW71" s="237" t="s">
        <v>1107</v>
      </c>
      <c r="AX71" s="237" t="s">
        <v>1107</v>
      </c>
      <c r="AY71" s="237" t="s">
        <v>1107</v>
      </c>
      <c r="AZ71" s="237" t="s">
        <v>1107</v>
      </c>
      <c r="BA71" s="237" t="s">
        <v>1107</v>
      </c>
      <c r="BB71" s="237" t="s">
        <v>1107</v>
      </c>
      <c r="BC71" s="237" t="s">
        <v>1107</v>
      </c>
      <c r="BD71" s="237" t="s">
        <v>1107</v>
      </c>
      <c r="BE71" s="237" t="s">
        <v>1107</v>
      </c>
      <c r="BF71" s="237" t="s">
        <v>1107</v>
      </c>
      <c r="BG71" s="237" t="s">
        <v>1107</v>
      </c>
      <c r="BH71" s="237" t="s">
        <v>1107</v>
      </c>
      <c r="BI71" s="237" t="s">
        <v>1107</v>
      </c>
      <c r="BJ71" s="237" t="s">
        <v>1107</v>
      </c>
      <c r="BK71" s="237" t="s">
        <v>1107</v>
      </c>
      <c r="BL71" s="237" t="s">
        <v>1107</v>
      </c>
      <c r="BM71" s="237" t="s">
        <v>1107</v>
      </c>
      <c r="BN71" s="237" t="s">
        <v>1107</v>
      </c>
      <c r="BO71" s="237" t="s">
        <v>1107</v>
      </c>
      <c r="BP71" s="237" t="s">
        <v>1107</v>
      </c>
      <c r="BQ71" s="237" t="s">
        <v>1107</v>
      </c>
      <c r="BR71" s="237" t="s">
        <v>1107</v>
      </c>
      <c r="BS71" s="237" t="s">
        <v>1107</v>
      </c>
      <c r="BT71" s="237" t="s">
        <v>1107</v>
      </c>
      <c r="BU71" s="237" t="s">
        <v>1107</v>
      </c>
      <c r="BV71" s="237" t="s">
        <v>1107</v>
      </c>
      <c r="BW71" s="237" t="s">
        <v>1107</v>
      </c>
      <c r="BX71" s="237" t="s">
        <v>1107</v>
      </c>
      <c r="BY71" s="237" t="s">
        <v>1107</v>
      </c>
      <c r="BZ71" s="237" t="s">
        <v>231</v>
      </c>
      <c r="CA71" s="237" t="s">
        <v>231</v>
      </c>
      <c r="CB71" s="237" t="s">
        <v>231</v>
      </c>
      <c r="CC71" s="237" t="s">
        <v>492</v>
      </c>
      <c r="CD71" s="237" t="s">
        <v>492</v>
      </c>
      <c r="CE71" s="237" t="s">
        <v>492</v>
      </c>
      <c r="CF71" s="237" t="s">
        <v>1107</v>
      </c>
      <c r="CG71" s="237" t="s">
        <v>1107</v>
      </c>
      <c r="CH71" s="237" t="s">
        <v>1107</v>
      </c>
      <c r="CI71" s="237" t="s">
        <v>1107</v>
      </c>
      <c r="CJ71" s="237" t="s">
        <v>1107</v>
      </c>
      <c r="CK71" s="237" t="s">
        <v>1107</v>
      </c>
      <c r="CL71" s="237" t="s">
        <v>1107</v>
      </c>
      <c r="CM71" s="237" t="s">
        <v>1107</v>
      </c>
      <c r="CN71" s="237" t="s">
        <v>1107</v>
      </c>
      <c r="CO71" s="237" t="s">
        <v>1107</v>
      </c>
      <c r="CP71" s="237" t="s">
        <v>1107</v>
      </c>
      <c r="CQ71" s="237" t="s">
        <v>1107</v>
      </c>
      <c r="CR71" s="237" t="s">
        <v>1107</v>
      </c>
      <c r="CS71" s="237" t="s">
        <v>1107</v>
      </c>
      <c r="CT71" s="237" t="s">
        <v>1107</v>
      </c>
      <c r="CU71" s="237" t="s">
        <v>1107</v>
      </c>
      <c r="CV71" s="237" t="s">
        <v>1107</v>
      </c>
      <c r="CW71" s="237" t="s">
        <v>1107</v>
      </c>
      <c r="CX71" s="237" t="s">
        <v>1107</v>
      </c>
      <c r="CY71" s="237" t="s">
        <v>1107</v>
      </c>
      <c r="CZ71" s="237" t="s">
        <v>1107</v>
      </c>
      <c r="DA71" s="237" t="s">
        <v>1107</v>
      </c>
      <c r="DB71" s="237" t="s">
        <v>1107</v>
      </c>
      <c r="DC71" s="237" t="s">
        <v>492</v>
      </c>
      <c r="DD71" s="237" t="s">
        <v>1107</v>
      </c>
      <c r="DE71" s="237" t="s">
        <v>1107</v>
      </c>
      <c r="DF71" s="237" t="s">
        <v>1107</v>
      </c>
      <c r="DG71" s="237" t="s">
        <v>1107</v>
      </c>
      <c r="DH71" s="237" t="s">
        <v>1107</v>
      </c>
      <c r="DI71" s="237" t="s">
        <v>1107</v>
      </c>
      <c r="DJ71" s="237" t="s">
        <v>1107</v>
      </c>
      <c r="DK71" s="237" t="s">
        <v>1107</v>
      </c>
      <c r="DL71" s="237" t="s">
        <v>1107</v>
      </c>
      <c r="DM71" s="237" t="s">
        <v>1107</v>
      </c>
      <c r="DN71" s="237" t="s">
        <v>1107</v>
      </c>
      <c r="DO71" s="237" t="s">
        <v>1107</v>
      </c>
      <c r="DP71" s="237" t="s">
        <v>1107</v>
      </c>
      <c r="DQ71" s="237" t="s">
        <v>492</v>
      </c>
      <c r="DR71" s="237" t="s">
        <v>1107</v>
      </c>
      <c r="DS71" s="237" t="s">
        <v>1107</v>
      </c>
      <c r="DT71" s="237" t="s">
        <v>1107</v>
      </c>
      <c r="DU71" s="237" t="s">
        <v>1107</v>
      </c>
      <c r="DV71" s="237" t="s">
        <v>1107</v>
      </c>
      <c r="DW71" s="237" t="s">
        <v>1107</v>
      </c>
      <c r="DX71" s="237" t="s">
        <v>1107</v>
      </c>
      <c r="DY71" s="237" t="s">
        <v>1107</v>
      </c>
      <c r="DZ71" s="237" t="s">
        <v>1107</v>
      </c>
      <c r="EA71" s="237" t="s">
        <v>1107</v>
      </c>
      <c r="EB71" s="237" t="s">
        <v>1107</v>
      </c>
      <c r="EC71" s="237" t="s">
        <v>1107</v>
      </c>
      <c r="ED71" s="237" t="s">
        <v>1107</v>
      </c>
      <c r="EE71" s="237" t="s">
        <v>1107</v>
      </c>
      <c r="EF71" s="237" t="s">
        <v>1107</v>
      </c>
      <c r="EG71" s="237" t="s">
        <v>1107</v>
      </c>
      <c r="EH71" s="237" t="s">
        <v>1107</v>
      </c>
      <c r="EI71" s="237" t="s">
        <v>1107</v>
      </c>
      <c r="EJ71" s="237" t="s">
        <v>1107</v>
      </c>
      <c r="EK71" s="237" t="s">
        <v>1107</v>
      </c>
      <c r="EL71" s="237" t="s">
        <v>1107</v>
      </c>
      <c r="EM71" s="237" t="s">
        <v>1107</v>
      </c>
      <c r="EN71" s="237" t="s">
        <v>1107</v>
      </c>
      <c r="EO71" s="237" t="s">
        <v>1107</v>
      </c>
      <c r="EP71" s="237" t="s">
        <v>1107</v>
      </c>
      <c r="EQ71" s="237" t="s">
        <v>1107</v>
      </c>
      <c r="ER71" s="237" t="s">
        <v>1107</v>
      </c>
      <c r="ES71" s="237" t="s">
        <v>1107</v>
      </c>
      <c r="ET71" s="237" t="s">
        <v>1107</v>
      </c>
      <c r="EU71" s="237" t="s">
        <v>1107</v>
      </c>
      <c r="EV71" s="237" t="s">
        <v>1107</v>
      </c>
      <c r="EW71" s="237" t="s">
        <v>1107</v>
      </c>
      <c r="EX71" s="237" t="s">
        <v>1107</v>
      </c>
      <c r="EY71" s="237" t="s">
        <v>1107</v>
      </c>
      <c r="EZ71" s="237" t="s">
        <v>1107</v>
      </c>
      <c r="FA71" s="237" t="s">
        <v>1107</v>
      </c>
      <c r="FB71" s="237" t="s">
        <v>1107</v>
      </c>
      <c r="FC71" s="237" t="s">
        <v>1107</v>
      </c>
      <c r="FD71" s="237" t="s">
        <v>1107</v>
      </c>
      <c r="FE71" s="237" t="s">
        <v>1107</v>
      </c>
      <c r="FF71" s="237" t="s">
        <v>1107</v>
      </c>
      <c r="FG71" s="237" t="s">
        <v>1107</v>
      </c>
      <c r="FH71" s="237" t="s">
        <v>1107</v>
      </c>
      <c r="FI71" s="237" t="s">
        <v>1107</v>
      </c>
      <c r="FJ71" s="237" t="s">
        <v>1107</v>
      </c>
      <c r="FK71" s="237" t="s">
        <v>1107</v>
      </c>
      <c r="FL71" s="237" t="s">
        <v>1107</v>
      </c>
      <c r="FM71" s="237" t="s">
        <v>1107</v>
      </c>
      <c r="FN71" s="237" t="s">
        <v>1107</v>
      </c>
      <c r="FO71" s="237" t="s">
        <v>1107</v>
      </c>
      <c r="FP71" s="237" t="s">
        <v>1107</v>
      </c>
      <c r="FQ71" s="237" t="s">
        <v>1107</v>
      </c>
      <c r="FR71" s="237" t="s">
        <v>1107</v>
      </c>
      <c r="FS71" s="237" t="s">
        <v>1107</v>
      </c>
      <c r="FT71" s="237" t="s">
        <v>1107</v>
      </c>
      <c r="FU71" s="237" t="s">
        <v>1107</v>
      </c>
      <c r="FV71" s="237" t="s">
        <v>1107</v>
      </c>
      <c r="FW71" s="237" t="s">
        <v>1107</v>
      </c>
      <c r="FX71" s="237" t="s">
        <v>1107</v>
      </c>
      <c r="FY71" s="237" t="s">
        <v>492</v>
      </c>
      <c r="FZ71" s="237" t="s">
        <v>231</v>
      </c>
      <c r="GA71" s="237" t="s">
        <v>1107</v>
      </c>
      <c r="GB71" s="237" t="s">
        <v>1107</v>
      </c>
      <c r="GC71" s="237" t="s">
        <v>231</v>
      </c>
      <c r="GD71" s="237" t="s">
        <v>1107</v>
      </c>
      <c r="GE71" s="237" t="s">
        <v>1107</v>
      </c>
      <c r="GF71" s="237" t="s">
        <v>1107</v>
      </c>
      <c r="GG71" s="237" t="s">
        <v>1107</v>
      </c>
      <c r="GH71" s="237" t="s">
        <v>1107</v>
      </c>
      <c r="GI71" s="237" t="s">
        <v>1107</v>
      </c>
      <c r="GJ71" s="237" t="s">
        <v>1107</v>
      </c>
      <c r="GK71" s="237" t="s">
        <v>1107</v>
      </c>
      <c r="GL71" s="237" t="s">
        <v>1107</v>
      </c>
      <c r="GM71" s="237" t="s">
        <v>1107</v>
      </c>
      <c r="GN71" s="237" t="s">
        <v>1107</v>
      </c>
      <c r="GO71" s="237" t="s">
        <v>1107</v>
      </c>
      <c r="GP71" s="237" t="s">
        <v>1107</v>
      </c>
      <c r="GQ71" s="237" t="s">
        <v>1107</v>
      </c>
      <c r="GR71" s="237" t="s">
        <v>1107</v>
      </c>
      <c r="GS71" s="237" t="s">
        <v>1107</v>
      </c>
      <c r="GT71" s="237" t="s">
        <v>1107</v>
      </c>
      <c r="GU71" s="237" t="s">
        <v>1107</v>
      </c>
      <c r="GV71" s="237" t="s">
        <v>1107</v>
      </c>
      <c r="GW71" s="237" t="s">
        <v>1107</v>
      </c>
      <c r="GX71" s="237" t="s">
        <v>1107</v>
      </c>
      <c r="GY71" s="237" t="s">
        <v>1107</v>
      </c>
      <c r="GZ71" s="237" t="s">
        <v>1107</v>
      </c>
      <c r="HA71" s="237" t="s">
        <v>1107</v>
      </c>
      <c r="HB71" s="237" t="s">
        <v>1107</v>
      </c>
      <c r="HC71" s="237" t="s">
        <v>1107</v>
      </c>
      <c r="HD71" s="237" t="s">
        <v>1107</v>
      </c>
      <c r="HE71" s="237" t="s">
        <v>1107</v>
      </c>
      <c r="HF71" s="237" t="s">
        <v>1107</v>
      </c>
      <c r="HG71" s="237" t="s">
        <v>1107</v>
      </c>
      <c r="HH71" s="237" t="s">
        <v>1107</v>
      </c>
      <c r="HI71" s="237" t="s">
        <v>1107</v>
      </c>
      <c r="HJ71" s="237" t="s">
        <v>1107</v>
      </c>
      <c r="HK71" s="237" t="s">
        <v>1107</v>
      </c>
      <c r="HL71" s="237" t="s">
        <v>1107</v>
      </c>
      <c r="HM71" s="237" t="s">
        <v>1107</v>
      </c>
      <c r="HN71" s="237" t="s">
        <v>1107</v>
      </c>
      <c r="HO71" s="237" t="s">
        <v>1107</v>
      </c>
      <c r="HP71" s="237" t="s">
        <v>1107</v>
      </c>
      <c r="HQ71" s="237" t="s">
        <v>1107</v>
      </c>
      <c r="HR71" s="237" t="s">
        <v>1107</v>
      </c>
      <c r="HS71" s="237" t="s">
        <v>1107</v>
      </c>
      <c r="HT71" s="237" t="s">
        <v>1107</v>
      </c>
      <c r="HU71" s="237" t="s">
        <v>1107</v>
      </c>
      <c r="HV71" s="237" t="s">
        <v>1107</v>
      </c>
      <c r="HW71" s="237" t="s">
        <v>1107</v>
      </c>
      <c r="HX71" s="237" t="s">
        <v>220</v>
      </c>
      <c r="HY71" s="237" t="s">
        <v>493</v>
      </c>
      <c r="HZ71" s="237" t="s">
        <v>219</v>
      </c>
      <c r="IA71" s="237" t="s">
        <v>486</v>
      </c>
      <c r="IB71" s="237" t="s">
        <v>492</v>
      </c>
      <c r="IC71" s="237" t="s">
        <v>492</v>
      </c>
    </row>
    <row r="72" spans="1:237" ht="15" x14ac:dyDescent="0.25">
      <c r="A72" s="244" t="str">
        <f>HYPERLINK("http://www.ofsted.gov.uk/inspection-reports/find-inspection-report/provider/ELS/101959 ","Ofsted School Webpage")</f>
        <v>Ofsted School Webpage</v>
      </c>
      <c r="B72" s="240">
        <v>101959</v>
      </c>
      <c r="C72" s="240">
        <v>3096081</v>
      </c>
      <c r="D72" s="240" t="s">
        <v>1248</v>
      </c>
      <c r="E72" s="240" t="s">
        <v>247</v>
      </c>
      <c r="F72" s="240" t="s">
        <v>506</v>
      </c>
      <c r="G72" s="240" t="s">
        <v>506</v>
      </c>
      <c r="H72" s="240" t="s">
        <v>595</v>
      </c>
      <c r="I72" s="240" t="s">
        <v>1249</v>
      </c>
      <c r="J72" s="240" t="s">
        <v>93</v>
      </c>
      <c r="K72" s="240" t="s">
        <v>93</v>
      </c>
      <c r="L72" s="240" t="s">
        <v>93</v>
      </c>
      <c r="M72" s="240" t="s">
        <v>90</v>
      </c>
      <c r="N72" s="240" t="s">
        <v>486</v>
      </c>
      <c r="O72" s="240" t="s">
        <v>487</v>
      </c>
      <c r="P72" s="240">
        <v>10077628</v>
      </c>
      <c r="Q72" s="242">
        <v>43424</v>
      </c>
      <c r="R72" s="242">
        <v>43424</v>
      </c>
      <c r="S72" s="242">
        <v>43438</v>
      </c>
      <c r="T72" s="240" t="s">
        <v>1109</v>
      </c>
      <c r="U72" s="240" t="s">
        <v>1105</v>
      </c>
      <c r="V72" s="240" t="s">
        <v>512</v>
      </c>
      <c r="W72" s="240" t="s">
        <v>490</v>
      </c>
      <c r="X72" s="240" t="s">
        <v>486</v>
      </c>
      <c r="Y72" s="240" t="s">
        <v>490</v>
      </c>
      <c r="Z72" s="240" t="s">
        <v>486</v>
      </c>
      <c r="AA72" s="240" t="s">
        <v>486</v>
      </c>
      <c r="AB72" s="240" t="s">
        <v>486</v>
      </c>
      <c r="AC72" s="240" t="s">
        <v>486</v>
      </c>
      <c r="AD72" s="240" t="s">
        <v>1136</v>
      </c>
      <c r="AE72" s="240" t="s">
        <v>231</v>
      </c>
      <c r="AF72" s="240" t="s">
        <v>231</v>
      </c>
      <c r="AG72" s="240" t="s">
        <v>1107</v>
      </c>
      <c r="AH72" s="240" t="s">
        <v>1107</v>
      </c>
      <c r="AI72" s="240" t="s">
        <v>1107</v>
      </c>
      <c r="AJ72" s="240" t="s">
        <v>231</v>
      </c>
      <c r="AK72" s="240" t="s">
        <v>1107</v>
      </c>
      <c r="AL72" s="240" t="s">
        <v>1107</v>
      </c>
      <c r="AM72" s="240" t="s">
        <v>1107</v>
      </c>
      <c r="AN72" s="240" t="s">
        <v>231</v>
      </c>
      <c r="AO72" s="240" t="s">
        <v>231</v>
      </c>
      <c r="AP72" s="240" t="s">
        <v>231</v>
      </c>
      <c r="AQ72" s="240" t="s">
        <v>1107</v>
      </c>
      <c r="AR72" s="240" t="s">
        <v>1107</v>
      </c>
      <c r="AS72" s="240" t="s">
        <v>1107</v>
      </c>
      <c r="AT72" s="240" t="s">
        <v>1107</v>
      </c>
      <c r="AU72" s="240" t="s">
        <v>1107</v>
      </c>
      <c r="AV72" s="240" t="s">
        <v>1107</v>
      </c>
      <c r="AW72" s="240" t="s">
        <v>1107</v>
      </c>
      <c r="AX72" s="240" t="s">
        <v>231</v>
      </c>
      <c r="AY72" s="240" t="s">
        <v>1107</v>
      </c>
      <c r="AZ72" s="240" t="s">
        <v>1107</v>
      </c>
      <c r="BA72" s="240" t="s">
        <v>1107</v>
      </c>
      <c r="BB72" s="240" t="s">
        <v>1107</v>
      </c>
      <c r="BC72" s="240" t="s">
        <v>1107</v>
      </c>
      <c r="BD72" s="240" t="s">
        <v>1107</v>
      </c>
      <c r="BE72" s="240" t="s">
        <v>1107</v>
      </c>
      <c r="BF72" s="240" t="s">
        <v>1107</v>
      </c>
      <c r="BG72" s="240" t="s">
        <v>1107</v>
      </c>
      <c r="BH72" s="240" t="s">
        <v>1107</v>
      </c>
      <c r="BI72" s="240" t="s">
        <v>1107</v>
      </c>
      <c r="BJ72" s="240" t="s">
        <v>1107</v>
      </c>
      <c r="BK72" s="240" t="s">
        <v>1107</v>
      </c>
      <c r="BL72" s="240" t="s">
        <v>1107</v>
      </c>
      <c r="BM72" s="240" t="s">
        <v>1107</v>
      </c>
      <c r="BN72" s="240" t="s">
        <v>1107</v>
      </c>
      <c r="BO72" s="240" t="s">
        <v>1107</v>
      </c>
      <c r="BP72" s="240" t="s">
        <v>1107</v>
      </c>
      <c r="BQ72" s="240" t="s">
        <v>1107</v>
      </c>
      <c r="BR72" s="240" t="s">
        <v>1107</v>
      </c>
      <c r="BS72" s="240" t="s">
        <v>1107</v>
      </c>
      <c r="BT72" s="240" t="s">
        <v>1107</v>
      </c>
      <c r="BU72" s="240" t="s">
        <v>1107</v>
      </c>
      <c r="BV72" s="240" t="s">
        <v>1107</v>
      </c>
      <c r="BW72" s="240" t="s">
        <v>1107</v>
      </c>
      <c r="BX72" s="240" t="s">
        <v>1107</v>
      </c>
      <c r="BY72" s="240" t="s">
        <v>1107</v>
      </c>
      <c r="BZ72" s="240" t="s">
        <v>232</v>
      </c>
      <c r="CA72" s="240" t="s">
        <v>232</v>
      </c>
      <c r="CB72" s="240" t="s">
        <v>231</v>
      </c>
      <c r="CC72" s="240" t="s">
        <v>492</v>
      </c>
      <c r="CD72" s="240" t="s">
        <v>492</v>
      </c>
      <c r="CE72" s="240" t="s">
        <v>492</v>
      </c>
      <c r="CF72" s="240" t="s">
        <v>1107</v>
      </c>
      <c r="CG72" s="240" t="s">
        <v>1107</v>
      </c>
      <c r="CH72" s="240" t="s">
        <v>1107</v>
      </c>
      <c r="CI72" s="240" t="s">
        <v>1107</v>
      </c>
      <c r="CJ72" s="240" t="s">
        <v>1107</v>
      </c>
      <c r="CK72" s="240" t="s">
        <v>1107</v>
      </c>
      <c r="CL72" s="240" t="s">
        <v>1107</v>
      </c>
      <c r="CM72" s="240" t="s">
        <v>1107</v>
      </c>
      <c r="CN72" s="240" t="s">
        <v>1107</v>
      </c>
      <c r="CO72" s="240" t="s">
        <v>1107</v>
      </c>
      <c r="CP72" s="240" t="s">
        <v>232</v>
      </c>
      <c r="CQ72" s="240" t="s">
        <v>232</v>
      </c>
      <c r="CR72" s="240" t="s">
        <v>232</v>
      </c>
      <c r="CS72" s="240" t="s">
        <v>231</v>
      </c>
      <c r="CT72" s="240" t="s">
        <v>231</v>
      </c>
      <c r="CU72" s="240" t="s">
        <v>231</v>
      </c>
      <c r="CV72" s="240" t="s">
        <v>231</v>
      </c>
      <c r="CW72" s="240" t="s">
        <v>1107</v>
      </c>
      <c r="CX72" s="240" t="s">
        <v>1107</v>
      </c>
      <c r="CY72" s="240" t="s">
        <v>1107</v>
      </c>
      <c r="CZ72" s="240" t="s">
        <v>1107</v>
      </c>
      <c r="DA72" s="240" t="s">
        <v>231</v>
      </c>
      <c r="DB72" s="240" t="s">
        <v>231</v>
      </c>
      <c r="DC72" s="240" t="s">
        <v>1107</v>
      </c>
      <c r="DD72" s="240" t="s">
        <v>1107</v>
      </c>
      <c r="DE72" s="240" t="s">
        <v>1107</v>
      </c>
      <c r="DF72" s="240" t="s">
        <v>1107</v>
      </c>
      <c r="DG72" s="240" t="s">
        <v>1107</v>
      </c>
      <c r="DH72" s="240" t="s">
        <v>1107</v>
      </c>
      <c r="DI72" s="240" t="s">
        <v>1107</v>
      </c>
      <c r="DJ72" s="240" t="s">
        <v>1107</v>
      </c>
      <c r="DK72" s="240" t="s">
        <v>1107</v>
      </c>
      <c r="DL72" s="240" t="s">
        <v>1107</v>
      </c>
      <c r="DM72" s="240" t="s">
        <v>1107</v>
      </c>
      <c r="DN72" s="240" t="s">
        <v>1107</v>
      </c>
      <c r="DO72" s="240" t="s">
        <v>1107</v>
      </c>
      <c r="DP72" s="240" t="s">
        <v>1107</v>
      </c>
      <c r="DQ72" s="240" t="s">
        <v>1107</v>
      </c>
      <c r="DR72" s="240" t="s">
        <v>1107</v>
      </c>
      <c r="DS72" s="240" t="s">
        <v>1107</v>
      </c>
      <c r="DT72" s="240" t="s">
        <v>1107</v>
      </c>
      <c r="DU72" s="240" t="s">
        <v>1107</v>
      </c>
      <c r="DV72" s="240" t="s">
        <v>1107</v>
      </c>
      <c r="DW72" s="240" t="s">
        <v>1107</v>
      </c>
      <c r="DX72" s="240" t="s">
        <v>1107</v>
      </c>
      <c r="DY72" s="240" t="s">
        <v>1107</v>
      </c>
      <c r="DZ72" s="240" t="s">
        <v>1107</v>
      </c>
      <c r="EA72" s="240" t="s">
        <v>1107</v>
      </c>
      <c r="EB72" s="240" t="s">
        <v>231</v>
      </c>
      <c r="EC72" s="240" t="s">
        <v>1107</v>
      </c>
      <c r="ED72" s="240" t="s">
        <v>231</v>
      </c>
      <c r="EE72" s="240" t="s">
        <v>231</v>
      </c>
      <c r="EF72" s="240" t="s">
        <v>1107</v>
      </c>
      <c r="EG72" s="240" t="s">
        <v>231</v>
      </c>
      <c r="EH72" s="240" t="s">
        <v>231</v>
      </c>
      <c r="EI72" s="240" t="s">
        <v>1107</v>
      </c>
      <c r="EJ72" s="240" t="s">
        <v>231</v>
      </c>
      <c r="EK72" s="240" t="s">
        <v>231</v>
      </c>
      <c r="EL72" s="240" t="s">
        <v>1107</v>
      </c>
      <c r="EM72" s="240" t="s">
        <v>231</v>
      </c>
      <c r="EN72" s="240" t="s">
        <v>231</v>
      </c>
      <c r="EO72" s="240" t="s">
        <v>1107</v>
      </c>
      <c r="EP72" s="240" t="s">
        <v>1107</v>
      </c>
      <c r="EQ72" s="240" t="s">
        <v>1107</v>
      </c>
      <c r="ER72" s="240" t="s">
        <v>1107</v>
      </c>
      <c r="ES72" s="240" t="s">
        <v>1107</v>
      </c>
      <c r="ET72" s="240" t="s">
        <v>1107</v>
      </c>
      <c r="EU72" s="240" t="s">
        <v>1107</v>
      </c>
      <c r="EV72" s="240" t="s">
        <v>1107</v>
      </c>
      <c r="EW72" s="240" t="s">
        <v>1107</v>
      </c>
      <c r="EX72" s="240" t="s">
        <v>1107</v>
      </c>
      <c r="EY72" s="240" t="s">
        <v>1107</v>
      </c>
      <c r="EZ72" s="240" t="s">
        <v>232</v>
      </c>
      <c r="FA72" s="240" t="s">
        <v>1107</v>
      </c>
      <c r="FB72" s="240" t="s">
        <v>1107</v>
      </c>
      <c r="FC72" s="240" t="s">
        <v>232</v>
      </c>
      <c r="FD72" s="240" t="s">
        <v>231</v>
      </c>
      <c r="FE72" s="240" t="s">
        <v>231</v>
      </c>
      <c r="FF72" s="240" t="s">
        <v>1107</v>
      </c>
      <c r="FG72" s="240" t="s">
        <v>1107</v>
      </c>
      <c r="FH72" s="240" t="s">
        <v>1107</v>
      </c>
      <c r="FI72" s="240" t="s">
        <v>231</v>
      </c>
      <c r="FJ72" s="240" t="s">
        <v>1107</v>
      </c>
      <c r="FK72" s="240" t="s">
        <v>231</v>
      </c>
      <c r="FL72" s="240" t="s">
        <v>231</v>
      </c>
      <c r="FM72" s="240" t="s">
        <v>1107</v>
      </c>
      <c r="FN72" s="240" t="s">
        <v>1107</v>
      </c>
      <c r="FO72" s="240" t="s">
        <v>1107</v>
      </c>
      <c r="FP72" s="240" t="s">
        <v>1107</v>
      </c>
      <c r="FQ72" s="240" t="s">
        <v>1107</v>
      </c>
      <c r="FR72" s="240" t="s">
        <v>1107</v>
      </c>
      <c r="FS72" s="240" t="s">
        <v>1107</v>
      </c>
      <c r="FT72" s="240" t="s">
        <v>1107</v>
      </c>
      <c r="FU72" s="240" t="s">
        <v>1107</v>
      </c>
      <c r="FV72" s="240" t="s">
        <v>231</v>
      </c>
      <c r="FW72" s="240" t="s">
        <v>1107</v>
      </c>
      <c r="FX72" s="240" t="s">
        <v>231</v>
      </c>
      <c r="FY72" s="240" t="s">
        <v>492</v>
      </c>
      <c r="FZ72" s="240" t="s">
        <v>231</v>
      </c>
      <c r="GA72" s="240" t="s">
        <v>1107</v>
      </c>
      <c r="GB72" s="240" t="s">
        <v>1107</v>
      </c>
      <c r="GC72" s="240" t="s">
        <v>231</v>
      </c>
      <c r="GD72" s="240" t="s">
        <v>1107</v>
      </c>
      <c r="GE72" s="240" t="s">
        <v>1107</v>
      </c>
      <c r="GF72" s="240" t="s">
        <v>1107</v>
      </c>
      <c r="GG72" s="240" t="s">
        <v>1107</v>
      </c>
      <c r="GH72" s="240" t="s">
        <v>1107</v>
      </c>
      <c r="GI72" s="240" t="s">
        <v>1107</v>
      </c>
      <c r="GJ72" s="240" t="s">
        <v>1107</v>
      </c>
      <c r="GK72" s="240" t="s">
        <v>1107</v>
      </c>
      <c r="GL72" s="240" t="s">
        <v>1107</v>
      </c>
      <c r="GM72" s="240" t="s">
        <v>1107</v>
      </c>
      <c r="GN72" s="240" t="s">
        <v>1107</v>
      </c>
      <c r="GO72" s="240" t="s">
        <v>1107</v>
      </c>
      <c r="GP72" s="240" t="s">
        <v>1107</v>
      </c>
      <c r="GQ72" s="240" t="s">
        <v>1107</v>
      </c>
      <c r="GR72" s="240" t="s">
        <v>1107</v>
      </c>
      <c r="GS72" s="240" t="s">
        <v>1107</v>
      </c>
      <c r="GT72" s="240" t="s">
        <v>1107</v>
      </c>
      <c r="GU72" s="240" t="s">
        <v>1107</v>
      </c>
      <c r="GV72" s="240" t="s">
        <v>1107</v>
      </c>
      <c r="GW72" s="240" t="s">
        <v>1107</v>
      </c>
      <c r="GX72" s="240" t="s">
        <v>1107</v>
      </c>
      <c r="GY72" s="240" t="s">
        <v>1107</v>
      </c>
      <c r="GZ72" s="240" t="s">
        <v>1107</v>
      </c>
      <c r="HA72" s="240" t="s">
        <v>1107</v>
      </c>
      <c r="HB72" s="240" t="s">
        <v>1107</v>
      </c>
      <c r="HC72" s="240" t="s">
        <v>1107</v>
      </c>
      <c r="HD72" s="240" t="s">
        <v>1107</v>
      </c>
      <c r="HE72" s="240" t="s">
        <v>1107</v>
      </c>
      <c r="HF72" s="240" t="s">
        <v>1107</v>
      </c>
      <c r="HG72" s="240" t="s">
        <v>1107</v>
      </c>
      <c r="HH72" s="240" t="s">
        <v>1107</v>
      </c>
      <c r="HI72" s="240" t="s">
        <v>1107</v>
      </c>
      <c r="HJ72" s="240" t="s">
        <v>1107</v>
      </c>
      <c r="HK72" s="240" t="s">
        <v>1107</v>
      </c>
      <c r="HL72" s="240" t="s">
        <v>1107</v>
      </c>
      <c r="HM72" s="240" t="s">
        <v>1107</v>
      </c>
      <c r="HN72" s="240" t="s">
        <v>1107</v>
      </c>
      <c r="HO72" s="240" t="s">
        <v>1107</v>
      </c>
      <c r="HP72" s="240" t="s">
        <v>1107</v>
      </c>
      <c r="HQ72" s="240" t="s">
        <v>1107</v>
      </c>
      <c r="HR72" s="240" t="s">
        <v>1107</v>
      </c>
      <c r="HS72" s="240" t="s">
        <v>1107</v>
      </c>
      <c r="HT72" s="240" t="s">
        <v>232</v>
      </c>
      <c r="HU72" s="240" t="s">
        <v>232</v>
      </c>
      <c r="HV72" s="240" t="s">
        <v>232</v>
      </c>
      <c r="HW72" s="240" t="s">
        <v>232</v>
      </c>
      <c r="HX72" s="240" t="s">
        <v>220</v>
      </c>
      <c r="HY72" s="240" t="s">
        <v>493</v>
      </c>
      <c r="HZ72" s="240" t="s">
        <v>219</v>
      </c>
      <c r="IA72" s="240" t="s">
        <v>490</v>
      </c>
      <c r="IB72" s="240" t="s">
        <v>492</v>
      </c>
      <c r="IC72" s="240" t="s">
        <v>492</v>
      </c>
    </row>
    <row r="73" spans="1:237" ht="15" x14ac:dyDescent="0.25">
      <c r="A73" s="243" t="str">
        <f>HYPERLINK("http://www.ofsted.gov.uk/inspection-reports/find-inspection-report/provider/ELS/117045 ","Ofsted School Webpage")</f>
        <v>Ofsted School Webpage</v>
      </c>
      <c r="B73" s="237">
        <v>117045</v>
      </c>
      <c r="C73" s="237">
        <v>8846007</v>
      </c>
      <c r="D73" s="237" t="s">
        <v>1250</v>
      </c>
      <c r="E73" s="237" t="s">
        <v>247</v>
      </c>
      <c r="F73" s="237" t="s">
        <v>502</v>
      </c>
      <c r="G73" s="237" t="s">
        <v>502</v>
      </c>
      <c r="H73" s="237" t="s">
        <v>1251</v>
      </c>
      <c r="I73" s="237" t="s">
        <v>1252</v>
      </c>
      <c r="J73" s="237" t="s">
        <v>93</v>
      </c>
      <c r="K73" s="237" t="s">
        <v>71</v>
      </c>
      <c r="L73" s="237" t="s">
        <v>71</v>
      </c>
      <c r="M73" s="237" t="s">
        <v>71</v>
      </c>
      <c r="N73" s="237" t="s">
        <v>486</v>
      </c>
      <c r="O73" s="237" t="s">
        <v>660</v>
      </c>
      <c r="P73" s="237">
        <v>10082566</v>
      </c>
      <c r="Q73" s="239">
        <v>43425</v>
      </c>
      <c r="R73" s="239">
        <v>43425</v>
      </c>
      <c r="S73" s="239">
        <v>43479</v>
      </c>
      <c r="T73" s="237" t="s">
        <v>1179</v>
      </c>
      <c r="U73" s="237" t="s">
        <v>1105</v>
      </c>
      <c r="V73" s="237" t="s">
        <v>490</v>
      </c>
      <c r="W73" s="237" t="s">
        <v>486</v>
      </c>
      <c r="X73" s="237" t="s">
        <v>486</v>
      </c>
      <c r="Y73" s="237" t="s">
        <v>486</v>
      </c>
      <c r="Z73" s="237" t="s">
        <v>486</v>
      </c>
      <c r="AA73" s="237" t="s">
        <v>486</v>
      </c>
      <c r="AB73" s="237" t="s">
        <v>486</v>
      </c>
      <c r="AC73" s="237" t="s">
        <v>486</v>
      </c>
      <c r="AD73" s="237" t="s">
        <v>1110</v>
      </c>
      <c r="AE73" s="237" t="s">
        <v>1107</v>
      </c>
      <c r="AF73" s="237" t="s">
        <v>1107</v>
      </c>
      <c r="AG73" s="237" t="s">
        <v>1107</v>
      </c>
      <c r="AH73" s="237" t="s">
        <v>1107</v>
      </c>
      <c r="AI73" s="237" t="s">
        <v>1107</v>
      </c>
      <c r="AJ73" s="237" t="s">
        <v>1107</v>
      </c>
      <c r="AK73" s="237" t="s">
        <v>1107</v>
      </c>
      <c r="AL73" s="237" t="s">
        <v>1107</v>
      </c>
      <c r="AM73" s="237" t="s">
        <v>1107</v>
      </c>
      <c r="AN73" s="237" t="s">
        <v>1107</v>
      </c>
      <c r="AO73" s="237" t="s">
        <v>1107</v>
      </c>
      <c r="AP73" s="237" t="s">
        <v>1107</v>
      </c>
      <c r="AQ73" s="237" t="s">
        <v>1107</v>
      </c>
      <c r="AR73" s="237" t="s">
        <v>1107</v>
      </c>
      <c r="AS73" s="237" t="s">
        <v>1107</v>
      </c>
      <c r="AT73" s="237" t="s">
        <v>1107</v>
      </c>
      <c r="AU73" s="237" t="s">
        <v>1107</v>
      </c>
      <c r="AV73" s="237" t="s">
        <v>1107</v>
      </c>
      <c r="AW73" s="237" t="s">
        <v>1107</v>
      </c>
      <c r="AX73" s="237" t="s">
        <v>1107</v>
      </c>
      <c r="AY73" s="237" t="s">
        <v>1107</v>
      </c>
      <c r="AZ73" s="237" t="s">
        <v>1107</v>
      </c>
      <c r="BA73" s="237" t="s">
        <v>1107</v>
      </c>
      <c r="BB73" s="237" t="s">
        <v>1107</v>
      </c>
      <c r="BC73" s="237" t="s">
        <v>1107</v>
      </c>
      <c r="BD73" s="237" t="s">
        <v>1107</v>
      </c>
      <c r="BE73" s="237" t="s">
        <v>1107</v>
      </c>
      <c r="BF73" s="237" t="s">
        <v>1107</v>
      </c>
      <c r="BG73" s="237" t="s">
        <v>1107</v>
      </c>
      <c r="BH73" s="237" t="s">
        <v>1107</v>
      </c>
      <c r="BI73" s="237" t="s">
        <v>1107</v>
      </c>
      <c r="BJ73" s="237" t="s">
        <v>1107</v>
      </c>
      <c r="BK73" s="237" t="s">
        <v>1107</v>
      </c>
      <c r="BL73" s="237" t="s">
        <v>1107</v>
      </c>
      <c r="BM73" s="237" t="s">
        <v>1107</v>
      </c>
      <c r="BN73" s="237" t="s">
        <v>1107</v>
      </c>
      <c r="BO73" s="237" t="s">
        <v>1107</v>
      </c>
      <c r="BP73" s="237" t="s">
        <v>1107</v>
      </c>
      <c r="BQ73" s="237" t="s">
        <v>1107</v>
      </c>
      <c r="BR73" s="237" t="s">
        <v>1107</v>
      </c>
      <c r="BS73" s="237" t="s">
        <v>1107</v>
      </c>
      <c r="BT73" s="237" t="s">
        <v>1107</v>
      </c>
      <c r="BU73" s="237" t="s">
        <v>1107</v>
      </c>
      <c r="BV73" s="237" t="s">
        <v>1107</v>
      </c>
      <c r="BW73" s="237" t="s">
        <v>1107</v>
      </c>
      <c r="BX73" s="237" t="s">
        <v>1107</v>
      </c>
      <c r="BY73" s="237" t="s">
        <v>1107</v>
      </c>
      <c r="BZ73" s="237" t="s">
        <v>231</v>
      </c>
      <c r="CA73" s="237" t="s">
        <v>231</v>
      </c>
      <c r="CB73" s="237" t="s">
        <v>231</v>
      </c>
      <c r="CC73" s="237" t="s">
        <v>231</v>
      </c>
      <c r="CD73" s="237" t="s">
        <v>231</v>
      </c>
      <c r="CE73" s="237" t="s">
        <v>231</v>
      </c>
      <c r="CF73" s="237" t="s">
        <v>231</v>
      </c>
      <c r="CG73" s="237" t="s">
        <v>231</v>
      </c>
      <c r="CH73" s="237" t="s">
        <v>231</v>
      </c>
      <c r="CI73" s="237" t="s">
        <v>231</v>
      </c>
      <c r="CJ73" s="237" t="s">
        <v>231</v>
      </c>
      <c r="CK73" s="237" t="s">
        <v>231</v>
      </c>
      <c r="CL73" s="237" t="s">
        <v>1107</v>
      </c>
      <c r="CM73" s="237" t="s">
        <v>1107</v>
      </c>
      <c r="CN73" s="237" t="s">
        <v>231</v>
      </c>
      <c r="CO73" s="237" t="s">
        <v>1107</v>
      </c>
      <c r="CP73" s="237" t="s">
        <v>231</v>
      </c>
      <c r="CQ73" s="237" t="s">
        <v>231</v>
      </c>
      <c r="CR73" s="237" t="s">
        <v>231</v>
      </c>
      <c r="CS73" s="237" t="s">
        <v>1107</v>
      </c>
      <c r="CT73" s="237" t="s">
        <v>1107</v>
      </c>
      <c r="CU73" s="237" t="s">
        <v>1107</v>
      </c>
      <c r="CV73" s="237" t="s">
        <v>1107</v>
      </c>
      <c r="CW73" s="237" t="s">
        <v>1107</v>
      </c>
      <c r="CX73" s="237" t="s">
        <v>1107</v>
      </c>
      <c r="CY73" s="237" t="s">
        <v>1107</v>
      </c>
      <c r="CZ73" s="237" t="s">
        <v>1107</v>
      </c>
      <c r="DA73" s="237" t="s">
        <v>1107</v>
      </c>
      <c r="DB73" s="237" t="s">
        <v>1107</v>
      </c>
      <c r="DC73" s="237" t="s">
        <v>1107</v>
      </c>
      <c r="DD73" s="237" t="s">
        <v>1107</v>
      </c>
      <c r="DE73" s="237" t="s">
        <v>1107</v>
      </c>
      <c r="DF73" s="237" t="s">
        <v>1107</v>
      </c>
      <c r="DG73" s="237" t="s">
        <v>1107</v>
      </c>
      <c r="DH73" s="237" t="s">
        <v>1107</v>
      </c>
      <c r="DI73" s="237" t="s">
        <v>1107</v>
      </c>
      <c r="DJ73" s="237" t="s">
        <v>1107</v>
      </c>
      <c r="DK73" s="237" t="s">
        <v>1107</v>
      </c>
      <c r="DL73" s="237" t="s">
        <v>1107</v>
      </c>
      <c r="DM73" s="237" t="s">
        <v>1107</v>
      </c>
      <c r="DN73" s="237" t="s">
        <v>1107</v>
      </c>
      <c r="DO73" s="237" t="s">
        <v>1107</v>
      </c>
      <c r="DP73" s="237" t="s">
        <v>1107</v>
      </c>
      <c r="DQ73" s="237" t="s">
        <v>1107</v>
      </c>
      <c r="DR73" s="237" t="s">
        <v>1107</v>
      </c>
      <c r="DS73" s="237" t="s">
        <v>1107</v>
      </c>
      <c r="DT73" s="237" t="s">
        <v>1107</v>
      </c>
      <c r="DU73" s="237" t="s">
        <v>1107</v>
      </c>
      <c r="DV73" s="237" t="s">
        <v>1107</v>
      </c>
      <c r="DW73" s="237" t="s">
        <v>1107</v>
      </c>
      <c r="DX73" s="237" t="s">
        <v>1107</v>
      </c>
      <c r="DY73" s="237" t="s">
        <v>1107</v>
      </c>
      <c r="DZ73" s="237" t="s">
        <v>1107</v>
      </c>
      <c r="EA73" s="237" t="s">
        <v>1107</v>
      </c>
      <c r="EB73" s="237" t="s">
        <v>1107</v>
      </c>
      <c r="EC73" s="237" t="s">
        <v>1107</v>
      </c>
      <c r="ED73" s="237" t="s">
        <v>1107</v>
      </c>
      <c r="EE73" s="237" t="s">
        <v>1107</v>
      </c>
      <c r="EF73" s="237" t="s">
        <v>1107</v>
      </c>
      <c r="EG73" s="237" t="s">
        <v>1107</v>
      </c>
      <c r="EH73" s="237" t="s">
        <v>1107</v>
      </c>
      <c r="EI73" s="237" t="s">
        <v>1107</v>
      </c>
      <c r="EJ73" s="237" t="s">
        <v>1107</v>
      </c>
      <c r="EK73" s="237" t="s">
        <v>1107</v>
      </c>
      <c r="EL73" s="237" t="s">
        <v>1107</v>
      </c>
      <c r="EM73" s="237" t="s">
        <v>1107</v>
      </c>
      <c r="EN73" s="237" t="s">
        <v>1107</v>
      </c>
      <c r="EO73" s="237" t="s">
        <v>1107</v>
      </c>
      <c r="EP73" s="237" t="s">
        <v>1107</v>
      </c>
      <c r="EQ73" s="237" t="s">
        <v>1107</v>
      </c>
      <c r="ER73" s="237" t="s">
        <v>1107</v>
      </c>
      <c r="ES73" s="237" t="s">
        <v>1107</v>
      </c>
      <c r="ET73" s="237" t="s">
        <v>1107</v>
      </c>
      <c r="EU73" s="237" t="s">
        <v>1107</v>
      </c>
      <c r="EV73" s="237" t="s">
        <v>1107</v>
      </c>
      <c r="EW73" s="237" t="s">
        <v>1107</v>
      </c>
      <c r="EX73" s="237" t="s">
        <v>1107</v>
      </c>
      <c r="EY73" s="237" t="s">
        <v>1107</v>
      </c>
      <c r="EZ73" s="237" t="s">
        <v>231</v>
      </c>
      <c r="FA73" s="237" t="s">
        <v>231</v>
      </c>
      <c r="FB73" s="237" t="s">
        <v>231</v>
      </c>
      <c r="FC73" s="237" t="s">
        <v>231</v>
      </c>
      <c r="FD73" s="237" t="s">
        <v>1107</v>
      </c>
      <c r="FE73" s="237" t="s">
        <v>1107</v>
      </c>
      <c r="FF73" s="237" t="s">
        <v>1107</v>
      </c>
      <c r="FG73" s="237" t="s">
        <v>1107</v>
      </c>
      <c r="FH73" s="237" t="s">
        <v>1107</v>
      </c>
      <c r="FI73" s="237" t="s">
        <v>231</v>
      </c>
      <c r="FJ73" s="237" t="s">
        <v>1107</v>
      </c>
      <c r="FK73" s="237" t="s">
        <v>1107</v>
      </c>
      <c r="FL73" s="237" t="s">
        <v>1107</v>
      </c>
      <c r="FM73" s="237" t="s">
        <v>1107</v>
      </c>
      <c r="FN73" s="237" t="s">
        <v>231</v>
      </c>
      <c r="FO73" s="237" t="s">
        <v>231</v>
      </c>
      <c r="FP73" s="237" t="s">
        <v>231</v>
      </c>
      <c r="FQ73" s="237" t="s">
        <v>231</v>
      </c>
      <c r="FR73" s="237" t="s">
        <v>231</v>
      </c>
      <c r="FS73" s="237" t="s">
        <v>231</v>
      </c>
      <c r="FT73" s="237" t="s">
        <v>231</v>
      </c>
      <c r="FU73" s="237" t="s">
        <v>231</v>
      </c>
      <c r="FV73" s="237" t="s">
        <v>1107</v>
      </c>
      <c r="FW73" s="237" t="s">
        <v>1107</v>
      </c>
      <c r="FX73" s="237" t="s">
        <v>1107</v>
      </c>
      <c r="FY73" s="237" t="s">
        <v>231</v>
      </c>
      <c r="FZ73" s="237" t="s">
        <v>231</v>
      </c>
      <c r="GA73" s="237" t="s">
        <v>1107</v>
      </c>
      <c r="GB73" s="237" t="s">
        <v>1107</v>
      </c>
      <c r="GC73" s="237" t="s">
        <v>231</v>
      </c>
      <c r="GD73" s="237" t="s">
        <v>1107</v>
      </c>
      <c r="GE73" s="237" t="s">
        <v>1107</v>
      </c>
      <c r="GF73" s="237" t="s">
        <v>1107</v>
      </c>
      <c r="GG73" s="237" t="s">
        <v>1107</v>
      </c>
      <c r="GH73" s="237" t="s">
        <v>1107</v>
      </c>
      <c r="GI73" s="237" t="s">
        <v>1107</v>
      </c>
      <c r="GJ73" s="237" t="s">
        <v>1107</v>
      </c>
      <c r="GK73" s="237" t="s">
        <v>1107</v>
      </c>
      <c r="GL73" s="237" t="s">
        <v>1107</v>
      </c>
      <c r="GM73" s="237" t="s">
        <v>1107</v>
      </c>
      <c r="GN73" s="237" t="s">
        <v>1107</v>
      </c>
      <c r="GO73" s="237" t="s">
        <v>1107</v>
      </c>
      <c r="GP73" s="237" t="s">
        <v>1107</v>
      </c>
      <c r="GQ73" s="237" t="s">
        <v>1107</v>
      </c>
      <c r="GR73" s="237" t="s">
        <v>1107</v>
      </c>
      <c r="GS73" s="237" t="s">
        <v>1107</v>
      </c>
      <c r="GT73" s="237" t="s">
        <v>1107</v>
      </c>
      <c r="GU73" s="237" t="s">
        <v>1107</v>
      </c>
      <c r="GV73" s="237" t="s">
        <v>1107</v>
      </c>
      <c r="GW73" s="237" t="s">
        <v>1107</v>
      </c>
      <c r="GX73" s="237" t="s">
        <v>1107</v>
      </c>
      <c r="GY73" s="237" t="s">
        <v>1107</v>
      </c>
      <c r="GZ73" s="237" t="s">
        <v>1107</v>
      </c>
      <c r="HA73" s="237" t="s">
        <v>1107</v>
      </c>
      <c r="HB73" s="237" t="s">
        <v>1107</v>
      </c>
      <c r="HC73" s="237" t="s">
        <v>1107</v>
      </c>
      <c r="HD73" s="237" t="s">
        <v>1107</v>
      </c>
      <c r="HE73" s="237" t="s">
        <v>1107</v>
      </c>
      <c r="HF73" s="237" t="s">
        <v>1107</v>
      </c>
      <c r="HG73" s="237" t="s">
        <v>1107</v>
      </c>
      <c r="HH73" s="237" t="s">
        <v>1107</v>
      </c>
      <c r="HI73" s="237" t="s">
        <v>1107</v>
      </c>
      <c r="HJ73" s="237" t="s">
        <v>1107</v>
      </c>
      <c r="HK73" s="237" t="s">
        <v>1107</v>
      </c>
      <c r="HL73" s="237" t="s">
        <v>1107</v>
      </c>
      <c r="HM73" s="237" t="s">
        <v>1107</v>
      </c>
      <c r="HN73" s="237" t="s">
        <v>1107</v>
      </c>
      <c r="HO73" s="237" t="s">
        <v>1107</v>
      </c>
      <c r="HP73" s="237" t="s">
        <v>1107</v>
      </c>
      <c r="HQ73" s="237" t="s">
        <v>1107</v>
      </c>
      <c r="HR73" s="237" t="s">
        <v>1107</v>
      </c>
      <c r="HS73" s="237" t="s">
        <v>1107</v>
      </c>
      <c r="HT73" s="237" t="s">
        <v>231</v>
      </c>
      <c r="HU73" s="237" t="s">
        <v>231</v>
      </c>
      <c r="HV73" s="237" t="s">
        <v>231</v>
      </c>
      <c r="HW73" s="237" t="s">
        <v>231</v>
      </c>
      <c r="HX73" s="237" t="s">
        <v>219</v>
      </c>
      <c r="HY73" s="237" t="s">
        <v>219</v>
      </c>
      <c r="HZ73" s="237" t="s">
        <v>219</v>
      </c>
      <c r="IA73" s="237" t="s">
        <v>490</v>
      </c>
      <c r="IB73" s="237" t="s">
        <v>1107</v>
      </c>
      <c r="IC73" s="237" t="s">
        <v>1107</v>
      </c>
    </row>
    <row r="74" spans="1:237" ht="15" x14ac:dyDescent="0.25">
      <c r="A74" s="244" t="str">
        <f>HYPERLINK("http://www.ofsted.gov.uk/inspection-reports/find-inspection-report/provider/ELS/142536 ","Ofsted School Webpage")</f>
        <v>Ofsted School Webpage</v>
      </c>
      <c r="B74" s="240">
        <v>142536</v>
      </c>
      <c r="C74" s="240">
        <v>3566012</v>
      </c>
      <c r="D74" s="240" t="s">
        <v>1253</v>
      </c>
      <c r="E74" s="240" t="s">
        <v>248</v>
      </c>
      <c r="F74" s="240" t="s">
        <v>495</v>
      </c>
      <c r="G74" s="240" t="s">
        <v>495</v>
      </c>
      <c r="H74" s="240" t="s">
        <v>934</v>
      </c>
      <c r="I74" s="240" t="s">
        <v>1254</v>
      </c>
      <c r="J74" s="240" t="s">
        <v>93</v>
      </c>
      <c r="K74" s="240" t="s">
        <v>93</v>
      </c>
      <c r="L74" s="240" t="s">
        <v>93</v>
      </c>
      <c r="M74" s="240" t="s">
        <v>90</v>
      </c>
      <c r="N74" s="240" t="s">
        <v>486</v>
      </c>
      <c r="O74" s="240" t="s">
        <v>487</v>
      </c>
      <c r="P74" s="240">
        <v>10084504</v>
      </c>
      <c r="Q74" s="242">
        <v>43425</v>
      </c>
      <c r="R74" s="242">
        <v>43425</v>
      </c>
      <c r="S74" s="242">
        <v>43457</v>
      </c>
      <c r="T74" s="240" t="s">
        <v>1124</v>
      </c>
      <c r="U74" s="240" t="s">
        <v>1105</v>
      </c>
      <c r="V74" s="240" t="s">
        <v>490</v>
      </c>
      <c r="W74" s="240" t="s">
        <v>486</v>
      </c>
      <c r="X74" s="240" t="s">
        <v>486</v>
      </c>
      <c r="Y74" s="240" t="s">
        <v>486</v>
      </c>
      <c r="Z74" s="240" t="s">
        <v>486</v>
      </c>
      <c r="AA74" s="240" t="s">
        <v>486</v>
      </c>
      <c r="AB74" s="240" t="s">
        <v>486</v>
      </c>
      <c r="AC74" s="240" t="s">
        <v>486</v>
      </c>
      <c r="AD74" s="240" t="s">
        <v>1110</v>
      </c>
      <c r="AE74" s="240" t="s">
        <v>1107</v>
      </c>
      <c r="AF74" s="240" t="s">
        <v>1107</v>
      </c>
      <c r="AG74" s="240" t="s">
        <v>1107</v>
      </c>
      <c r="AH74" s="240" t="s">
        <v>1107</v>
      </c>
      <c r="AI74" s="240" t="s">
        <v>1107</v>
      </c>
      <c r="AJ74" s="240" t="s">
        <v>1107</v>
      </c>
      <c r="AK74" s="240" t="s">
        <v>1107</v>
      </c>
      <c r="AL74" s="240" t="s">
        <v>1107</v>
      </c>
      <c r="AM74" s="240" t="s">
        <v>1107</v>
      </c>
      <c r="AN74" s="240" t="s">
        <v>1107</v>
      </c>
      <c r="AO74" s="240" t="s">
        <v>1107</v>
      </c>
      <c r="AP74" s="240" t="s">
        <v>1107</v>
      </c>
      <c r="AQ74" s="240" t="s">
        <v>1107</v>
      </c>
      <c r="AR74" s="240" t="s">
        <v>1107</v>
      </c>
      <c r="AS74" s="240" t="s">
        <v>1107</v>
      </c>
      <c r="AT74" s="240" t="s">
        <v>1107</v>
      </c>
      <c r="AU74" s="240" t="s">
        <v>1107</v>
      </c>
      <c r="AV74" s="240" t="s">
        <v>1107</v>
      </c>
      <c r="AW74" s="240" t="s">
        <v>1107</v>
      </c>
      <c r="AX74" s="240" t="s">
        <v>1107</v>
      </c>
      <c r="AY74" s="240" t="s">
        <v>1107</v>
      </c>
      <c r="AZ74" s="240" t="s">
        <v>1107</v>
      </c>
      <c r="BA74" s="240" t="s">
        <v>1107</v>
      </c>
      <c r="BB74" s="240" t="s">
        <v>1107</v>
      </c>
      <c r="BC74" s="240" t="s">
        <v>1107</v>
      </c>
      <c r="BD74" s="240" t="s">
        <v>1107</v>
      </c>
      <c r="BE74" s="240" t="s">
        <v>1107</v>
      </c>
      <c r="BF74" s="240" t="s">
        <v>1107</v>
      </c>
      <c r="BG74" s="240" t="s">
        <v>1107</v>
      </c>
      <c r="BH74" s="240" t="s">
        <v>1107</v>
      </c>
      <c r="BI74" s="240" t="s">
        <v>1107</v>
      </c>
      <c r="BJ74" s="240" t="s">
        <v>1107</v>
      </c>
      <c r="BK74" s="240" t="s">
        <v>1107</v>
      </c>
      <c r="BL74" s="240" t="s">
        <v>1107</v>
      </c>
      <c r="BM74" s="240" t="s">
        <v>1107</v>
      </c>
      <c r="BN74" s="240" t="s">
        <v>1107</v>
      </c>
      <c r="BO74" s="240" t="s">
        <v>1107</v>
      </c>
      <c r="BP74" s="240" t="s">
        <v>1107</v>
      </c>
      <c r="BQ74" s="240" t="s">
        <v>1107</v>
      </c>
      <c r="BR74" s="240" t="s">
        <v>1107</v>
      </c>
      <c r="BS74" s="240" t="s">
        <v>1107</v>
      </c>
      <c r="BT74" s="240" t="s">
        <v>1107</v>
      </c>
      <c r="BU74" s="240" t="s">
        <v>1107</v>
      </c>
      <c r="BV74" s="240" t="s">
        <v>1107</v>
      </c>
      <c r="BW74" s="240" t="s">
        <v>1107</v>
      </c>
      <c r="BX74" s="240" t="s">
        <v>1107</v>
      </c>
      <c r="BY74" s="240" t="s">
        <v>1107</v>
      </c>
      <c r="BZ74" s="240" t="s">
        <v>231</v>
      </c>
      <c r="CA74" s="240" t="s">
        <v>231</v>
      </c>
      <c r="CB74" s="240" t="s">
        <v>231</v>
      </c>
      <c r="CC74" s="240" t="s">
        <v>1107</v>
      </c>
      <c r="CD74" s="240" t="s">
        <v>1107</v>
      </c>
      <c r="CE74" s="240" t="s">
        <v>1107</v>
      </c>
      <c r="CF74" s="240" t="s">
        <v>1107</v>
      </c>
      <c r="CG74" s="240" t="s">
        <v>1107</v>
      </c>
      <c r="CH74" s="240" t="s">
        <v>1107</v>
      </c>
      <c r="CI74" s="240" t="s">
        <v>1107</v>
      </c>
      <c r="CJ74" s="240" t="s">
        <v>1107</v>
      </c>
      <c r="CK74" s="240" t="s">
        <v>1107</v>
      </c>
      <c r="CL74" s="240" t="s">
        <v>231</v>
      </c>
      <c r="CM74" s="240" t="s">
        <v>1107</v>
      </c>
      <c r="CN74" s="240" t="s">
        <v>1107</v>
      </c>
      <c r="CO74" s="240" t="s">
        <v>1107</v>
      </c>
      <c r="CP74" s="240" t="s">
        <v>1107</v>
      </c>
      <c r="CQ74" s="240" t="s">
        <v>1107</v>
      </c>
      <c r="CR74" s="240" t="s">
        <v>1107</v>
      </c>
      <c r="CS74" s="240" t="s">
        <v>1107</v>
      </c>
      <c r="CT74" s="240" t="s">
        <v>1107</v>
      </c>
      <c r="CU74" s="240" t="s">
        <v>1107</v>
      </c>
      <c r="CV74" s="240" t="s">
        <v>1107</v>
      </c>
      <c r="CW74" s="240" t="s">
        <v>1107</v>
      </c>
      <c r="CX74" s="240" t="s">
        <v>1107</v>
      </c>
      <c r="CY74" s="240" t="s">
        <v>1107</v>
      </c>
      <c r="CZ74" s="240" t="s">
        <v>1107</v>
      </c>
      <c r="DA74" s="240" t="s">
        <v>1107</v>
      </c>
      <c r="DB74" s="240" t="s">
        <v>1107</v>
      </c>
      <c r="DC74" s="240" t="s">
        <v>1107</v>
      </c>
      <c r="DD74" s="240" t="s">
        <v>1107</v>
      </c>
      <c r="DE74" s="240" t="s">
        <v>1107</v>
      </c>
      <c r="DF74" s="240" t="s">
        <v>1107</v>
      </c>
      <c r="DG74" s="240" t="s">
        <v>1107</v>
      </c>
      <c r="DH74" s="240" t="s">
        <v>1107</v>
      </c>
      <c r="DI74" s="240" t="s">
        <v>1107</v>
      </c>
      <c r="DJ74" s="240" t="s">
        <v>1107</v>
      </c>
      <c r="DK74" s="240" t="s">
        <v>1107</v>
      </c>
      <c r="DL74" s="240" t="s">
        <v>1107</v>
      </c>
      <c r="DM74" s="240" t="s">
        <v>1107</v>
      </c>
      <c r="DN74" s="240" t="s">
        <v>1107</v>
      </c>
      <c r="DO74" s="240" t="s">
        <v>1107</v>
      </c>
      <c r="DP74" s="240" t="s">
        <v>1107</v>
      </c>
      <c r="DQ74" s="240" t="s">
        <v>1107</v>
      </c>
      <c r="DR74" s="240" t="s">
        <v>1107</v>
      </c>
      <c r="DS74" s="240" t="s">
        <v>1107</v>
      </c>
      <c r="DT74" s="240" t="s">
        <v>1107</v>
      </c>
      <c r="DU74" s="240" t="s">
        <v>1107</v>
      </c>
      <c r="DV74" s="240" t="s">
        <v>1107</v>
      </c>
      <c r="DW74" s="240" t="s">
        <v>1107</v>
      </c>
      <c r="DX74" s="240" t="s">
        <v>1107</v>
      </c>
      <c r="DY74" s="240" t="s">
        <v>1107</v>
      </c>
      <c r="DZ74" s="240" t="s">
        <v>1107</v>
      </c>
      <c r="EA74" s="240" t="s">
        <v>1107</v>
      </c>
      <c r="EB74" s="240" t="s">
        <v>1107</v>
      </c>
      <c r="EC74" s="240" t="s">
        <v>1107</v>
      </c>
      <c r="ED74" s="240" t="s">
        <v>1107</v>
      </c>
      <c r="EE74" s="240" t="s">
        <v>1107</v>
      </c>
      <c r="EF74" s="240" t="s">
        <v>1107</v>
      </c>
      <c r="EG74" s="240" t="s">
        <v>1107</v>
      </c>
      <c r="EH74" s="240" t="s">
        <v>1107</v>
      </c>
      <c r="EI74" s="240" t="s">
        <v>1107</v>
      </c>
      <c r="EJ74" s="240" t="s">
        <v>1107</v>
      </c>
      <c r="EK74" s="240" t="s">
        <v>1107</v>
      </c>
      <c r="EL74" s="240" t="s">
        <v>1107</v>
      </c>
      <c r="EM74" s="240" t="s">
        <v>1107</v>
      </c>
      <c r="EN74" s="240" t="s">
        <v>1107</v>
      </c>
      <c r="EO74" s="240" t="s">
        <v>1107</v>
      </c>
      <c r="EP74" s="240" t="s">
        <v>1107</v>
      </c>
      <c r="EQ74" s="240" t="s">
        <v>1107</v>
      </c>
      <c r="ER74" s="240" t="s">
        <v>1107</v>
      </c>
      <c r="ES74" s="240" t="s">
        <v>1107</v>
      </c>
      <c r="ET74" s="240" t="s">
        <v>1107</v>
      </c>
      <c r="EU74" s="240" t="s">
        <v>1107</v>
      </c>
      <c r="EV74" s="240" t="s">
        <v>1107</v>
      </c>
      <c r="EW74" s="240" t="s">
        <v>1107</v>
      </c>
      <c r="EX74" s="240" t="s">
        <v>1107</v>
      </c>
      <c r="EY74" s="240" t="s">
        <v>1107</v>
      </c>
      <c r="EZ74" s="240" t="s">
        <v>1107</v>
      </c>
      <c r="FA74" s="240" t="s">
        <v>1107</v>
      </c>
      <c r="FB74" s="240" t="s">
        <v>1107</v>
      </c>
      <c r="FC74" s="240" t="s">
        <v>1107</v>
      </c>
      <c r="FD74" s="240" t="s">
        <v>1107</v>
      </c>
      <c r="FE74" s="240" t="s">
        <v>1107</v>
      </c>
      <c r="FF74" s="240" t="s">
        <v>1107</v>
      </c>
      <c r="FG74" s="240" t="s">
        <v>1107</v>
      </c>
      <c r="FH74" s="240" t="s">
        <v>1107</v>
      </c>
      <c r="FI74" s="240" t="s">
        <v>231</v>
      </c>
      <c r="FJ74" s="240" t="s">
        <v>1107</v>
      </c>
      <c r="FK74" s="240" t="s">
        <v>1107</v>
      </c>
      <c r="FL74" s="240" t="s">
        <v>1107</v>
      </c>
      <c r="FM74" s="240" t="s">
        <v>1107</v>
      </c>
      <c r="FN74" s="240" t="s">
        <v>1107</v>
      </c>
      <c r="FO74" s="240" t="s">
        <v>1107</v>
      </c>
      <c r="FP74" s="240" t="s">
        <v>1107</v>
      </c>
      <c r="FQ74" s="240" t="s">
        <v>1107</v>
      </c>
      <c r="FR74" s="240" t="s">
        <v>1107</v>
      </c>
      <c r="FS74" s="240" t="s">
        <v>1107</v>
      </c>
      <c r="FT74" s="240" t="s">
        <v>1107</v>
      </c>
      <c r="FU74" s="240" t="s">
        <v>1107</v>
      </c>
      <c r="FV74" s="240" t="s">
        <v>1107</v>
      </c>
      <c r="FW74" s="240" t="s">
        <v>1107</v>
      </c>
      <c r="FX74" s="240" t="s">
        <v>1107</v>
      </c>
      <c r="FY74" s="240" t="s">
        <v>1107</v>
      </c>
      <c r="FZ74" s="240" t="s">
        <v>231</v>
      </c>
      <c r="GA74" s="240" t="s">
        <v>1107</v>
      </c>
      <c r="GB74" s="240" t="s">
        <v>1107</v>
      </c>
      <c r="GC74" s="240" t="s">
        <v>231</v>
      </c>
      <c r="GD74" s="240" t="s">
        <v>1107</v>
      </c>
      <c r="GE74" s="240" t="s">
        <v>1107</v>
      </c>
      <c r="GF74" s="240" t="s">
        <v>1107</v>
      </c>
      <c r="GG74" s="240" t="s">
        <v>1107</v>
      </c>
      <c r="GH74" s="240" t="s">
        <v>1107</v>
      </c>
      <c r="GI74" s="240" t="s">
        <v>1107</v>
      </c>
      <c r="GJ74" s="240" t="s">
        <v>1107</v>
      </c>
      <c r="GK74" s="240" t="s">
        <v>1107</v>
      </c>
      <c r="GL74" s="240" t="s">
        <v>1107</v>
      </c>
      <c r="GM74" s="240" t="s">
        <v>1107</v>
      </c>
      <c r="GN74" s="240" t="s">
        <v>1107</v>
      </c>
      <c r="GO74" s="240" t="s">
        <v>1107</v>
      </c>
      <c r="GP74" s="240" t="s">
        <v>1107</v>
      </c>
      <c r="GQ74" s="240" t="s">
        <v>1107</v>
      </c>
      <c r="GR74" s="240" t="s">
        <v>1107</v>
      </c>
      <c r="GS74" s="240" t="s">
        <v>1107</v>
      </c>
      <c r="GT74" s="240" t="s">
        <v>1107</v>
      </c>
      <c r="GU74" s="240" t="s">
        <v>1107</v>
      </c>
      <c r="GV74" s="240" t="s">
        <v>1107</v>
      </c>
      <c r="GW74" s="240" t="s">
        <v>1107</v>
      </c>
      <c r="GX74" s="240" t="s">
        <v>1107</v>
      </c>
      <c r="GY74" s="240" t="s">
        <v>1107</v>
      </c>
      <c r="GZ74" s="240" t="s">
        <v>1107</v>
      </c>
      <c r="HA74" s="240" t="s">
        <v>1107</v>
      </c>
      <c r="HB74" s="240" t="s">
        <v>1107</v>
      </c>
      <c r="HC74" s="240" t="s">
        <v>1107</v>
      </c>
      <c r="HD74" s="240" t="s">
        <v>1107</v>
      </c>
      <c r="HE74" s="240" t="s">
        <v>1107</v>
      </c>
      <c r="HF74" s="240" t="s">
        <v>1107</v>
      </c>
      <c r="HG74" s="240" t="s">
        <v>1107</v>
      </c>
      <c r="HH74" s="240" t="s">
        <v>1107</v>
      </c>
      <c r="HI74" s="240" t="s">
        <v>1107</v>
      </c>
      <c r="HJ74" s="240" t="s">
        <v>1107</v>
      </c>
      <c r="HK74" s="240" t="s">
        <v>1107</v>
      </c>
      <c r="HL74" s="240" t="s">
        <v>1107</v>
      </c>
      <c r="HM74" s="240" t="s">
        <v>1107</v>
      </c>
      <c r="HN74" s="240" t="s">
        <v>1107</v>
      </c>
      <c r="HO74" s="240" t="s">
        <v>1107</v>
      </c>
      <c r="HP74" s="240" t="s">
        <v>1107</v>
      </c>
      <c r="HQ74" s="240" t="s">
        <v>1107</v>
      </c>
      <c r="HR74" s="240" t="s">
        <v>1107</v>
      </c>
      <c r="HS74" s="240" t="s">
        <v>1107</v>
      </c>
      <c r="HT74" s="240" t="s">
        <v>1107</v>
      </c>
      <c r="HU74" s="240" t="s">
        <v>1107</v>
      </c>
      <c r="HV74" s="240" t="s">
        <v>1107</v>
      </c>
      <c r="HW74" s="240" t="s">
        <v>1107</v>
      </c>
      <c r="HX74" s="240" t="s">
        <v>597</v>
      </c>
      <c r="HY74" s="240" t="s">
        <v>597</v>
      </c>
      <c r="HZ74" s="240" t="s">
        <v>597</v>
      </c>
      <c r="IA74" s="240" t="s">
        <v>490</v>
      </c>
      <c r="IB74" s="240" t="s">
        <v>1107</v>
      </c>
      <c r="IC74" s="240" t="s">
        <v>1107</v>
      </c>
    </row>
    <row r="75" spans="1:237" ht="15" x14ac:dyDescent="0.25">
      <c r="A75" s="243" t="str">
        <f>HYPERLINK("http://www.ofsted.gov.uk/inspection-reports/find-inspection-report/provider/ELS/134244 ","Ofsted School Webpage")</f>
        <v>Ofsted School Webpage</v>
      </c>
      <c r="B75" s="237">
        <v>134244</v>
      </c>
      <c r="C75" s="237">
        <v>3176076</v>
      </c>
      <c r="D75" s="237" t="s">
        <v>1255</v>
      </c>
      <c r="E75" s="237" t="s">
        <v>247</v>
      </c>
      <c r="F75" s="237" t="s">
        <v>506</v>
      </c>
      <c r="G75" s="237" t="s">
        <v>506</v>
      </c>
      <c r="H75" s="237" t="s">
        <v>731</v>
      </c>
      <c r="I75" s="237" t="s">
        <v>1256</v>
      </c>
      <c r="J75" s="237" t="s">
        <v>84</v>
      </c>
      <c r="K75" s="237" t="s">
        <v>84</v>
      </c>
      <c r="L75" s="237" t="s">
        <v>84</v>
      </c>
      <c r="M75" s="237" t="s">
        <v>84</v>
      </c>
      <c r="N75" s="237" t="s">
        <v>486</v>
      </c>
      <c r="O75" s="237" t="s">
        <v>487</v>
      </c>
      <c r="P75" s="237">
        <v>10056237</v>
      </c>
      <c r="Q75" s="239">
        <v>43425</v>
      </c>
      <c r="R75" s="239">
        <v>43425</v>
      </c>
      <c r="S75" s="239">
        <v>43452</v>
      </c>
      <c r="T75" s="237" t="s">
        <v>1104</v>
      </c>
      <c r="U75" s="237" t="s">
        <v>1105</v>
      </c>
      <c r="V75" s="237" t="s">
        <v>512</v>
      </c>
      <c r="W75" s="237" t="s">
        <v>486</v>
      </c>
      <c r="X75" s="237" t="s">
        <v>490</v>
      </c>
      <c r="Y75" s="237" t="s">
        <v>486</v>
      </c>
      <c r="Z75" s="237" t="s">
        <v>486</v>
      </c>
      <c r="AA75" s="237" t="s">
        <v>486</v>
      </c>
      <c r="AB75" s="237" t="s">
        <v>486</v>
      </c>
      <c r="AC75" s="237" t="s">
        <v>486</v>
      </c>
      <c r="AD75" s="237" t="s">
        <v>1257</v>
      </c>
      <c r="AE75" s="237" t="s">
        <v>1107</v>
      </c>
      <c r="AF75" s="237" t="s">
        <v>1107</v>
      </c>
      <c r="AG75" s="237" t="s">
        <v>1107</v>
      </c>
      <c r="AH75" s="237" t="s">
        <v>1107</v>
      </c>
      <c r="AI75" s="237" t="s">
        <v>1107</v>
      </c>
      <c r="AJ75" s="237" t="s">
        <v>1107</v>
      </c>
      <c r="AK75" s="237" t="s">
        <v>1107</v>
      </c>
      <c r="AL75" s="237" t="s">
        <v>1107</v>
      </c>
      <c r="AM75" s="237" t="s">
        <v>1107</v>
      </c>
      <c r="AN75" s="237" t="s">
        <v>1107</v>
      </c>
      <c r="AO75" s="237" t="s">
        <v>1107</v>
      </c>
      <c r="AP75" s="237" t="s">
        <v>1107</v>
      </c>
      <c r="AQ75" s="237" t="s">
        <v>492</v>
      </c>
      <c r="AR75" s="237" t="s">
        <v>492</v>
      </c>
      <c r="AS75" s="237" t="s">
        <v>492</v>
      </c>
      <c r="AT75" s="237" t="s">
        <v>492</v>
      </c>
      <c r="AU75" s="237" t="s">
        <v>1107</v>
      </c>
      <c r="AV75" s="237" t="s">
        <v>1107</v>
      </c>
      <c r="AW75" s="237" t="s">
        <v>1107</v>
      </c>
      <c r="AX75" s="237" t="s">
        <v>1107</v>
      </c>
      <c r="AY75" s="237" t="s">
        <v>1107</v>
      </c>
      <c r="AZ75" s="237" t="s">
        <v>1107</v>
      </c>
      <c r="BA75" s="237" t="s">
        <v>1107</v>
      </c>
      <c r="BB75" s="237" t="s">
        <v>1107</v>
      </c>
      <c r="BC75" s="237" t="s">
        <v>1107</v>
      </c>
      <c r="BD75" s="237" t="s">
        <v>1107</v>
      </c>
      <c r="BE75" s="237" t="s">
        <v>1107</v>
      </c>
      <c r="BF75" s="237" t="s">
        <v>1107</v>
      </c>
      <c r="BG75" s="237" t="s">
        <v>1107</v>
      </c>
      <c r="BH75" s="237" t="s">
        <v>1107</v>
      </c>
      <c r="BI75" s="237" t="s">
        <v>1107</v>
      </c>
      <c r="BJ75" s="237" t="s">
        <v>1107</v>
      </c>
      <c r="BK75" s="237" t="s">
        <v>1107</v>
      </c>
      <c r="BL75" s="237" t="s">
        <v>1107</v>
      </c>
      <c r="BM75" s="237" t="s">
        <v>1107</v>
      </c>
      <c r="BN75" s="237" t="s">
        <v>1107</v>
      </c>
      <c r="BO75" s="237" t="s">
        <v>1107</v>
      </c>
      <c r="BP75" s="237" t="s">
        <v>1107</v>
      </c>
      <c r="BQ75" s="237" t="s">
        <v>1107</v>
      </c>
      <c r="BR75" s="237" t="s">
        <v>1107</v>
      </c>
      <c r="BS75" s="237" t="s">
        <v>1107</v>
      </c>
      <c r="BT75" s="237" t="s">
        <v>1107</v>
      </c>
      <c r="BU75" s="237" t="s">
        <v>1107</v>
      </c>
      <c r="BV75" s="237" t="s">
        <v>1107</v>
      </c>
      <c r="BW75" s="237" t="s">
        <v>1107</v>
      </c>
      <c r="BX75" s="237" t="s">
        <v>1107</v>
      </c>
      <c r="BY75" s="237" t="s">
        <v>1107</v>
      </c>
      <c r="BZ75" s="237" t="s">
        <v>231</v>
      </c>
      <c r="CA75" s="237" t="s">
        <v>231</v>
      </c>
      <c r="CB75" s="237" t="s">
        <v>231</v>
      </c>
      <c r="CC75" s="237" t="s">
        <v>492</v>
      </c>
      <c r="CD75" s="237" t="s">
        <v>492</v>
      </c>
      <c r="CE75" s="237" t="s">
        <v>492</v>
      </c>
      <c r="CF75" s="237" t="s">
        <v>1107</v>
      </c>
      <c r="CG75" s="237" t="s">
        <v>1107</v>
      </c>
      <c r="CH75" s="237" t="s">
        <v>1107</v>
      </c>
      <c r="CI75" s="237" t="s">
        <v>1107</v>
      </c>
      <c r="CJ75" s="237" t="s">
        <v>1107</v>
      </c>
      <c r="CK75" s="237" t="s">
        <v>231</v>
      </c>
      <c r="CL75" s="237" t="s">
        <v>231</v>
      </c>
      <c r="CM75" s="237" t="s">
        <v>1107</v>
      </c>
      <c r="CN75" s="237" t="s">
        <v>1107</v>
      </c>
      <c r="CO75" s="237" t="s">
        <v>1107</v>
      </c>
      <c r="CP75" s="237" t="s">
        <v>231</v>
      </c>
      <c r="CQ75" s="237" t="s">
        <v>231</v>
      </c>
      <c r="CR75" s="237" t="s">
        <v>231</v>
      </c>
      <c r="CS75" s="237" t="s">
        <v>1107</v>
      </c>
      <c r="CT75" s="237" t="s">
        <v>1107</v>
      </c>
      <c r="CU75" s="237" t="s">
        <v>1107</v>
      </c>
      <c r="CV75" s="237" t="s">
        <v>1107</v>
      </c>
      <c r="CW75" s="237" t="s">
        <v>1107</v>
      </c>
      <c r="CX75" s="237" t="s">
        <v>1107</v>
      </c>
      <c r="CY75" s="237" t="s">
        <v>1107</v>
      </c>
      <c r="CZ75" s="237" t="s">
        <v>1107</v>
      </c>
      <c r="DA75" s="237" t="s">
        <v>1107</v>
      </c>
      <c r="DB75" s="237" t="s">
        <v>1107</v>
      </c>
      <c r="DC75" s="237" t="s">
        <v>1107</v>
      </c>
      <c r="DD75" s="237" t="s">
        <v>1107</v>
      </c>
      <c r="DE75" s="237" t="s">
        <v>1107</v>
      </c>
      <c r="DF75" s="237" t="s">
        <v>1107</v>
      </c>
      <c r="DG75" s="237" t="s">
        <v>1107</v>
      </c>
      <c r="DH75" s="237" t="s">
        <v>1107</v>
      </c>
      <c r="DI75" s="237" t="s">
        <v>1107</v>
      </c>
      <c r="DJ75" s="237" t="s">
        <v>1107</v>
      </c>
      <c r="DK75" s="237" t="s">
        <v>1107</v>
      </c>
      <c r="DL75" s="237" t="s">
        <v>1107</v>
      </c>
      <c r="DM75" s="237" t="s">
        <v>1107</v>
      </c>
      <c r="DN75" s="237" t="s">
        <v>1107</v>
      </c>
      <c r="DO75" s="237" t="s">
        <v>1107</v>
      </c>
      <c r="DP75" s="237" t="s">
        <v>1107</v>
      </c>
      <c r="DQ75" s="237" t="s">
        <v>1107</v>
      </c>
      <c r="DR75" s="237" t="s">
        <v>1107</v>
      </c>
      <c r="DS75" s="237" t="s">
        <v>1107</v>
      </c>
      <c r="DT75" s="237" t="s">
        <v>1107</v>
      </c>
      <c r="DU75" s="237" t="s">
        <v>1107</v>
      </c>
      <c r="DV75" s="237" t="s">
        <v>1107</v>
      </c>
      <c r="DW75" s="237" t="s">
        <v>1107</v>
      </c>
      <c r="DX75" s="237" t="s">
        <v>1107</v>
      </c>
      <c r="DY75" s="237" t="s">
        <v>1107</v>
      </c>
      <c r="DZ75" s="237" t="s">
        <v>1107</v>
      </c>
      <c r="EA75" s="237" t="s">
        <v>1107</v>
      </c>
      <c r="EB75" s="237" t="s">
        <v>1107</v>
      </c>
      <c r="EC75" s="237" t="s">
        <v>1107</v>
      </c>
      <c r="ED75" s="237" t="s">
        <v>1107</v>
      </c>
      <c r="EE75" s="237" t="s">
        <v>1107</v>
      </c>
      <c r="EF75" s="237" t="s">
        <v>1107</v>
      </c>
      <c r="EG75" s="237" t="s">
        <v>1107</v>
      </c>
      <c r="EH75" s="237" t="s">
        <v>1107</v>
      </c>
      <c r="EI75" s="237" t="s">
        <v>1107</v>
      </c>
      <c r="EJ75" s="237" t="s">
        <v>1107</v>
      </c>
      <c r="EK75" s="237" t="s">
        <v>1107</v>
      </c>
      <c r="EL75" s="237" t="s">
        <v>1107</v>
      </c>
      <c r="EM75" s="237" t="s">
        <v>1107</v>
      </c>
      <c r="EN75" s="237" t="s">
        <v>1107</v>
      </c>
      <c r="EO75" s="237" t="s">
        <v>1107</v>
      </c>
      <c r="EP75" s="237" t="s">
        <v>1107</v>
      </c>
      <c r="EQ75" s="237" t="s">
        <v>1107</v>
      </c>
      <c r="ER75" s="237" t="s">
        <v>1107</v>
      </c>
      <c r="ES75" s="237" t="s">
        <v>1107</v>
      </c>
      <c r="ET75" s="237" t="s">
        <v>1107</v>
      </c>
      <c r="EU75" s="237" t="s">
        <v>1107</v>
      </c>
      <c r="EV75" s="237" t="s">
        <v>1107</v>
      </c>
      <c r="EW75" s="237" t="s">
        <v>1107</v>
      </c>
      <c r="EX75" s="237" t="s">
        <v>1107</v>
      </c>
      <c r="EY75" s="237" t="s">
        <v>1107</v>
      </c>
      <c r="EZ75" s="237" t="s">
        <v>231</v>
      </c>
      <c r="FA75" s="237" t="s">
        <v>231</v>
      </c>
      <c r="FB75" s="237" t="s">
        <v>231</v>
      </c>
      <c r="FC75" s="237" t="s">
        <v>492</v>
      </c>
      <c r="FD75" s="237" t="s">
        <v>231</v>
      </c>
      <c r="FE75" s="237" t="s">
        <v>231</v>
      </c>
      <c r="FF75" s="237" t="s">
        <v>231</v>
      </c>
      <c r="FG75" s="237" t="s">
        <v>492</v>
      </c>
      <c r="FH75" s="237" t="s">
        <v>231</v>
      </c>
      <c r="FI75" s="237" t="s">
        <v>231</v>
      </c>
      <c r="FJ75" s="237" t="s">
        <v>231</v>
      </c>
      <c r="FK75" s="237" t="s">
        <v>231</v>
      </c>
      <c r="FL75" s="237" t="s">
        <v>231</v>
      </c>
      <c r="FM75" s="237" t="s">
        <v>231</v>
      </c>
      <c r="FN75" s="237" t="s">
        <v>231</v>
      </c>
      <c r="FO75" s="237" t="s">
        <v>231</v>
      </c>
      <c r="FP75" s="237" t="s">
        <v>231</v>
      </c>
      <c r="FQ75" s="237" t="s">
        <v>231</v>
      </c>
      <c r="FR75" s="237" t="s">
        <v>231</v>
      </c>
      <c r="FS75" s="237" t="s">
        <v>231</v>
      </c>
      <c r="FT75" s="237" t="s">
        <v>231</v>
      </c>
      <c r="FU75" s="237" t="s">
        <v>231</v>
      </c>
      <c r="FV75" s="237" t="s">
        <v>231</v>
      </c>
      <c r="FW75" s="237" t="s">
        <v>231</v>
      </c>
      <c r="FX75" s="237" t="s">
        <v>231</v>
      </c>
      <c r="FY75" s="237" t="s">
        <v>492</v>
      </c>
      <c r="FZ75" s="237" t="s">
        <v>231</v>
      </c>
      <c r="GA75" s="237" t="s">
        <v>1107</v>
      </c>
      <c r="GB75" s="237" t="s">
        <v>1107</v>
      </c>
      <c r="GC75" s="237" t="s">
        <v>231</v>
      </c>
      <c r="GD75" s="237" t="s">
        <v>1107</v>
      </c>
      <c r="GE75" s="237" t="s">
        <v>1107</v>
      </c>
      <c r="GF75" s="237" t="s">
        <v>1107</v>
      </c>
      <c r="GG75" s="237" t="s">
        <v>1107</v>
      </c>
      <c r="GH75" s="237" t="s">
        <v>1107</v>
      </c>
      <c r="GI75" s="237" t="s">
        <v>1107</v>
      </c>
      <c r="GJ75" s="237" t="s">
        <v>1107</v>
      </c>
      <c r="GK75" s="237" t="s">
        <v>1107</v>
      </c>
      <c r="GL75" s="237" t="s">
        <v>1107</v>
      </c>
      <c r="GM75" s="237" t="s">
        <v>1107</v>
      </c>
      <c r="GN75" s="237" t="s">
        <v>1107</v>
      </c>
      <c r="GO75" s="237" t="s">
        <v>1107</v>
      </c>
      <c r="GP75" s="237" t="s">
        <v>1107</v>
      </c>
      <c r="GQ75" s="237" t="s">
        <v>1107</v>
      </c>
      <c r="GR75" s="237" t="s">
        <v>1107</v>
      </c>
      <c r="GS75" s="237" t="s">
        <v>1107</v>
      </c>
      <c r="GT75" s="237" t="s">
        <v>1107</v>
      </c>
      <c r="GU75" s="237" t="s">
        <v>1107</v>
      </c>
      <c r="GV75" s="237" t="s">
        <v>1107</v>
      </c>
      <c r="GW75" s="237" t="s">
        <v>1107</v>
      </c>
      <c r="GX75" s="237" t="s">
        <v>1107</v>
      </c>
      <c r="GY75" s="237" t="s">
        <v>1107</v>
      </c>
      <c r="GZ75" s="237" t="s">
        <v>1107</v>
      </c>
      <c r="HA75" s="237" t="s">
        <v>1107</v>
      </c>
      <c r="HB75" s="237" t="s">
        <v>1107</v>
      </c>
      <c r="HC75" s="237" t="s">
        <v>1107</v>
      </c>
      <c r="HD75" s="237" t="s">
        <v>1107</v>
      </c>
      <c r="HE75" s="237" t="s">
        <v>1107</v>
      </c>
      <c r="HF75" s="237" t="s">
        <v>1107</v>
      </c>
      <c r="HG75" s="237" t="s">
        <v>1107</v>
      </c>
      <c r="HH75" s="237" t="s">
        <v>1107</v>
      </c>
      <c r="HI75" s="237" t="s">
        <v>1107</v>
      </c>
      <c r="HJ75" s="237" t="s">
        <v>1107</v>
      </c>
      <c r="HK75" s="237" t="s">
        <v>1107</v>
      </c>
      <c r="HL75" s="237" t="s">
        <v>1107</v>
      </c>
      <c r="HM75" s="237" t="s">
        <v>1107</v>
      </c>
      <c r="HN75" s="237" t="s">
        <v>1107</v>
      </c>
      <c r="HO75" s="237" t="s">
        <v>1107</v>
      </c>
      <c r="HP75" s="237" t="s">
        <v>1107</v>
      </c>
      <c r="HQ75" s="237" t="s">
        <v>1107</v>
      </c>
      <c r="HR75" s="237" t="s">
        <v>1107</v>
      </c>
      <c r="HS75" s="237" t="s">
        <v>1107</v>
      </c>
      <c r="HT75" s="237" t="s">
        <v>231</v>
      </c>
      <c r="HU75" s="237" t="s">
        <v>231</v>
      </c>
      <c r="HV75" s="237" t="s">
        <v>231</v>
      </c>
      <c r="HW75" s="237" t="s">
        <v>231</v>
      </c>
      <c r="HX75" s="237" t="s">
        <v>220</v>
      </c>
      <c r="HY75" s="237" t="s">
        <v>493</v>
      </c>
      <c r="HZ75" s="237" t="s">
        <v>219</v>
      </c>
      <c r="IA75" s="237" t="s">
        <v>490</v>
      </c>
      <c r="IB75" s="237" t="s">
        <v>492</v>
      </c>
      <c r="IC75" s="237" t="s">
        <v>492</v>
      </c>
    </row>
    <row r="76" spans="1:237" ht="15" x14ac:dyDescent="0.25">
      <c r="A76" s="244" t="str">
        <f>HYPERLINK("http://www.ofsted.gov.uk/inspection-reports/find-inspection-report/provider/ELS/142625 ","Ofsted School Webpage")</f>
        <v>Ofsted School Webpage</v>
      </c>
      <c r="B76" s="240">
        <v>142625</v>
      </c>
      <c r="C76" s="240">
        <v>8736053</v>
      </c>
      <c r="D76" s="240" t="s">
        <v>1258</v>
      </c>
      <c r="E76" s="240" t="s">
        <v>247</v>
      </c>
      <c r="F76" s="240" t="s">
        <v>516</v>
      </c>
      <c r="G76" s="240" t="s">
        <v>516</v>
      </c>
      <c r="H76" s="240" t="s">
        <v>867</v>
      </c>
      <c r="I76" s="240" t="s">
        <v>1259</v>
      </c>
      <c r="J76" s="240" t="s">
        <v>93</v>
      </c>
      <c r="K76" s="240" t="s">
        <v>93</v>
      </c>
      <c r="L76" s="240" t="s">
        <v>93</v>
      </c>
      <c r="M76" s="240" t="s">
        <v>90</v>
      </c>
      <c r="N76" s="240" t="s">
        <v>486</v>
      </c>
      <c r="O76" s="240" t="s">
        <v>487</v>
      </c>
      <c r="P76" s="240">
        <v>10080593</v>
      </c>
      <c r="Q76" s="242">
        <v>43426</v>
      </c>
      <c r="R76" s="242">
        <v>43426</v>
      </c>
      <c r="S76" s="242">
        <v>43454</v>
      </c>
      <c r="T76" s="240" t="s">
        <v>1109</v>
      </c>
      <c r="U76" s="240" t="s">
        <v>1105</v>
      </c>
      <c r="V76" s="240" t="s">
        <v>490</v>
      </c>
      <c r="W76" s="240" t="s">
        <v>486</v>
      </c>
      <c r="X76" s="240" t="s">
        <v>486</v>
      </c>
      <c r="Y76" s="240" t="s">
        <v>486</v>
      </c>
      <c r="Z76" s="240" t="s">
        <v>486</v>
      </c>
      <c r="AA76" s="240" t="s">
        <v>486</v>
      </c>
      <c r="AB76" s="240" t="s">
        <v>486</v>
      </c>
      <c r="AC76" s="240" t="s">
        <v>486</v>
      </c>
      <c r="AD76" s="240" t="s">
        <v>1136</v>
      </c>
      <c r="AE76" s="240" t="s">
        <v>1107</v>
      </c>
      <c r="AF76" s="240" t="s">
        <v>1107</v>
      </c>
      <c r="AG76" s="240" t="s">
        <v>1107</v>
      </c>
      <c r="AH76" s="240" t="s">
        <v>1107</v>
      </c>
      <c r="AI76" s="240" t="s">
        <v>1107</v>
      </c>
      <c r="AJ76" s="240" t="s">
        <v>1107</v>
      </c>
      <c r="AK76" s="240" t="s">
        <v>1107</v>
      </c>
      <c r="AL76" s="240" t="s">
        <v>1107</v>
      </c>
      <c r="AM76" s="240" t="s">
        <v>492</v>
      </c>
      <c r="AN76" s="240" t="s">
        <v>1107</v>
      </c>
      <c r="AO76" s="240" t="s">
        <v>1107</v>
      </c>
      <c r="AP76" s="240" t="s">
        <v>1107</v>
      </c>
      <c r="AQ76" s="240" t="s">
        <v>1107</v>
      </c>
      <c r="AR76" s="240" t="s">
        <v>1107</v>
      </c>
      <c r="AS76" s="240" t="s">
        <v>1107</v>
      </c>
      <c r="AT76" s="240" t="s">
        <v>1107</v>
      </c>
      <c r="AU76" s="240" t="s">
        <v>1107</v>
      </c>
      <c r="AV76" s="240" t="s">
        <v>1107</v>
      </c>
      <c r="AW76" s="240" t="s">
        <v>1107</v>
      </c>
      <c r="AX76" s="240" t="s">
        <v>1107</v>
      </c>
      <c r="AY76" s="240" t="s">
        <v>232</v>
      </c>
      <c r="AZ76" s="240" t="s">
        <v>232</v>
      </c>
      <c r="BA76" s="240" t="s">
        <v>231</v>
      </c>
      <c r="BB76" s="240" t="s">
        <v>231</v>
      </c>
      <c r="BC76" s="240" t="s">
        <v>231</v>
      </c>
      <c r="BD76" s="240" t="s">
        <v>1107</v>
      </c>
      <c r="BE76" s="240" t="s">
        <v>232</v>
      </c>
      <c r="BF76" s="240" t="s">
        <v>232</v>
      </c>
      <c r="BG76" s="240" t="s">
        <v>1107</v>
      </c>
      <c r="BH76" s="240" t="s">
        <v>1107</v>
      </c>
      <c r="BI76" s="240" t="s">
        <v>1107</v>
      </c>
      <c r="BJ76" s="240" t="s">
        <v>1107</v>
      </c>
      <c r="BK76" s="240" t="s">
        <v>1107</v>
      </c>
      <c r="BL76" s="240" t="s">
        <v>1107</v>
      </c>
      <c r="BM76" s="240" t="s">
        <v>1107</v>
      </c>
      <c r="BN76" s="240" t="s">
        <v>1107</v>
      </c>
      <c r="BO76" s="240" t="s">
        <v>1107</v>
      </c>
      <c r="BP76" s="240" t="s">
        <v>1107</v>
      </c>
      <c r="BQ76" s="240" t="s">
        <v>1107</v>
      </c>
      <c r="BR76" s="240" t="s">
        <v>1107</v>
      </c>
      <c r="BS76" s="240" t="s">
        <v>1107</v>
      </c>
      <c r="BT76" s="240" t="s">
        <v>1107</v>
      </c>
      <c r="BU76" s="240" t="s">
        <v>1107</v>
      </c>
      <c r="BV76" s="240" t="s">
        <v>1107</v>
      </c>
      <c r="BW76" s="240" t="s">
        <v>1107</v>
      </c>
      <c r="BX76" s="240" t="s">
        <v>1107</v>
      </c>
      <c r="BY76" s="240" t="s">
        <v>1107</v>
      </c>
      <c r="BZ76" s="240" t="s">
        <v>231</v>
      </c>
      <c r="CA76" s="240" t="s">
        <v>231</v>
      </c>
      <c r="CB76" s="240" t="s">
        <v>231</v>
      </c>
      <c r="CC76" s="240" t="s">
        <v>492</v>
      </c>
      <c r="CD76" s="240" t="s">
        <v>492</v>
      </c>
      <c r="CE76" s="240" t="s">
        <v>492</v>
      </c>
      <c r="CF76" s="240" t="s">
        <v>1107</v>
      </c>
      <c r="CG76" s="240" t="s">
        <v>1107</v>
      </c>
      <c r="CH76" s="240" t="s">
        <v>1107</v>
      </c>
      <c r="CI76" s="240" t="s">
        <v>1107</v>
      </c>
      <c r="CJ76" s="240" t="s">
        <v>1107</v>
      </c>
      <c r="CK76" s="240" t="s">
        <v>1107</v>
      </c>
      <c r="CL76" s="240" t="s">
        <v>1107</v>
      </c>
      <c r="CM76" s="240" t="s">
        <v>1107</v>
      </c>
      <c r="CN76" s="240" t="s">
        <v>1107</v>
      </c>
      <c r="CO76" s="240" t="s">
        <v>1107</v>
      </c>
      <c r="CP76" s="240" t="s">
        <v>1107</v>
      </c>
      <c r="CQ76" s="240" t="s">
        <v>1107</v>
      </c>
      <c r="CR76" s="240" t="s">
        <v>1107</v>
      </c>
      <c r="CS76" s="240" t="s">
        <v>231</v>
      </c>
      <c r="CT76" s="240" t="s">
        <v>231</v>
      </c>
      <c r="CU76" s="240" t="s">
        <v>231</v>
      </c>
      <c r="CV76" s="240" t="s">
        <v>231</v>
      </c>
      <c r="CW76" s="240" t="s">
        <v>231</v>
      </c>
      <c r="CX76" s="240" t="s">
        <v>231</v>
      </c>
      <c r="CY76" s="240" t="s">
        <v>231</v>
      </c>
      <c r="CZ76" s="240" t="s">
        <v>231</v>
      </c>
      <c r="DA76" s="240" t="s">
        <v>231</v>
      </c>
      <c r="DB76" s="240" t="s">
        <v>231</v>
      </c>
      <c r="DC76" s="240" t="s">
        <v>492</v>
      </c>
      <c r="DD76" s="240" t="s">
        <v>231</v>
      </c>
      <c r="DE76" s="240" t="s">
        <v>492</v>
      </c>
      <c r="DF76" s="240" t="s">
        <v>492</v>
      </c>
      <c r="DG76" s="240" t="s">
        <v>492</v>
      </c>
      <c r="DH76" s="240" t="s">
        <v>492</v>
      </c>
      <c r="DI76" s="240" t="s">
        <v>492</v>
      </c>
      <c r="DJ76" s="240" t="s">
        <v>492</v>
      </c>
      <c r="DK76" s="240" t="s">
        <v>492</v>
      </c>
      <c r="DL76" s="240" t="s">
        <v>492</v>
      </c>
      <c r="DM76" s="240" t="s">
        <v>492</v>
      </c>
      <c r="DN76" s="240" t="s">
        <v>492</v>
      </c>
      <c r="DO76" s="240" t="s">
        <v>492</v>
      </c>
      <c r="DP76" s="240" t="s">
        <v>492</v>
      </c>
      <c r="DQ76" s="240" t="s">
        <v>492</v>
      </c>
      <c r="DR76" s="240" t="s">
        <v>492</v>
      </c>
      <c r="DS76" s="240" t="s">
        <v>231</v>
      </c>
      <c r="DT76" s="240" t="s">
        <v>231</v>
      </c>
      <c r="DU76" s="240" t="s">
        <v>231</v>
      </c>
      <c r="DV76" s="240" t="s">
        <v>231</v>
      </c>
      <c r="DW76" s="240" t="s">
        <v>231</v>
      </c>
      <c r="DX76" s="240" t="s">
        <v>231</v>
      </c>
      <c r="DY76" s="240" t="s">
        <v>231</v>
      </c>
      <c r="DZ76" s="240" t="s">
        <v>231</v>
      </c>
      <c r="EA76" s="240" t="s">
        <v>231</v>
      </c>
      <c r="EB76" s="240" t="s">
        <v>231</v>
      </c>
      <c r="EC76" s="240" t="s">
        <v>231</v>
      </c>
      <c r="ED76" s="240" t="s">
        <v>231</v>
      </c>
      <c r="EE76" s="240" t="s">
        <v>231</v>
      </c>
      <c r="EF76" s="240" t="s">
        <v>231</v>
      </c>
      <c r="EG76" s="240" t="s">
        <v>231</v>
      </c>
      <c r="EH76" s="240" t="s">
        <v>231</v>
      </c>
      <c r="EI76" s="240" t="s">
        <v>231</v>
      </c>
      <c r="EJ76" s="240" t="s">
        <v>231</v>
      </c>
      <c r="EK76" s="240" t="s">
        <v>231</v>
      </c>
      <c r="EL76" s="240" t="s">
        <v>231</v>
      </c>
      <c r="EM76" s="240" t="s">
        <v>231</v>
      </c>
      <c r="EN76" s="240" t="s">
        <v>231</v>
      </c>
      <c r="EO76" s="240" t="s">
        <v>231</v>
      </c>
      <c r="EP76" s="240" t="s">
        <v>492</v>
      </c>
      <c r="EQ76" s="240" t="s">
        <v>492</v>
      </c>
      <c r="ER76" s="240" t="s">
        <v>492</v>
      </c>
      <c r="ES76" s="240" t="s">
        <v>492</v>
      </c>
      <c r="ET76" s="240" t="s">
        <v>492</v>
      </c>
      <c r="EU76" s="240" t="s">
        <v>492</v>
      </c>
      <c r="EV76" s="240" t="s">
        <v>231</v>
      </c>
      <c r="EW76" s="240" t="s">
        <v>231</v>
      </c>
      <c r="EX76" s="240" t="s">
        <v>231</v>
      </c>
      <c r="EY76" s="240" t="s">
        <v>231</v>
      </c>
      <c r="EZ76" s="240" t="s">
        <v>1107</v>
      </c>
      <c r="FA76" s="240" t="s">
        <v>1107</v>
      </c>
      <c r="FB76" s="240" t="s">
        <v>1107</v>
      </c>
      <c r="FC76" s="240" t="s">
        <v>1107</v>
      </c>
      <c r="FD76" s="240" t="s">
        <v>1107</v>
      </c>
      <c r="FE76" s="240" t="s">
        <v>1107</v>
      </c>
      <c r="FF76" s="240" t="s">
        <v>1107</v>
      </c>
      <c r="FG76" s="240" t="s">
        <v>492</v>
      </c>
      <c r="FH76" s="240" t="s">
        <v>1107</v>
      </c>
      <c r="FI76" s="240" t="s">
        <v>1107</v>
      </c>
      <c r="FJ76" s="240" t="s">
        <v>1107</v>
      </c>
      <c r="FK76" s="240" t="s">
        <v>1107</v>
      </c>
      <c r="FL76" s="240" t="s">
        <v>1107</v>
      </c>
      <c r="FM76" s="240" t="s">
        <v>1107</v>
      </c>
      <c r="FN76" s="240" t="s">
        <v>1107</v>
      </c>
      <c r="FO76" s="240" t="s">
        <v>1107</v>
      </c>
      <c r="FP76" s="240" t="s">
        <v>1107</v>
      </c>
      <c r="FQ76" s="240" t="s">
        <v>1107</v>
      </c>
      <c r="FR76" s="240" t="s">
        <v>1107</v>
      </c>
      <c r="FS76" s="240" t="s">
        <v>1107</v>
      </c>
      <c r="FT76" s="240" t="s">
        <v>1107</v>
      </c>
      <c r="FU76" s="240" t="s">
        <v>1107</v>
      </c>
      <c r="FV76" s="240" t="s">
        <v>1107</v>
      </c>
      <c r="FW76" s="240" t="s">
        <v>1107</v>
      </c>
      <c r="FX76" s="240" t="s">
        <v>1107</v>
      </c>
      <c r="FY76" s="240" t="s">
        <v>1107</v>
      </c>
      <c r="FZ76" s="240" t="s">
        <v>231</v>
      </c>
      <c r="GA76" s="240" t="s">
        <v>1107</v>
      </c>
      <c r="GB76" s="240" t="s">
        <v>1107</v>
      </c>
      <c r="GC76" s="240" t="s">
        <v>231</v>
      </c>
      <c r="GD76" s="240" t="s">
        <v>1107</v>
      </c>
      <c r="GE76" s="240" t="s">
        <v>1107</v>
      </c>
      <c r="GF76" s="240" t="s">
        <v>1107</v>
      </c>
      <c r="GG76" s="240" t="s">
        <v>1107</v>
      </c>
      <c r="GH76" s="240" t="s">
        <v>1107</v>
      </c>
      <c r="GI76" s="240" t="s">
        <v>1107</v>
      </c>
      <c r="GJ76" s="240" t="s">
        <v>1107</v>
      </c>
      <c r="GK76" s="240" t="s">
        <v>1107</v>
      </c>
      <c r="GL76" s="240" t="s">
        <v>1107</v>
      </c>
      <c r="GM76" s="240" t="s">
        <v>1107</v>
      </c>
      <c r="GN76" s="240" t="s">
        <v>1107</v>
      </c>
      <c r="GO76" s="240" t="s">
        <v>1107</v>
      </c>
      <c r="GP76" s="240" t="s">
        <v>1107</v>
      </c>
      <c r="GQ76" s="240" t="s">
        <v>1107</v>
      </c>
      <c r="GR76" s="240" t="s">
        <v>1107</v>
      </c>
      <c r="GS76" s="240" t="s">
        <v>1107</v>
      </c>
      <c r="GT76" s="240" t="s">
        <v>1107</v>
      </c>
      <c r="GU76" s="240" t="s">
        <v>1107</v>
      </c>
      <c r="GV76" s="240" t="s">
        <v>1107</v>
      </c>
      <c r="GW76" s="240" t="s">
        <v>1107</v>
      </c>
      <c r="GX76" s="240" t="s">
        <v>1107</v>
      </c>
      <c r="GY76" s="240" t="s">
        <v>1107</v>
      </c>
      <c r="GZ76" s="240" t="s">
        <v>1107</v>
      </c>
      <c r="HA76" s="240" t="s">
        <v>1107</v>
      </c>
      <c r="HB76" s="240" t="s">
        <v>1107</v>
      </c>
      <c r="HC76" s="240" t="s">
        <v>1107</v>
      </c>
      <c r="HD76" s="240" t="s">
        <v>1107</v>
      </c>
      <c r="HE76" s="240" t="s">
        <v>1107</v>
      </c>
      <c r="HF76" s="240" t="s">
        <v>1107</v>
      </c>
      <c r="HG76" s="240" t="s">
        <v>1107</v>
      </c>
      <c r="HH76" s="240" t="s">
        <v>1107</v>
      </c>
      <c r="HI76" s="240" t="s">
        <v>1107</v>
      </c>
      <c r="HJ76" s="240" t="s">
        <v>1107</v>
      </c>
      <c r="HK76" s="240" t="s">
        <v>1107</v>
      </c>
      <c r="HL76" s="240" t="s">
        <v>1107</v>
      </c>
      <c r="HM76" s="240" t="s">
        <v>1107</v>
      </c>
      <c r="HN76" s="240" t="s">
        <v>1107</v>
      </c>
      <c r="HO76" s="240" t="s">
        <v>1107</v>
      </c>
      <c r="HP76" s="240" t="s">
        <v>1107</v>
      </c>
      <c r="HQ76" s="240" t="s">
        <v>1107</v>
      </c>
      <c r="HR76" s="240" t="s">
        <v>1107</v>
      </c>
      <c r="HS76" s="240" t="s">
        <v>1107</v>
      </c>
      <c r="HT76" s="240" t="s">
        <v>232</v>
      </c>
      <c r="HU76" s="240" t="s">
        <v>232</v>
      </c>
      <c r="HV76" s="240" t="s">
        <v>232</v>
      </c>
      <c r="HW76" s="240" t="s">
        <v>231</v>
      </c>
      <c r="HX76" s="240" t="s">
        <v>220</v>
      </c>
      <c r="HY76" s="240" t="s">
        <v>493</v>
      </c>
      <c r="HZ76" s="240" t="s">
        <v>219</v>
      </c>
      <c r="IA76" s="240" t="s">
        <v>490</v>
      </c>
      <c r="IB76" s="240" t="s">
        <v>492</v>
      </c>
      <c r="IC76" s="240" t="s">
        <v>492</v>
      </c>
    </row>
    <row r="77" spans="1:237" ht="15" x14ac:dyDescent="0.25">
      <c r="A77" s="243" t="str">
        <f>HYPERLINK("http://www.ofsted.gov.uk/inspection-reports/find-inspection-report/provider/ELS/105993 ","Ofsted School Webpage")</f>
        <v>Ofsted School Webpage</v>
      </c>
      <c r="B77" s="237">
        <v>105993</v>
      </c>
      <c r="C77" s="237">
        <v>3556007</v>
      </c>
      <c r="D77" s="237" t="s">
        <v>1260</v>
      </c>
      <c r="E77" s="237" t="s">
        <v>247</v>
      </c>
      <c r="F77" s="237" t="s">
        <v>495</v>
      </c>
      <c r="G77" s="237" t="s">
        <v>495</v>
      </c>
      <c r="H77" s="237" t="s">
        <v>601</v>
      </c>
      <c r="I77" s="237" t="s">
        <v>1261</v>
      </c>
      <c r="J77" s="237" t="s">
        <v>93</v>
      </c>
      <c r="K77" s="237" t="s">
        <v>81</v>
      </c>
      <c r="L77" s="237" t="s">
        <v>81</v>
      </c>
      <c r="M77" s="237" t="s">
        <v>81</v>
      </c>
      <c r="N77" s="237" t="s">
        <v>486</v>
      </c>
      <c r="O77" s="237" t="s">
        <v>487</v>
      </c>
      <c r="P77" s="237">
        <v>10083775</v>
      </c>
      <c r="Q77" s="239">
        <v>43430</v>
      </c>
      <c r="R77" s="239">
        <v>43430</v>
      </c>
      <c r="S77" s="239">
        <v>43461</v>
      </c>
      <c r="T77" s="237" t="s">
        <v>1104</v>
      </c>
      <c r="U77" s="237" t="s">
        <v>1105</v>
      </c>
      <c r="V77" s="237" t="s">
        <v>490</v>
      </c>
      <c r="W77" s="237" t="s">
        <v>486</v>
      </c>
      <c r="X77" s="237" t="s">
        <v>486</v>
      </c>
      <c r="Y77" s="237" t="s">
        <v>486</v>
      </c>
      <c r="Z77" s="237" t="s">
        <v>486</v>
      </c>
      <c r="AA77" s="237" t="s">
        <v>486</v>
      </c>
      <c r="AB77" s="237" t="s">
        <v>486</v>
      </c>
      <c r="AC77" s="237" t="s">
        <v>486</v>
      </c>
      <c r="AD77" s="237" t="s">
        <v>1257</v>
      </c>
      <c r="AE77" s="237" t="s">
        <v>231</v>
      </c>
      <c r="AF77" s="237" t="s">
        <v>231</v>
      </c>
      <c r="AG77" s="237" t="s">
        <v>231</v>
      </c>
      <c r="AH77" s="237" t="s">
        <v>231</v>
      </c>
      <c r="AI77" s="237" t="s">
        <v>231</v>
      </c>
      <c r="AJ77" s="237" t="s">
        <v>231</v>
      </c>
      <c r="AK77" s="237" t="s">
        <v>231</v>
      </c>
      <c r="AL77" s="237" t="s">
        <v>231</v>
      </c>
      <c r="AM77" s="237" t="s">
        <v>231</v>
      </c>
      <c r="AN77" s="237" t="s">
        <v>231</v>
      </c>
      <c r="AO77" s="237" t="s">
        <v>231</v>
      </c>
      <c r="AP77" s="237" t="s">
        <v>231</v>
      </c>
      <c r="AQ77" s="237" t="s">
        <v>231</v>
      </c>
      <c r="AR77" s="237" t="s">
        <v>231</v>
      </c>
      <c r="AS77" s="237" t="s">
        <v>231</v>
      </c>
      <c r="AT77" s="237" t="s">
        <v>231</v>
      </c>
      <c r="AU77" s="237" t="s">
        <v>492</v>
      </c>
      <c r="AV77" s="237" t="s">
        <v>492</v>
      </c>
      <c r="AW77" s="237" t="s">
        <v>231</v>
      </c>
      <c r="AX77" s="237" t="s">
        <v>231</v>
      </c>
      <c r="AY77" s="237" t="s">
        <v>231</v>
      </c>
      <c r="AZ77" s="237" t="s">
        <v>231</v>
      </c>
      <c r="BA77" s="237" t="s">
        <v>231</v>
      </c>
      <c r="BB77" s="237" t="s">
        <v>231</v>
      </c>
      <c r="BC77" s="237" t="s">
        <v>231</v>
      </c>
      <c r="BD77" s="237" t="s">
        <v>231</v>
      </c>
      <c r="BE77" s="237" t="s">
        <v>231</v>
      </c>
      <c r="BF77" s="237" t="s">
        <v>231</v>
      </c>
      <c r="BG77" s="237" t="s">
        <v>231</v>
      </c>
      <c r="BH77" s="237" t="s">
        <v>231</v>
      </c>
      <c r="BI77" s="237" t="s">
        <v>231</v>
      </c>
      <c r="BJ77" s="237" t="s">
        <v>231</v>
      </c>
      <c r="BK77" s="237" t="s">
        <v>1107</v>
      </c>
      <c r="BL77" s="237" t="s">
        <v>1107</v>
      </c>
      <c r="BM77" s="237" t="s">
        <v>1107</v>
      </c>
      <c r="BN77" s="237" t="s">
        <v>1107</v>
      </c>
      <c r="BO77" s="237" t="s">
        <v>1107</v>
      </c>
      <c r="BP77" s="237" t="s">
        <v>1107</v>
      </c>
      <c r="BQ77" s="237" t="s">
        <v>1107</v>
      </c>
      <c r="BR77" s="237" t="s">
        <v>1107</v>
      </c>
      <c r="BS77" s="237" t="s">
        <v>1107</v>
      </c>
      <c r="BT77" s="237" t="s">
        <v>1107</v>
      </c>
      <c r="BU77" s="237" t="s">
        <v>1107</v>
      </c>
      <c r="BV77" s="237" t="s">
        <v>1107</v>
      </c>
      <c r="BW77" s="237" t="s">
        <v>1107</v>
      </c>
      <c r="BX77" s="237" t="s">
        <v>1107</v>
      </c>
      <c r="BY77" s="237" t="s">
        <v>1107</v>
      </c>
      <c r="BZ77" s="237" t="s">
        <v>231</v>
      </c>
      <c r="CA77" s="237" t="s">
        <v>231</v>
      </c>
      <c r="CB77" s="237" t="s">
        <v>231</v>
      </c>
      <c r="CC77" s="237" t="s">
        <v>492</v>
      </c>
      <c r="CD77" s="237" t="s">
        <v>492</v>
      </c>
      <c r="CE77" s="237" t="s">
        <v>492</v>
      </c>
      <c r="CF77" s="237" t="s">
        <v>231</v>
      </c>
      <c r="CG77" s="237" t="s">
        <v>231</v>
      </c>
      <c r="CH77" s="237" t="s">
        <v>231</v>
      </c>
      <c r="CI77" s="237" t="s">
        <v>231</v>
      </c>
      <c r="CJ77" s="237" t="s">
        <v>231</v>
      </c>
      <c r="CK77" s="237" t="s">
        <v>231</v>
      </c>
      <c r="CL77" s="237" t="s">
        <v>231</v>
      </c>
      <c r="CM77" s="237" t="s">
        <v>231</v>
      </c>
      <c r="CN77" s="237" t="s">
        <v>231</v>
      </c>
      <c r="CO77" s="237" t="s">
        <v>231</v>
      </c>
      <c r="CP77" s="237" t="s">
        <v>231</v>
      </c>
      <c r="CQ77" s="237" t="s">
        <v>231</v>
      </c>
      <c r="CR77" s="237" t="s">
        <v>231</v>
      </c>
      <c r="CS77" s="237" t="s">
        <v>231</v>
      </c>
      <c r="CT77" s="237" t="s">
        <v>231</v>
      </c>
      <c r="CU77" s="237" t="s">
        <v>231</v>
      </c>
      <c r="CV77" s="237" t="s">
        <v>231</v>
      </c>
      <c r="CW77" s="237" t="s">
        <v>231</v>
      </c>
      <c r="CX77" s="237" t="s">
        <v>231</v>
      </c>
      <c r="CY77" s="237" t="s">
        <v>231</v>
      </c>
      <c r="CZ77" s="237" t="s">
        <v>231</v>
      </c>
      <c r="DA77" s="237" t="s">
        <v>231</v>
      </c>
      <c r="DB77" s="237" t="s">
        <v>231</v>
      </c>
      <c r="DC77" s="237" t="s">
        <v>492</v>
      </c>
      <c r="DD77" s="237" t="s">
        <v>231</v>
      </c>
      <c r="DE77" s="237" t="s">
        <v>231</v>
      </c>
      <c r="DF77" s="237" t="s">
        <v>231</v>
      </c>
      <c r="DG77" s="237" t="s">
        <v>231</v>
      </c>
      <c r="DH77" s="237" t="s">
        <v>231</v>
      </c>
      <c r="DI77" s="237" t="s">
        <v>231</v>
      </c>
      <c r="DJ77" s="237" t="s">
        <v>231</v>
      </c>
      <c r="DK77" s="237" t="s">
        <v>231</v>
      </c>
      <c r="DL77" s="237" t="s">
        <v>231</v>
      </c>
      <c r="DM77" s="237" t="s">
        <v>231</v>
      </c>
      <c r="DN77" s="237" t="s">
        <v>231</v>
      </c>
      <c r="DO77" s="237" t="s">
        <v>231</v>
      </c>
      <c r="DP77" s="237" t="s">
        <v>231</v>
      </c>
      <c r="DQ77" s="237" t="s">
        <v>492</v>
      </c>
      <c r="DR77" s="237" t="s">
        <v>231</v>
      </c>
      <c r="DS77" s="237" t="s">
        <v>231</v>
      </c>
      <c r="DT77" s="237" t="s">
        <v>231</v>
      </c>
      <c r="DU77" s="237" t="s">
        <v>231</v>
      </c>
      <c r="DV77" s="237" t="s">
        <v>231</v>
      </c>
      <c r="DW77" s="237" t="s">
        <v>231</v>
      </c>
      <c r="DX77" s="237" t="s">
        <v>231</v>
      </c>
      <c r="DY77" s="237" t="s">
        <v>231</v>
      </c>
      <c r="DZ77" s="237" t="s">
        <v>231</v>
      </c>
      <c r="EA77" s="237" t="s">
        <v>231</v>
      </c>
      <c r="EB77" s="237" t="s">
        <v>231</v>
      </c>
      <c r="EC77" s="237" t="s">
        <v>231</v>
      </c>
      <c r="ED77" s="237" t="s">
        <v>231</v>
      </c>
      <c r="EE77" s="237" t="s">
        <v>231</v>
      </c>
      <c r="EF77" s="237" t="s">
        <v>231</v>
      </c>
      <c r="EG77" s="237" t="s">
        <v>231</v>
      </c>
      <c r="EH77" s="237" t="s">
        <v>231</v>
      </c>
      <c r="EI77" s="237" t="s">
        <v>231</v>
      </c>
      <c r="EJ77" s="237" t="s">
        <v>231</v>
      </c>
      <c r="EK77" s="237" t="s">
        <v>231</v>
      </c>
      <c r="EL77" s="237" t="s">
        <v>231</v>
      </c>
      <c r="EM77" s="237" t="s">
        <v>231</v>
      </c>
      <c r="EN77" s="237" t="s">
        <v>231</v>
      </c>
      <c r="EO77" s="237" t="s">
        <v>231</v>
      </c>
      <c r="EP77" s="237" t="s">
        <v>231</v>
      </c>
      <c r="EQ77" s="237" t="s">
        <v>231</v>
      </c>
      <c r="ER77" s="237" t="s">
        <v>231</v>
      </c>
      <c r="ES77" s="237" t="s">
        <v>231</v>
      </c>
      <c r="ET77" s="237" t="s">
        <v>231</v>
      </c>
      <c r="EU77" s="237" t="s">
        <v>231</v>
      </c>
      <c r="EV77" s="237" t="s">
        <v>492</v>
      </c>
      <c r="EW77" s="237" t="s">
        <v>231</v>
      </c>
      <c r="EX77" s="237" t="s">
        <v>231</v>
      </c>
      <c r="EY77" s="237" t="s">
        <v>231</v>
      </c>
      <c r="EZ77" s="237" t="s">
        <v>231</v>
      </c>
      <c r="FA77" s="237" t="s">
        <v>231</v>
      </c>
      <c r="FB77" s="237" t="s">
        <v>231</v>
      </c>
      <c r="FC77" s="237" t="s">
        <v>231</v>
      </c>
      <c r="FD77" s="237" t="s">
        <v>231</v>
      </c>
      <c r="FE77" s="237" t="s">
        <v>231</v>
      </c>
      <c r="FF77" s="237" t="s">
        <v>231</v>
      </c>
      <c r="FG77" s="237" t="s">
        <v>492</v>
      </c>
      <c r="FH77" s="237" t="s">
        <v>492</v>
      </c>
      <c r="FI77" s="237" t="s">
        <v>231</v>
      </c>
      <c r="FJ77" s="237" t="s">
        <v>231</v>
      </c>
      <c r="FK77" s="237" t="s">
        <v>231</v>
      </c>
      <c r="FL77" s="237" t="s">
        <v>231</v>
      </c>
      <c r="FM77" s="237" t="s">
        <v>231</v>
      </c>
      <c r="FN77" s="237" t="s">
        <v>231</v>
      </c>
      <c r="FO77" s="237" t="s">
        <v>231</v>
      </c>
      <c r="FP77" s="237" t="s">
        <v>231</v>
      </c>
      <c r="FQ77" s="237" t="s">
        <v>231</v>
      </c>
      <c r="FR77" s="237" t="s">
        <v>231</v>
      </c>
      <c r="FS77" s="237" t="s">
        <v>231</v>
      </c>
      <c r="FT77" s="237" t="s">
        <v>231</v>
      </c>
      <c r="FU77" s="237" t="s">
        <v>231</v>
      </c>
      <c r="FV77" s="237" t="s">
        <v>231</v>
      </c>
      <c r="FW77" s="237" t="s">
        <v>231</v>
      </c>
      <c r="FX77" s="237" t="s">
        <v>231</v>
      </c>
      <c r="FY77" s="237" t="s">
        <v>492</v>
      </c>
      <c r="FZ77" s="237" t="s">
        <v>1107</v>
      </c>
      <c r="GA77" s="237" t="s">
        <v>1107</v>
      </c>
      <c r="GB77" s="237" t="s">
        <v>1107</v>
      </c>
      <c r="GC77" s="237" t="s">
        <v>1107</v>
      </c>
      <c r="GD77" s="237" t="s">
        <v>1107</v>
      </c>
      <c r="GE77" s="237" t="s">
        <v>1107</v>
      </c>
      <c r="GF77" s="237" t="s">
        <v>1107</v>
      </c>
      <c r="GG77" s="237" t="s">
        <v>1107</v>
      </c>
      <c r="GH77" s="237" t="s">
        <v>1107</v>
      </c>
      <c r="GI77" s="237" t="s">
        <v>1107</v>
      </c>
      <c r="GJ77" s="237" t="s">
        <v>1107</v>
      </c>
      <c r="GK77" s="237" t="s">
        <v>1107</v>
      </c>
      <c r="GL77" s="237" t="s">
        <v>1107</v>
      </c>
      <c r="GM77" s="237" t="s">
        <v>1107</v>
      </c>
      <c r="GN77" s="237" t="s">
        <v>1107</v>
      </c>
      <c r="GO77" s="237" t="s">
        <v>1107</v>
      </c>
      <c r="GP77" s="237" t="s">
        <v>1107</v>
      </c>
      <c r="GQ77" s="237" t="s">
        <v>1107</v>
      </c>
      <c r="GR77" s="237" t="s">
        <v>1107</v>
      </c>
      <c r="GS77" s="237" t="s">
        <v>1107</v>
      </c>
      <c r="GT77" s="237" t="s">
        <v>1107</v>
      </c>
      <c r="GU77" s="237" t="s">
        <v>1107</v>
      </c>
      <c r="GV77" s="237" t="s">
        <v>1107</v>
      </c>
      <c r="GW77" s="237" t="s">
        <v>1107</v>
      </c>
      <c r="GX77" s="237" t="s">
        <v>1107</v>
      </c>
      <c r="GY77" s="237" t="s">
        <v>1107</v>
      </c>
      <c r="GZ77" s="237" t="s">
        <v>1107</v>
      </c>
      <c r="HA77" s="237" t="s">
        <v>1107</v>
      </c>
      <c r="HB77" s="237" t="s">
        <v>1107</v>
      </c>
      <c r="HC77" s="237" t="s">
        <v>1107</v>
      </c>
      <c r="HD77" s="237" t="s">
        <v>1107</v>
      </c>
      <c r="HE77" s="237" t="s">
        <v>1107</v>
      </c>
      <c r="HF77" s="237" t="s">
        <v>1107</v>
      </c>
      <c r="HG77" s="237" t="s">
        <v>1107</v>
      </c>
      <c r="HH77" s="237" t="s">
        <v>1107</v>
      </c>
      <c r="HI77" s="237" t="s">
        <v>1107</v>
      </c>
      <c r="HJ77" s="237" t="s">
        <v>1107</v>
      </c>
      <c r="HK77" s="237" t="s">
        <v>1107</v>
      </c>
      <c r="HL77" s="237" t="s">
        <v>1107</v>
      </c>
      <c r="HM77" s="237" t="s">
        <v>1107</v>
      </c>
      <c r="HN77" s="237" t="s">
        <v>1107</v>
      </c>
      <c r="HO77" s="237" t="s">
        <v>1107</v>
      </c>
      <c r="HP77" s="237" t="s">
        <v>1107</v>
      </c>
      <c r="HQ77" s="237" t="s">
        <v>1107</v>
      </c>
      <c r="HR77" s="237" t="s">
        <v>1107</v>
      </c>
      <c r="HS77" s="237" t="s">
        <v>1107</v>
      </c>
      <c r="HT77" s="237" t="s">
        <v>231</v>
      </c>
      <c r="HU77" s="237" t="s">
        <v>231</v>
      </c>
      <c r="HV77" s="237" t="s">
        <v>231</v>
      </c>
      <c r="HW77" s="237" t="s">
        <v>231</v>
      </c>
      <c r="HX77" s="237" t="s">
        <v>220</v>
      </c>
      <c r="HY77" s="237" t="s">
        <v>493</v>
      </c>
      <c r="HZ77" s="237" t="s">
        <v>219</v>
      </c>
      <c r="IA77" s="237" t="s">
        <v>490</v>
      </c>
      <c r="IB77" s="237" t="s">
        <v>492</v>
      </c>
      <c r="IC77" s="237" t="s">
        <v>492</v>
      </c>
    </row>
    <row r="78" spans="1:237" ht="15" x14ac:dyDescent="0.25">
      <c r="A78" s="244" t="str">
        <f>HYPERLINK("http://www.ofsted.gov.uk/inspection-reports/find-inspection-report/provider/ELS/119848 ","Ofsted School Webpage")</f>
        <v>Ofsted School Webpage</v>
      </c>
      <c r="B78" s="240">
        <v>119848</v>
      </c>
      <c r="C78" s="240">
        <v>8896003</v>
      </c>
      <c r="D78" s="240" t="s">
        <v>1262</v>
      </c>
      <c r="E78" s="240" t="s">
        <v>247</v>
      </c>
      <c r="F78" s="240" t="s">
        <v>495</v>
      </c>
      <c r="G78" s="240" t="s">
        <v>495</v>
      </c>
      <c r="H78" s="240" t="s">
        <v>609</v>
      </c>
      <c r="I78" s="240" t="s">
        <v>1263</v>
      </c>
      <c r="J78" s="240" t="s">
        <v>93</v>
      </c>
      <c r="K78" s="240" t="s">
        <v>84</v>
      </c>
      <c r="L78" s="240" t="s">
        <v>84</v>
      </c>
      <c r="M78" s="240" t="s">
        <v>84</v>
      </c>
      <c r="N78" s="240" t="s">
        <v>486</v>
      </c>
      <c r="O78" s="240" t="s">
        <v>487</v>
      </c>
      <c r="P78" s="240">
        <v>10084068</v>
      </c>
      <c r="Q78" s="242">
        <v>43431</v>
      </c>
      <c r="R78" s="242">
        <v>43431</v>
      </c>
      <c r="S78" s="242">
        <v>43452</v>
      </c>
      <c r="T78" s="240" t="s">
        <v>1109</v>
      </c>
      <c r="U78" s="240" t="s">
        <v>1105</v>
      </c>
      <c r="V78" s="240" t="s">
        <v>490</v>
      </c>
      <c r="W78" s="240" t="s">
        <v>486</v>
      </c>
      <c r="X78" s="240" t="s">
        <v>486</v>
      </c>
      <c r="Y78" s="240" t="s">
        <v>486</v>
      </c>
      <c r="Z78" s="240" t="s">
        <v>486</v>
      </c>
      <c r="AA78" s="240" t="s">
        <v>486</v>
      </c>
      <c r="AB78" s="240" t="s">
        <v>486</v>
      </c>
      <c r="AC78" s="240" t="s">
        <v>486</v>
      </c>
      <c r="AD78" s="240" t="s">
        <v>1110</v>
      </c>
      <c r="AE78" s="240" t="s">
        <v>1107</v>
      </c>
      <c r="AF78" s="240" t="s">
        <v>1107</v>
      </c>
      <c r="AG78" s="240" t="s">
        <v>1107</v>
      </c>
      <c r="AH78" s="240" t="s">
        <v>1107</v>
      </c>
      <c r="AI78" s="240" t="s">
        <v>1107</v>
      </c>
      <c r="AJ78" s="240" t="s">
        <v>1107</v>
      </c>
      <c r="AK78" s="240" t="s">
        <v>1107</v>
      </c>
      <c r="AL78" s="240" t="s">
        <v>1107</v>
      </c>
      <c r="AM78" s="240" t="s">
        <v>492</v>
      </c>
      <c r="AN78" s="240" t="s">
        <v>1107</v>
      </c>
      <c r="AO78" s="240" t="s">
        <v>1107</v>
      </c>
      <c r="AP78" s="240" t="s">
        <v>1107</v>
      </c>
      <c r="AQ78" s="240" t="s">
        <v>492</v>
      </c>
      <c r="AR78" s="240" t="s">
        <v>492</v>
      </c>
      <c r="AS78" s="240" t="s">
        <v>492</v>
      </c>
      <c r="AT78" s="240" t="s">
        <v>492</v>
      </c>
      <c r="AU78" s="240" t="s">
        <v>1107</v>
      </c>
      <c r="AV78" s="240" t="s">
        <v>492</v>
      </c>
      <c r="AW78" s="240" t="s">
        <v>1107</v>
      </c>
      <c r="AX78" s="240" t="s">
        <v>1107</v>
      </c>
      <c r="AY78" s="240" t="s">
        <v>1107</v>
      </c>
      <c r="AZ78" s="240" t="s">
        <v>1107</v>
      </c>
      <c r="BA78" s="240" t="s">
        <v>1107</v>
      </c>
      <c r="BB78" s="240" t="s">
        <v>1107</v>
      </c>
      <c r="BC78" s="240" t="s">
        <v>1107</v>
      </c>
      <c r="BD78" s="240" t="s">
        <v>1107</v>
      </c>
      <c r="BE78" s="240" t="s">
        <v>1107</v>
      </c>
      <c r="BF78" s="240" t="s">
        <v>1107</v>
      </c>
      <c r="BG78" s="240" t="s">
        <v>1107</v>
      </c>
      <c r="BH78" s="240" t="s">
        <v>1107</v>
      </c>
      <c r="BI78" s="240" t="s">
        <v>1107</v>
      </c>
      <c r="BJ78" s="240" t="s">
        <v>1107</v>
      </c>
      <c r="BK78" s="240" t="s">
        <v>1107</v>
      </c>
      <c r="BL78" s="240" t="s">
        <v>1107</v>
      </c>
      <c r="BM78" s="240" t="s">
        <v>1107</v>
      </c>
      <c r="BN78" s="240" t="s">
        <v>1107</v>
      </c>
      <c r="BO78" s="240" t="s">
        <v>1107</v>
      </c>
      <c r="BP78" s="240" t="s">
        <v>1107</v>
      </c>
      <c r="BQ78" s="240" t="s">
        <v>1107</v>
      </c>
      <c r="BR78" s="240" t="s">
        <v>1107</v>
      </c>
      <c r="BS78" s="240" t="s">
        <v>1107</v>
      </c>
      <c r="BT78" s="240" t="s">
        <v>1107</v>
      </c>
      <c r="BU78" s="240" t="s">
        <v>1107</v>
      </c>
      <c r="BV78" s="240" t="s">
        <v>1107</v>
      </c>
      <c r="BW78" s="240" t="s">
        <v>1107</v>
      </c>
      <c r="BX78" s="240" t="s">
        <v>1107</v>
      </c>
      <c r="BY78" s="240" t="s">
        <v>1107</v>
      </c>
      <c r="BZ78" s="240" t="s">
        <v>231</v>
      </c>
      <c r="CA78" s="240" t="s">
        <v>1107</v>
      </c>
      <c r="CB78" s="240" t="s">
        <v>232</v>
      </c>
      <c r="CC78" s="240" t="s">
        <v>492</v>
      </c>
      <c r="CD78" s="240" t="s">
        <v>492</v>
      </c>
      <c r="CE78" s="240" t="s">
        <v>1107</v>
      </c>
      <c r="CF78" s="240" t="s">
        <v>1107</v>
      </c>
      <c r="CG78" s="240" t="s">
        <v>1107</v>
      </c>
      <c r="CH78" s="240" t="s">
        <v>1107</v>
      </c>
      <c r="CI78" s="240" t="s">
        <v>1107</v>
      </c>
      <c r="CJ78" s="240" t="s">
        <v>1107</v>
      </c>
      <c r="CK78" s="240" t="s">
        <v>1107</v>
      </c>
      <c r="CL78" s="240" t="s">
        <v>1107</v>
      </c>
      <c r="CM78" s="240" t="s">
        <v>1107</v>
      </c>
      <c r="CN78" s="240" t="s">
        <v>1107</v>
      </c>
      <c r="CO78" s="240" t="s">
        <v>1107</v>
      </c>
      <c r="CP78" s="240" t="s">
        <v>1107</v>
      </c>
      <c r="CQ78" s="240" t="s">
        <v>1107</v>
      </c>
      <c r="CR78" s="240" t="s">
        <v>1107</v>
      </c>
      <c r="CS78" s="240" t="s">
        <v>1107</v>
      </c>
      <c r="CT78" s="240" t="s">
        <v>1107</v>
      </c>
      <c r="CU78" s="240" t="s">
        <v>1107</v>
      </c>
      <c r="CV78" s="240" t="s">
        <v>1107</v>
      </c>
      <c r="CW78" s="240" t="s">
        <v>1107</v>
      </c>
      <c r="CX78" s="240" t="s">
        <v>1107</v>
      </c>
      <c r="CY78" s="240" t="s">
        <v>1107</v>
      </c>
      <c r="CZ78" s="240" t="s">
        <v>1107</v>
      </c>
      <c r="DA78" s="240" t="s">
        <v>1107</v>
      </c>
      <c r="DB78" s="240" t="s">
        <v>1107</v>
      </c>
      <c r="DC78" s="240" t="s">
        <v>1107</v>
      </c>
      <c r="DD78" s="240" t="s">
        <v>1107</v>
      </c>
      <c r="DE78" s="240" t="s">
        <v>1107</v>
      </c>
      <c r="DF78" s="240" t="s">
        <v>1107</v>
      </c>
      <c r="DG78" s="240" t="s">
        <v>1107</v>
      </c>
      <c r="DH78" s="240" t="s">
        <v>1107</v>
      </c>
      <c r="DI78" s="240" t="s">
        <v>1107</v>
      </c>
      <c r="DJ78" s="240" t="s">
        <v>1107</v>
      </c>
      <c r="DK78" s="240" t="s">
        <v>1107</v>
      </c>
      <c r="DL78" s="240" t="s">
        <v>1107</v>
      </c>
      <c r="DM78" s="240" t="s">
        <v>1107</v>
      </c>
      <c r="DN78" s="240" t="s">
        <v>1107</v>
      </c>
      <c r="DO78" s="240" t="s">
        <v>1107</v>
      </c>
      <c r="DP78" s="240" t="s">
        <v>1107</v>
      </c>
      <c r="DQ78" s="240" t="s">
        <v>492</v>
      </c>
      <c r="DR78" s="240" t="s">
        <v>1107</v>
      </c>
      <c r="DS78" s="240" t="s">
        <v>1107</v>
      </c>
      <c r="DT78" s="240" t="s">
        <v>1107</v>
      </c>
      <c r="DU78" s="240" t="s">
        <v>1107</v>
      </c>
      <c r="DV78" s="240" t="s">
        <v>1107</v>
      </c>
      <c r="DW78" s="240" t="s">
        <v>1107</v>
      </c>
      <c r="DX78" s="240" t="s">
        <v>1107</v>
      </c>
      <c r="DY78" s="240" t="s">
        <v>1107</v>
      </c>
      <c r="DZ78" s="240" t="s">
        <v>1107</v>
      </c>
      <c r="EA78" s="240" t="s">
        <v>1107</v>
      </c>
      <c r="EB78" s="240" t="s">
        <v>1107</v>
      </c>
      <c r="EC78" s="240" t="s">
        <v>1107</v>
      </c>
      <c r="ED78" s="240" t="s">
        <v>1107</v>
      </c>
      <c r="EE78" s="240" t="s">
        <v>1107</v>
      </c>
      <c r="EF78" s="240" t="s">
        <v>1107</v>
      </c>
      <c r="EG78" s="240" t="s">
        <v>1107</v>
      </c>
      <c r="EH78" s="240" t="s">
        <v>1107</v>
      </c>
      <c r="EI78" s="240" t="s">
        <v>1107</v>
      </c>
      <c r="EJ78" s="240" t="s">
        <v>1107</v>
      </c>
      <c r="EK78" s="240" t="s">
        <v>1107</v>
      </c>
      <c r="EL78" s="240" t="s">
        <v>1107</v>
      </c>
      <c r="EM78" s="240" t="s">
        <v>1107</v>
      </c>
      <c r="EN78" s="240" t="s">
        <v>1107</v>
      </c>
      <c r="EO78" s="240" t="s">
        <v>1107</v>
      </c>
      <c r="EP78" s="240" t="s">
        <v>1107</v>
      </c>
      <c r="EQ78" s="240" t="s">
        <v>1107</v>
      </c>
      <c r="ER78" s="240" t="s">
        <v>1107</v>
      </c>
      <c r="ES78" s="240" t="s">
        <v>1107</v>
      </c>
      <c r="ET78" s="240" t="s">
        <v>1107</v>
      </c>
      <c r="EU78" s="240" t="s">
        <v>1107</v>
      </c>
      <c r="EV78" s="240" t="s">
        <v>1107</v>
      </c>
      <c r="EW78" s="240" t="s">
        <v>1107</v>
      </c>
      <c r="EX78" s="240" t="s">
        <v>1107</v>
      </c>
      <c r="EY78" s="240" t="s">
        <v>1107</v>
      </c>
      <c r="EZ78" s="240" t="s">
        <v>1107</v>
      </c>
      <c r="FA78" s="240" t="s">
        <v>1107</v>
      </c>
      <c r="FB78" s="240" t="s">
        <v>1107</v>
      </c>
      <c r="FC78" s="240" t="s">
        <v>1107</v>
      </c>
      <c r="FD78" s="240" t="s">
        <v>1107</v>
      </c>
      <c r="FE78" s="240" t="s">
        <v>1107</v>
      </c>
      <c r="FF78" s="240" t="s">
        <v>1107</v>
      </c>
      <c r="FG78" s="240" t="s">
        <v>1107</v>
      </c>
      <c r="FH78" s="240" t="s">
        <v>1107</v>
      </c>
      <c r="FI78" s="240" t="s">
        <v>1107</v>
      </c>
      <c r="FJ78" s="240" t="s">
        <v>1107</v>
      </c>
      <c r="FK78" s="240" t="s">
        <v>1107</v>
      </c>
      <c r="FL78" s="240" t="s">
        <v>1107</v>
      </c>
      <c r="FM78" s="240" t="s">
        <v>1107</v>
      </c>
      <c r="FN78" s="240" t="s">
        <v>1107</v>
      </c>
      <c r="FO78" s="240" t="s">
        <v>1107</v>
      </c>
      <c r="FP78" s="240" t="s">
        <v>1107</v>
      </c>
      <c r="FQ78" s="240" t="s">
        <v>1107</v>
      </c>
      <c r="FR78" s="240" t="s">
        <v>1107</v>
      </c>
      <c r="FS78" s="240" t="s">
        <v>1107</v>
      </c>
      <c r="FT78" s="240" t="s">
        <v>1107</v>
      </c>
      <c r="FU78" s="240" t="s">
        <v>1107</v>
      </c>
      <c r="FV78" s="240" t="s">
        <v>1107</v>
      </c>
      <c r="FW78" s="240" t="s">
        <v>1107</v>
      </c>
      <c r="FX78" s="240" t="s">
        <v>1107</v>
      </c>
      <c r="FY78" s="240" t="s">
        <v>492</v>
      </c>
      <c r="FZ78" s="240" t="s">
        <v>231</v>
      </c>
      <c r="GA78" s="240" t="s">
        <v>1107</v>
      </c>
      <c r="GB78" s="240" t="s">
        <v>1107</v>
      </c>
      <c r="GC78" s="240" t="s">
        <v>231</v>
      </c>
      <c r="GD78" s="240" t="s">
        <v>1107</v>
      </c>
      <c r="GE78" s="240" t="s">
        <v>1107</v>
      </c>
      <c r="GF78" s="240" t="s">
        <v>1107</v>
      </c>
      <c r="GG78" s="240" t="s">
        <v>1107</v>
      </c>
      <c r="GH78" s="240" t="s">
        <v>1107</v>
      </c>
      <c r="GI78" s="240" t="s">
        <v>1107</v>
      </c>
      <c r="GJ78" s="240" t="s">
        <v>1107</v>
      </c>
      <c r="GK78" s="240" t="s">
        <v>1107</v>
      </c>
      <c r="GL78" s="240" t="s">
        <v>1107</v>
      </c>
      <c r="GM78" s="240" t="s">
        <v>1107</v>
      </c>
      <c r="GN78" s="240" t="s">
        <v>1107</v>
      </c>
      <c r="GO78" s="240" t="s">
        <v>1107</v>
      </c>
      <c r="GP78" s="240" t="s">
        <v>1107</v>
      </c>
      <c r="GQ78" s="240" t="s">
        <v>1107</v>
      </c>
      <c r="GR78" s="240" t="s">
        <v>1107</v>
      </c>
      <c r="GS78" s="240" t="s">
        <v>1107</v>
      </c>
      <c r="GT78" s="240" t="s">
        <v>1107</v>
      </c>
      <c r="GU78" s="240" t="s">
        <v>1107</v>
      </c>
      <c r="GV78" s="240" t="s">
        <v>1107</v>
      </c>
      <c r="GW78" s="240" t="s">
        <v>1107</v>
      </c>
      <c r="GX78" s="240" t="s">
        <v>1107</v>
      </c>
      <c r="GY78" s="240" t="s">
        <v>1107</v>
      </c>
      <c r="GZ78" s="240" t="s">
        <v>1107</v>
      </c>
      <c r="HA78" s="240" t="s">
        <v>1107</v>
      </c>
      <c r="HB78" s="240" t="s">
        <v>1107</v>
      </c>
      <c r="HC78" s="240" t="s">
        <v>1107</v>
      </c>
      <c r="HD78" s="240" t="s">
        <v>231</v>
      </c>
      <c r="HE78" s="240" t="s">
        <v>1107</v>
      </c>
      <c r="HF78" s="240" t="s">
        <v>1107</v>
      </c>
      <c r="HG78" s="240" t="s">
        <v>1107</v>
      </c>
      <c r="HH78" s="240" t="s">
        <v>1107</v>
      </c>
      <c r="HI78" s="240" t="s">
        <v>1107</v>
      </c>
      <c r="HJ78" s="240" t="s">
        <v>231</v>
      </c>
      <c r="HK78" s="240" t="s">
        <v>1107</v>
      </c>
      <c r="HL78" s="240" t="s">
        <v>1107</v>
      </c>
      <c r="HM78" s="240" t="s">
        <v>1107</v>
      </c>
      <c r="HN78" s="240" t="s">
        <v>1107</v>
      </c>
      <c r="HO78" s="240" t="s">
        <v>1107</v>
      </c>
      <c r="HP78" s="240" t="s">
        <v>231</v>
      </c>
      <c r="HQ78" s="240" t="s">
        <v>231</v>
      </c>
      <c r="HR78" s="240" t="s">
        <v>231</v>
      </c>
      <c r="HS78" s="240" t="s">
        <v>231</v>
      </c>
      <c r="HT78" s="240" t="s">
        <v>231</v>
      </c>
      <c r="HU78" s="240" t="s">
        <v>231</v>
      </c>
      <c r="HV78" s="240" t="s">
        <v>231</v>
      </c>
      <c r="HW78" s="240" t="s">
        <v>231</v>
      </c>
      <c r="HX78" s="240" t="s">
        <v>220</v>
      </c>
      <c r="HY78" s="240" t="s">
        <v>493</v>
      </c>
      <c r="HZ78" s="240" t="s">
        <v>597</v>
      </c>
      <c r="IA78" s="240" t="s">
        <v>490</v>
      </c>
      <c r="IB78" s="240" t="s">
        <v>1107</v>
      </c>
      <c r="IC78" s="240" t="s">
        <v>1107</v>
      </c>
    </row>
    <row r="79" spans="1:237" ht="15" x14ac:dyDescent="0.25">
      <c r="A79" s="243" t="str">
        <f>HYPERLINK("http://www.ofsted.gov.uk/inspection-reports/find-inspection-report/provider/ELS/143933 ","Ofsted School Webpage")</f>
        <v>Ofsted School Webpage</v>
      </c>
      <c r="B79" s="237">
        <v>143933</v>
      </c>
      <c r="C79" s="237">
        <v>2096003</v>
      </c>
      <c r="D79" s="237" t="s">
        <v>1264</v>
      </c>
      <c r="E79" s="237" t="s">
        <v>247</v>
      </c>
      <c r="F79" s="237" t="s">
        <v>506</v>
      </c>
      <c r="G79" s="237" t="s">
        <v>506</v>
      </c>
      <c r="H79" s="237" t="s">
        <v>739</v>
      </c>
      <c r="I79" s="237" t="s">
        <v>1265</v>
      </c>
      <c r="J79" s="237" t="s">
        <v>93</v>
      </c>
      <c r="K79" s="237" t="s">
        <v>93</v>
      </c>
      <c r="L79" s="237" t="s">
        <v>93</v>
      </c>
      <c r="M79" s="237" t="s">
        <v>90</v>
      </c>
      <c r="N79" s="237" t="s">
        <v>486</v>
      </c>
      <c r="O79" s="237" t="s">
        <v>487</v>
      </c>
      <c r="P79" s="237">
        <v>10078725</v>
      </c>
      <c r="Q79" s="239">
        <v>43432</v>
      </c>
      <c r="R79" s="239">
        <v>43432</v>
      </c>
      <c r="S79" s="239">
        <v>43473</v>
      </c>
      <c r="T79" s="237" t="s">
        <v>1109</v>
      </c>
      <c r="U79" s="237" t="s">
        <v>1105</v>
      </c>
      <c r="V79" s="237" t="s">
        <v>512</v>
      </c>
      <c r="W79" s="237" t="s">
        <v>486</v>
      </c>
      <c r="X79" s="237" t="s">
        <v>490</v>
      </c>
      <c r="Y79" s="237" t="s">
        <v>490</v>
      </c>
      <c r="Z79" s="237" t="s">
        <v>486</v>
      </c>
      <c r="AA79" s="237" t="s">
        <v>486</v>
      </c>
      <c r="AB79" s="237" t="s">
        <v>486</v>
      </c>
      <c r="AC79" s="237" t="s">
        <v>486</v>
      </c>
      <c r="AD79" s="237" t="s">
        <v>1136</v>
      </c>
      <c r="AE79" s="237" t="s">
        <v>1107</v>
      </c>
      <c r="AF79" s="237" t="s">
        <v>1107</v>
      </c>
      <c r="AG79" s="237" t="s">
        <v>1107</v>
      </c>
      <c r="AH79" s="237" t="s">
        <v>1107</v>
      </c>
      <c r="AI79" s="237" t="s">
        <v>1107</v>
      </c>
      <c r="AJ79" s="237" t="s">
        <v>1107</v>
      </c>
      <c r="AK79" s="237" t="s">
        <v>1107</v>
      </c>
      <c r="AL79" s="237" t="s">
        <v>1107</v>
      </c>
      <c r="AM79" s="237" t="s">
        <v>1107</v>
      </c>
      <c r="AN79" s="237" t="s">
        <v>1107</v>
      </c>
      <c r="AO79" s="237" t="s">
        <v>1107</v>
      </c>
      <c r="AP79" s="237" t="s">
        <v>1107</v>
      </c>
      <c r="AQ79" s="237" t="s">
        <v>1107</v>
      </c>
      <c r="AR79" s="237" t="s">
        <v>1107</v>
      </c>
      <c r="AS79" s="237" t="s">
        <v>1107</v>
      </c>
      <c r="AT79" s="237" t="s">
        <v>1107</v>
      </c>
      <c r="AU79" s="237" t="s">
        <v>1107</v>
      </c>
      <c r="AV79" s="237" t="s">
        <v>1107</v>
      </c>
      <c r="AW79" s="237" t="s">
        <v>1107</v>
      </c>
      <c r="AX79" s="237" t="s">
        <v>1107</v>
      </c>
      <c r="AY79" s="237" t="s">
        <v>1107</v>
      </c>
      <c r="AZ79" s="237" t="s">
        <v>1107</v>
      </c>
      <c r="BA79" s="237" t="s">
        <v>1107</v>
      </c>
      <c r="BB79" s="237" t="s">
        <v>1107</v>
      </c>
      <c r="BC79" s="237" t="s">
        <v>1107</v>
      </c>
      <c r="BD79" s="237" t="s">
        <v>1107</v>
      </c>
      <c r="BE79" s="237" t="s">
        <v>1107</v>
      </c>
      <c r="BF79" s="237" t="s">
        <v>1107</v>
      </c>
      <c r="BG79" s="237" t="s">
        <v>1107</v>
      </c>
      <c r="BH79" s="237" t="s">
        <v>1107</v>
      </c>
      <c r="BI79" s="237" t="s">
        <v>1107</v>
      </c>
      <c r="BJ79" s="237" t="s">
        <v>1107</v>
      </c>
      <c r="BK79" s="237" t="s">
        <v>1107</v>
      </c>
      <c r="BL79" s="237" t="s">
        <v>1107</v>
      </c>
      <c r="BM79" s="237" t="s">
        <v>1107</v>
      </c>
      <c r="BN79" s="237" t="s">
        <v>1107</v>
      </c>
      <c r="BO79" s="237" t="s">
        <v>1107</v>
      </c>
      <c r="BP79" s="237" t="s">
        <v>1107</v>
      </c>
      <c r="BQ79" s="237" t="s">
        <v>1107</v>
      </c>
      <c r="BR79" s="237" t="s">
        <v>1107</v>
      </c>
      <c r="BS79" s="237" t="s">
        <v>1107</v>
      </c>
      <c r="BT79" s="237" t="s">
        <v>1107</v>
      </c>
      <c r="BU79" s="237" t="s">
        <v>1107</v>
      </c>
      <c r="BV79" s="237" t="s">
        <v>1107</v>
      </c>
      <c r="BW79" s="237" t="s">
        <v>1107</v>
      </c>
      <c r="BX79" s="237" t="s">
        <v>1107</v>
      </c>
      <c r="BY79" s="237" t="s">
        <v>1107</v>
      </c>
      <c r="BZ79" s="237" t="s">
        <v>232</v>
      </c>
      <c r="CA79" s="237" t="s">
        <v>232</v>
      </c>
      <c r="CB79" s="237" t="s">
        <v>232</v>
      </c>
      <c r="CC79" s="237" t="s">
        <v>492</v>
      </c>
      <c r="CD79" s="237" t="s">
        <v>492</v>
      </c>
      <c r="CE79" s="237" t="s">
        <v>492</v>
      </c>
      <c r="CF79" s="237" t="s">
        <v>232</v>
      </c>
      <c r="CG79" s="237" t="s">
        <v>1107</v>
      </c>
      <c r="CH79" s="237" t="s">
        <v>232</v>
      </c>
      <c r="CI79" s="237" t="s">
        <v>1107</v>
      </c>
      <c r="CJ79" s="237" t="s">
        <v>1107</v>
      </c>
      <c r="CK79" s="237" t="s">
        <v>232</v>
      </c>
      <c r="CL79" s="237" t="s">
        <v>232</v>
      </c>
      <c r="CM79" s="237" t="s">
        <v>232</v>
      </c>
      <c r="CN79" s="237" t="s">
        <v>1107</v>
      </c>
      <c r="CO79" s="237" t="s">
        <v>1107</v>
      </c>
      <c r="CP79" s="237" t="s">
        <v>232</v>
      </c>
      <c r="CQ79" s="237" t="s">
        <v>232</v>
      </c>
      <c r="CR79" s="237" t="s">
        <v>232</v>
      </c>
      <c r="CS79" s="237" t="s">
        <v>1107</v>
      </c>
      <c r="CT79" s="237" t="s">
        <v>1107</v>
      </c>
      <c r="CU79" s="237" t="s">
        <v>1107</v>
      </c>
      <c r="CV79" s="237" t="s">
        <v>1107</v>
      </c>
      <c r="CW79" s="237" t="s">
        <v>1107</v>
      </c>
      <c r="CX79" s="237" t="s">
        <v>1107</v>
      </c>
      <c r="CY79" s="237" t="s">
        <v>1107</v>
      </c>
      <c r="CZ79" s="237" t="s">
        <v>1107</v>
      </c>
      <c r="DA79" s="237" t="s">
        <v>1107</v>
      </c>
      <c r="DB79" s="237" t="s">
        <v>1107</v>
      </c>
      <c r="DC79" s="237" t="s">
        <v>1107</v>
      </c>
      <c r="DD79" s="237" t="s">
        <v>1107</v>
      </c>
      <c r="DE79" s="237" t="s">
        <v>1107</v>
      </c>
      <c r="DF79" s="237" t="s">
        <v>1107</v>
      </c>
      <c r="DG79" s="237" t="s">
        <v>1107</v>
      </c>
      <c r="DH79" s="237" t="s">
        <v>1107</v>
      </c>
      <c r="DI79" s="237" t="s">
        <v>1107</v>
      </c>
      <c r="DJ79" s="237" t="s">
        <v>1107</v>
      </c>
      <c r="DK79" s="237" t="s">
        <v>1107</v>
      </c>
      <c r="DL79" s="237" t="s">
        <v>1107</v>
      </c>
      <c r="DM79" s="237" t="s">
        <v>1107</v>
      </c>
      <c r="DN79" s="237" t="s">
        <v>1107</v>
      </c>
      <c r="DO79" s="237" t="s">
        <v>1107</v>
      </c>
      <c r="DP79" s="237" t="s">
        <v>1107</v>
      </c>
      <c r="DQ79" s="237" t="s">
        <v>1107</v>
      </c>
      <c r="DR79" s="237" t="s">
        <v>1107</v>
      </c>
      <c r="DS79" s="237" t="s">
        <v>1107</v>
      </c>
      <c r="DT79" s="237" t="s">
        <v>1107</v>
      </c>
      <c r="DU79" s="237" t="s">
        <v>1107</v>
      </c>
      <c r="DV79" s="237" t="s">
        <v>1107</v>
      </c>
      <c r="DW79" s="237" t="s">
        <v>1107</v>
      </c>
      <c r="DX79" s="237" t="s">
        <v>1107</v>
      </c>
      <c r="DY79" s="237" t="s">
        <v>1107</v>
      </c>
      <c r="DZ79" s="237" t="s">
        <v>1107</v>
      </c>
      <c r="EA79" s="237" t="s">
        <v>1107</v>
      </c>
      <c r="EB79" s="237" t="s">
        <v>1107</v>
      </c>
      <c r="EC79" s="237" t="s">
        <v>1107</v>
      </c>
      <c r="ED79" s="237" t="s">
        <v>1107</v>
      </c>
      <c r="EE79" s="237" t="s">
        <v>1107</v>
      </c>
      <c r="EF79" s="237" t="s">
        <v>1107</v>
      </c>
      <c r="EG79" s="237" t="s">
        <v>1107</v>
      </c>
      <c r="EH79" s="237" t="s">
        <v>1107</v>
      </c>
      <c r="EI79" s="237" t="s">
        <v>1107</v>
      </c>
      <c r="EJ79" s="237" t="s">
        <v>1107</v>
      </c>
      <c r="EK79" s="237" t="s">
        <v>1107</v>
      </c>
      <c r="EL79" s="237" t="s">
        <v>1107</v>
      </c>
      <c r="EM79" s="237" t="s">
        <v>1107</v>
      </c>
      <c r="EN79" s="237" t="s">
        <v>1107</v>
      </c>
      <c r="EO79" s="237" t="s">
        <v>1107</v>
      </c>
      <c r="EP79" s="237" t="s">
        <v>1107</v>
      </c>
      <c r="EQ79" s="237" t="s">
        <v>1107</v>
      </c>
      <c r="ER79" s="237" t="s">
        <v>1107</v>
      </c>
      <c r="ES79" s="237" t="s">
        <v>1107</v>
      </c>
      <c r="ET79" s="237" t="s">
        <v>1107</v>
      </c>
      <c r="EU79" s="237" t="s">
        <v>1107</v>
      </c>
      <c r="EV79" s="237" t="s">
        <v>1107</v>
      </c>
      <c r="EW79" s="237" t="s">
        <v>1107</v>
      </c>
      <c r="EX79" s="237" t="s">
        <v>1107</v>
      </c>
      <c r="EY79" s="237" t="s">
        <v>1107</v>
      </c>
      <c r="EZ79" s="237" t="s">
        <v>1107</v>
      </c>
      <c r="FA79" s="237" t="s">
        <v>1107</v>
      </c>
      <c r="FB79" s="237" t="s">
        <v>1107</v>
      </c>
      <c r="FC79" s="237" t="s">
        <v>1107</v>
      </c>
      <c r="FD79" s="237" t="s">
        <v>232</v>
      </c>
      <c r="FE79" s="237" t="s">
        <v>232</v>
      </c>
      <c r="FF79" s="237" t="s">
        <v>232</v>
      </c>
      <c r="FG79" s="237" t="s">
        <v>492</v>
      </c>
      <c r="FH79" s="237" t="s">
        <v>1107</v>
      </c>
      <c r="FI79" s="237" t="s">
        <v>232</v>
      </c>
      <c r="FJ79" s="237" t="s">
        <v>1107</v>
      </c>
      <c r="FK79" s="237" t="s">
        <v>1107</v>
      </c>
      <c r="FL79" s="237" t="s">
        <v>1107</v>
      </c>
      <c r="FM79" s="237" t="s">
        <v>1107</v>
      </c>
      <c r="FN79" s="237" t="s">
        <v>232</v>
      </c>
      <c r="FO79" s="237" t="s">
        <v>1107</v>
      </c>
      <c r="FP79" s="237" t="s">
        <v>231</v>
      </c>
      <c r="FQ79" s="237" t="s">
        <v>1107</v>
      </c>
      <c r="FR79" s="237" t="s">
        <v>232</v>
      </c>
      <c r="FS79" s="237" t="s">
        <v>1107</v>
      </c>
      <c r="FT79" s="237" t="s">
        <v>1107</v>
      </c>
      <c r="FU79" s="237" t="s">
        <v>1107</v>
      </c>
      <c r="FV79" s="237" t="s">
        <v>1107</v>
      </c>
      <c r="FW79" s="237" t="s">
        <v>1107</v>
      </c>
      <c r="FX79" s="237" t="s">
        <v>1107</v>
      </c>
      <c r="FY79" s="237" t="s">
        <v>492</v>
      </c>
      <c r="FZ79" s="237" t="s">
        <v>231</v>
      </c>
      <c r="GA79" s="237" t="s">
        <v>1107</v>
      </c>
      <c r="GB79" s="237" t="s">
        <v>1107</v>
      </c>
      <c r="GC79" s="237" t="s">
        <v>231</v>
      </c>
      <c r="GD79" s="237" t="s">
        <v>1107</v>
      </c>
      <c r="GE79" s="237" t="s">
        <v>1107</v>
      </c>
      <c r="GF79" s="237" t="s">
        <v>1107</v>
      </c>
      <c r="GG79" s="237" t="s">
        <v>1107</v>
      </c>
      <c r="GH79" s="237" t="s">
        <v>1107</v>
      </c>
      <c r="GI79" s="237" t="s">
        <v>1107</v>
      </c>
      <c r="GJ79" s="237" t="s">
        <v>1107</v>
      </c>
      <c r="GK79" s="237" t="s">
        <v>1107</v>
      </c>
      <c r="GL79" s="237" t="s">
        <v>1107</v>
      </c>
      <c r="GM79" s="237" t="s">
        <v>1107</v>
      </c>
      <c r="GN79" s="237" t="s">
        <v>1107</v>
      </c>
      <c r="GO79" s="237" t="s">
        <v>1107</v>
      </c>
      <c r="GP79" s="237" t="s">
        <v>1107</v>
      </c>
      <c r="GQ79" s="237" t="s">
        <v>1107</v>
      </c>
      <c r="GR79" s="237" t="s">
        <v>1107</v>
      </c>
      <c r="GS79" s="237" t="s">
        <v>1107</v>
      </c>
      <c r="GT79" s="237" t="s">
        <v>1107</v>
      </c>
      <c r="GU79" s="237" t="s">
        <v>1107</v>
      </c>
      <c r="GV79" s="237" t="s">
        <v>1107</v>
      </c>
      <c r="GW79" s="237" t="s">
        <v>1107</v>
      </c>
      <c r="GX79" s="237" t="s">
        <v>1107</v>
      </c>
      <c r="GY79" s="237" t="s">
        <v>1107</v>
      </c>
      <c r="GZ79" s="237" t="s">
        <v>1107</v>
      </c>
      <c r="HA79" s="237" t="s">
        <v>1107</v>
      </c>
      <c r="HB79" s="237" t="s">
        <v>1107</v>
      </c>
      <c r="HC79" s="237" t="s">
        <v>1107</v>
      </c>
      <c r="HD79" s="237" t="s">
        <v>1107</v>
      </c>
      <c r="HE79" s="237" t="s">
        <v>1107</v>
      </c>
      <c r="HF79" s="237" t="s">
        <v>1107</v>
      </c>
      <c r="HG79" s="237" t="s">
        <v>1107</v>
      </c>
      <c r="HH79" s="237" t="s">
        <v>1107</v>
      </c>
      <c r="HI79" s="237" t="s">
        <v>1107</v>
      </c>
      <c r="HJ79" s="237" t="s">
        <v>1107</v>
      </c>
      <c r="HK79" s="237" t="s">
        <v>1107</v>
      </c>
      <c r="HL79" s="237" t="s">
        <v>1107</v>
      </c>
      <c r="HM79" s="237" t="s">
        <v>1107</v>
      </c>
      <c r="HN79" s="237" t="s">
        <v>1107</v>
      </c>
      <c r="HO79" s="237" t="s">
        <v>1107</v>
      </c>
      <c r="HP79" s="237" t="s">
        <v>1107</v>
      </c>
      <c r="HQ79" s="237" t="s">
        <v>1107</v>
      </c>
      <c r="HR79" s="237" t="s">
        <v>1107</v>
      </c>
      <c r="HS79" s="237" t="s">
        <v>1107</v>
      </c>
      <c r="HT79" s="237" t="s">
        <v>232</v>
      </c>
      <c r="HU79" s="237" t="s">
        <v>232</v>
      </c>
      <c r="HV79" s="237" t="s">
        <v>232</v>
      </c>
      <c r="HW79" s="237" t="s">
        <v>232</v>
      </c>
      <c r="HX79" s="237" t="s">
        <v>220</v>
      </c>
      <c r="HY79" s="237" t="s">
        <v>493</v>
      </c>
      <c r="HZ79" s="237" t="s">
        <v>219</v>
      </c>
      <c r="IA79" s="237" t="s">
        <v>486</v>
      </c>
      <c r="IB79" s="237" t="s">
        <v>492</v>
      </c>
      <c r="IC79" s="237" t="s">
        <v>492</v>
      </c>
    </row>
    <row r="80" spans="1:237" ht="15" x14ac:dyDescent="0.25">
      <c r="A80" s="244" t="str">
        <f>HYPERLINK("http://www.ofsted.gov.uk/inspection-reports/find-inspection-report/provider/ELS/136434 ","Ofsted School Webpage")</f>
        <v>Ofsted School Webpage</v>
      </c>
      <c r="B80" s="240">
        <v>136434</v>
      </c>
      <c r="C80" s="240">
        <v>9356229</v>
      </c>
      <c r="D80" s="240" t="s">
        <v>1266</v>
      </c>
      <c r="E80" s="240" t="s">
        <v>248</v>
      </c>
      <c r="F80" s="240" t="s">
        <v>516</v>
      </c>
      <c r="G80" s="240" t="s">
        <v>516</v>
      </c>
      <c r="H80" s="240" t="s">
        <v>937</v>
      </c>
      <c r="I80" s="240" t="s">
        <v>1267</v>
      </c>
      <c r="J80" s="240" t="s">
        <v>93</v>
      </c>
      <c r="K80" s="240" t="s">
        <v>93</v>
      </c>
      <c r="L80" s="240" t="s">
        <v>93</v>
      </c>
      <c r="M80" s="240" t="s">
        <v>90</v>
      </c>
      <c r="N80" s="240" t="s">
        <v>486</v>
      </c>
      <c r="O80" s="240" t="s">
        <v>487</v>
      </c>
      <c r="P80" s="240">
        <v>10083764</v>
      </c>
      <c r="Q80" s="242">
        <v>43433</v>
      </c>
      <c r="R80" s="242">
        <v>43433</v>
      </c>
      <c r="S80" s="242">
        <v>43478</v>
      </c>
      <c r="T80" s="240" t="s">
        <v>1109</v>
      </c>
      <c r="U80" s="240" t="s">
        <v>1105</v>
      </c>
      <c r="V80" s="240" t="s">
        <v>490</v>
      </c>
      <c r="W80" s="240" t="s">
        <v>486</v>
      </c>
      <c r="X80" s="240" t="s">
        <v>486</v>
      </c>
      <c r="Y80" s="240" t="s">
        <v>486</v>
      </c>
      <c r="Z80" s="240" t="s">
        <v>486</v>
      </c>
      <c r="AA80" s="240" t="s">
        <v>486</v>
      </c>
      <c r="AB80" s="240" t="s">
        <v>486</v>
      </c>
      <c r="AC80" s="240" t="s">
        <v>486</v>
      </c>
      <c r="AD80" s="240" t="s">
        <v>1110</v>
      </c>
      <c r="AE80" s="240" t="s">
        <v>1107</v>
      </c>
      <c r="AF80" s="240" t="s">
        <v>1107</v>
      </c>
      <c r="AG80" s="240" t="s">
        <v>1107</v>
      </c>
      <c r="AH80" s="240" t="s">
        <v>1107</v>
      </c>
      <c r="AI80" s="240" t="s">
        <v>1107</v>
      </c>
      <c r="AJ80" s="240" t="s">
        <v>1107</v>
      </c>
      <c r="AK80" s="240" t="s">
        <v>1107</v>
      </c>
      <c r="AL80" s="240" t="s">
        <v>1107</v>
      </c>
      <c r="AM80" s="240" t="s">
        <v>492</v>
      </c>
      <c r="AN80" s="240" t="s">
        <v>1107</v>
      </c>
      <c r="AO80" s="240" t="s">
        <v>1107</v>
      </c>
      <c r="AP80" s="240" t="s">
        <v>1107</v>
      </c>
      <c r="AQ80" s="240" t="s">
        <v>1107</v>
      </c>
      <c r="AR80" s="240" t="s">
        <v>1107</v>
      </c>
      <c r="AS80" s="240" t="s">
        <v>1107</v>
      </c>
      <c r="AT80" s="240" t="s">
        <v>1107</v>
      </c>
      <c r="AU80" s="240" t="s">
        <v>492</v>
      </c>
      <c r="AV80" s="240" t="s">
        <v>492</v>
      </c>
      <c r="AW80" s="240" t="s">
        <v>1107</v>
      </c>
      <c r="AX80" s="240" t="s">
        <v>1107</v>
      </c>
      <c r="AY80" s="240" t="s">
        <v>231</v>
      </c>
      <c r="AZ80" s="240" t="s">
        <v>231</v>
      </c>
      <c r="BA80" s="240" t="s">
        <v>1107</v>
      </c>
      <c r="BB80" s="240" t="s">
        <v>1107</v>
      </c>
      <c r="BC80" s="240" t="s">
        <v>1107</v>
      </c>
      <c r="BD80" s="240" t="s">
        <v>1107</v>
      </c>
      <c r="BE80" s="240" t="s">
        <v>1107</v>
      </c>
      <c r="BF80" s="240" t="s">
        <v>1107</v>
      </c>
      <c r="BG80" s="240" t="s">
        <v>231</v>
      </c>
      <c r="BH80" s="240" t="s">
        <v>1107</v>
      </c>
      <c r="BI80" s="240" t="s">
        <v>1107</v>
      </c>
      <c r="BJ80" s="240" t="s">
        <v>1107</v>
      </c>
      <c r="BK80" s="240" t="s">
        <v>1107</v>
      </c>
      <c r="BL80" s="240" t="s">
        <v>1107</v>
      </c>
      <c r="BM80" s="240" t="s">
        <v>1107</v>
      </c>
      <c r="BN80" s="240" t="s">
        <v>1107</v>
      </c>
      <c r="BO80" s="240" t="s">
        <v>1107</v>
      </c>
      <c r="BP80" s="240" t="s">
        <v>1107</v>
      </c>
      <c r="BQ80" s="240" t="s">
        <v>1107</v>
      </c>
      <c r="BR80" s="240" t="s">
        <v>1107</v>
      </c>
      <c r="BS80" s="240" t="s">
        <v>1107</v>
      </c>
      <c r="BT80" s="240" t="s">
        <v>1107</v>
      </c>
      <c r="BU80" s="240" t="s">
        <v>1107</v>
      </c>
      <c r="BV80" s="240" t="s">
        <v>1107</v>
      </c>
      <c r="BW80" s="240" t="s">
        <v>1107</v>
      </c>
      <c r="BX80" s="240" t="s">
        <v>1107</v>
      </c>
      <c r="BY80" s="240" t="s">
        <v>1107</v>
      </c>
      <c r="BZ80" s="240" t="s">
        <v>231</v>
      </c>
      <c r="CA80" s="240" t="s">
        <v>231</v>
      </c>
      <c r="CB80" s="240" t="s">
        <v>231</v>
      </c>
      <c r="CC80" s="240" t="s">
        <v>492</v>
      </c>
      <c r="CD80" s="240" t="s">
        <v>492</v>
      </c>
      <c r="CE80" s="240" t="s">
        <v>492</v>
      </c>
      <c r="CF80" s="240" t="s">
        <v>1107</v>
      </c>
      <c r="CG80" s="240" t="s">
        <v>1107</v>
      </c>
      <c r="CH80" s="240" t="s">
        <v>1107</v>
      </c>
      <c r="CI80" s="240" t="s">
        <v>1107</v>
      </c>
      <c r="CJ80" s="240" t="s">
        <v>1107</v>
      </c>
      <c r="CK80" s="240" t="s">
        <v>1107</v>
      </c>
      <c r="CL80" s="240" t="s">
        <v>1107</v>
      </c>
      <c r="CM80" s="240" t="s">
        <v>1107</v>
      </c>
      <c r="CN80" s="240" t="s">
        <v>1107</v>
      </c>
      <c r="CO80" s="240" t="s">
        <v>1107</v>
      </c>
      <c r="CP80" s="240" t="s">
        <v>1107</v>
      </c>
      <c r="CQ80" s="240" t="s">
        <v>1107</v>
      </c>
      <c r="CR80" s="240" t="s">
        <v>1107</v>
      </c>
      <c r="CS80" s="240" t="s">
        <v>231</v>
      </c>
      <c r="CT80" s="240" t="s">
        <v>231</v>
      </c>
      <c r="CU80" s="240" t="s">
        <v>231</v>
      </c>
      <c r="CV80" s="240" t="s">
        <v>231</v>
      </c>
      <c r="CW80" s="240" t="s">
        <v>231</v>
      </c>
      <c r="CX80" s="240" t="s">
        <v>231</v>
      </c>
      <c r="CY80" s="240" t="s">
        <v>231</v>
      </c>
      <c r="CZ80" s="240" t="s">
        <v>231</v>
      </c>
      <c r="DA80" s="240" t="s">
        <v>231</v>
      </c>
      <c r="DB80" s="240" t="s">
        <v>231</v>
      </c>
      <c r="DC80" s="240" t="s">
        <v>492</v>
      </c>
      <c r="DD80" s="240" t="s">
        <v>231</v>
      </c>
      <c r="DE80" s="240" t="s">
        <v>492</v>
      </c>
      <c r="DF80" s="240" t="s">
        <v>492</v>
      </c>
      <c r="DG80" s="240" t="s">
        <v>492</v>
      </c>
      <c r="DH80" s="240" t="s">
        <v>492</v>
      </c>
      <c r="DI80" s="240" t="s">
        <v>492</v>
      </c>
      <c r="DJ80" s="240" t="s">
        <v>492</v>
      </c>
      <c r="DK80" s="240" t="s">
        <v>492</v>
      </c>
      <c r="DL80" s="240" t="s">
        <v>492</v>
      </c>
      <c r="DM80" s="240" t="s">
        <v>492</v>
      </c>
      <c r="DN80" s="240" t="s">
        <v>492</v>
      </c>
      <c r="DO80" s="240" t="s">
        <v>492</v>
      </c>
      <c r="DP80" s="240" t="s">
        <v>492</v>
      </c>
      <c r="DQ80" s="240" t="s">
        <v>492</v>
      </c>
      <c r="DR80" s="240" t="s">
        <v>492</v>
      </c>
      <c r="DS80" s="240" t="s">
        <v>231</v>
      </c>
      <c r="DT80" s="240" t="s">
        <v>231</v>
      </c>
      <c r="DU80" s="240" t="s">
        <v>231</v>
      </c>
      <c r="DV80" s="240" t="s">
        <v>231</v>
      </c>
      <c r="DW80" s="240" t="s">
        <v>231</v>
      </c>
      <c r="DX80" s="240" t="s">
        <v>231</v>
      </c>
      <c r="DY80" s="240" t="s">
        <v>231</v>
      </c>
      <c r="DZ80" s="240" t="s">
        <v>231</v>
      </c>
      <c r="EA80" s="240" t="s">
        <v>231</v>
      </c>
      <c r="EB80" s="240" t="s">
        <v>231</v>
      </c>
      <c r="EC80" s="240" t="s">
        <v>231</v>
      </c>
      <c r="ED80" s="240" t="s">
        <v>231</v>
      </c>
      <c r="EE80" s="240" t="s">
        <v>231</v>
      </c>
      <c r="EF80" s="240" t="s">
        <v>231</v>
      </c>
      <c r="EG80" s="240" t="s">
        <v>231</v>
      </c>
      <c r="EH80" s="240" t="s">
        <v>231</v>
      </c>
      <c r="EI80" s="240" t="s">
        <v>231</v>
      </c>
      <c r="EJ80" s="240" t="s">
        <v>231</v>
      </c>
      <c r="EK80" s="240" t="s">
        <v>231</v>
      </c>
      <c r="EL80" s="240" t="s">
        <v>231</v>
      </c>
      <c r="EM80" s="240" t="s">
        <v>231</v>
      </c>
      <c r="EN80" s="240" t="s">
        <v>231</v>
      </c>
      <c r="EO80" s="240" t="s">
        <v>231</v>
      </c>
      <c r="EP80" s="240" t="s">
        <v>492</v>
      </c>
      <c r="EQ80" s="240" t="s">
        <v>492</v>
      </c>
      <c r="ER80" s="240" t="s">
        <v>492</v>
      </c>
      <c r="ES80" s="240" t="s">
        <v>492</v>
      </c>
      <c r="ET80" s="240" t="s">
        <v>492</v>
      </c>
      <c r="EU80" s="240" t="s">
        <v>492</v>
      </c>
      <c r="EV80" s="240" t="s">
        <v>231</v>
      </c>
      <c r="EW80" s="240" t="s">
        <v>231</v>
      </c>
      <c r="EX80" s="240" t="s">
        <v>231</v>
      </c>
      <c r="EY80" s="240" t="s">
        <v>231</v>
      </c>
      <c r="EZ80" s="240" t="s">
        <v>1107</v>
      </c>
      <c r="FA80" s="240" t="s">
        <v>1107</v>
      </c>
      <c r="FB80" s="240" t="s">
        <v>1107</v>
      </c>
      <c r="FC80" s="240" t="s">
        <v>1107</v>
      </c>
      <c r="FD80" s="240" t="s">
        <v>1107</v>
      </c>
      <c r="FE80" s="240" t="s">
        <v>1107</v>
      </c>
      <c r="FF80" s="240" t="s">
        <v>1107</v>
      </c>
      <c r="FG80" s="240" t="s">
        <v>492</v>
      </c>
      <c r="FH80" s="240" t="s">
        <v>1107</v>
      </c>
      <c r="FI80" s="240" t="s">
        <v>1107</v>
      </c>
      <c r="FJ80" s="240" t="s">
        <v>1107</v>
      </c>
      <c r="FK80" s="240" t="s">
        <v>1107</v>
      </c>
      <c r="FL80" s="240" t="s">
        <v>1107</v>
      </c>
      <c r="FM80" s="240" t="s">
        <v>1107</v>
      </c>
      <c r="FN80" s="240" t="s">
        <v>1107</v>
      </c>
      <c r="FO80" s="240" t="s">
        <v>1107</v>
      </c>
      <c r="FP80" s="240" t="s">
        <v>1107</v>
      </c>
      <c r="FQ80" s="240" t="s">
        <v>1107</v>
      </c>
      <c r="FR80" s="240" t="s">
        <v>1107</v>
      </c>
      <c r="FS80" s="240" t="s">
        <v>1107</v>
      </c>
      <c r="FT80" s="240" t="s">
        <v>1107</v>
      </c>
      <c r="FU80" s="240" t="s">
        <v>1107</v>
      </c>
      <c r="FV80" s="240" t="s">
        <v>1107</v>
      </c>
      <c r="FW80" s="240" t="s">
        <v>1107</v>
      </c>
      <c r="FX80" s="240" t="s">
        <v>1107</v>
      </c>
      <c r="FY80" s="240" t="s">
        <v>492</v>
      </c>
      <c r="FZ80" s="240" t="s">
        <v>231</v>
      </c>
      <c r="GA80" s="240" t="s">
        <v>1107</v>
      </c>
      <c r="GB80" s="240" t="s">
        <v>1107</v>
      </c>
      <c r="GC80" s="240" t="s">
        <v>231</v>
      </c>
      <c r="GD80" s="240" t="s">
        <v>1107</v>
      </c>
      <c r="GE80" s="240" t="s">
        <v>492</v>
      </c>
      <c r="GF80" s="240" t="s">
        <v>1107</v>
      </c>
      <c r="GG80" s="240" t="s">
        <v>1107</v>
      </c>
      <c r="GH80" s="240" t="s">
        <v>1107</v>
      </c>
      <c r="GI80" s="240" t="s">
        <v>1107</v>
      </c>
      <c r="GJ80" s="240" t="s">
        <v>1107</v>
      </c>
      <c r="GK80" s="240" t="s">
        <v>1107</v>
      </c>
      <c r="GL80" s="240" t="s">
        <v>1107</v>
      </c>
      <c r="GM80" s="240" t="s">
        <v>1107</v>
      </c>
      <c r="GN80" s="240" t="s">
        <v>1107</v>
      </c>
      <c r="GO80" s="240" t="s">
        <v>1107</v>
      </c>
      <c r="GP80" s="240" t="s">
        <v>1107</v>
      </c>
      <c r="GQ80" s="240" t="s">
        <v>1107</v>
      </c>
      <c r="GR80" s="240" t="s">
        <v>1107</v>
      </c>
      <c r="GS80" s="240" t="s">
        <v>1107</v>
      </c>
      <c r="GT80" s="240" t="s">
        <v>1107</v>
      </c>
      <c r="GU80" s="240" t="s">
        <v>1107</v>
      </c>
      <c r="GV80" s="240" t="s">
        <v>1107</v>
      </c>
      <c r="GW80" s="240" t="s">
        <v>1107</v>
      </c>
      <c r="GX80" s="240" t="s">
        <v>1107</v>
      </c>
      <c r="GY80" s="240" t="s">
        <v>1107</v>
      </c>
      <c r="GZ80" s="240" t="s">
        <v>1107</v>
      </c>
      <c r="HA80" s="240" t="s">
        <v>1107</v>
      </c>
      <c r="HB80" s="240" t="s">
        <v>1107</v>
      </c>
      <c r="HC80" s="240" t="s">
        <v>1107</v>
      </c>
      <c r="HD80" s="240" t="s">
        <v>1107</v>
      </c>
      <c r="HE80" s="240" t="s">
        <v>1107</v>
      </c>
      <c r="HF80" s="240" t="s">
        <v>1107</v>
      </c>
      <c r="HG80" s="240" t="s">
        <v>1107</v>
      </c>
      <c r="HH80" s="240" t="s">
        <v>1107</v>
      </c>
      <c r="HI80" s="240" t="s">
        <v>1107</v>
      </c>
      <c r="HJ80" s="240" t="s">
        <v>1107</v>
      </c>
      <c r="HK80" s="240" t="s">
        <v>1107</v>
      </c>
      <c r="HL80" s="240" t="s">
        <v>1107</v>
      </c>
      <c r="HM80" s="240" t="s">
        <v>1107</v>
      </c>
      <c r="HN80" s="240" t="s">
        <v>1107</v>
      </c>
      <c r="HO80" s="240" t="s">
        <v>1107</v>
      </c>
      <c r="HP80" s="240" t="s">
        <v>1107</v>
      </c>
      <c r="HQ80" s="240" t="s">
        <v>1107</v>
      </c>
      <c r="HR80" s="240" t="s">
        <v>1107</v>
      </c>
      <c r="HS80" s="240" t="s">
        <v>1107</v>
      </c>
      <c r="HT80" s="240" t="s">
        <v>231</v>
      </c>
      <c r="HU80" s="240" t="s">
        <v>231</v>
      </c>
      <c r="HV80" s="240" t="s">
        <v>231</v>
      </c>
      <c r="HW80" s="240" t="s">
        <v>231</v>
      </c>
      <c r="HX80" s="240" t="s">
        <v>220</v>
      </c>
      <c r="HY80" s="240" t="s">
        <v>493</v>
      </c>
      <c r="HZ80" s="240" t="s">
        <v>219</v>
      </c>
      <c r="IA80" s="240" t="s">
        <v>490</v>
      </c>
      <c r="IB80" s="240" t="s">
        <v>492</v>
      </c>
      <c r="IC80" s="240" t="s">
        <v>492</v>
      </c>
    </row>
    <row r="81" spans="1:237" ht="15" x14ac:dyDescent="0.25">
      <c r="A81" s="243" t="str">
        <f>HYPERLINK("http://www.ofsted.gov.uk/inspection-reports/find-inspection-report/provider/ELS/135608 ","Ofsted School Webpage")</f>
        <v>Ofsted School Webpage</v>
      </c>
      <c r="B81" s="237">
        <v>135608</v>
      </c>
      <c r="C81" s="237">
        <v>3306129</v>
      </c>
      <c r="D81" s="237" t="s">
        <v>1268</v>
      </c>
      <c r="E81" s="237" t="s">
        <v>247</v>
      </c>
      <c r="F81" s="237" t="s">
        <v>502</v>
      </c>
      <c r="G81" s="237" t="s">
        <v>502</v>
      </c>
      <c r="H81" s="237" t="s">
        <v>909</v>
      </c>
      <c r="I81" s="237" t="s">
        <v>1269</v>
      </c>
      <c r="J81" s="237" t="s">
        <v>93</v>
      </c>
      <c r="K81" s="237" t="s">
        <v>71</v>
      </c>
      <c r="L81" s="237" t="s">
        <v>71</v>
      </c>
      <c r="M81" s="237" t="s">
        <v>71</v>
      </c>
      <c r="N81" s="237" t="s">
        <v>486</v>
      </c>
      <c r="O81" s="237" t="s">
        <v>487</v>
      </c>
      <c r="P81" s="237">
        <v>10084383</v>
      </c>
      <c r="Q81" s="239">
        <v>43433</v>
      </c>
      <c r="R81" s="239">
        <v>43433</v>
      </c>
      <c r="S81" s="239">
        <v>43478</v>
      </c>
      <c r="T81" s="237" t="s">
        <v>1124</v>
      </c>
      <c r="U81" s="237" t="s">
        <v>1105</v>
      </c>
      <c r="V81" s="237" t="s">
        <v>490</v>
      </c>
      <c r="W81" s="237" t="s">
        <v>486</v>
      </c>
      <c r="X81" s="237" t="s">
        <v>486</v>
      </c>
      <c r="Y81" s="237" t="s">
        <v>486</v>
      </c>
      <c r="Z81" s="237" t="s">
        <v>486</v>
      </c>
      <c r="AA81" s="237" t="s">
        <v>486</v>
      </c>
      <c r="AB81" s="237" t="s">
        <v>486</v>
      </c>
      <c r="AC81" s="237" t="s">
        <v>486</v>
      </c>
      <c r="AD81" s="237" t="s">
        <v>1110</v>
      </c>
      <c r="AE81" s="237" t="s">
        <v>1107</v>
      </c>
      <c r="AF81" s="237" t="s">
        <v>1107</v>
      </c>
      <c r="AG81" s="237" t="s">
        <v>1107</v>
      </c>
      <c r="AH81" s="237" t="s">
        <v>1107</v>
      </c>
      <c r="AI81" s="237" t="s">
        <v>1107</v>
      </c>
      <c r="AJ81" s="237" t="s">
        <v>1107</v>
      </c>
      <c r="AK81" s="237" t="s">
        <v>1107</v>
      </c>
      <c r="AL81" s="237" t="s">
        <v>1107</v>
      </c>
      <c r="AM81" s="237" t="s">
        <v>1107</v>
      </c>
      <c r="AN81" s="237" t="s">
        <v>1107</v>
      </c>
      <c r="AO81" s="237" t="s">
        <v>1107</v>
      </c>
      <c r="AP81" s="237" t="s">
        <v>1107</v>
      </c>
      <c r="AQ81" s="237" t="s">
        <v>1107</v>
      </c>
      <c r="AR81" s="237" t="s">
        <v>1107</v>
      </c>
      <c r="AS81" s="237" t="s">
        <v>1107</v>
      </c>
      <c r="AT81" s="237" t="s">
        <v>1107</v>
      </c>
      <c r="AU81" s="237" t="s">
        <v>1107</v>
      </c>
      <c r="AV81" s="237" t="s">
        <v>1107</v>
      </c>
      <c r="AW81" s="237" t="s">
        <v>1107</v>
      </c>
      <c r="AX81" s="237" t="s">
        <v>1107</v>
      </c>
      <c r="AY81" s="237" t="s">
        <v>1107</v>
      </c>
      <c r="AZ81" s="237" t="s">
        <v>1107</v>
      </c>
      <c r="BA81" s="237" t="s">
        <v>1107</v>
      </c>
      <c r="BB81" s="237" t="s">
        <v>1107</v>
      </c>
      <c r="BC81" s="237" t="s">
        <v>1107</v>
      </c>
      <c r="BD81" s="237" t="s">
        <v>1107</v>
      </c>
      <c r="BE81" s="237" t="s">
        <v>1107</v>
      </c>
      <c r="BF81" s="237" t="s">
        <v>1107</v>
      </c>
      <c r="BG81" s="237" t="s">
        <v>1107</v>
      </c>
      <c r="BH81" s="237" t="s">
        <v>1107</v>
      </c>
      <c r="BI81" s="237" t="s">
        <v>1107</v>
      </c>
      <c r="BJ81" s="237" t="s">
        <v>1107</v>
      </c>
      <c r="BK81" s="237" t="s">
        <v>1107</v>
      </c>
      <c r="BL81" s="237" t="s">
        <v>1107</v>
      </c>
      <c r="BM81" s="237" t="s">
        <v>1107</v>
      </c>
      <c r="BN81" s="237" t="s">
        <v>1107</v>
      </c>
      <c r="BO81" s="237" t="s">
        <v>1107</v>
      </c>
      <c r="BP81" s="237" t="s">
        <v>1107</v>
      </c>
      <c r="BQ81" s="237" t="s">
        <v>1107</v>
      </c>
      <c r="BR81" s="237" t="s">
        <v>1107</v>
      </c>
      <c r="BS81" s="237" t="s">
        <v>1107</v>
      </c>
      <c r="BT81" s="237" t="s">
        <v>1107</v>
      </c>
      <c r="BU81" s="237" t="s">
        <v>1107</v>
      </c>
      <c r="BV81" s="237" t="s">
        <v>1107</v>
      </c>
      <c r="BW81" s="237" t="s">
        <v>1107</v>
      </c>
      <c r="BX81" s="237" t="s">
        <v>1107</v>
      </c>
      <c r="BY81" s="237" t="s">
        <v>1107</v>
      </c>
      <c r="BZ81" s="237" t="s">
        <v>231</v>
      </c>
      <c r="CA81" s="237" t="s">
        <v>231</v>
      </c>
      <c r="CB81" s="237" t="s">
        <v>231</v>
      </c>
      <c r="CC81" s="237" t="s">
        <v>492</v>
      </c>
      <c r="CD81" s="237" t="s">
        <v>492</v>
      </c>
      <c r="CE81" s="237" t="s">
        <v>492</v>
      </c>
      <c r="CF81" s="237" t="s">
        <v>1107</v>
      </c>
      <c r="CG81" s="237" t="s">
        <v>1107</v>
      </c>
      <c r="CH81" s="237" t="s">
        <v>1107</v>
      </c>
      <c r="CI81" s="237" t="s">
        <v>1107</v>
      </c>
      <c r="CJ81" s="237" t="s">
        <v>1107</v>
      </c>
      <c r="CK81" s="237" t="s">
        <v>1107</v>
      </c>
      <c r="CL81" s="237" t="s">
        <v>231</v>
      </c>
      <c r="CM81" s="237" t="s">
        <v>1107</v>
      </c>
      <c r="CN81" s="237" t="s">
        <v>1107</v>
      </c>
      <c r="CO81" s="237" t="s">
        <v>1107</v>
      </c>
      <c r="CP81" s="237" t="s">
        <v>1107</v>
      </c>
      <c r="CQ81" s="237" t="s">
        <v>1107</v>
      </c>
      <c r="CR81" s="237" t="s">
        <v>1107</v>
      </c>
      <c r="CS81" s="237" t="s">
        <v>1107</v>
      </c>
      <c r="CT81" s="237" t="s">
        <v>1107</v>
      </c>
      <c r="CU81" s="237" t="s">
        <v>1107</v>
      </c>
      <c r="CV81" s="237" t="s">
        <v>1107</v>
      </c>
      <c r="CW81" s="237" t="s">
        <v>1107</v>
      </c>
      <c r="CX81" s="237" t="s">
        <v>1107</v>
      </c>
      <c r="CY81" s="237" t="s">
        <v>1107</v>
      </c>
      <c r="CZ81" s="237" t="s">
        <v>1107</v>
      </c>
      <c r="DA81" s="237" t="s">
        <v>1107</v>
      </c>
      <c r="DB81" s="237" t="s">
        <v>1107</v>
      </c>
      <c r="DC81" s="237" t="s">
        <v>1107</v>
      </c>
      <c r="DD81" s="237" t="s">
        <v>1107</v>
      </c>
      <c r="DE81" s="237" t="s">
        <v>1107</v>
      </c>
      <c r="DF81" s="237" t="s">
        <v>1107</v>
      </c>
      <c r="DG81" s="237" t="s">
        <v>1107</v>
      </c>
      <c r="DH81" s="237" t="s">
        <v>1107</v>
      </c>
      <c r="DI81" s="237" t="s">
        <v>1107</v>
      </c>
      <c r="DJ81" s="237" t="s">
        <v>1107</v>
      </c>
      <c r="DK81" s="237" t="s">
        <v>1107</v>
      </c>
      <c r="DL81" s="237" t="s">
        <v>1107</v>
      </c>
      <c r="DM81" s="237" t="s">
        <v>1107</v>
      </c>
      <c r="DN81" s="237" t="s">
        <v>1107</v>
      </c>
      <c r="DO81" s="237" t="s">
        <v>1107</v>
      </c>
      <c r="DP81" s="237" t="s">
        <v>1107</v>
      </c>
      <c r="DQ81" s="237" t="s">
        <v>1107</v>
      </c>
      <c r="DR81" s="237" t="s">
        <v>1107</v>
      </c>
      <c r="DS81" s="237" t="s">
        <v>1107</v>
      </c>
      <c r="DT81" s="237" t="s">
        <v>1107</v>
      </c>
      <c r="DU81" s="237" t="s">
        <v>1107</v>
      </c>
      <c r="DV81" s="237" t="s">
        <v>1107</v>
      </c>
      <c r="DW81" s="237" t="s">
        <v>1107</v>
      </c>
      <c r="DX81" s="237" t="s">
        <v>1107</v>
      </c>
      <c r="DY81" s="237" t="s">
        <v>1107</v>
      </c>
      <c r="DZ81" s="237" t="s">
        <v>1107</v>
      </c>
      <c r="EA81" s="237" t="s">
        <v>1107</v>
      </c>
      <c r="EB81" s="237" t="s">
        <v>1107</v>
      </c>
      <c r="EC81" s="237" t="s">
        <v>1107</v>
      </c>
      <c r="ED81" s="237" t="s">
        <v>1107</v>
      </c>
      <c r="EE81" s="237" t="s">
        <v>1107</v>
      </c>
      <c r="EF81" s="237" t="s">
        <v>1107</v>
      </c>
      <c r="EG81" s="237" t="s">
        <v>1107</v>
      </c>
      <c r="EH81" s="237" t="s">
        <v>1107</v>
      </c>
      <c r="EI81" s="237" t="s">
        <v>1107</v>
      </c>
      <c r="EJ81" s="237" t="s">
        <v>1107</v>
      </c>
      <c r="EK81" s="237" t="s">
        <v>1107</v>
      </c>
      <c r="EL81" s="237" t="s">
        <v>1107</v>
      </c>
      <c r="EM81" s="237" t="s">
        <v>1107</v>
      </c>
      <c r="EN81" s="237" t="s">
        <v>1107</v>
      </c>
      <c r="EO81" s="237" t="s">
        <v>1107</v>
      </c>
      <c r="EP81" s="237" t="s">
        <v>1107</v>
      </c>
      <c r="EQ81" s="237" t="s">
        <v>486</v>
      </c>
      <c r="ER81" s="237" t="s">
        <v>1107</v>
      </c>
      <c r="ES81" s="237" t="s">
        <v>1107</v>
      </c>
      <c r="ET81" s="237" t="s">
        <v>1107</v>
      </c>
      <c r="EU81" s="237" t="s">
        <v>1107</v>
      </c>
      <c r="EV81" s="237" t="s">
        <v>1107</v>
      </c>
      <c r="EW81" s="237" t="s">
        <v>1107</v>
      </c>
      <c r="EX81" s="237" t="s">
        <v>1107</v>
      </c>
      <c r="EY81" s="237" t="s">
        <v>1107</v>
      </c>
      <c r="EZ81" s="237" t="s">
        <v>1107</v>
      </c>
      <c r="FA81" s="237" t="s">
        <v>1107</v>
      </c>
      <c r="FB81" s="237" t="s">
        <v>1107</v>
      </c>
      <c r="FC81" s="237" t="s">
        <v>1107</v>
      </c>
      <c r="FD81" s="237" t="s">
        <v>1107</v>
      </c>
      <c r="FE81" s="237" t="s">
        <v>1107</v>
      </c>
      <c r="FF81" s="237" t="s">
        <v>1107</v>
      </c>
      <c r="FG81" s="237" t="s">
        <v>1107</v>
      </c>
      <c r="FH81" s="237" t="s">
        <v>1107</v>
      </c>
      <c r="FI81" s="237" t="s">
        <v>231</v>
      </c>
      <c r="FJ81" s="237" t="s">
        <v>1107</v>
      </c>
      <c r="FK81" s="237" t="s">
        <v>1107</v>
      </c>
      <c r="FL81" s="237" t="s">
        <v>1107</v>
      </c>
      <c r="FM81" s="237" t="s">
        <v>1107</v>
      </c>
      <c r="FN81" s="237" t="s">
        <v>1107</v>
      </c>
      <c r="FO81" s="237" t="s">
        <v>1107</v>
      </c>
      <c r="FP81" s="237" t="s">
        <v>1107</v>
      </c>
      <c r="FQ81" s="237" t="s">
        <v>1107</v>
      </c>
      <c r="FR81" s="237" t="s">
        <v>1107</v>
      </c>
      <c r="FS81" s="237" t="s">
        <v>1107</v>
      </c>
      <c r="FT81" s="237" t="s">
        <v>1107</v>
      </c>
      <c r="FU81" s="237" t="s">
        <v>1107</v>
      </c>
      <c r="FV81" s="237" t="s">
        <v>1107</v>
      </c>
      <c r="FW81" s="237" t="s">
        <v>1107</v>
      </c>
      <c r="FX81" s="237" t="s">
        <v>1107</v>
      </c>
      <c r="FY81" s="237" t="s">
        <v>492</v>
      </c>
      <c r="FZ81" s="237" t="s">
        <v>1107</v>
      </c>
      <c r="GA81" s="237" t="s">
        <v>1107</v>
      </c>
      <c r="GB81" s="237" t="s">
        <v>1107</v>
      </c>
      <c r="GC81" s="237" t="s">
        <v>231</v>
      </c>
      <c r="GD81" s="237" t="s">
        <v>1107</v>
      </c>
      <c r="GE81" s="237" t="s">
        <v>1107</v>
      </c>
      <c r="GF81" s="237" t="s">
        <v>1107</v>
      </c>
      <c r="GG81" s="237" t="s">
        <v>1107</v>
      </c>
      <c r="GH81" s="237" t="s">
        <v>1107</v>
      </c>
      <c r="GI81" s="237" t="s">
        <v>1107</v>
      </c>
      <c r="GJ81" s="237" t="s">
        <v>1107</v>
      </c>
      <c r="GK81" s="237" t="s">
        <v>1107</v>
      </c>
      <c r="GL81" s="237" t="s">
        <v>1107</v>
      </c>
      <c r="GM81" s="237" t="s">
        <v>1107</v>
      </c>
      <c r="GN81" s="237" t="s">
        <v>1107</v>
      </c>
      <c r="GO81" s="237" t="s">
        <v>1107</v>
      </c>
      <c r="GP81" s="237" t="s">
        <v>1107</v>
      </c>
      <c r="GQ81" s="237" t="s">
        <v>1107</v>
      </c>
      <c r="GR81" s="237" t="s">
        <v>1107</v>
      </c>
      <c r="GS81" s="237" t="s">
        <v>1107</v>
      </c>
      <c r="GT81" s="237" t="s">
        <v>1107</v>
      </c>
      <c r="GU81" s="237" t="s">
        <v>1107</v>
      </c>
      <c r="GV81" s="237" t="s">
        <v>1107</v>
      </c>
      <c r="GW81" s="237" t="s">
        <v>1107</v>
      </c>
      <c r="GX81" s="237" t="s">
        <v>1107</v>
      </c>
      <c r="GY81" s="237" t="s">
        <v>1107</v>
      </c>
      <c r="GZ81" s="237" t="s">
        <v>1107</v>
      </c>
      <c r="HA81" s="237" t="s">
        <v>492</v>
      </c>
      <c r="HB81" s="237" t="s">
        <v>492</v>
      </c>
      <c r="HC81" s="237" t="s">
        <v>492</v>
      </c>
      <c r="HD81" s="237" t="s">
        <v>1107</v>
      </c>
      <c r="HE81" s="237" t="s">
        <v>1107</v>
      </c>
      <c r="HF81" s="237" t="s">
        <v>1107</v>
      </c>
      <c r="HG81" s="237" t="s">
        <v>1107</v>
      </c>
      <c r="HH81" s="237" t="s">
        <v>1107</v>
      </c>
      <c r="HI81" s="237" t="s">
        <v>1107</v>
      </c>
      <c r="HJ81" s="237" t="s">
        <v>1107</v>
      </c>
      <c r="HK81" s="237" t="s">
        <v>1107</v>
      </c>
      <c r="HL81" s="237" t="s">
        <v>1107</v>
      </c>
      <c r="HM81" s="237" t="s">
        <v>1107</v>
      </c>
      <c r="HN81" s="237" t="s">
        <v>1107</v>
      </c>
      <c r="HO81" s="237" t="s">
        <v>1107</v>
      </c>
      <c r="HP81" s="237" t="s">
        <v>1107</v>
      </c>
      <c r="HQ81" s="237" t="s">
        <v>1107</v>
      </c>
      <c r="HR81" s="237" t="s">
        <v>1107</v>
      </c>
      <c r="HS81" s="237" t="s">
        <v>1107</v>
      </c>
      <c r="HT81" s="237" t="s">
        <v>1107</v>
      </c>
      <c r="HU81" s="237" t="s">
        <v>1107</v>
      </c>
      <c r="HV81" s="237" t="s">
        <v>1107</v>
      </c>
      <c r="HW81" s="237" t="s">
        <v>1107</v>
      </c>
      <c r="HX81" s="237" t="s">
        <v>220</v>
      </c>
      <c r="HY81" s="237" t="s">
        <v>493</v>
      </c>
      <c r="HZ81" s="237" t="s">
        <v>219</v>
      </c>
      <c r="IA81" s="237" t="s">
        <v>490</v>
      </c>
      <c r="IB81" s="237" t="s">
        <v>492</v>
      </c>
      <c r="IC81" s="237" t="s">
        <v>492</v>
      </c>
    </row>
    <row r="82" spans="1:237" ht="15" x14ac:dyDescent="0.25">
      <c r="A82" s="244" t="str">
        <f>HYPERLINK("http://www.ofsted.gov.uk/inspection-reports/find-inspection-report/provider/ELS/134422 ","Ofsted School Webpage")</f>
        <v>Ofsted School Webpage</v>
      </c>
      <c r="B82" s="240">
        <v>134422</v>
      </c>
      <c r="C82" s="240">
        <v>3366024</v>
      </c>
      <c r="D82" s="240" t="s">
        <v>1025</v>
      </c>
      <c r="E82" s="240" t="s">
        <v>247</v>
      </c>
      <c r="F82" s="240" t="s">
        <v>502</v>
      </c>
      <c r="G82" s="240" t="s">
        <v>502</v>
      </c>
      <c r="H82" s="240" t="s">
        <v>569</v>
      </c>
      <c r="I82" s="240" t="s">
        <v>1026</v>
      </c>
      <c r="J82" s="240" t="s">
        <v>84</v>
      </c>
      <c r="K82" s="240" t="s">
        <v>84</v>
      </c>
      <c r="L82" s="240" t="s">
        <v>84</v>
      </c>
      <c r="M82" s="240" t="s">
        <v>84</v>
      </c>
      <c r="N82" s="240" t="s">
        <v>486</v>
      </c>
      <c r="O82" s="240" t="s">
        <v>487</v>
      </c>
      <c r="P82" s="240">
        <v>10084536</v>
      </c>
      <c r="Q82" s="242">
        <v>43439</v>
      </c>
      <c r="R82" s="242">
        <v>43439</v>
      </c>
      <c r="S82" s="242">
        <v>43492</v>
      </c>
      <c r="T82" s="240" t="s">
        <v>1109</v>
      </c>
      <c r="U82" s="240" t="s">
        <v>1105</v>
      </c>
      <c r="V82" s="240" t="s">
        <v>490</v>
      </c>
      <c r="W82" s="240" t="s">
        <v>486</v>
      </c>
      <c r="X82" s="240" t="s">
        <v>486</v>
      </c>
      <c r="Y82" s="240" t="s">
        <v>486</v>
      </c>
      <c r="Z82" s="240" t="s">
        <v>486</v>
      </c>
      <c r="AA82" s="240" t="s">
        <v>486</v>
      </c>
      <c r="AB82" s="240" t="s">
        <v>486</v>
      </c>
      <c r="AC82" s="240" t="s">
        <v>486</v>
      </c>
      <c r="AD82" s="240" t="s">
        <v>1110</v>
      </c>
      <c r="AE82" s="240" t="s">
        <v>1107</v>
      </c>
      <c r="AF82" s="240" t="s">
        <v>1107</v>
      </c>
      <c r="AG82" s="240" t="s">
        <v>1107</v>
      </c>
      <c r="AH82" s="240" t="s">
        <v>1107</v>
      </c>
      <c r="AI82" s="240" t="s">
        <v>1107</v>
      </c>
      <c r="AJ82" s="240" t="s">
        <v>1107</v>
      </c>
      <c r="AK82" s="240" t="s">
        <v>1107</v>
      </c>
      <c r="AL82" s="240" t="s">
        <v>1107</v>
      </c>
      <c r="AM82" s="240" t="s">
        <v>492</v>
      </c>
      <c r="AN82" s="240" t="s">
        <v>1107</v>
      </c>
      <c r="AO82" s="240" t="s">
        <v>1107</v>
      </c>
      <c r="AP82" s="240" t="s">
        <v>1107</v>
      </c>
      <c r="AQ82" s="240" t="s">
        <v>492</v>
      </c>
      <c r="AR82" s="240" t="s">
        <v>492</v>
      </c>
      <c r="AS82" s="240" t="s">
        <v>492</v>
      </c>
      <c r="AT82" s="240" t="s">
        <v>492</v>
      </c>
      <c r="AU82" s="240" t="s">
        <v>1107</v>
      </c>
      <c r="AV82" s="240" t="s">
        <v>492</v>
      </c>
      <c r="AW82" s="240" t="s">
        <v>1107</v>
      </c>
      <c r="AX82" s="240" t="s">
        <v>1107</v>
      </c>
      <c r="AY82" s="240" t="s">
        <v>231</v>
      </c>
      <c r="AZ82" s="240" t="s">
        <v>231</v>
      </c>
      <c r="BA82" s="240" t="s">
        <v>1107</v>
      </c>
      <c r="BB82" s="240" t="s">
        <v>231</v>
      </c>
      <c r="BC82" s="240" t="s">
        <v>231</v>
      </c>
      <c r="BD82" s="240" t="s">
        <v>231</v>
      </c>
      <c r="BE82" s="240" t="s">
        <v>231</v>
      </c>
      <c r="BF82" s="240" t="s">
        <v>231</v>
      </c>
      <c r="BG82" s="240" t="s">
        <v>1107</v>
      </c>
      <c r="BH82" s="240" t="s">
        <v>1107</v>
      </c>
      <c r="BI82" s="240" t="s">
        <v>1107</v>
      </c>
      <c r="BJ82" s="240" t="s">
        <v>1107</v>
      </c>
      <c r="BK82" s="240" t="s">
        <v>1107</v>
      </c>
      <c r="BL82" s="240" t="s">
        <v>1107</v>
      </c>
      <c r="BM82" s="240" t="s">
        <v>1107</v>
      </c>
      <c r="BN82" s="240" t="s">
        <v>1107</v>
      </c>
      <c r="BO82" s="240" t="s">
        <v>1107</v>
      </c>
      <c r="BP82" s="240" t="s">
        <v>1107</v>
      </c>
      <c r="BQ82" s="240" t="s">
        <v>1107</v>
      </c>
      <c r="BR82" s="240" t="s">
        <v>1107</v>
      </c>
      <c r="BS82" s="240" t="s">
        <v>1107</v>
      </c>
      <c r="BT82" s="240" t="s">
        <v>1107</v>
      </c>
      <c r="BU82" s="240" t="s">
        <v>1107</v>
      </c>
      <c r="BV82" s="240" t="s">
        <v>1107</v>
      </c>
      <c r="BW82" s="240" t="s">
        <v>1107</v>
      </c>
      <c r="BX82" s="240" t="s">
        <v>1107</v>
      </c>
      <c r="BY82" s="240" t="s">
        <v>1107</v>
      </c>
      <c r="BZ82" s="240" t="s">
        <v>231</v>
      </c>
      <c r="CA82" s="240" t="s">
        <v>231</v>
      </c>
      <c r="CB82" s="240" t="s">
        <v>231</v>
      </c>
      <c r="CC82" s="240" t="s">
        <v>492</v>
      </c>
      <c r="CD82" s="240" t="s">
        <v>492</v>
      </c>
      <c r="CE82" s="240" t="s">
        <v>492</v>
      </c>
      <c r="CF82" s="240" t="s">
        <v>1107</v>
      </c>
      <c r="CG82" s="240" t="s">
        <v>1107</v>
      </c>
      <c r="CH82" s="240" t="s">
        <v>1107</v>
      </c>
      <c r="CI82" s="240" t="s">
        <v>1107</v>
      </c>
      <c r="CJ82" s="240" t="s">
        <v>1107</v>
      </c>
      <c r="CK82" s="240" t="s">
        <v>1107</v>
      </c>
      <c r="CL82" s="240" t="s">
        <v>1107</v>
      </c>
      <c r="CM82" s="240" t="s">
        <v>1107</v>
      </c>
      <c r="CN82" s="240" t="s">
        <v>1107</v>
      </c>
      <c r="CO82" s="240" t="s">
        <v>1107</v>
      </c>
      <c r="CP82" s="240" t="s">
        <v>1107</v>
      </c>
      <c r="CQ82" s="240" t="s">
        <v>1107</v>
      </c>
      <c r="CR82" s="240" t="s">
        <v>1107</v>
      </c>
      <c r="CS82" s="240" t="s">
        <v>231</v>
      </c>
      <c r="CT82" s="240" t="s">
        <v>1107</v>
      </c>
      <c r="CU82" s="240" t="s">
        <v>1107</v>
      </c>
      <c r="CV82" s="240" t="s">
        <v>1107</v>
      </c>
      <c r="CW82" s="240" t="s">
        <v>1107</v>
      </c>
      <c r="CX82" s="240" t="s">
        <v>1107</v>
      </c>
      <c r="CY82" s="240" t="s">
        <v>1107</v>
      </c>
      <c r="CZ82" s="240" t="s">
        <v>1107</v>
      </c>
      <c r="DA82" s="240" t="s">
        <v>1107</v>
      </c>
      <c r="DB82" s="240" t="s">
        <v>231</v>
      </c>
      <c r="DC82" s="240" t="s">
        <v>492</v>
      </c>
      <c r="DD82" s="240" t="s">
        <v>1107</v>
      </c>
      <c r="DE82" s="240" t="s">
        <v>492</v>
      </c>
      <c r="DF82" s="240" t="s">
        <v>492</v>
      </c>
      <c r="DG82" s="240" t="s">
        <v>492</v>
      </c>
      <c r="DH82" s="240" t="s">
        <v>492</v>
      </c>
      <c r="DI82" s="240" t="s">
        <v>492</v>
      </c>
      <c r="DJ82" s="240" t="s">
        <v>492</v>
      </c>
      <c r="DK82" s="240" t="s">
        <v>492</v>
      </c>
      <c r="DL82" s="240" t="s">
        <v>492</v>
      </c>
      <c r="DM82" s="240" t="s">
        <v>492</v>
      </c>
      <c r="DN82" s="240" t="s">
        <v>492</v>
      </c>
      <c r="DO82" s="240" t="s">
        <v>492</v>
      </c>
      <c r="DP82" s="240" t="s">
        <v>492</v>
      </c>
      <c r="DQ82" s="240" t="s">
        <v>492</v>
      </c>
      <c r="DR82" s="240" t="s">
        <v>1107</v>
      </c>
      <c r="DS82" s="240" t="s">
        <v>231</v>
      </c>
      <c r="DT82" s="240" t="s">
        <v>1107</v>
      </c>
      <c r="DU82" s="240" t="s">
        <v>1107</v>
      </c>
      <c r="DV82" s="240" t="s">
        <v>1107</v>
      </c>
      <c r="DW82" s="240" t="s">
        <v>231</v>
      </c>
      <c r="DX82" s="240" t="s">
        <v>1107</v>
      </c>
      <c r="DY82" s="240" t="s">
        <v>1107</v>
      </c>
      <c r="DZ82" s="240" t="s">
        <v>231</v>
      </c>
      <c r="EA82" s="240" t="s">
        <v>1107</v>
      </c>
      <c r="EB82" s="240" t="s">
        <v>231</v>
      </c>
      <c r="EC82" s="240" t="s">
        <v>1107</v>
      </c>
      <c r="ED82" s="240" t="s">
        <v>231</v>
      </c>
      <c r="EE82" s="240" t="s">
        <v>231</v>
      </c>
      <c r="EF82" s="240" t="s">
        <v>1107</v>
      </c>
      <c r="EG82" s="240" t="s">
        <v>1107</v>
      </c>
      <c r="EH82" s="240" t="s">
        <v>1107</v>
      </c>
      <c r="EI82" s="240" t="s">
        <v>1107</v>
      </c>
      <c r="EJ82" s="240" t="s">
        <v>1107</v>
      </c>
      <c r="EK82" s="240" t="s">
        <v>1107</v>
      </c>
      <c r="EL82" s="240" t="s">
        <v>1107</v>
      </c>
      <c r="EM82" s="240" t="s">
        <v>231</v>
      </c>
      <c r="EN82" s="240" t="s">
        <v>1107</v>
      </c>
      <c r="EO82" s="240" t="s">
        <v>1107</v>
      </c>
      <c r="EP82" s="240" t="s">
        <v>492</v>
      </c>
      <c r="EQ82" s="240" t="s">
        <v>492</v>
      </c>
      <c r="ER82" s="240" t="s">
        <v>492</v>
      </c>
      <c r="ES82" s="240" t="s">
        <v>492</v>
      </c>
      <c r="ET82" s="240" t="s">
        <v>492</v>
      </c>
      <c r="EU82" s="240" t="s">
        <v>492</v>
      </c>
      <c r="EV82" s="240" t="s">
        <v>1107</v>
      </c>
      <c r="EW82" s="240" t="s">
        <v>1107</v>
      </c>
      <c r="EX82" s="240" t="s">
        <v>1107</v>
      </c>
      <c r="EY82" s="240" t="s">
        <v>1107</v>
      </c>
      <c r="EZ82" s="240" t="s">
        <v>1107</v>
      </c>
      <c r="FA82" s="240" t="s">
        <v>1107</v>
      </c>
      <c r="FB82" s="240" t="s">
        <v>1107</v>
      </c>
      <c r="FC82" s="240" t="s">
        <v>492</v>
      </c>
      <c r="FD82" s="240" t="s">
        <v>1107</v>
      </c>
      <c r="FE82" s="240" t="s">
        <v>1107</v>
      </c>
      <c r="FF82" s="240" t="s">
        <v>1107</v>
      </c>
      <c r="FG82" s="240" t="s">
        <v>492</v>
      </c>
      <c r="FH82" s="240" t="s">
        <v>1107</v>
      </c>
      <c r="FI82" s="240" t="s">
        <v>1107</v>
      </c>
      <c r="FJ82" s="240" t="s">
        <v>1107</v>
      </c>
      <c r="FK82" s="240" t="s">
        <v>1107</v>
      </c>
      <c r="FL82" s="240" t="s">
        <v>1107</v>
      </c>
      <c r="FM82" s="240" t="s">
        <v>1107</v>
      </c>
      <c r="FN82" s="240" t="s">
        <v>1107</v>
      </c>
      <c r="FO82" s="240" t="s">
        <v>1107</v>
      </c>
      <c r="FP82" s="240" t="s">
        <v>1107</v>
      </c>
      <c r="FQ82" s="240" t="s">
        <v>1107</v>
      </c>
      <c r="FR82" s="240" t="s">
        <v>1107</v>
      </c>
      <c r="FS82" s="240" t="s">
        <v>1107</v>
      </c>
      <c r="FT82" s="240" t="s">
        <v>1107</v>
      </c>
      <c r="FU82" s="240" t="s">
        <v>1107</v>
      </c>
      <c r="FV82" s="240" t="s">
        <v>1107</v>
      </c>
      <c r="FW82" s="240" t="s">
        <v>1107</v>
      </c>
      <c r="FX82" s="240" t="s">
        <v>1107</v>
      </c>
      <c r="FY82" s="240" t="s">
        <v>492</v>
      </c>
      <c r="FZ82" s="240" t="s">
        <v>231</v>
      </c>
      <c r="GA82" s="240" t="s">
        <v>1107</v>
      </c>
      <c r="GB82" s="240" t="s">
        <v>1107</v>
      </c>
      <c r="GC82" s="240" t="s">
        <v>231</v>
      </c>
      <c r="GD82" s="240" t="s">
        <v>1107</v>
      </c>
      <c r="GE82" s="240" t="s">
        <v>492</v>
      </c>
      <c r="GF82" s="240" t="s">
        <v>1107</v>
      </c>
      <c r="GG82" s="240" t="s">
        <v>1107</v>
      </c>
      <c r="GH82" s="240" t="s">
        <v>492</v>
      </c>
      <c r="GI82" s="240" t="s">
        <v>492</v>
      </c>
      <c r="GJ82" s="240" t="s">
        <v>1107</v>
      </c>
      <c r="GK82" s="240" t="s">
        <v>1107</v>
      </c>
      <c r="GL82" s="240" t="s">
        <v>1107</v>
      </c>
      <c r="GM82" s="240" t="s">
        <v>1107</v>
      </c>
      <c r="GN82" s="240" t="s">
        <v>1107</v>
      </c>
      <c r="GO82" s="240" t="s">
        <v>1107</v>
      </c>
      <c r="GP82" s="240" t="s">
        <v>1107</v>
      </c>
      <c r="GQ82" s="240" t="s">
        <v>1107</v>
      </c>
      <c r="GR82" s="240" t="s">
        <v>1107</v>
      </c>
      <c r="GS82" s="240" t="s">
        <v>1107</v>
      </c>
      <c r="GT82" s="240" t="s">
        <v>1107</v>
      </c>
      <c r="GU82" s="240" t="s">
        <v>1107</v>
      </c>
      <c r="GV82" s="240" t="s">
        <v>1107</v>
      </c>
      <c r="GW82" s="240" t="s">
        <v>1107</v>
      </c>
      <c r="GX82" s="240" t="s">
        <v>1107</v>
      </c>
      <c r="GY82" s="240" t="s">
        <v>1107</v>
      </c>
      <c r="GZ82" s="240" t="s">
        <v>1107</v>
      </c>
      <c r="HA82" s="240" t="s">
        <v>1107</v>
      </c>
      <c r="HB82" s="240" t="s">
        <v>1107</v>
      </c>
      <c r="HC82" s="240" t="s">
        <v>1107</v>
      </c>
      <c r="HD82" s="240" t="s">
        <v>1107</v>
      </c>
      <c r="HE82" s="240" t="s">
        <v>1107</v>
      </c>
      <c r="HF82" s="240" t="s">
        <v>1107</v>
      </c>
      <c r="HG82" s="240" t="s">
        <v>1107</v>
      </c>
      <c r="HH82" s="240" t="s">
        <v>1107</v>
      </c>
      <c r="HI82" s="240" t="s">
        <v>1107</v>
      </c>
      <c r="HJ82" s="240" t="s">
        <v>1107</v>
      </c>
      <c r="HK82" s="240" t="s">
        <v>1107</v>
      </c>
      <c r="HL82" s="240" t="s">
        <v>1107</v>
      </c>
      <c r="HM82" s="240" t="s">
        <v>1107</v>
      </c>
      <c r="HN82" s="240" t="s">
        <v>1107</v>
      </c>
      <c r="HO82" s="240" t="s">
        <v>1107</v>
      </c>
      <c r="HP82" s="240" t="s">
        <v>1107</v>
      </c>
      <c r="HQ82" s="240" t="s">
        <v>1107</v>
      </c>
      <c r="HR82" s="240" t="s">
        <v>1107</v>
      </c>
      <c r="HS82" s="240" t="s">
        <v>1107</v>
      </c>
      <c r="HT82" s="240" t="s">
        <v>231</v>
      </c>
      <c r="HU82" s="240" t="s">
        <v>231</v>
      </c>
      <c r="HV82" s="240" t="s">
        <v>231</v>
      </c>
      <c r="HW82" s="240" t="s">
        <v>1107</v>
      </c>
      <c r="HX82" s="240" t="s">
        <v>220</v>
      </c>
      <c r="HY82" s="240" t="s">
        <v>493</v>
      </c>
      <c r="HZ82" s="240" t="s">
        <v>219</v>
      </c>
      <c r="IA82" s="240" t="s">
        <v>486</v>
      </c>
      <c r="IB82" s="240" t="s">
        <v>231</v>
      </c>
      <c r="IC82" s="240" t="s">
        <v>1107</v>
      </c>
    </row>
    <row r="83" spans="1:237" ht="15" x14ac:dyDescent="0.25">
      <c r="A83" s="243" t="str">
        <f>HYPERLINK("http://www.ofsted.gov.uk/inspection-reports/find-inspection-report/provider/ELS/136117 ","Ofsted School Webpage")</f>
        <v>Ofsted School Webpage</v>
      </c>
      <c r="B83" s="237">
        <v>136117</v>
      </c>
      <c r="C83" s="237">
        <v>3556006</v>
      </c>
      <c r="D83" s="237" t="s">
        <v>1270</v>
      </c>
      <c r="E83" s="237" t="s">
        <v>247</v>
      </c>
      <c r="F83" s="237" t="s">
        <v>495</v>
      </c>
      <c r="G83" s="237" t="s">
        <v>495</v>
      </c>
      <c r="H83" s="237" t="s">
        <v>601</v>
      </c>
      <c r="I83" s="237" t="s">
        <v>1197</v>
      </c>
      <c r="J83" s="237" t="s">
        <v>82</v>
      </c>
      <c r="K83" s="237" t="s">
        <v>81</v>
      </c>
      <c r="L83" s="237" t="s">
        <v>82</v>
      </c>
      <c r="M83" s="237" t="s">
        <v>81</v>
      </c>
      <c r="N83" s="237" t="s">
        <v>486</v>
      </c>
      <c r="O83" s="237" t="s">
        <v>487</v>
      </c>
      <c r="P83" s="237">
        <v>10084509</v>
      </c>
      <c r="Q83" s="239">
        <v>43439</v>
      </c>
      <c r="R83" s="239">
        <v>43439</v>
      </c>
      <c r="S83" s="239">
        <v>43479</v>
      </c>
      <c r="T83" s="237" t="s">
        <v>1124</v>
      </c>
      <c r="U83" s="237" t="s">
        <v>1105</v>
      </c>
      <c r="V83" s="237" t="s">
        <v>490</v>
      </c>
      <c r="W83" s="237" t="s">
        <v>486</v>
      </c>
      <c r="X83" s="237" t="s">
        <v>486</v>
      </c>
      <c r="Y83" s="237" t="s">
        <v>486</v>
      </c>
      <c r="Z83" s="237" t="s">
        <v>486</v>
      </c>
      <c r="AA83" s="237" t="s">
        <v>486</v>
      </c>
      <c r="AB83" s="237" t="s">
        <v>486</v>
      </c>
      <c r="AC83" s="237" t="s">
        <v>486</v>
      </c>
      <c r="AD83" s="237" t="s">
        <v>1110</v>
      </c>
      <c r="AE83" s="237" t="s">
        <v>1107</v>
      </c>
      <c r="AF83" s="237" t="s">
        <v>1107</v>
      </c>
      <c r="AG83" s="237" t="s">
        <v>1107</v>
      </c>
      <c r="AH83" s="237" t="s">
        <v>1107</v>
      </c>
      <c r="AI83" s="237" t="s">
        <v>1107</v>
      </c>
      <c r="AJ83" s="237" t="s">
        <v>1107</v>
      </c>
      <c r="AK83" s="237" t="s">
        <v>1107</v>
      </c>
      <c r="AL83" s="237" t="s">
        <v>1107</v>
      </c>
      <c r="AM83" s="237" t="s">
        <v>1107</v>
      </c>
      <c r="AN83" s="237" t="s">
        <v>1107</v>
      </c>
      <c r="AO83" s="237" t="s">
        <v>1107</v>
      </c>
      <c r="AP83" s="237" t="s">
        <v>1107</v>
      </c>
      <c r="AQ83" s="237" t="s">
        <v>1107</v>
      </c>
      <c r="AR83" s="237" t="s">
        <v>1107</v>
      </c>
      <c r="AS83" s="237" t="s">
        <v>1107</v>
      </c>
      <c r="AT83" s="237" t="s">
        <v>1107</v>
      </c>
      <c r="AU83" s="237" t="s">
        <v>1107</v>
      </c>
      <c r="AV83" s="237" t="s">
        <v>1107</v>
      </c>
      <c r="AW83" s="237" t="s">
        <v>1107</v>
      </c>
      <c r="AX83" s="237" t="s">
        <v>1107</v>
      </c>
      <c r="AY83" s="237" t="s">
        <v>1107</v>
      </c>
      <c r="AZ83" s="237" t="s">
        <v>1107</v>
      </c>
      <c r="BA83" s="237" t="s">
        <v>1107</v>
      </c>
      <c r="BB83" s="237" t="s">
        <v>1107</v>
      </c>
      <c r="BC83" s="237" t="s">
        <v>1107</v>
      </c>
      <c r="BD83" s="237" t="s">
        <v>1107</v>
      </c>
      <c r="BE83" s="237" t="s">
        <v>1107</v>
      </c>
      <c r="BF83" s="237" t="s">
        <v>1107</v>
      </c>
      <c r="BG83" s="237" t="s">
        <v>1107</v>
      </c>
      <c r="BH83" s="237" t="s">
        <v>1107</v>
      </c>
      <c r="BI83" s="237" t="s">
        <v>1107</v>
      </c>
      <c r="BJ83" s="237" t="s">
        <v>1107</v>
      </c>
      <c r="BK83" s="237" t="s">
        <v>1107</v>
      </c>
      <c r="BL83" s="237" t="s">
        <v>1107</v>
      </c>
      <c r="BM83" s="237" t="s">
        <v>1107</v>
      </c>
      <c r="BN83" s="237" t="s">
        <v>1107</v>
      </c>
      <c r="BO83" s="237" t="s">
        <v>1107</v>
      </c>
      <c r="BP83" s="237" t="s">
        <v>1107</v>
      </c>
      <c r="BQ83" s="237" t="s">
        <v>1107</v>
      </c>
      <c r="BR83" s="237" t="s">
        <v>1107</v>
      </c>
      <c r="BS83" s="237" t="s">
        <v>1107</v>
      </c>
      <c r="BT83" s="237" t="s">
        <v>1107</v>
      </c>
      <c r="BU83" s="237" t="s">
        <v>1107</v>
      </c>
      <c r="BV83" s="237" t="s">
        <v>1107</v>
      </c>
      <c r="BW83" s="237" t="s">
        <v>1107</v>
      </c>
      <c r="BX83" s="237" t="s">
        <v>1107</v>
      </c>
      <c r="BY83" s="237" t="s">
        <v>1107</v>
      </c>
      <c r="BZ83" s="237" t="s">
        <v>231</v>
      </c>
      <c r="CA83" s="237" t="s">
        <v>231</v>
      </c>
      <c r="CB83" s="237" t="s">
        <v>231</v>
      </c>
      <c r="CC83" s="237" t="s">
        <v>1107</v>
      </c>
      <c r="CD83" s="237" t="s">
        <v>1107</v>
      </c>
      <c r="CE83" s="237" t="s">
        <v>1107</v>
      </c>
      <c r="CF83" s="237" t="s">
        <v>1107</v>
      </c>
      <c r="CG83" s="237" t="s">
        <v>1107</v>
      </c>
      <c r="CH83" s="237" t="s">
        <v>1107</v>
      </c>
      <c r="CI83" s="237" t="s">
        <v>1107</v>
      </c>
      <c r="CJ83" s="237" t="s">
        <v>1107</v>
      </c>
      <c r="CK83" s="237" t="s">
        <v>1107</v>
      </c>
      <c r="CL83" s="237" t="s">
        <v>231</v>
      </c>
      <c r="CM83" s="237" t="s">
        <v>1107</v>
      </c>
      <c r="CN83" s="237" t="s">
        <v>1107</v>
      </c>
      <c r="CO83" s="237" t="s">
        <v>1107</v>
      </c>
      <c r="CP83" s="237" t="s">
        <v>1107</v>
      </c>
      <c r="CQ83" s="237" t="s">
        <v>1107</v>
      </c>
      <c r="CR83" s="237" t="s">
        <v>1107</v>
      </c>
      <c r="CS83" s="237" t="s">
        <v>1107</v>
      </c>
      <c r="CT83" s="237" t="s">
        <v>1107</v>
      </c>
      <c r="CU83" s="237" t="s">
        <v>1107</v>
      </c>
      <c r="CV83" s="237" t="s">
        <v>1107</v>
      </c>
      <c r="CW83" s="237" t="s">
        <v>1107</v>
      </c>
      <c r="CX83" s="237" t="s">
        <v>1107</v>
      </c>
      <c r="CY83" s="237" t="s">
        <v>1107</v>
      </c>
      <c r="CZ83" s="237" t="s">
        <v>1107</v>
      </c>
      <c r="DA83" s="237" t="s">
        <v>1107</v>
      </c>
      <c r="DB83" s="237" t="s">
        <v>1107</v>
      </c>
      <c r="DC83" s="237" t="s">
        <v>1107</v>
      </c>
      <c r="DD83" s="237" t="s">
        <v>1107</v>
      </c>
      <c r="DE83" s="237" t="s">
        <v>1107</v>
      </c>
      <c r="DF83" s="237" t="s">
        <v>1107</v>
      </c>
      <c r="DG83" s="237" t="s">
        <v>1107</v>
      </c>
      <c r="DH83" s="237" t="s">
        <v>1107</v>
      </c>
      <c r="DI83" s="237" t="s">
        <v>1107</v>
      </c>
      <c r="DJ83" s="237" t="s">
        <v>1107</v>
      </c>
      <c r="DK83" s="237" t="s">
        <v>1107</v>
      </c>
      <c r="DL83" s="237" t="s">
        <v>1107</v>
      </c>
      <c r="DM83" s="237" t="s">
        <v>1107</v>
      </c>
      <c r="DN83" s="237" t="s">
        <v>1107</v>
      </c>
      <c r="DO83" s="237" t="s">
        <v>1107</v>
      </c>
      <c r="DP83" s="237" t="s">
        <v>1107</v>
      </c>
      <c r="DQ83" s="237" t="s">
        <v>1107</v>
      </c>
      <c r="DR83" s="237" t="s">
        <v>1107</v>
      </c>
      <c r="DS83" s="237" t="s">
        <v>1107</v>
      </c>
      <c r="DT83" s="237" t="s">
        <v>1107</v>
      </c>
      <c r="DU83" s="237" t="s">
        <v>1107</v>
      </c>
      <c r="DV83" s="237" t="s">
        <v>1107</v>
      </c>
      <c r="DW83" s="237" t="s">
        <v>1107</v>
      </c>
      <c r="DX83" s="237" t="s">
        <v>1107</v>
      </c>
      <c r="DY83" s="237" t="s">
        <v>1107</v>
      </c>
      <c r="DZ83" s="237" t="s">
        <v>1107</v>
      </c>
      <c r="EA83" s="237" t="s">
        <v>1107</v>
      </c>
      <c r="EB83" s="237" t="s">
        <v>1107</v>
      </c>
      <c r="EC83" s="237" t="s">
        <v>1107</v>
      </c>
      <c r="ED83" s="237" t="s">
        <v>1107</v>
      </c>
      <c r="EE83" s="237" t="s">
        <v>1107</v>
      </c>
      <c r="EF83" s="237" t="s">
        <v>1107</v>
      </c>
      <c r="EG83" s="237" t="s">
        <v>1107</v>
      </c>
      <c r="EH83" s="237" t="s">
        <v>1107</v>
      </c>
      <c r="EI83" s="237" t="s">
        <v>1107</v>
      </c>
      <c r="EJ83" s="237" t="s">
        <v>1107</v>
      </c>
      <c r="EK83" s="237" t="s">
        <v>1107</v>
      </c>
      <c r="EL83" s="237" t="s">
        <v>1107</v>
      </c>
      <c r="EM83" s="237" t="s">
        <v>1107</v>
      </c>
      <c r="EN83" s="237" t="s">
        <v>1107</v>
      </c>
      <c r="EO83" s="237" t="s">
        <v>1107</v>
      </c>
      <c r="EP83" s="237" t="s">
        <v>1107</v>
      </c>
      <c r="EQ83" s="237" t="s">
        <v>1107</v>
      </c>
      <c r="ER83" s="237" t="s">
        <v>1107</v>
      </c>
      <c r="ES83" s="237" t="s">
        <v>1107</v>
      </c>
      <c r="ET83" s="237" t="s">
        <v>1107</v>
      </c>
      <c r="EU83" s="237" t="s">
        <v>1107</v>
      </c>
      <c r="EV83" s="237" t="s">
        <v>1107</v>
      </c>
      <c r="EW83" s="237" t="s">
        <v>1107</v>
      </c>
      <c r="EX83" s="237" t="s">
        <v>1107</v>
      </c>
      <c r="EY83" s="237" t="s">
        <v>1107</v>
      </c>
      <c r="EZ83" s="237" t="s">
        <v>1107</v>
      </c>
      <c r="FA83" s="237" t="s">
        <v>1107</v>
      </c>
      <c r="FB83" s="237" t="s">
        <v>1107</v>
      </c>
      <c r="FC83" s="237" t="s">
        <v>1107</v>
      </c>
      <c r="FD83" s="237" t="s">
        <v>1107</v>
      </c>
      <c r="FE83" s="237" t="s">
        <v>1107</v>
      </c>
      <c r="FF83" s="237" t="s">
        <v>1107</v>
      </c>
      <c r="FG83" s="237" t="s">
        <v>1107</v>
      </c>
      <c r="FH83" s="237" t="s">
        <v>1107</v>
      </c>
      <c r="FI83" s="237" t="s">
        <v>231</v>
      </c>
      <c r="FJ83" s="237" t="s">
        <v>1107</v>
      </c>
      <c r="FK83" s="237" t="s">
        <v>1107</v>
      </c>
      <c r="FL83" s="237" t="s">
        <v>1107</v>
      </c>
      <c r="FM83" s="237" t="s">
        <v>1107</v>
      </c>
      <c r="FN83" s="237" t="s">
        <v>1107</v>
      </c>
      <c r="FO83" s="237" t="s">
        <v>1107</v>
      </c>
      <c r="FP83" s="237" t="s">
        <v>1107</v>
      </c>
      <c r="FQ83" s="237" t="s">
        <v>1107</v>
      </c>
      <c r="FR83" s="237" t="s">
        <v>1107</v>
      </c>
      <c r="FS83" s="237" t="s">
        <v>1107</v>
      </c>
      <c r="FT83" s="237" t="s">
        <v>1107</v>
      </c>
      <c r="FU83" s="237" t="s">
        <v>1107</v>
      </c>
      <c r="FV83" s="237" t="s">
        <v>1107</v>
      </c>
      <c r="FW83" s="237" t="s">
        <v>1107</v>
      </c>
      <c r="FX83" s="237" t="s">
        <v>1107</v>
      </c>
      <c r="FY83" s="237" t="s">
        <v>1107</v>
      </c>
      <c r="FZ83" s="237" t="s">
        <v>1107</v>
      </c>
      <c r="GA83" s="237" t="s">
        <v>1107</v>
      </c>
      <c r="GB83" s="237" t="s">
        <v>1107</v>
      </c>
      <c r="GC83" s="237" t="s">
        <v>1107</v>
      </c>
      <c r="GD83" s="237" t="s">
        <v>1107</v>
      </c>
      <c r="GE83" s="237" t="s">
        <v>1107</v>
      </c>
      <c r="GF83" s="237" t="s">
        <v>1107</v>
      </c>
      <c r="GG83" s="237" t="s">
        <v>1107</v>
      </c>
      <c r="GH83" s="237" t="s">
        <v>1107</v>
      </c>
      <c r="GI83" s="237" t="s">
        <v>1107</v>
      </c>
      <c r="GJ83" s="237" t="s">
        <v>1107</v>
      </c>
      <c r="GK83" s="237" t="s">
        <v>1107</v>
      </c>
      <c r="GL83" s="237" t="s">
        <v>1107</v>
      </c>
      <c r="GM83" s="237" t="s">
        <v>1107</v>
      </c>
      <c r="GN83" s="237" t="s">
        <v>1107</v>
      </c>
      <c r="GO83" s="237" t="s">
        <v>1107</v>
      </c>
      <c r="GP83" s="237" t="s">
        <v>1107</v>
      </c>
      <c r="GQ83" s="237" t="s">
        <v>1107</v>
      </c>
      <c r="GR83" s="237" t="s">
        <v>1107</v>
      </c>
      <c r="GS83" s="237" t="s">
        <v>1107</v>
      </c>
      <c r="GT83" s="237" t="s">
        <v>1107</v>
      </c>
      <c r="GU83" s="237" t="s">
        <v>1107</v>
      </c>
      <c r="GV83" s="237" t="s">
        <v>1107</v>
      </c>
      <c r="GW83" s="237" t="s">
        <v>1107</v>
      </c>
      <c r="GX83" s="237" t="s">
        <v>1107</v>
      </c>
      <c r="GY83" s="237" t="s">
        <v>1107</v>
      </c>
      <c r="GZ83" s="237" t="s">
        <v>1107</v>
      </c>
      <c r="HA83" s="237" t="s">
        <v>1107</v>
      </c>
      <c r="HB83" s="237" t="s">
        <v>1107</v>
      </c>
      <c r="HC83" s="237" t="s">
        <v>1107</v>
      </c>
      <c r="HD83" s="237" t="s">
        <v>1107</v>
      </c>
      <c r="HE83" s="237" t="s">
        <v>1107</v>
      </c>
      <c r="HF83" s="237" t="s">
        <v>1107</v>
      </c>
      <c r="HG83" s="237" t="s">
        <v>1107</v>
      </c>
      <c r="HH83" s="237" t="s">
        <v>1107</v>
      </c>
      <c r="HI83" s="237" t="s">
        <v>1107</v>
      </c>
      <c r="HJ83" s="237" t="s">
        <v>1107</v>
      </c>
      <c r="HK83" s="237" t="s">
        <v>1107</v>
      </c>
      <c r="HL83" s="237" t="s">
        <v>1107</v>
      </c>
      <c r="HM83" s="237" t="s">
        <v>1107</v>
      </c>
      <c r="HN83" s="237" t="s">
        <v>1107</v>
      </c>
      <c r="HO83" s="237" t="s">
        <v>1107</v>
      </c>
      <c r="HP83" s="237" t="s">
        <v>1107</v>
      </c>
      <c r="HQ83" s="237" t="s">
        <v>1107</v>
      </c>
      <c r="HR83" s="237" t="s">
        <v>1107</v>
      </c>
      <c r="HS83" s="237" t="s">
        <v>1107</v>
      </c>
      <c r="HT83" s="237" t="s">
        <v>1107</v>
      </c>
      <c r="HU83" s="237" t="s">
        <v>1107</v>
      </c>
      <c r="HV83" s="237" t="s">
        <v>1107</v>
      </c>
      <c r="HW83" s="237" t="s">
        <v>1107</v>
      </c>
      <c r="HX83" s="237" t="s">
        <v>220</v>
      </c>
      <c r="HY83" s="237" t="s">
        <v>493</v>
      </c>
      <c r="HZ83" s="237" t="s">
        <v>219</v>
      </c>
      <c r="IA83" s="237" t="s">
        <v>490</v>
      </c>
      <c r="IB83" s="237" t="s">
        <v>1107</v>
      </c>
      <c r="IC83" s="237" t="s">
        <v>1107</v>
      </c>
    </row>
    <row r="84" spans="1:237" ht="15" x14ac:dyDescent="0.25">
      <c r="A84" s="244" t="str">
        <f>HYPERLINK("http://www.ofsted.gov.uk/inspection-reports/find-inspection-report/provider/ELS/110932 ","Ofsted School Webpage")</f>
        <v>Ofsted School Webpage</v>
      </c>
      <c r="B84" s="240">
        <v>110932</v>
      </c>
      <c r="C84" s="240">
        <v>8736019</v>
      </c>
      <c r="D84" s="240" t="s">
        <v>1271</v>
      </c>
      <c r="E84" s="240" t="s">
        <v>247</v>
      </c>
      <c r="F84" s="240" t="s">
        <v>516</v>
      </c>
      <c r="G84" s="240" t="s">
        <v>516</v>
      </c>
      <c r="H84" s="240" t="s">
        <v>867</v>
      </c>
      <c r="I84" s="240" t="s">
        <v>1272</v>
      </c>
      <c r="J84" s="240" t="s">
        <v>93</v>
      </c>
      <c r="K84" s="240" t="s">
        <v>93</v>
      </c>
      <c r="L84" s="240" t="s">
        <v>93</v>
      </c>
      <c r="M84" s="240" t="s">
        <v>90</v>
      </c>
      <c r="N84" s="240" t="s">
        <v>486</v>
      </c>
      <c r="O84" s="240" t="s">
        <v>487</v>
      </c>
      <c r="P84" s="240">
        <v>10084638</v>
      </c>
      <c r="Q84" s="242">
        <v>43444</v>
      </c>
      <c r="R84" s="242">
        <v>43444</v>
      </c>
      <c r="S84" s="242">
        <v>43482</v>
      </c>
      <c r="T84" s="240" t="s">
        <v>1124</v>
      </c>
      <c r="U84" s="240" t="s">
        <v>1105</v>
      </c>
      <c r="V84" s="240" t="s">
        <v>490</v>
      </c>
      <c r="W84" s="240" t="s">
        <v>486</v>
      </c>
      <c r="X84" s="240" t="s">
        <v>486</v>
      </c>
      <c r="Y84" s="240" t="s">
        <v>486</v>
      </c>
      <c r="Z84" s="240" t="s">
        <v>486</v>
      </c>
      <c r="AA84" s="240" t="s">
        <v>486</v>
      </c>
      <c r="AB84" s="240" t="s">
        <v>486</v>
      </c>
      <c r="AC84" s="240" t="s">
        <v>486</v>
      </c>
      <c r="AD84" s="240" t="s">
        <v>1110</v>
      </c>
      <c r="AE84" s="240" t="s">
        <v>1107</v>
      </c>
      <c r="AF84" s="240" t="s">
        <v>1107</v>
      </c>
      <c r="AG84" s="240" t="s">
        <v>1107</v>
      </c>
      <c r="AH84" s="240" t="s">
        <v>1107</v>
      </c>
      <c r="AI84" s="240" t="s">
        <v>1107</v>
      </c>
      <c r="AJ84" s="240" t="s">
        <v>1107</v>
      </c>
      <c r="AK84" s="240" t="s">
        <v>1107</v>
      </c>
      <c r="AL84" s="240" t="s">
        <v>1107</v>
      </c>
      <c r="AM84" s="240" t="s">
        <v>1107</v>
      </c>
      <c r="AN84" s="240" t="s">
        <v>1107</v>
      </c>
      <c r="AO84" s="240" t="s">
        <v>1107</v>
      </c>
      <c r="AP84" s="240" t="s">
        <v>1107</v>
      </c>
      <c r="AQ84" s="240" t="s">
        <v>1107</v>
      </c>
      <c r="AR84" s="240" t="s">
        <v>1107</v>
      </c>
      <c r="AS84" s="240" t="s">
        <v>1107</v>
      </c>
      <c r="AT84" s="240" t="s">
        <v>1107</v>
      </c>
      <c r="AU84" s="240" t="s">
        <v>1107</v>
      </c>
      <c r="AV84" s="240" t="s">
        <v>1107</v>
      </c>
      <c r="AW84" s="240" t="s">
        <v>1107</v>
      </c>
      <c r="AX84" s="240" t="s">
        <v>1107</v>
      </c>
      <c r="AY84" s="240" t="s">
        <v>1107</v>
      </c>
      <c r="AZ84" s="240" t="s">
        <v>1107</v>
      </c>
      <c r="BA84" s="240" t="s">
        <v>1107</v>
      </c>
      <c r="BB84" s="240" t="s">
        <v>1107</v>
      </c>
      <c r="BC84" s="240" t="s">
        <v>1107</v>
      </c>
      <c r="BD84" s="240" t="s">
        <v>1107</v>
      </c>
      <c r="BE84" s="240" t="s">
        <v>1107</v>
      </c>
      <c r="BF84" s="240" t="s">
        <v>1107</v>
      </c>
      <c r="BG84" s="240" t="s">
        <v>1107</v>
      </c>
      <c r="BH84" s="240" t="s">
        <v>1107</v>
      </c>
      <c r="BI84" s="240" t="s">
        <v>1107</v>
      </c>
      <c r="BJ84" s="240" t="s">
        <v>1107</v>
      </c>
      <c r="BK84" s="240" t="s">
        <v>1107</v>
      </c>
      <c r="BL84" s="240" t="s">
        <v>1107</v>
      </c>
      <c r="BM84" s="240" t="s">
        <v>1107</v>
      </c>
      <c r="BN84" s="240" t="s">
        <v>1107</v>
      </c>
      <c r="BO84" s="240" t="s">
        <v>1107</v>
      </c>
      <c r="BP84" s="240" t="s">
        <v>1107</v>
      </c>
      <c r="BQ84" s="240" t="s">
        <v>1107</v>
      </c>
      <c r="BR84" s="240" t="s">
        <v>1107</v>
      </c>
      <c r="BS84" s="240" t="s">
        <v>1107</v>
      </c>
      <c r="BT84" s="240" t="s">
        <v>1107</v>
      </c>
      <c r="BU84" s="240" t="s">
        <v>1107</v>
      </c>
      <c r="BV84" s="240" t="s">
        <v>1107</v>
      </c>
      <c r="BW84" s="240" t="s">
        <v>1107</v>
      </c>
      <c r="BX84" s="240" t="s">
        <v>1107</v>
      </c>
      <c r="BY84" s="240" t="s">
        <v>1107</v>
      </c>
      <c r="BZ84" s="240" t="s">
        <v>231</v>
      </c>
      <c r="CA84" s="240" t="s">
        <v>231</v>
      </c>
      <c r="CB84" s="240" t="s">
        <v>231</v>
      </c>
      <c r="CC84" s="240" t="s">
        <v>1107</v>
      </c>
      <c r="CD84" s="240" t="s">
        <v>1107</v>
      </c>
      <c r="CE84" s="240" t="s">
        <v>1107</v>
      </c>
      <c r="CF84" s="240" t="s">
        <v>1107</v>
      </c>
      <c r="CG84" s="240" t="s">
        <v>1107</v>
      </c>
      <c r="CH84" s="240" t="s">
        <v>1107</v>
      </c>
      <c r="CI84" s="240" t="s">
        <v>1107</v>
      </c>
      <c r="CJ84" s="240" t="s">
        <v>1107</v>
      </c>
      <c r="CK84" s="240" t="s">
        <v>1107</v>
      </c>
      <c r="CL84" s="240" t="s">
        <v>231</v>
      </c>
      <c r="CM84" s="240" t="s">
        <v>1107</v>
      </c>
      <c r="CN84" s="240" t="s">
        <v>1107</v>
      </c>
      <c r="CO84" s="240" t="s">
        <v>1107</v>
      </c>
      <c r="CP84" s="240" t="s">
        <v>1107</v>
      </c>
      <c r="CQ84" s="240" t="s">
        <v>1107</v>
      </c>
      <c r="CR84" s="240" t="s">
        <v>1107</v>
      </c>
      <c r="CS84" s="240" t="s">
        <v>1107</v>
      </c>
      <c r="CT84" s="240" t="s">
        <v>1107</v>
      </c>
      <c r="CU84" s="240" t="s">
        <v>1107</v>
      </c>
      <c r="CV84" s="240" t="s">
        <v>1107</v>
      </c>
      <c r="CW84" s="240" t="s">
        <v>1107</v>
      </c>
      <c r="CX84" s="240" t="s">
        <v>1107</v>
      </c>
      <c r="CY84" s="240" t="s">
        <v>1107</v>
      </c>
      <c r="CZ84" s="240" t="s">
        <v>1107</v>
      </c>
      <c r="DA84" s="240" t="s">
        <v>1107</v>
      </c>
      <c r="DB84" s="240" t="s">
        <v>1107</v>
      </c>
      <c r="DC84" s="240" t="s">
        <v>1107</v>
      </c>
      <c r="DD84" s="240" t="s">
        <v>1107</v>
      </c>
      <c r="DE84" s="240" t="s">
        <v>1107</v>
      </c>
      <c r="DF84" s="240" t="s">
        <v>1107</v>
      </c>
      <c r="DG84" s="240" t="s">
        <v>1107</v>
      </c>
      <c r="DH84" s="240" t="s">
        <v>1107</v>
      </c>
      <c r="DI84" s="240" t="s">
        <v>1107</v>
      </c>
      <c r="DJ84" s="240" t="s">
        <v>1107</v>
      </c>
      <c r="DK84" s="240" t="s">
        <v>1107</v>
      </c>
      <c r="DL84" s="240" t="s">
        <v>1107</v>
      </c>
      <c r="DM84" s="240" t="s">
        <v>1107</v>
      </c>
      <c r="DN84" s="240" t="s">
        <v>1107</v>
      </c>
      <c r="DO84" s="240" t="s">
        <v>1107</v>
      </c>
      <c r="DP84" s="240" t="s">
        <v>1107</v>
      </c>
      <c r="DQ84" s="240" t="s">
        <v>1107</v>
      </c>
      <c r="DR84" s="240" t="s">
        <v>1107</v>
      </c>
      <c r="DS84" s="240" t="s">
        <v>1107</v>
      </c>
      <c r="DT84" s="240" t="s">
        <v>1107</v>
      </c>
      <c r="DU84" s="240" t="s">
        <v>1107</v>
      </c>
      <c r="DV84" s="240" t="s">
        <v>1107</v>
      </c>
      <c r="DW84" s="240" t="s">
        <v>1107</v>
      </c>
      <c r="DX84" s="240" t="s">
        <v>1107</v>
      </c>
      <c r="DY84" s="240" t="s">
        <v>1107</v>
      </c>
      <c r="DZ84" s="240" t="s">
        <v>1107</v>
      </c>
      <c r="EA84" s="240" t="s">
        <v>1107</v>
      </c>
      <c r="EB84" s="240" t="s">
        <v>1107</v>
      </c>
      <c r="EC84" s="240" t="s">
        <v>1107</v>
      </c>
      <c r="ED84" s="240" t="s">
        <v>1107</v>
      </c>
      <c r="EE84" s="240" t="s">
        <v>1107</v>
      </c>
      <c r="EF84" s="240" t="s">
        <v>1107</v>
      </c>
      <c r="EG84" s="240" t="s">
        <v>1107</v>
      </c>
      <c r="EH84" s="240" t="s">
        <v>1107</v>
      </c>
      <c r="EI84" s="240" t="s">
        <v>1107</v>
      </c>
      <c r="EJ84" s="240" t="s">
        <v>1107</v>
      </c>
      <c r="EK84" s="240" t="s">
        <v>1107</v>
      </c>
      <c r="EL84" s="240" t="s">
        <v>1107</v>
      </c>
      <c r="EM84" s="240" t="s">
        <v>1107</v>
      </c>
      <c r="EN84" s="240" t="s">
        <v>1107</v>
      </c>
      <c r="EO84" s="240" t="s">
        <v>1107</v>
      </c>
      <c r="EP84" s="240" t="s">
        <v>1107</v>
      </c>
      <c r="EQ84" s="240" t="s">
        <v>1107</v>
      </c>
      <c r="ER84" s="240" t="s">
        <v>1107</v>
      </c>
      <c r="ES84" s="240" t="s">
        <v>1107</v>
      </c>
      <c r="ET84" s="240" t="s">
        <v>1107</v>
      </c>
      <c r="EU84" s="240" t="s">
        <v>1107</v>
      </c>
      <c r="EV84" s="240" t="s">
        <v>1107</v>
      </c>
      <c r="EW84" s="240" t="s">
        <v>1107</v>
      </c>
      <c r="EX84" s="240" t="s">
        <v>1107</v>
      </c>
      <c r="EY84" s="240" t="s">
        <v>1107</v>
      </c>
      <c r="EZ84" s="240" t="s">
        <v>1107</v>
      </c>
      <c r="FA84" s="240" t="s">
        <v>1107</v>
      </c>
      <c r="FB84" s="240" t="s">
        <v>1107</v>
      </c>
      <c r="FC84" s="240" t="s">
        <v>1107</v>
      </c>
      <c r="FD84" s="240" t="s">
        <v>1107</v>
      </c>
      <c r="FE84" s="240" t="s">
        <v>1107</v>
      </c>
      <c r="FF84" s="240" t="s">
        <v>1107</v>
      </c>
      <c r="FG84" s="240" t="s">
        <v>1107</v>
      </c>
      <c r="FH84" s="240" t="s">
        <v>1107</v>
      </c>
      <c r="FI84" s="240" t="s">
        <v>231</v>
      </c>
      <c r="FJ84" s="240" t="s">
        <v>1107</v>
      </c>
      <c r="FK84" s="240" t="s">
        <v>1107</v>
      </c>
      <c r="FL84" s="240" t="s">
        <v>1107</v>
      </c>
      <c r="FM84" s="240" t="s">
        <v>1107</v>
      </c>
      <c r="FN84" s="240" t="s">
        <v>1107</v>
      </c>
      <c r="FO84" s="240" t="s">
        <v>1107</v>
      </c>
      <c r="FP84" s="240" t="s">
        <v>1107</v>
      </c>
      <c r="FQ84" s="240" t="s">
        <v>1107</v>
      </c>
      <c r="FR84" s="240" t="s">
        <v>1107</v>
      </c>
      <c r="FS84" s="240" t="s">
        <v>1107</v>
      </c>
      <c r="FT84" s="240" t="s">
        <v>1107</v>
      </c>
      <c r="FU84" s="240" t="s">
        <v>1107</v>
      </c>
      <c r="FV84" s="240" t="s">
        <v>1107</v>
      </c>
      <c r="FW84" s="240" t="s">
        <v>1107</v>
      </c>
      <c r="FX84" s="240" t="s">
        <v>1107</v>
      </c>
      <c r="FY84" s="240" t="s">
        <v>1107</v>
      </c>
      <c r="FZ84" s="240" t="s">
        <v>1107</v>
      </c>
      <c r="GA84" s="240" t="s">
        <v>1107</v>
      </c>
      <c r="GB84" s="240" t="s">
        <v>1107</v>
      </c>
      <c r="GC84" s="240" t="s">
        <v>1107</v>
      </c>
      <c r="GD84" s="240" t="s">
        <v>1107</v>
      </c>
      <c r="GE84" s="240" t="s">
        <v>1107</v>
      </c>
      <c r="GF84" s="240" t="s">
        <v>1107</v>
      </c>
      <c r="GG84" s="240" t="s">
        <v>1107</v>
      </c>
      <c r="GH84" s="240" t="s">
        <v>1107</v>
      </c>
      <c r="GI84" s="240" t="s">
        <v>1107</v>
      </c>
      <c r="GJ84" s="240" t="s">
        <v>1107</v>
      </c>
      <c r="GK84" s="240" t="s">
        <v>1107</v>
      </c>
      <c r="GL84" s="240" t="s">
        <v>1107</v>
      </c>
      <c r="GM84" s="240" t="s">
        <v>1107</v>
      </c>
      <c r="GN84" s="240" t="s">
        <v>1107</v>
      </c>
      <c r="GO84" s="240" t="s">
        <v>1107</v>
      </c>
      <c r="GP84" s="240" t="s">
        <v>1107</v>
      </c>
      <c r="GQ84" s="240" t="s">
        <v>1107</v>
      </c>
      <c r="GR84" s="240" t="s">
        <v>1107</v>
      </c>
      <c r="GS84" s="240" t="s">
        <v>1107</v>
      </c>
      <c r="GT84" s="240" t="s">
        <v>1107</v>
      </c>
      <c r="GU84" s="240" t="s">
        <v>1107</v>
      </c>
      <c r="GV84" s="240" t="s">
        <v>1107</v>
      </c>
      <c r="GW84" s="240" t="s">
        <v>1107</v>
      </c>
      <c r="GX84" s="240" t="s">
        <v>1107</v>
      </c>
      <c r="GY84" s="240" t="s">
        <v>1107</v>
      </c>
      <c r="GZ84" s="240" t="s">
        <v>1107</v>
      </c>
      <c r="HA84" s="240" t="s">
        <v>1107</v>
      </c>
      <c r="HB84" s="240" t="s">
        <v>1107</v>
      </c>
      <c r="HC84" s="240" t="s">
        <v>1107</v>
      </c>
      <c r="HD84" s="240" t="s">
        <v>1107</v>
      </c>
      <c r="HE84" s="240" t="s">
        <v>1107</v>
      </c>
      <c r="HF84" s="240" t="s">
        <v>1107</v>
      </c>
      <c r="HG84" s="240" t="s">
        <v>1107</v>
      </c>
      <c r="HH84" s="240" t="s">
        <v>1107</v>
      </c>
      <c r="HI84" s="240" t="s">
        <v>1107</v>
      </c>
      <c r="HJ84" s="240" t="s">
        <v>1107</v>
      </c>
      <c r="HK84" s="240" t="s">
        <v>1107</v>
      </c>
      <c r="HL84" s="240" t="s">
        <v>1107</v>
      </c>
      <c r="HM84" s="240" t="s">
        <v>1107</v>
      </c>
      <c r="HN84" s="240" t="s">
        <v>1107</v>
      </c>
      <c r="HO84" s="240" t="s">
        <v>1107</v>
      </c>
      <c r="HP84" s="240" t="s">
        <v>1107</v>
      </c>
      <c r="HQ84" s="240" t="s">
        <v>1107</v>
      </c>
      <c r="HR84" s="240" t="s">
        <v>1107</v>
      </c>
      <c r="HS84" s="240" t="s">
        <v>1107</v>
      </c>
      <c r="HT84" s="240" t="s">
        <v>231</v>
      </c>
      <c r="HU84" s="240" t="s">
        <v>231</v>
      </c>
      <c r="HV84" s="240" t="s">
        <v>231</v>
      </c>
      <c r="HW84" s="240" t="s">
        <v>231</v>
      </c>
      <c r="HX84" s="240" t="s">
        <v>220</v>
      </c>
      <c r="HY84" s="240" t="s">
        <v>493</v>
      </c>
      <c r="HZ84" s="240" t="s">
        <v>219</v>
      </c>
      <c r="IA84" s="240" t="s">
        <v>490</v>
      </c>
      <c r="IB84" s="240" t="s">
        <v>1107</v>
      </c>
      <c r="IC84" s="240" t="s">
        <v>1107</v>
      </c>
    </row>
    <row r="85" spans="1:237" ht="15" x14ac:dyDescent="0.25">
      <c r="A85" s="243" t="str">
        <f>HYPERLINK("http://www.ofsted.gov.uk/inspection-reports/find-inspection-report/provider/ELS/125317 ","Ofsted School Webpage")</f>
        <v>Ofsted School Webpage</v>
      </c>
      <c r="B85" s="237">
        <v>125317</v>
      </c>
      <c r="C85" s="237">
        <v>9366000</v>
      </c>
      <c r="D85" s="237" t="s">
        <v>1273</v>
      </c>
      <c r="E85" s="237" t="s">
        <v>247</v>
      </c>
      <c r="F85" s="237" t="s">
        <v>581</v>
      </c>
      <c r="G85" s="237" t="s">
        <v>581</v>
      </c>
      <c r="H85" s="237" t="s">
        <v>788</v>
      </c>
      <c r="I85" s="237" t="s">
        <v>1274</v>
      </c>
      <c r="J85" s="237" t="s">
        <v>93</v>
      </c>
      <c r="K85" s="237" t="s">
        <v>74</v>
      </c>
      <c r="L85" s="237" t="s">
        <v>74</v>
      </c>
      <c r="M85" s="237" t="s">
        <v>71</v>
      </c>
      <c r="N85" s="237" t="s">
        <v>486</v>
      </c>
      <c r="O85" s="237" t="s">
        <v>660</v>
      </c>
      <c r="P85" s="237">
        <v>10085250</v>
      </c>
      <c r="Q85" s="239">
        <v>43445</v>
      </c>
      <c r="R85" s="239">
        <v>43445</v>
      </c>
      <c r="S85" s="239">
        <v>43488</v>
      </c>
      <c r="T85" s="237" t="s">
        <v>1124</v>
      </c>
      <c r="U85" s="237" t="s">
        <v>1105</v>
      </c>
      <c r="V85" s="237" t="s">
        <v>490</v>
      </c>
      <c r="W85" s="237" t="s">
        <v>486</v>
      </c>
      <c r="X85" s="237" t="s">
        <v>486</v>
      </c>
      <c r="Y85" s="237" t="s">
        <v>486</v>
      </c>
      <c r="Z85" s="237" t="s">
        <v>486</v>
      </c>
      <c r="AA85" s="237" t="s">
        <v>486</v>
      </c>
      <c r="AB85" s="237" t="s">
        <v>486</v>
      </c>
      <c r="AC85" s="237" t="s">
        <v>486</v>
      </c>
      <c r="AD85" s="237" t="s">
        <v>1110</v>
      </c>
      <c r="AE85" s="237" t="s">
        <v>1107</v>
      </c>
      <c r="AF85" s="237" t="s">
        <v>1107</v>
      </c>
      <c r="AG85" s="237" t="s">
        <v>1107</v>
      </c>
      <c r="AH85" s="237" t="s">
        <v>1107</v>
      </c>
      <c r="AI85" s="237" t="s">
        <v>1107</v>
      </c>
      <c r="AJ85" s="237" t="s">
        <v>1107</v>
      </c>
      <c r="AK85" s="237" t="s">
        <v>1107</v>
      </c>
      <c r="AL85" s="237" t="s">
        <v>1107</v>
      </c>
      <c r="AM85" s="237" t="s">
        <v>1107</v>
      </c>
      <c r="AN85" s="237" t="s">
        <v>1107</v>
      </c>
      <c r="AO85" s="237" t="s">
        <v>1107</v>
      </c>
      <c r="AP85" s="237" t="s">
        <v>1107</v>
      </c>
      <c r="AQ85" s="237" t="s">
        <v>1107</v>
      </c>
      <c r="AR85" s="237" t="s">
        <v>1107</v>
      </c>
      <c r="AS85" s="237" t="s">
        <v>1107</v>
      </c>
      <c r="AT85" s="237" t="s">
        <v>1107</v>
      </c>
      <c r="AU85" s="237" t="s">
        <v>1107</v>
      </c>
      <c r="AV85" s="237" t="s">
        <v>1107</v>
      </c>
      <c r="AW85" s="237" t="s">
        <v>1107</v>
      </c>
      <c r="AX85" s="237" t="s">
        <v>1107</v>
      </c>
      <c r="AY85" s="237" t="s">
        <v>1107</v>
      </c>
      <c r="AZ85" s="237" t="s">
        <v>1107</v>
      </c>
      <c r="BA85" s="237" t="s">
        <v>1107</v>
      </c>
      <c r="BB85" s="237" t="s">
        <v>1107</v>
      </c>
      <c r="BC85" s="237" t="s">
        <v>1107</v>
      </c>
      <c r="BD85" s="237" t="s">
        <v>1107</v>
      </c>
      <c r="BE85" s="237" t="s">
        <v>1107</v>
      </c>
      <c r="BF85" s="237" t="s">
        <v>1107</v>
      </c>
      <c r="BG85" s="237" t="s">
        <v>1107</v>
      </c>
      <c r="BH85" s="237" t="s">
        <v>1107</v>
      </c>
      <c r="BI85" s="237" t="s">
        <v>1107</v>
      </c>
      <c r="BJ85" s="237" t="s">
        <v>1107</v>
      </c>
      <c r="BK85" s="237" t="s">
        <v>1107</v>
      </c>
      <c r="BL85" s="237" t="s">
        <v>1107</v>
      </c>
      <c r="BM85" s="237" t="s">
        <v>1107</v>
      </c>
      <c r="BN85" s="237" t="s">
        <v>1107</v>
      </c>
      <c r="BO85" s="237" t="s">
        <v>1107</v>
      </c>
      <c r="BP85" s="237" t="s">
        <v>1107</v>
      </c>
      <c r="BQ85" s="237" t="s">
        <v>1107</v>
      </c>
      <c r="BR85" s="237" t="s">
        <v>1107</v>
      </c>
      <c r="BS85" s="237" t="s">
        <v>1107</v>
      </c>
      <c r="BT85" s="237" t="s">
        <v>1107</v>
      </c>
      <c r="BU85" s="237" t="s">
        <v>1107</v>
      </c>
      <c r="BV85" s="237" t="s">
        <v>1107</v>
      </c>
      <c r="BW85" s="237" t="s">
        <v>1107</v>
      </c>
      <c r="BX85" s="237" t="s">
        <v>1107</v>
      </c>
      <c r="BY85" s="237" t="s">
        <v>1107</v>
      </c>
      <c r="BZ85" s="237" t="s">
        <v>231</v>
      </c>
      <c r="CA85" s="237" t="s">
        <v>231</v>
      </c>
      <c r="CB85" s="237" t="s">
        <v>231</v>
      </c>
      <c r="CC85" s="237" t="s">
        <v>1107</v>
      </c>
      <c r="CD85" s="237" t="s">
        <v>1107</v>
      </c>
      <c r="CE85" s="237" t="s">
        <v>1107</v>
      </c>
      <c r="CF85" s="237" t="s">
        <v>1107</v>
      </c>
      <c r="CG85" s="237" t="s">
        <v>1107</v>
      </c>
      <c r="CH85" s="237" t="s">
        <v>1107</v>
      </c>
      <c r="CI85" s="237" t="s">
        <v>1107</v>
      </c>
      <c r="CJ85" s="237" t="s">
        <v>1107</v>
      </c>
      <c r="CK85" s="237" t="s">
        <v>1107</v>
      </c>
      <c r="CL85" s="237" t="s">
        <v>231</v>
      </c>
      <c r="CM85" s="237" t="s">
        <v>1107</v>
      </c>
      <c r="CN85" s="237" t="s">
        <v>1107</v>
      </c>
      <c r="CO85" s="237" t="s">
        <v>1107</v>
      </c>
      <c r="CP85" s="237" t="s">
        <v>1107</v>
      </c>
      <c r="CQ85" s="237" t="s">
        <v>1107</v>
      </c>
      <c r="CR85" s="237" t="s">
        <v>1107</v>
      </c>
      <c r="CS85" s="237" t="s">
        <v>231</v>
      </c>
      <c r="CT85" s="237" t="s">
        <v>231</v>
      </c>
      <c r="CU85" s="237" t="s">
        <v>231</v>
      </c>
      <c r="CV85" s="237" t="s">
        <v>231</v>
      </c>
      <c r="CW85" s="237" t="s">
        <v>231</v>
      </c>
      <c r="CX85" s="237" t="s">
        <v>231</v>
      </c>
      <c r="CY85" s="237" t="s">
        <v>231</v>
      </c>
      <c r="CZ85" s="237" t="s">
        <v>231</v>
      </c>
      <c r="DA85" s="237" t="s">
        <v>231</v>
      </c>
      <c r="DB85" s="237" t="s">
        <v>231</v>
      </c>
      <c r="DC85" s="237" t="s">
        <v>231</v>
      </c>
      <c r="DD85" s="237" t="s">
        <v>231</v>
      </c>
      <c r="DE85" s="237" t="s">
        <v>1107</v>
      </c>
      <c r="DF85" s="237" t="s">
        <v>1107</v>
      </c>
      <c r="DG85" s="237" t="s">
        <v>1107</v>
      </c>
      <c r="DH85" s="237" t="s">
        <v>1107</v>
      </c>
      <c r="DI85" s="237" t="s">
        <v>1107</v>
      </c>
      <c r="DJ85" s="237" t="s">
        <v>1107</v>
      </c>
      <c r="DK85" s="237" t="s">
        <v>1107</v>
      </c>
      <c r="DL85" s="237" t="s">
        <v>1107</v>
      </c>
      <c r="DM85" s="237" t="s">
        <v>1107</v>
      </c>
      <c r="DN85" s="237" t="s">
        <v>1107</v>
      </c>
      <c r="DO85" s="237" t="s">
        <v>1107</v>
      </c>
      <c r="DP85" s="237" t="s">
        <v>1107</v>
      </c>
      <c r="DQ85" s="237" t="s">
        <v>1107</v>
      </c>
      <c r="DR85" s="237" t="s">
        <v>1107</v>
      </c>
      <c r="DS85" s="237" t="s">
        <v>1107</v>
      </c>
      <c r="DT85" s="237" t="s">
        <v>1107</v>
      </c>
      <c r="DU85" s="237" t="s">
        <v>1107</v>
      </c>
      <c r="DV85" s="237" t="s">
        <v>1107</v>
      </c>
      <c r="DW85" s="237" t="s">
        <v>1107</v>
      </c>
      <c r="DX85" s="237" t="s">
        <v>1107</v>
      </c>
      <c r="DY85" s="237" t="s">
        <v>1107</v>
      </c>
      <c r="DZ85" s="237" t="s">
        <v>1107</v>
      </c>
      <c r="EA85" s="237" t="s">
        <v>1107</v>
      </c>
      <c r="EB85" s="237" t="s">
        <v>1107</v>
      </c>
      <c r="EC85" s="237" t="s">
        <v>1107</v>
      </c>
      <c r="ED85" s="237" t="s">
        <v>1107</v>
      </c>
      <c r="EE85" s="237" t="s">
        <v>1107</v>
      </c>
      <c r="EF85" s="237" t="s">
        <v>1107</v>
      </c>
      <c r="EG85" s="237" t="s">
        <v>1107</v>
      </c>
      <c r="EH85" s="237" t="s">
        <v>1107</v>
      </c>
      <c r="EI85" s="237" t="s">
        <v>1107</v>
      </c>
      <c r="EJ85" s="237" t="s">
        <v>1107</v>
      </c>
      <c r="EK85" s="237" t="s">
        <v>1107</v>
      </c>
      <c r="EL85" s="237" t="s">
        <v>1107</v>
      </c>
      <c r="EM85" s="237" t="s">
        <v>1107</v>
      </c>
      <c r="EN85" s="237" t="s">
        <v>1107</v>
      </c>
      <c r="EO85" s="237" t="s">
        <v>1107</v>
      </c>
      <c r="EP85" s="237" t="s">
        <v>1107</v>
      </c>
      <c r="EQ85" s="237" t="s">
        <v>1107</v>
      </c>
      <c r="ER85" s="237" t="s">
        <v>1107</v>
      </c>
      <c r="ES85" s="237" t="s">
        <v>1107</v>
      </c>
      <c r="ET85" s="237" t="s">
        <v>1107</v>
      </c>
      <c r="EU85" s="237" t="s">
        <v>1107</v>
      </c>
      <c r="EV85" s="237" t="s">
        <v>1107</v>
      </c>
      <c r="EW85" s="237" t="s">
        <v>1107</v>
      </c>
      <c r="EX85" s="237" t="s">
        <v>1107</v>
      </c>
      <c r="EY85" s="237" t="s">
        <v>1107</v>
      </c>
      <c r="EZ85" s="237" t="s">
        <v>1107</v>
      </c>
      <c r="FA85" s="237" t="s">
        <v>1107</v>
      </c>
      <c r="FB85" s="237" t="s">
        <v>1107</v>
      </c>
      <c r="FC85" s="237" t="s">
        <v>1107</v>
      </c>
      <c r="FD85" s="237" t="s">
        <v>1107</v>
      </c>
      <c r="FE85" s="237" t="s">
        <v>1107</v>
      </c>
      <c r="FF85" s="237" t="s">
        <v>1107</v>
      </c>
      <c r="FG85" s="237" t="s">
        <v>1107</v>
      </c>
      <c r="FH85" s="237" t="s">
        <v>1107</v>
      </c>
      <c r="FI85" s="237" t="s">
        <v>231</v>
      </c>
      <c r="FJ85" s="237" t="s">
        <v>1107</v>
      </c>
      <c r="FK85" s="237" t="s">
        <v>1107</v>
      </c>
      <c r="FL85" s="237" t="s">
        <v>1107</v>
      </c>
      <c r="FM85" s="237" t="s">
        <v>1107</v>
      </c>
      <c r="FN85" s="237" t="s">
        <v>1107</v>
      </c>
      <c r="FO85" s="237" t="s">
        <v>1107</v>
      </c>
      <c r="FP85" s="237" t="s">
        <v>1107</v>
      </c>
      <c r="FQ85" s="237" t="s">
        <v>1107</v>
      </c>
      <c r="FR85" s="237" t="s">
        <v>1107</v>
      </c>
      <c r="FS85" s="237" t="s">
        <v>1107</v>
      </c>
      <c r="FT85" s="237" t="s">
        <v>1107</v>
      </c>
      <c r="FU85" s="237" t="s">
        <v>1107</v>
      </c>
      <c r="FV85" s="237" t="s">
        <v>1107</v>
      </c>
      <c r="FW85" s="237" t="s">
        <v>1107</v>
      </c>
      <c r="FX85" s="237" t="s">
        <v>1107</v>
      </c>
      <c r="FY85" s="237" t="s">
        <v>1107</v>
      </c>
      <c r="FZ85" s="237" t="s">
        <v>231</v>
      </c>
      <c r="GA85" s="237" t="s">
        <v>1107</v>
      </c>
      <c r="GB85" s="237" t="s">
        <v>1107</v>
      </c>
      <c r="GC85" s="237" t="s">
        <v>231</v>
      </c>
      <c r="GD85" s="237" t="s">
        <v>1107</v>
      </c>
      <c r="GE85" s="237" t="s">
        <v>1107</v>
      </c>
      <c r="GF85" s="237" t="s">
        <v>1107</v>
      </c>
      <c r="GG85" s="237" t="s">
        <v>1107</v>
      </c>
      <c r="GH85" s="237" t="s">
        <v>1107</v>
      </c>
      <c r="GI85" s="237" t="s">
        <v>1107</v>
      </c>
      <c r="GJ85" s="237" t="s">
        <v>1107</v>
      </c>
      <c r="GK85" s="237" t="s">
        <v>1107</v>
      </c>
      <c r="GL85" s="237" t="s">
        <v>1107</v>
      </c>
      <c r="GM85" s="237" t="s">
        <v>1107</v>
      </c>
      <c r="GN85" s="237" t="s">
        <v>1107</v>
      </c>
      <c r="GO85" s="237" t="s">
        <v>1107</v>
      </c>
      <c r="GP85" s="237" t="s">
        <v>1107</v>
      </c>
      <c r="GQ85" s="237" t="s">
        <v>1107</v>
      </c>
      <c r="GR85" s="237" t="s">
        <v>1107</v>
      </c>
      <c r="GS85" s="237" t="s">
        <v>1107</v>
      </c>
      <c r="GT85" s="237" t="s">
        <v>1107</v>
      </c>
      <c r="GU85" s="237" t="s">
        <v>1107</v>
      </c>
      <c r="GV85" s="237" t="s">
        <v>1107</v>
      </c>
      <c r="GW85" s="237" t="s">
        <v>1107</v>
      </c>
      <c r="GX85" s="237" t="s">
        <v>1107</v>
      </c>
      <c r="GY85" s="237" t="s">
        <v>1107</v>
      </c>
      <c r="GZ85" s="237" t="s">
        <v>1107</v>
      </c>
      <c r="HA85" s="237" t="s">
        <v>1107</v>
      </c>
      <c r="HB85" s="237" t="s">
        <v>1107</v>
      </c>
      <c r="HC85" s="237" t="s">
        <v>1107</v>
      </c>
      <c r="HD85" s="237" t="s">
        <v>1107</v>
      </c>
      <c r="HE85" s="237" t="s">
        <v>1107</v>
      </c>
      <c r="HF85" s="237" t="s">
        <v>1107</v>
      </c>
      <c r="HG85" s="237" t="s">
        <v>1107</v>
      </c>
      <c r="HH85" s="237" t="s">
        <v>1107</v>
      </c>
      <c r="HI85" s="237" t="s">
        <v>1107</v>
      </c>
      <c r="HJ85" s="237" t="s">
        <v>1107</v>
      </c>
      <c r="HK85" s="237" t="s">
        <v>1107</v>
      </c>
      <c r="HL85" s="237" t="s">
        <v>1107</v>
      </c>
      <c r="HM85" s="237" t="s">
        <v>1107</v>
      </c>
      <c r="HN85" s="237" t="s">
        <v>1107</v>
      </c>
      <c r="HO85" s="237" t="s">
        <v>1107</v>
      </c>
      <c r="HP85" s="237" t="s">
        <v>1107</v>
      </c>
      <c r="HQ85" s="237" t="s">
        <v>1107</v>
      </c>
      <c r="HR85" s="237" t="s">
        <v>1107</v>
      </c>
      <c r="HS85" s="237" t="s">
        <v>1107</v>
      </c>
      <c r="HT85" s="237" t="s">
        <v>1107</v>
      </c>
      <c r="HU85" s="237" t="s">
        <v>1107</v>
      </c>
      <c r="HV85" s="237" t="s">
        <v>1107</v>
      </c>
      <c r="HW85" s="237" t="s">
        <v>1107</v>
      </c>
      <c r="HX85" s="237" t="s">
        <v>220</v>
      </c>
      <c r="HY85" s="237" t="s">
        <v>493</v>
      </c>
      <c r="HZ85" s="237" t="s">
        <v>219</v>
      </c>
      <c r="IA85" s="237" t="s">
        <v>490</v>
      </c>
      <c r="IB85" s="237" t="s">
        <v>231</v>
      </c>
      <c r="IC85" s="237" t="s">
        <v>1107</v>
      </c>
    </row>
    <row r="86" spans="1:237" ht="15" x14ac:dyDescent="0.25">
      <c r="A86" s="244" t="str">
        <f>HYPERLINK("http://www.ofsted.gov.uk/inspection-reports/find-inspection-report/provider/ELS/101948 ","Ofsted School Webpage")</f>
        <v>Ofsted School Webpage</v>
      </c>
      <c r="B86" s="240">
        <v>101948</v>
      </c>
      <c r="C86" s="240">
        <v>3076050</v>
      </c>
      <c r="D86" s="240" t="s">
        <v>1275</v>
      </c>
      <c r="E86" s="240" t="s">
        <v>247</v>
      </c>
      <c r="F86" s="240" t="s">
        <v>506</v>
      </c>
      <c r="G86" s="240" t="s">
        <v>506</v>
      </c>
      <c r="H86" s="240" t="s">
        <v>507</v>
      </c>
      <c r="I86" s="240" t="s">
        <v>1276</v>
      </c>
      <c r="J86" s="240" t="s">
        <v>93</v>
      </c>
      <c r="K86" s="240" t="s">
        <v>93</v>
      </c>
      <c r="L86" s="240" t="s">
        <v>93</v>
      </c>
      <c r="M86" s="240" t="s">
        <v>90</v>
      </c>
      <c r="N86" s="240" t="s">
        <v>486</v>
      </c>
      <c r="O86" s="240" t="s">
        <v>487</v>
      </c>
      <c r="P86" s="240">
        <v>10084123</v>
      </c>
      <c r="Q86" s="242">
        <v>43445</v>
      </c>
      <c r="R86" s="242">
        <v>43445</v>
      </c>
      <c r="S86" s="242">
        <v>43509</v>
      </c>
      <c r="T86" s="240" t="s">
        <v>1124</v>
      </c>
      <c r="U86" s="240" t="s">
        <v>1105</v>
      </c>
      <c r="V86" s="240" t="s">
        <v>490</v>
      </c>
      <c r="W86" s="240" t="s">
        <v>486</v>
      </c>
      <c r="X86" s="240" t="s">
        <v>486</v>
      </c>
      <c r="Y86" s="240" t="s">
        <v>486</v>
      </c>
      <c r="Z86" s="240" t="s">
        <v>486</v>
      </c>
      <c r="AA86" s="240" t="s">
        <v>486</v>
      </c>
      <c r="AB86" s="240" t="s">
        <v>486</v>
      </c>
      <c r="AC86" s="240" t="s">
        <v>486</v>
      </c>
      <c r="AD86" s="240" t="s">
        <v>1136</v>
      </c>
      <c r="AE86" s="240" t="s">
        <v>1107</v>
      </c>
      <c r="AF86" s="240" t="s">
        <v>1107</v>
      </c>
      <c r="AG86" s="240" t="s">
        <v>1107</v>
      </c>
      <c r="AH86" s="240" t="s">
        <v>1107</v>
      </c>
      <c r="AI86" s="240" t="s">
        <v>1107</v>
      </c>
      <c r="AJ86" s="240" t="s">
        <v>1107</v>
      </c>
      <c r="AK86" s="240" t="s">
        <v>1107</v>
      </c>
      <c r="AL86" s="240" t="s">
        <v>1107</v>
      </c>
      <c r="AM86" s="240" t="s">
        <v>492</v>
      </c>
      <c r="AN86" s="240" t="s">
        <v>1107</v>
      </c>
      <c r="AO86" s="240" t="s">
        <v>1107</v>
      </c>
      <c r="AP86" s="240" t="s">
        <v>1107</v>
      </c>
      <c r="AQ86" s="240" t="s">
        <v>1107</v>
      </c>
      <c r="AR86" s="240" t="s">
        <v>1107</v>
      </c>
      <c r="AS86" s="240" t="s">
        <v>1107</v>
      </c>
      <c r="AT86" s="240" t="s">
        <v>1107</v>
      </c>
      <c r="AU86" s="240" t="s">
        <v>492</v>
      </c>
      <c r="AV86" s="240" t="s">
        <v>492</v>
      </c>
      <c r="AW86" s="240" t="s">
        <v>1107</v>
      </c>
      <c r="AX86" s="240" t="s">
        <v>1107</v>
      </c>
      <c r="AY86" s="240" t="s">
        <v>1107</v>
      </c>
      <c r="AZ86" s="240" t="s">
        <v>1107</v>
      </c>
      <c r="BA86" s="240" t="s">
        <v>1107</v>
      </c>
      <c r="BB86" s="240" t="s">
        <v>1107</v>
      </c>
      <c r="BC86" s="240" t="s">
        <v>1107</v>
      </c>
      <c r="BD86" s="240" t="s">
        <v>1107</v>
      </c>
      <c r="BE86" s="240" t="s">
        <v>1107</v>
      </c>
      <c r="BF86" s="240" t="s">
        <v>1107</v>
      </c>
      <c r="BG86" s="240" t="s">
        <v>1107</v>
      </c>
      <c r="BH86" s="240" t="s">
        <v>1107</v>
      </c>
      <c r="BI86" s="240" t="s">
        <v>1107</v>
      </c>
      <c r="BJ86" s="240" t="s">
        <v>1107</v>
      </c>
      <c r="BK86" s="240" t="s">
        <v>231</v>
      </c>
      <c r="BL86" s="240" t="s">
        <v>231</v>
      </c>
      <c r="BM86" s="240" t="s">
        <v>1107</v>
      </c>
      <c r="BN86" s="240" t="s">
        <v>231</v>
      </c>
      <c r="BO86" s="240" t="s">
        <v>1107</v>
      </c>
      <c r="BP86" s="240" t="s">
        <v>1107</v>
      </c>
      <c r="BQ86" s="240" t="s">
        <v>1107</v>
      </c>
      <c r="BR86" s="240" t="s">
        <v>1107</v>
      </c>
      <c r="BS86" s="240" t="s">
        <v>1107</v>
      </c>
      <c r="BT86" s="240" t="s">
        <v>1107</v>
      </c>
      <c r="BU86" s="240" t="s">
        <v>1107</v>
      </c>
      <c r="BV86" s="240" t="s">
        <v>1107</v>
      </c>
      <c r="BW86" s="240" t="s">
        <v>1107</v>
      </c>
      <c r="BX86" s="240" t="s">
        <v>1107</v>
      </c>
      <c r="BY86" s="240" t="s">
        <v>1107</v>
      </c>
      <c r="BZ86" s="240" t="s">
        <v>232</v>
      </c>
      <c r="CA86" s="240" t="s">
        <v>232</v>
      </c>
      <c r="CB86" s="240" t="s">
        <v>232</v>
      </c>
      <c r="CC86" s="240" t="s">
        <v>492</v>
      </c>
      <c r="CD86" s="240" t="s">
        <v>492</v>
      </c>
      <c r="CE86" s="240" t="s">
        <v>492</v>
      </c>
      <c r="CF86" s="240" t="s">
        <v>232</v>
      </c>
      <c r="CG86" s="240" t="s">
        <v>231</v>
      </c>
      <c r="CH86" s="240" t="s">
        <v>232</v>
      </c>
      <c r="CI86" s="240" t="s">
        <v>232</v>
      </c>
      <c r="CJ86" s="240" t="s">
        <v>231</v>
      </c>
      <c r="CK86" s="240" t="s">
        <v>1107</v>
      </c>
      <c r="CL86" s="240" t="s">
        <v>1107</v>
      </c>
      <c r="CM86" s="240" t="s">
        <v>231</v>
      </c>
      <c r="CN86" s="240" t="s">
        <v>1107</v>
      </c>
      <c r="CO86" s="240" t="s">
        <v>1107</v>
      </c>
      <c r="CP86" s="240" t="s">
        <v>232</v>
      </c>
      <c r="CQ86" s="240" t="s">
        <v>232</v>
      </c>
      <c r="CR86" s="240" t="s">
        <v>232</v>
      </c>
      <c r="CS86" s="240" t="s">
        <v>1107</v>
      </c>
      <c r="CT86" s="240" t="s">
        <v>1107</v>
      </c>
      <c r="CU86" s="240" t="s">
        <v>1107</v>
      </c>
      <c r="CV86" s="240" t="s">
        <v>1107</v>
      </c>
      <c r="CW86" s="240" t="s">
        <v>1107</v>
      </c>
      <c r="CX86" s="240" t="s">
        <v>1107</v>
      </c>
      <c r="CY86" s="240" t="s">
        <v>1107</v>
      </c>
      <c r="CZ86" s="240" t="s">
        <v>1107</v>
      </c>
      <c r="DA86" s="240" t="s">
        <v>1107</v>
      </c>
      <c r="DB86" s="240" t="s">
        <v>1107</v>
      </c>
      <c r="DC86" s="240" t="s">
        <v>1107</v>
      </c>
      <c r="DD86" s="240" t="s">
        <v>1107</v>
      </c>
      <c r="DE86" s="240" t="s">
        <v>1107</v>
      </c>
      <c r="DF86" s="240" t="s">
        <v>1107</v>
      </c>
      <c r="DG86" s="240" t="s">
        <v>1107</v>
      </c>
      <c r="DH86" s="240" t="s">
        <v>1107</v>
      </c>
      <c r="DI86" s="240" t="s">
        <v>1107</v>
      </c>
      <c r="DJ86" s="240" t="s">
        <v>1107</v>
      </c>
      <c r="DK86" s="240" t="s">
        <v>1107</v>
      </c>
      <c r="DL86" s="240" t="s">
        <v>1107</v>
      </c>
      <c r="DM86" s="240" t="s">
        <v>1107</v>
      </c>
      <c r="DN86" s="240" t="s">
        <v>1107</v>
      </c>
      <c r="DO86" s="240" t="s">
        <v>1107</v>
      </c>
      <c r="DP86" s="240" t="s">
        <v>1107</v>
      </c>
      <c r="DQ86" s="240" t="s">
        <v>1107</v>
      </c>
      <c r="DR86" s="240" t="s">
        <v>1107</v>
      </c>
      <c r="DS86" s="240" t="s">
        <v>1107</v>
      </c>
      <c r="DT86" s="240" t="s">
        <v>1107</v>
      </c>
      <c r="DU86" s="240" t="s">
        <v>1107</v>
      </c>
      <c r="DV86" s="240" t="s">
        <v>1107</v>
      </c>
      <c r="DW86" s="240" t="s">
        <v>1107</v>
      </c>
      <c r="DX86" s="240" t="s">
        <v>1107</v>
      </c>
      <c r="DY86" s="240" t="s">
        <v>1107</v>
      </c>
      <c r="DZ86" s="240" t="s">
        <v>1107</v>
      </c>
      <c r="EA86" s="240" t="s">
        <v>1107</v>
      </c>
      <c r="EB86" s="240" t="s">
        <v>1107</v>
      </c>
      <c r="EC86" s="240" t="s">
        <v>1107</v>
      </c>
      <c r="ED86" s="240" t="s">
        <v>1107</v>
      </c>
      <c r="EE86" s="240" t="s">
        <v>1107</v>
      </c>
      <c r="EF86" s="240" t="s">
        <v>1107</v>
      </c>
      <c r="EG86" s="240" t="s">
        <v>1107</v>
      </c>
      <c r="EH86" s="240" t="s">
        <v>1107</v>
      </c>
      <c r="EI86" s="240" t="s">
        <v>1107</v>
      </c>
      <c r="EJ86" s="240" t="s">
        <v>1107</v>
      </c>
      <c r="EK86" s="240" t="s">
        <v>1107</v>
      </c>
      <c r="EL86" s="240" t="s">
        <v>1107</v>
      </c>
      <c r="EM86" s="240" t="s">
        <v>1107</v>
      </c>
      <c r="EN86" s="240" t="s">
        <v>1107</v>
      </c>
      <c r="EO86" s="240" t="s">
        <v>1107</v>
      </c>
      <c r="EP86" s="240" t="s">
        <v>1107</v>
      </c>
      <c r="EQ86" s="240" t="s">
        <v>1107</v>
      </c>
      <c r="ER86" s="240" t="s">
        <v>1107</v>
      </c>
      <c r="ES86" s="240" t="s">
        <v>1107</v>
      </c>
      <c r="ET86" s="240" t="s">
        <v>1107</v>
      </c>
      <c r="EU86" s="240" t="s">
        <v>1107</v>
      </c>
      <c r="EV86" s="240" t="s">
        <v>1107</v>
      </c>
      <c r="EW86" s="240" t="s">
        <v>1107</v>
      </c>
      <c r="EX86" s="240" t="s">
        <v>1107</v>
      </c>
      <c r="EY86" s="240" t="s">
        <v>1107</v>
      </c>
      <c r="EZ86" s="240" t="s">
        <v>231</v>
      </c>
      <c r="FA86" s="240" t="s">
        <v>1107</v>
      </c>
      <c r="FB86" s="240" t="s">
        <v>1107</v>
      </c>
      <c r="FC86" s="240" t="s">
        <v>231</v>
      </c>
      <c r="FD86" s="240" t="s">
        <v>1107</v>
      </c>
      <c r="FE86" s="240" t="s">
        <v>1107</v>
      </c>
      <c r="FF86" s="240" t="s">
        <v>1107</v>
      </c>
      <c r="FG86" s="240" t="s">
        <v>1107</v>
      </c>
      <c r="FH86" s="240" t="s">
        <v>1107</v>
      </c>
      <c r="FI86" s="240" t="s">
        <v>231</v>
      </c>
      <c r="FJ86" s="240" t="s">
        <v>1107</v>
      </c>
      <c r="FK86" s="240" t="s">
        <v>1107</v>
      </c>
      <c r="FL86" s="240" t="s">
        <v>1107</v>
      </c>
      <c r="FM86" s="240" t="s">
        <v>1107</v>
      </c>
      <c r="FN86" s="240" t="s">
        <v>1107</v>
      </c>
      <c r="FO86" s="240" t="s">
        <v>1107</v>
      </c>
      <c r="FP86" s="240" t="s">
        <v>1107</v>
      </c>
      <c r="FQ86" s="240" t="s">
        <v>1107</v>
      </c>
      <c r="FR86" s="240" t="s">
        <v>1107</v>
      </c>
      <c r="FS86" s="240" t="s">
        <v>1107</v>
      </c>
      <c r="FT86" s="240" t="s">
        <v>1107</v>
      </c>
      <c r="FU86" s="240" t="s">
        <v>1107</v>
      </c>
      <c r="FV86" s="240" t="s">
        <v>1107</v>
      </c>
      <c r="FW86" s="240" t="s">
        <v>1107</v>
      </c>
      <c r="FX86" s="240" t="s">
        <v>1107</v>
      </c>
      <c r="FY86" s="240" t="s">
        <v>492</v>
      </c>
      <c r="FZ86" s="240" t="s">
        <v>231</v>
      </c>
      <c r="GA86" s="240" t="s">
        <v>1107</v>
      </c>
      <c r="GB86" s="240" t="s">
        <v>1107</v>
      </c>
      <c r="GC86" s="240" t="s">
        <v>231</v>
      </c>
      <c r="GD86" s="240" t="s">
        <v>1107</v>
      </c>
      <c r="GE86" s="240" t="s">
        <v>492</v>
      </c>
      <c r="GF86" s="240" t="s">
        <v>1107</v>
      </c>
      <c r="GG86" s="240" t="s">
        <v>1107</v>
      </c>
      <c r="GH86" s="240" t="s">
        <v>1107</v>
      </c>
      <c r="GI86" s="240" t="s">
        <v>1107</v>
      </c>
      <c r="GJ86" s="240" t="s">
        <v>1107</v>
      </c>
      <c r="GK86" s="240" t="s">
        <v>1107</v>
      </c>
      <c r="GL86" s="240" t="s">
        <v>1107</v>
      </c>
      <c r="GM86" s="240" t="s">
        <v>1107</v>
      </c>
      <c r="GN86" s="240" t="s">
        <v>1107</v>
      </c>
      <c r="GO86" s="240" t="s">
        <v>1107</v>
      </c>
      <c r="GP86" s="240" t="s">
        <v>1107</v>
      </c>
      <c r="GQ86" s="240" t="s">
        <v>1107</v>
      </c>
      <c r="GR86" s="240" t="s">
        <v>231</v>
      </c>
      <c r="GS86" s="240" t="s">
        <v>231</v>
      </c>
      <c r="GT86" s="240" t="s">
        <v>1107</v>
      </c>
      <c r="GU86" s="240" t="s">
        <v>1107</v>
      </c>
      <c r="GV86" s="240" t="s">
        <v>1107</v>
      </c>
      <c r="GW86" s="240" t="s">
        <v>1107</v>
      </c>
      <c r="GX86" s="240" t="s">
        <v>1107</v>
      </c>
      <c r="GY86" s="240" t="s">
        <v>1107</v>
      </c>
      <c r="GZ86" s="240" t="s">
        <v>1107</v>
      </c>
      <c r="HA86" s="240" t="s">
        <v>1107</v>
      </c>
      <c r="HB86" s="240" t="s">
        <v>1107</v>
      </c>
      <c r="HC86" s="240" t="s">
        <v>1107</v>
      </c>
      <c r="HD86" s="240" t="s">
        <v>232</v>
      </c>
      <c r="HE86" s="240" t="s">
        <v>231</v>
      </c>
      <c r="HF86" s="240" t="s">
        <v>231</v>
      </c>
      <c r="HG86" s="240" t="s">
        <v>231</v>
      </c>
      <c r="HH86" s="240" t="s">
        <v>231</v>
      </c>
      <c r="HI86" s="240" t="s">
        <v>231</v>
      </c>
      <c r="HJ86" s="240" t="s">
        <v>231</v>
      </c>
      <c r="HK86" s="240" t="s">
        <v>231</v>
      </c>
      <c r="HL86" s="240" t="s">
        <v>231</v>
      </c>
      <c r="HM86" s="240" t="s">
        <v>231</v>
      </c>
      <c r="HN86" s="240" t="s">
        <v>231</v>
      </c>
      <c r="HO86" s="240" t="s">
        <v>231</v>
      </c>
      <c r="HP86" s="240" t="s">
        <v>231</v>
      </c>
      <c r="HQ86" s="240" t="s">
        <v>231</v>
      </c>
      <c r="HR86" s="240" t="s">
        <v>231</v>
      </c>
      <c r="HS86" s="240" t="s">
        <v>231</v>
      </c>
      <c r="HT86" s="240" t="s">
        <v>232</v>
      </c>
      <c r="HU86" s="240" t="s">
        <v>232</v>
      </c>
      <c r="HV86" s="240" t="s">
        <v>232</v>
      </c>
      <c r="HW86" s="240" t="s">
        <v>232</v>
      </c>
      <c r="HX86" s="240" t="s">
        <v>220</v>
      </c>
      <c r="HY86" s="240" t="s">
        <v>493</v>
      </c>
      <c r="HZ86" s="240" t="s">
        <v>219</v>
      </c>
      <c r="IA86" s="240" t="s">
        <v>486</v>
      </c>
      <c r="IB86" s="240" t="s">
        <v>492</v>
      </c>
      <c r="IC86" s="240" t="s">
        <v>492</v>
      </c>
    </row>
    <row r="87" spans="1:237" ht="15" x14ac:dyDescent="0.25">
      <c r="A87" s="243" t="str">
        <f>HYPERLINK("http://www.ofsted.gov.uk/inspection-reports/find-inspection-report/provider/ELS/133522 ","Ofsted School Webpage")</f>
        <v>Ofsted School Webpage</v>
      </c>
      <c r="B87" s="237">
        <v>133522</v>
      </c>
      <c r="C87" s="237">
        <v>9336210</v>
      </c>
      <c r="D87" s="237" t="s">
        <v>1277</v>
      </c>
      <c r="E87" s="237" t="s">
        <v>248</v>
      </c>
      <c r="F87" s="237" t="s">
        <v>483</v>
      </c>
      <c r="G87" s="237" t="s">
        <v>483</v>
      </c>
      <c r="H87" s="237" t="s">
        <v>531</v>
      </c>
      <c r="I87" s="237" t="s">
        <v>1278</v>
      </c>
      <c r="J87" s="237" t="s">
        <v>93</v>
      </c>
      <c r="K87" s="237" t="s">
        <v>93</v>
      </c>
      <c r="L87" s="237" t="s">
        <v>93</v>
      </c>
      <c r="M87" s="237" t="s">
        <v>90</v>
      </c>
      <c r="N87" s="237" t="s">
        <v>486</v>
      </c>
      <c r="O87" s="237" t="s">
        <v>487</v>
      </c>
      <c r="P87" s="237">
        <v>10084380</v>
      </c>
      <c r="Q87" s="239">
        <v>43446</v>
      </c>
      <c r="R87" s="239">
        <v>43446</v>
      </c>
      <c r="S87" s="239">
        <v>43478</v>
      </c>
      <c r="T87" s="237" t="s">
        <v>1124</v>
      </c>
      <c r="U87" s="237" t="s">
        <v>1105</v>
      </c>
      <c r="V87" s="237" t="s">
        <v>490</v>
      </c>
      <c r="W87" s="237" t="s">
        <v>486</v>
      </c>
      <c r="X87" s="237" t="s">
        <v>486</v>
      </c>
      <c r="Y87" s="237" t="s">
        <v>486</v>
      </c>
      <c r="Z87" s="237" t="s">
        <v>486</v>
      </c>
      <c r="AA87" s="237" t="s">
        <v>486</v>
      </c>
      <c r="AB87" s="237" t="s">
        <v>486</v>
      </c>
      <c r="AC87" s="237" t="s">
        <v>486</v>
      </c>
      <c r="AD87" s="237" t="s">
        <v>1110</v>
      </c>
      <c r="AE87" s="237" t="s">
        <v>1107</v>
      </c>
      <c r="AF87" s="237" t="s">
        <v>1107</v>
      </c>
      <c r="AG87" s="237" t="s">
        <v>1107</v>
      </c>
      <c r="AH87" s="237" t="s">
        <v>1107</v>
      </c>
      <c r="AI87" s="237" t="s">
        <v>1107</v>
      </c>
      <c r="AJ87" s="237" t="s">
        <v>1107</v>
      </c>
      <c r="AK87" s="237" t="s">
        <v>1107</v>
      </c>
      <c r="AL87" s="237" t="s">
        <v>1107</v>
      </c>
      <c r="AM87" s="237" t="s">
        <v>492</v>
      </c>
      <c r="AN87" s="237" t="s">
        <v>1107</v>
      </c>
      <c r="AO87" s="237" t="s">
        <v>1107</v>
      </c>
      <c r="AP87" s="237" t="s">
        <v>1107</v>
      </c>
      <c r="AQ87" s="237" t="s">
        <v>1107</v>
      </c>
      <c r="AR87" s="237" t="s">
        <v>1107</v>
      </c>
      <c r="AS87" s="237" t="s">
        <v>1107</v>
      </c>
      <c r="AT87" s="237" t="s">
        <v>1107</v>
      </c>
      <c r="AU87" s="237" t="s">
        <v>492</v>
      </c>
      <c r="AV87" s="237" t="s">
        <v>1107</v>
      </c>
      <c r="AW87" s="237" t="s">
        <v>1107</v>
      </c>
      <c r="AX87" s="237" t="s">
        <v>1107</v>
      </c>
      <c r="AY87" s="237" t="s">
        <v>1107</v>
      </c>
      <c r="AZ87" s="237" t="s">
        <v>1107</v>
      </c>
      <c r="BA87" s="237" t="s">
        <v>1107</v>
      </c>
      <c r="BB87" s="237" t="s">
        <v>1107</v>
      </c>
      <c r="BC87" s="237" t="s">
        <v>1107</v>
      </c>
      <c r="BD87" s="237" t="s">
        <v>1107</v>
      </c>
      <c r="BE87" s="237" t="s">
        <v>1107</v>
      </c>
      <c r="BF87" s="237" t="s">
        <v>1107</v>
      </c>
      <c r="BG87" s="237" t="s">
        <v>1107</v>
      </c>
      <c r="BH87" s="237" t="s">
        <v>1107</v>
      </c>
      <c r="BI87" s="237" t="s">
        <v>1107</v>
      </c>
      <c r="BJ87" s="237" t="s">
        <v>1107</v>
      </c>
      <c r="BK87" s="237" t="s">
        <v>1107</v>
      </c>
      <c r="BL87" s="237" t="s">
        <v>1107</v>
      </c>
      <c r="BM87" s="237" t="s">
        <v>1107</v>
      </c>
      <c r="BN87" s="237" t="s">
        <v>1107</v>
      </c>
      <c r="BO87" s="237" t="s">
        <v>1107</v>
      </c>
      <c r="BP87" s="237" t="s">
        <v>1107</v>
      </c>
      <c r="BQ87" s="237" t="s">
        <v>1107</v>
      </c>
      <c r="BR87" s="237" t="s">
        <v>1107</v>
      </c>
      <c r="BS87" s="237" t="s">
        <v>1107</v>
      </c>
      <c r="BT87" s="237" t="s">
        <v>1107</v>
      </c>
      <c r="BU87" s="237" t="s">
        <v>1107</v>
      </c>
      <c r="BV87" s="237" t="s">
        <v>1107</v>
      </c>
      <c r="BW87" s="237" t="s">
        <v>1107</v>
      </c>
      <c r="BX87" s="237" t="s">
        <v>1107</v>
      </c>
      <c r="BY87" s="237" t="s">
        <v>1107</v>
      </c>
      <c r="BZ87" s="237" t="s">
        <v>1107</v>
      </c>
      <c r="CA87" s="237" t="s">
        <v>1107</v>
      </c>
      <c r="CB87" s="237" t="s">
        <v>1107</v>
      </c>
      <c r="CC87" s="237" t="s">
        <v>1107</v>
      </c>
      <c r="CD87" s="237" t="s">
        <v>1107</v>
      </c>
      <c r="CE87" s="237" t="s">
        <v>1107</v>
      </c>
      <c r="CF87" s="237" t="s">
        <v>1107</v>
      </c>
      <c r="CG87" s="237" t="s">
        <v>1107</v>
      </c>
      <c r="CH87" s="237" t="s">
        <v>1107</v>
      </c>
      <c r="CI87" s="237" t="s">
        <v>1107</v>
      </c>
      <c r="CJ87" s="237" t="s">
        <v>1107</v>
      </c>
      <c r="CK87" s="237" t="s">
        <v>1107</v>
      </c>
      <c r="CL87" s="237" t="s">
        <v>231</v>
      </c>
      <c r="CM87" s="237" t="s">
        <v>1107</v>
      </c>
      <c r="CN87" s="237" t="s">
        <v>1107</v>
      </c>
      <c r="CO87" s="237" t="s">
        <v>1107</v>
      </c>
      <c r="CP87" s="237" t="s">
        <v>1107</v>
      </c>
      <c r="CQ87" s="237" t="s">
        <v>1107</v>
      </c>
      <c r="CR87" s="237" t="s">
        <v>1107</v>
      </c>
      <c r="CS87" s="237" t="s">
        <v>1107</v>
      </c>
      <c r="CT87" s="237" t="s">
        <v>1107</v>
      </c>
      <c r="CU87" s="237" t="s">
        <v>1107</v>
      </c>
      <c r="CV87" s="237" t="s">
        <v>1107</v>
      </c>
      <c r="CW87" s="237" t="s">
        <v>1107</v>
      </c>
      <c r="CX87" s="237" t="s">
        <v>1107</v>
      </c>
      <c r="CY87" s="237" t="s">
        <v>1107</v>
      </c>
      <c r="CZ87" s="237" t="s">
        <v>1107</v>
      </c>
      <c r="DA87" s="237" t="s">
        <v>1107</v>
      </c>
      <c r="DB87" s="237" t="s">
        <v>1107</v>
      </c>
      <c r="DC87" s="237" t="s">
        <v>1107</v>
      </c>
      <c r="DD87" s="237" t="s">
        <v>1107</v>
      </c>
      <c r="DE87" s="237" t="s">
        <v>1107</v>
      </c>
      <c r="DF87" s="237" t="s">
        <v>1107</v>
      </c>
      <c r="DG87" s="237" t="s">
        <v>1107</v>
      </c>
      <c r="DH87" s="237" t="s">
        <v>1107</v>
      </c>
      <c r="DI87" s="237" t="s">
        <v>1107</v>
      </c>
      <c r="DJ87" s="237" t="s">
        <v>1107</v>
      </c>
      <c r="DK87" s="237" t="s">
        <v>1107</v>
      </c>
      <c r="DL87" s="237" t="s">
        <v>1107</v>
      </c>
      <c r="DM87" s="237" t="s">
        <v>1107</v>
      </c>
      <c r="DN87" s="237" t="s">
        <v>1107</v>
      </c>
      <c r="DO87" s="237" t="s">
        <v>1107</v>
      </c>
      <c r="DP87" s="237" t="s">
        <v>1107</v>
      </c>
      <c r="DQ87" s="237" t="s">
        <v>1107</v>
      </c>
      <c r="DR87" s="237" t="s">
        <v>1107</v>
      </c>
      <c r="DS87" s="237" t="s">
        <v>1107</v>
      </c>
      <c r="DT87" s="237" t="s">
        <v>1107</v>
      </c>
      <c r="DU87" s="237" t="s">
        <v>1107</v>
      </c>
      <c r="DV87" s="237" t="s">
        <v>1107</v>
      </c>
      <c r="DW87" s="237" t="s">
        <v>1107</v>
      </c>
      <c r="DX87" s="237" t="s">
        <v>1107</v>
      </c>
      <c r="DY87" s="237" t="s">
        <v>1107</v>
      </c>
      <c r="DZ87" s="237" t="s">
        <v>1107</v>
      </c>
      <c r="EA87" s="237" t="s">
        <v>1107</v>
      </c>
      <c r="EB87" s="237" t="s">
        <v>1107</v>
      </c>
      <c r="EC87" s="237" t="s">
        <v>1107</v>
      </c>
      <c r="ED87" s="237" t="s">
        <v>1107</v>
      </c>
      <c r="EE87" s="237" t="s">
        <v>1107</v>
      </c>
      <c r="EF87" s="237" t="s">
        <v>1107</v>
      </c>
      <c r="EG87" s="237" t="s">
        <v>1107</v>
      </c>
      <c r="EH87" s="237" t="s">
        <v>1107</v>
      </c>
      <c r="EI87" s="237" t="s">
        <v>1107</v>
      </c>
      <c r="EJ87" s="237" t="s">
        <v>1107</v>
      </c>
      <c r="EK87" s="237" t="s">
        <v>1107</v>
      </c>
      <c r="EL87" s="237" t="s">
        <v>1107</v>
      </c>
      <c r="EM87" s="237" t="s">
        <v>1107</v>
      </c>
      <c r="EN87" s="237" t="s">
        <v>1107</v>
      </c>
      <c r="EO87" s="237" t="s">
        <v>1107</v>
      </c>
      <c r="EP87" s="237" t="s">
        <v>1107</v>
      </c>
      <c r="EQ87" s="237" t="s">
        <v>1107</v>
      </c>
      <c r="ER87" s="237" t="s">
        <v>1107</v>
      </c>
      <c r="ES87" s="237" t="s">
        <v>1107</v>
      </c>
      <c r="ET87" s="237" t="s">
        <v>1107</v>
      </c>
      <c r="EU87" s="237" t="s">
        <v>1107</v>
      </c>
      <c r="EV87" s="237" t="s">
        <v>1107</v>
      </c>
      <c r="EW87" s="237" t="s">
        <v>1107</v>
      </c>
      <c r="EX87" s="237" t="s">
        <v>1107</v>
      </c>
      <c r="EY87" s="237" t="s">
        <v>1107</v>
      </c>
      <c r="EZ87" s="237" t="s">
        <v>1107</v>
      </c>
      <c r="FA87" s="237" t="s">
        <v>1107</v>
      </c>
      <c r="FB87" s="237" t="s">
        <v>1107</v>
      </c>
      <c r="FC87" s="237" t="s">
        <v>1107</v>
      </c>
      <c r="FD87" s="237" t="s">
        <v>1107</v>
      </c>
      <c r="FE87" s="237" t="s">
        <v>1107</v>
      </c>
      <c r="FF87" s="237" t="s">
        <v>1107</v>
      </c>
      <c r="FG87" s="237" t="s">
        <v>1107</v>
      </c>
      <c r="FH87" s="237" t="s">
        <v>1107</v>
      </c>
      <c r="FI87" s="237" t="s">
        <v>231</v>
      </c>
      <c r="FJ87" s="237" t="s">
        <v>1107</v>
      </c>
      <c r="FK87" s="237" t="s">
        <v>1107</v>
      </c>
      <c r="FL87" s="237" t="s">
        <v>1107</v>
      </c>
      <c r="FM87" s="237" t="s">
        <v>1107</v>
      </c>
      <c r="FN87" s="237" t="s">
        <v>1107</v>
      </c>
      <c r="FO87" s="237" t="s">
        <v>1107</v>
      </c>
      <c r="FP87" s="237" t="s">
        <v>1107</v>
      </c>
      <c r="FQ87" s="237" t="s">
        <v>1107</v>
      </c>
      <c r="FR87" s="237" t="s">
        <v>1107</v>
      </c>
      <c r="FS87" s="237" t="s">
        <v>1107</v>
      </c>
      <c r="FT87" s="237" t="s">
        <v>1107</v>
      </c>
      <c r="FU87" s="237" t="s">
        <v>1107</v>
      </c>
      <c r="FV87" s="237" t="s">
        <v>1107</v>
      </c>
      <c r="FW87" s="237" t="s">
        <v>1107</v>
      </c>
      <c r="FX87" s="237" t="s">
        <v>1107</v>
      </c>
      <c r="FY87" s="237" t="s">
        <v>1107</v>
      </c>
      <c r="FZ87" s="237" t="s">
        <v>1107</v>
      </c>
      <c r="GA87" s="237" t="s">
        <v>1107</v>
      </c>
      <c r="GB87" s="237" t="s">
        <v>1107</v>
      </c>
      <c r="GC87" s="237" t="s">
        <v>1107</v>
      </c>
      <c r="GD87" s="237" t="s">
        <v>1107</v>
      </c>
      <c r="GE87" s="237" t="s">
        <v>1107</v>
      </c>
      <c r="GF87" s="237" t="s">
        <v>1107</v>
      </c>
      <c r="GG87" s="237" t="s">
        <v>1107</v>
      </c>
      <c r="GH87" s="237" t="s">
        <v>1107</v>
      </c>
      <c r="GI87" s="237" t="s">
        <v>1107</v>
      </c>
      <c r="GJ87" s="237" t="s">
        <v>1107</v>
      </c>
      <c r="GK87" s="237" t="s">
        <v>1107</v>
      </c>
      <c r="GL87" s="237" t="s">
        <v>1107</v>
      </c>
      <c r="GM87" s="237" t="s">
        <v>1107</v>
      </c>
      <c r="GN87" s="237" t="s">
        <v>1107</v>
      </c>
      <c r="GO87" s="237" t="s">
        <v>1107</v>
      </c>
      <c r="GP87" s="237" t="s">
        <v>1107</v>
      </c>
      <c r="GQ87" s="237" t="s">
        <v>1107</v>
      </c>
      <c r="GR87" s="237" t="s">
        <v>1107</v>
      </c>
      <c r="GS87" s="237" t="s">
        <v>1107</v>
      </c>
      <c r="GT87" s="237" t="s">
        <v>1107</v>
      </c>
      <c r="GU87" s="237" t="s">
        <v>1107</v>
      </c>
      <c r="GV87" s="237" t="s">
        <v>1107</v>
      </c>
      <c r="GW87" s="237" t="s">
        <v>1107</v>
      </c>
      <c r="GX87" s="237" t="s">
        <v>1107</v>
      </c>
      <c r="GY87" s="237" t="s">
        <v>1107</v>
      </c>
      <c r="GZ87" s="237" t="s">
        <v>1107</v>
      </c>
      <c r="HA87" s="237" t="s">
        <v>1107</v>
      </c>
      <c r="HB87" s="237" t="s">
        <v>1107</v>
      </c>
      <c r="HC87" s="237" t="s">
        <v>1107</v>
      </c>
      <c r="HD87" s="237" t="s">
        <v>1107</v>
      </c>
      <c r="HE87" s="237" t="s">
        <v>1107</v>
      </c>
      <c r="HF87" s="237" t="s">
        <v>1107</v>
      </c>
      <c r="HG87" s="237" t="s">
        <v>1107</v>
      </c>
      <c r="HH87" s="237" t="s">
        <v>1107</v>
      </c>
      <c r="HI87" s="237" t="s">
        <v>1107</v>
      </c>
      <c r="HJ87" s="237" t="s">
        <v>1107</v>
      </c>
      <c r="HK87" s="237" t="s">
        <v>1107</v>
      </c>
      <c r="HL87" s="237" t="s">
        <v>1107</v>
      </c>
      <c r="HM87" s="237" t="s">
        <v>1107</v>
      </c>
      <c r="HN87" s="237" t="s">
        <v>1107</v>
      </c>
      <c r="HO87" s="237" t="s">
        <v>1107</v>
      </c>
      <c r="HP87" s="237" t="s">
        <v>1107</v>
      </c>
      <c r="HQ87" s="237" t="s">
        <v>1107</v>
      </c>
      <c r="HR87" s="237" t="s">
        <v>1107</v>
      </c>
      <c r="HS87" s="237" t="s">
        <v>1107</v>
      </c>
      <c r="HT87" s="237" t="s">
        <v>1107</v>
      </c>
      <c r="HU87" s="237" t="s">
        <v>1107</v>
      </c>
      <c r="HV87" s="237" t="s">
        <v>1107</v>
      </c>
      <c r="HW87" s="237" t="s">
        <v>1107</v>
      </c>
      <c r="HX87" s="237" t="s">
        <v>220</v>
      </c>
      <c r="HY87" s="237" t="s">
        <v>493</v>
      </c>
      <c r="HZ87" s="237" t="s">
        <v>219</v>
      </c>
      <c r="IA87" s="237" t="s">
        <v>490</v>
      </c>
      <c r="IB87" s="237" t="s">
        <v>231</v>
      </c>
      <c r="IC87" s="237" t="s">
        <v>1107</v>
      </c>
    </row>
    <row r="88" spans="1:237" ht="15" x14ac:dyDescent="0.25">
      <c r="A88" s="244" t="str">
        <f>HYPERLINK("http://www.ofsted.gov.uk/inspection-reports/find-inspection-report/provider/ELS/143640 ","Ofsted School Webpage")</f>
        <v>Ofsted School Webpage</v>
      </c>
      <c r="B88" s="240">
        <v>143640</v>
      </c>
      <c r="C88" s="240">
        <v>3046004</v>
      </c>
      <c r="D88" s="240" t="s">
        <v>1279</v>
      </c>
      <c r="E88" s="240" t="s">
        <v>247</v>
      </c>
      <c r="F88" s="240" t="s">
        <v>506</v>
      </c>
      <c r="G88" s="240" t="s">
        <v>506</v>
      </c>
      <c r="H88" s="240" t="s">
        <v>543</v>
      </c>
      <c r="I88" s="240" t="s">
        <v>1280</v>
      </c>
      <c r="J88" s="240" t="s">
        <v>93</v>
      </c>
      <c r="K88" s="240" t="s">
        <v>83</v>
      </c>
      <c r="L88" s="240" t="s">
        <v>83</v>
      </c>
      <c r="M88" s="240" t="s">
        <v>84</v>
      </c>
      <c r="N88" s="240" t="s">
        <v>486</v>
      </c>
      <c r="O88" s="240" t="s">
        <v>487</v>
      </c>
      <c r="P88" s="240">
        <v>10083873</v>
      </c>
      <c r="Q88" s="242">
        <v>43446</v>
      </c>
      <c r="R88" s="242">
        <v>43446</v>
      </c>
      <c r="S88" s="242">
        <v>43485</v>
      </c>
      <c r="T88" s="240" t="s">
        <v>1109</v>
      </c>
      <c r="U88" s="240" t="s">
        <v>1105</v>
      </c>
      <c r="V88" s="240" t="s">
        <v>490</v>
      </c>
      <c r="W88" s="240" t="s">
        <v>486</v>
      </c>
      <c r="X88" s="240" t="s">
        <v>486</v>
      </c>
      <c r="Y88" s="240" t="s">
        <v>486</v>
      </c>
      <c r="Z88" s="240" t="s">
        <v>486</v>
      </c>
      <c r="AA88" s="240" t="s">
        <v>486</v>
      </c>
      <c r="AB88" s="240" t="s">
        <v>486</v>
      </c>
      <c r="AC88" s="240" t="s">
        <v>486</v>
      </c>
      <c r="AD88" s="240" t="s">
        <v>1136</v>
      </c>
      <c r="AE88" s="240" t="s">
        <v>1107</v>
      </c>
      <c r="AF88" s="240" t="s">
        <v>1107</v>
      </c>
      <c r="AG88" s="240" t="s">
        <v>1107</v>
      </c>
      <c r="AH88" s="240" t="s">
        <v>1107</v>
      </c>
      <c r="AI88" s="240" t="s">
        <v>1107</v>
      </c>
      <c r="AJ88" s="240" t="s">
        <v>1107</v>
      </c>
      <c r="AK88" s="240" t="s">
        <v>1107</v>
      </c>
      <c r="AL88" s="240" t="s">
        <v>1107</v>
      </c>
      <c r="AM88" s="240" t="s">
        <v>1107</v>
      </c>
      <c r="AN88" s="240" t="s">
        <v>1107</v>
      </c>
      <c r="AO88" s="240" t="s">
        <v>1107</v>
      </c>
      <c r="AP88" s="240" t="s">
        <v>1107</v>
      </c>
      <c r="AQ88" s="240" t="s">
        <v>1107</v>
      </c>
      <c r="AR88" s="240" t="s">
        <v>1107</v>
      </c>
      <c r="AS88" s="240" t="s">
        <v>1107</v>
      </c>
      <c r="AT88" s="240" t="s">
        <v>1107</v>
      </c>
      <c r="AU88" s="240" t="s">
        <v>1107</v>
      </c>
      <c r="AV88" s="240" t="s">
        <v>1107</v>
      </c>
      <c r="AW88" s="240" t="s">
        <v>1107</v>
      </c>
      <c r="AX88" s="240" t="s">
        <v>1107</v>
      </c>
      <c r="AY88" s="240" t="s">
        <v>1107</v>
      </c>
      <c r="AZ88" s="240" t="s">
        <v>1107</v>
      </c>
      <c r="BA88" s="240" t="s">
        <v>1107</v>
      </c>
      <c r="BB88" s="240" t="s">
        <v>1107</v>
      </c>
      <c r="BC88" s="240" t="s">
        <v>1107</v>
      </c>
      <c r="BD88" s="240" t="s">
        <v>1107</v>
      </c>
      <c r="BE88" s="240" t="s">
        <v>1107</v>
      </c>
      <c r="BF88" s="240" t="s">
        <v>1107</v>
      </c>
      <c r="BG88" s="240" t="s">
        <v>1107</v>
      </c>
      <c r="BH88" s="240" t="s">
        <v>1107</v>
      </c>
      <c r="BI88" s="240" t="s">
        <v>1107</v>
      </c>
      <c r="BJ88" s="240" t="s">
        <v>1107</v>
      </c>
      <c r="BK88" s="240" t="s">
        <v>1107</v>
      </c>
      <c r="BL88" s="240" t="s">
        <v>1107</v>
      </c>
      <c r="BM88" s="240" t="s">
        <v>1107</v>
      </c>
      <c r="BN88" s="240" t="s">
        <v>1107</v>
      </c>
      <c r="BO88" s="240" t="s">
        <v>1107</v>
      </c>
      <c r="BP88" s="240" t="s">
        <v>1107</v>
      </c>
      <c r="BQ88" s="240" t="s">
        <v>1107</v>
      </c>
      <c r="BR88" s="240" t="s">
        <v>1107</v>
      </c>
      <c r="BS88" s="240" t="s">
        <v>1107</v>
      </c>
      <c r="BT88" s="240" t="s">
        <v>1107</v>
      </c>
      <c r="BU88" s="240" t="s">
        <v>1107</v>
      </c>
      <c r="BV88" s="240" t="s">
        <v>1107</v>
      </c>
      <c r="BW88" s="240" t="s">
        <v>1107</v>
      </c>
      <c r="BX88" s="240" t="s">
        <v>1107</v>
      </c>
      <c r="BY88" s="240" t="s">
        <v>1107</v>
      </c>
      <c r="BZ88" s="240" t="s">
        <v>232</v>
      </c>
      <c r="CA88" s="240" t="s">
        <v>232</v>
      </c>
      <c r="CB88" s="240" t="s">
        <v>232</v>
      </c>
      <c r="CC88" s="240" t="s">
        <v>492</v>
      </c>
      <c r="CD88" s="240" t="s">
        <v>492</v>
      </c>
      <c r="CE88" s="240" t="s">
        <v>492</v>
      </c>
      <c r="CF88" s="240" t="s">
        <v>1107</v>
      </c>
      <c r="CG88" s="240" t="s">
        <v>1107</v>
      </c>
      <c r="CH88" s="240" t="s">
        <v>1107</v>
      </c>
      <c r="CI88" s="240" t="s">
        <v>1107</v>
      </c>
      <c r="CJ88" s="240" t="s">
        <v>1107</v>
      </c>
      <c r="CK88" s="240" t="s">
        <v>1107</v>
      </c>
      <c r="CL88" s="240" t="s">
        <v>1107</v>
      </c>
      <c r="CM88" s="240" t="s">
        <v>1107</v>
      </c>
      <c r="CN88" s="240" t="s">
        <v>1107</v>
      </c>
      <c r="CO88" s="240" t="s">
        <v>232</v>
      </c>
      <c r="CP88" s="240" t="s">
        <v>1107</v>
      </c>
      <c r="CQ88" s="240" t="s">
        <v>1107</v>
      </c>
      <c r="CR88" s="240" t="s">
        <v>1107</v>
      </c>
      <c r="CS88" s="240" t="s">
        <v>1107</v>
      </c>
      <c r="CT88" s="240" t="s">
        <v>1107</v>
      </c>
      <c r="CU88" s="240" t="s">
        <v>1107</v>
      </c>
      <c r="CV88" s="240" t="s">
        <v>1107</v>
      </c>
      <c r="CW88" s="240" t="s">
        <v>1107</v>
      </c>
      <c r="CX88" s="240" t="s">
        <v>1107</v>
      </c>
      <c r="CY88" s="240" t="s">
        <v>1107</v>
      </c>
      <c r="CZ88" s="240" t="s">
        <v>1107</v>
      </c>
      <c r="DA88" s="240" t="s">
        <v>1107</v>
      </c>
      <c r="DB88" s="240" t="s">
        <v>1107</v>
      </c>
      <c r="DC88" s="240" t="s">
        <v>1107</v>
      </c>
      <c r="DD88" s="240" t="s">
        <v>1107</v>
      </c>
      <c r="DE88" s="240" t="s">
        <v>1107</v>
      </c>
      <c r="DF88" s="240" t="s">
        <v>1107</v>
      </c>
      <c r="DG88" s="240" t="s">
        <v>1107</v>
      </c>
      <c r="DH88" s="240" t="s">
        <v>1107</v>
      </c>
      <c r="DI88" s="240" t="s">
        <v>1107</v>
      </c>
      <c r="DJ88" s="240" t="s">
        <v>1107</v>
      </c>
      <c r="DK88" s="240" t="s">
        <v>1107</v>
      </c>
      <c r="DL88" s="240" t="s">
        <v>1107</v>
      </c>
      <c r="DM88" s="240" t="s">
        <v>1107</v>
      </c>
      <c r="DN88" s="240" t="s">
        <v>1107</v>
      </c>
      <c r="DO88" s="240" t="s">
        <v>1107</v>
      </c>
      <c r="DP88" s="240" t="s">
        <v>1107</v>
      </c>
      <c r="DQ88" s="240" t="s">
        <v>1107</v>
      </c>
      <c r="DR88" s="240" t="s">
        <v>1107</v>
      </c>
      <c r="DS88" s="240" t="s">
        <v>1107</v>
      </c>
      <c r="DT88" s="240" t="s">
        <v>1107</v>
      </c>
      <c r="DU88" s="240" t="s">
        <v>1107</v>
      </c>
      <c r="DV88" s="240" t="s">
        <v>1107</v>
      </c>
      <c r="DW88" s="240" t="s">
        <v>1107</v>
      </c>
      <c r="DX88" s="240" t="s">
        <v>1107</v>
      </c>
      <c r="DY88" s="240" t="s">
        <v>1107</v>
      </c>
      <c r="DZ88" s="240" t="s">
        <v>1107</v>
      </c>
      <c r="EA88" s="240" t="s">
        <v>1107</v>
      </c>
      <c r="EB88" s="240" t="s">
        <v>1107</v>
      </c>
      <c r="EC88" s="240" t="s">
        <v>1107</v>
      </c>
      <c r="ED88" s="240" t="s">
        <v>1107</v>
      </c>
      <c r="EE88" s="240" t="s">
        <v>1107</v>
      </c>
      <c r="EF88" s="240" t="s">
        <v>1107</v>
      </c>
      <c r="EG88" s="240" t="s">
        <v>1107</v>
      </c>
      <c r="EH88" s="240" t="s">
        <v>1107</v>
      </c>
      <c r="EI88" s="240" t="s">
        <v>1107</v>
      </c>
      <c r="EJ88" s="240" t="s">
        <v>1107</v>
      </c>
      <c r="EK88" s="240" t="s">
        <v>1107</v>
      </c>
      <c r="EL88" s="240" t="s">
        <v>1107</v>
      </c>
      <c r="EM88" s="240" t="s">
        <v>1107</v>
      </c>
      <c r="EN88" s="240" t="s">
        <v>1107</v>
      </c>
      <c r="EO88" s="240" t="s">
        <v>1107</v>
      </c>
      <c r="EP88" s="240" t="s">
        <v>1107</v>
      </c>
      <c r="EQ88" s="240" t="s">
        <v>1107</v>
      </c>
      <c r="ER88" s="240" t="s">
        <v>1107</v>
      </c>
      <c r="ES88" s="240" t="s">
        <v>1107</v>
      </c>
      <c r="ET88" s="240" t="s">
        <v>1107</v>
      </c>
      <c r="EU88" s="240" t="s">
        <v>1107</v>
      </c>
      <c r="EV88" s="240" t="s">
        <v>1107</v>
      </c>
      <c r="EW88" s="240" t="s">
        <v>1107</v>
      </c>
      <c r="EX88" s="240" t="s">
        <v>1107</v>
      </c>
      <c r="EY88" s="240" t="s">
        <v>1107</v>
      </c>
      <c r="EZ88" s="240" t="s">
        <v>1107</v>
      </c>
      <c r="FA88" s="240" t="s">
        <v>1107</v>
      </c>
      <c r="FB88" s="240" t="s">
        <v>1107</v>
      </c>
      <c r="FC88" s="240" t="s">
        <v>1107</v>
      </c>
      <c r="FD88" s="240" t="s">
        <v>1107</v>
      </c>
      <c r="FE88" s="240" t="s">
        <v>1107</v>
      </c>
      <c r="FF88" s="240" t="s">
        <v>1107</v>
      </c>
      <c r="FG88" s="240" t="s">
        <v>1107</v>
      </c>
      <c r="FH88" s="240" t="s">
        <v>1107</v>
      </c>
      <c r="FI88" s="240" t="s">
        <v>232</v>
      </c>
      <c r="FJ88" s="240" t="s">
        <v>1107</v>
      </c>
      <c r="FK88" s="240" t="s">
        <v>231</v>
      </c>
      <c r="FL88" s="240" t="s">
        <v>1107</v>
      </c>
      <c r="FM88" s="240" t="s">
        <v>231</v>
      </c>
      <c r="FN88" s="240" t="s">
        <v>232</v>
      </c>
      <c r="FO88" s="240" t="s">
        <v>1107</v>
      </c>
      <c r="FP88" s="240" t="s">
        <v>232</v>
      </c>
      <c r="FQ88" s="240" t="s">
        <v>1107</v>
      </c>
      <c r="FR88" s="240" t="s">
        <v>1107</v>
      </c>
      <c r="FS88" s="240" t="s">
        <v>1107</v>
      </c>
      <c r="FT88" s="240" t="s">
        <v>1107</v>
      </c>
      <c r="FU88" s="240" t="s">
        <v>1107</v>
      </c>
      <c r="FV88" s="240" t="s">
        <v>1107</v>
      </c>
      <c r="FW88" s="240" t="s">
        <v>1107</v>
      </c>
      <c r="FX88" s="240" t="s">
        <v>1107</v>
      </c>
      <c r="FY88" s="240" t="s">
        <v>492</v>
      </c>
      <c r="FZ88" s="240" t="s">
        <v>231</v>
      </c>
      <c r="GA88" s="240" t="s">
        <v>1107</v>
      </c>
      <c r="GB88" s="240" t="s">
        <v>1107</v>
      </c>
      <c r="GC88" s="240" t="s">
        <v>231</v>
      </c>
      <c r="GD88" s="240" t="s">
        <v>1107</v>
      </c>
      <c r="GE88" s="240" t="s">
        <v>492</v>
      </c>
      <c r="GF88" s="240" t="s">
        <v>1107</v>
      </c>
      <c r="GG88" s="240" t="s">
        <v>1107</v>
      </c>
      <c r="GH88" s="240" t="s">
        <v>1107</v>
      </c>
      <c r="GI88" s="240" t="s">
        <v>1107</v>
      </c>
      <c r="GJ88" s="240" t="s">
        <v>1107</v>
      </c>
      <c r="GK88" s="240" t="s">
        <v>1107</v>
      </c>
      <c r="GL88" s="240" t="s">
        <v>1107</v>
      </c>
      <c r="GM88" s="240" t="s">
        <v>1107</v>
      </c>
      <c r="GN88" s="240" t="s">
        <v>1107</v>
      </c>
      <c r="GO88" s="240" t="s">
        <v>1107</v>
      </c>
      <c r="GP88" s="240" t="s">
        <v>1107</v>
      </c>
      <c r="GQ88" s="240" t="s">
        <v>1107</v>
      </c>
      <c r="GR88" s="240" t="s">
        <v>232</v>
      </c>
      <c r="GS88" s="240" t="s">
        <v>1107</v>
      </c>
      <c r="GT88" s="240" t="s">
        <v>232</v>
      </c>
      <c r="GU88" s="240" t="s">
        <v>1107</v>
      </c>
      <c r="GV88" s="240" t="s">
        <v>1107</v>
      </c>
      <c r="GW88" s="240" t="s">
        <v>1107</v>
      </c>
      <c r="GX88" s="240" t="s">
        <v>1107</v>
      </c>
      <c r="GY88" s="240" t="s">
        <v>1107</v>
      </c>
      <c r="GZ88" s="240" t="s">
        <v>1107</v>
      </c>
      <c r="HA88" s="240" t="s">
        <v>1107</v>
      </c>
      <c r="HB88" s="240" t="s">
        <v>1107</v>
      </c>
      <c r="HC88" s="240" t="s">
        <v>1107</v>
      </c>
      <c r="HD88" s="240" t="s">
        <v>1107</v>
      </c>
      <c r="HE88" s="240" t="s">
        <v>1107</v>
      </c>
      <c r="HF88" s="240" t="s">
        <v>1107</v>
      </c>
      <c r="HG88" s="240" t="s">
        <v>1107</v>
      </c>
      <c r="HH88" s="240" t="s">
        <v>1107</v>
      </c>
      <c r="HI88" s="240" t="s">
        <v>1107</v>
      </c>
      <c r="HJ88" s="240" t="s">
        <v>1107</v>
      </c>
      <c r="HK88" s="240" t="s">
        <v>1107</v>
      </c>
      <c r="HL88" s="240" t="s">
        <v>1107</v>
      </c>
      <c r="HM88" s="240" t="s">
        <v>1107</v>
      </c>
      <c r="HN88" s="240" t="s">
        <v>1107</v>
      </c>
      <c r="HO88" s="240" t="s">
        <v>1107</v>
      </c>
      <c r="HP88" s="240" t="s">
        <v>1107</v>
      </c>
      <c r="HQ88" s="240" t="s">
        <v>1107</v>
      </c>
      <c r="HR88" s="240" t="s">
        <v>1107</v>
      </c>
      <c r="HS88" s="240" t="s">
        <v>1107</v>
      </c>
      <c r="HT88" s="240" t="s">
        <v>232</v>
      </c>
      <c r="HU88" s="240" t="s">
        <v>232</v>
      </c>
      <c r="HV88" s="240" t="s">
        <v>232</v>
      </c>
      <c r="HW88" s="240" t="s">
        <v>232</v>
      </c>
      <c r="HX88" s="240" t="s">
        <v>220</v>
      </c>
      <c r="HY88" s="240" t="s">
        <v>493</v>
      </c>
      <c r="HZ88" s="240" t="s">
        <v>219</v>
      </c>
      <c r="IA88" s="240" t="s">
        <v>486</v>
      </c>
      <c r="IB88" s="240" t="s">
        <v>1107</v>
      </c>
      <c r="IC88" s="240" t="s">
        <v>1107</v>
      </c>
    </row>
    <row r="89" spans="1:237" ht="15" x14ac:dyDescent="0.25">
      <c r="A89" s="243" t="str">
        <f>HYPERLINK("http://www.ofsted.gov.uk/inspection-reports/find-inspection-report/provider/ELS/143038 ","Ofsted School Webpage")</f>
        <v>Ofsted School Webpage</v>
      </c>
      <c r="B89" s="237">
        <v>143038</v>
      </c>
      <c r="C89" s="237">
        <v>3336011</v>
      </c>
      <c r="D89" s="237" t="s">
        <v>1281</v>
      </c>
      <c r="E89" s="237" t="s">
        <v>247</v>
      </c>
      <c r="F89" s="237" t="s">
        <v>502</v>
      </c>
      <c r="G89" s="237" t="s">
        <v>502</v>
      </c>
      <c r="H89" s="237" t="s">
        <v>720</v>
      </c>
      <c r="I89" s="237" t="s">
        <v>1282</v>
      </c>
      <c r="J89" s="237" t="s">
        <v>93</v>
      </c>
      <c r="K89" s="237" t="s">
        <v>93</v>
      </c>
      <c r="L89" s="237" t="s">
        <v>93</v>
      </c>
      <c r="M89" s="237" t="s">
        <v>90</v>
      </c>
      <c r="N89" s="237" t="s">
        <v>486</v>
      </c>
      <c r="O89" s="237" t="s">
        <v>487</v>
      </c>
      <c r="P89" s="237">
        <v>10044785</v>
      </c>
      <c r="Q89" s="239">
        <v>43447</v>
      </c>
      <c r="R89" s="239">
        <v>43447</v>
      </c>
      <c r="S89" s="239">
        <v>43482</v>
      </c>
      <c r="T89" s="237" t="s">
        <v>1283</v>
      </c>
      <c r="U89" s="237" t="s">
        <v>1105</v>
      </c>
      <c r="V89" s="237" t="s">
        <v>490</v>
      </c>
      <c r="W89" s="237" t="s">
        <v>486</v>
      </c>
      <c r="X89" s="237" t="s">
        <v>486</v>
      </c>
      <c r="Y89" s="237" t="s">
        <v>486</v>
      </c>
      <c r="Z89" s="237" t="s">
        <v>486</v>
      </c>
      <c r="AA89" s="237" t="s">
        <v>486</v>
      </c>
      <c r="AB89" s="237" t="s">
        <v>486</v>
      </c>
      <c r="AC89" s="237" t="s">
        <v>486</v>
      </c>
      <c r="AD89" s="237" t="s">
        <v>1106</v>
      </c>
      <c r="AE89" s="237" t="s">
        <v>1107</v>
      </c>
      <c r="AF89" s="237" t="s">
        <v>1107</v>
      </c>
      <c r="AG89" s="237" t="s">
        <v>1107</v>
      </c>
      <c r="AH89" s="237" t="s">
        <v>1107</v>
      </c>
      <c r="AI89" s="237" t="s">
        <v>1107</v>
      </c>
      <c r="AJ89" s="237" t="s">
        <v>1107</v>
      </c>
      <c r="AK89" s="237" t="s">
        <v>1107</v>
      </c>
      <c r="AL89" s="237" t="s">
        <v>1107</v>
      </c>
      <c r="AM89" s="237" t="s">
        <v>1107</v>
      </c>
      <c r="AN89" s="237" t="s">
        <v>1107</v>
      </c>
      <c r="AO89" s="237" t="s">
        <v>1107</v>
      </c>
      <c r="AP89" s="237" t="s">
        <v>1107</v>
      </c>
      <c r="AQ89" s="237" t="s">
        <v>1107</v>
      </c>
      <c r="AR89" s="237" t="s">
        <v>1107</v>
      </c>
      <c r="AS89" s="237" t="s">
        <v>1107</v>
      </c>
      <c r="AT89" s="237" t="s">
        <v>1107</v>
      </c>
      <c r="AU89" s="237" t="s">
        <v>1107</v>
      </c>
      <c r="AV89" s="237" t="s">
        <v>1107</v>
      </c>
      <c r="AW89" s="237" t="s">
        <v>1107</v>
      </c>
      <c r="AX89" s="237" t="s">
        <v>1107</v>
      </c>
      <c r="AY89" s="237" t="s">
        <v>1107</v>
      </c>
      <c r="AZ89" s="237" t="s">
        <v>1107</v>
      </c>
      <c r="BA89" s="237" t="s">
        <v>1107</v>
      </c>
      <c r="BB89" s="237" t="s">
        <v>1107</v>
      </c>
      <c r="BC89" s="237" t="s">
        <v>1107</v>
      </c>
      <c r="BD89" s="237" t="s">
        <v>1107</v>
      </c>
      <c r="BE89" s="237" t="s">
        <v>1107</v>
      </c>
      <c r="BF89" s="237" t="s">
        <v>1107</v>
      </c>
      <c r="BG89" s="237" t="s">
        <v>1107</v>
      </c>
      <c r="BH89" s="237" t="s">
        <v>1107</v>
      </c>
      <c r="BI89" s="237" t="s">
        <v>1107</v>
      </c>
      <c r="BJ89" s="237" t="s">
        <v>1107</v>
      </c>
      <c r="BK89" s="237" t="s">
        <v>1107</v>
      </c>
      <c r="BL89" s="237" t="s">
        <v>1107</v>
      </c>
      <c r="BM89" s="237" t="s">
        <v>1107</v>
      </c>
      <c r="BN89" s="237" t="s">
        <v>1107</v>
      </c>
      <c r="BO89" s="237" t="s">
        <v>1107</v>
      </c>
      <c r="BP89" s="237" t="s">
        <v>1107</v>
      </c>
      <c r="BQ89" s="237" t="s">
        <v>1107</v>
      </c>
      <c r="BR89" s="237" t="s">
        <v>1107</v>
      </c>
      <c r="BS89" s="237" t="s">
        <v>1107</v>
      </c>
      <c r="BT89" s="237" t="s">
        <v>1107</v>
      </c>
      <c r="BU89" s="237" t="s">
        <v>1107</v>
      </c>
      <c r="BV89" s="237" t="s">
        <v>1107</v>
      </c>
      <c r="BW89" s="237" t="s">
        <v>1107</v>
      </c>
      <c r="BX89" s="237" t="s">
        <v>1107</v>
      </c>
      <c r="BY89" s="237" t="s">
        <v>1107</v>
      </c>
      <c r="BZ89" s="237" t="s">
        <v>231</v>
      </c>
      <c r="CA89" s="237" t="s">
        <v>231</v>
      </c>
      <c r="CB89" s="237" t="s">
        <v>231</v>
      </c>
      <c r="CC89" s="237" t="s">
        <v>492</v>
      </c>
      <c r="CD89" s="237" t="s">
        <v>492</v>
      </c>
      <c r="CE89" s="237" t="s">
        <v>492</v>
      </c>
      <c r="CF89" s="237" t="s">
        <v>231</v>
      </c>
      <c r="CG89" s="237" t="s">
        <v>231</v>
      </c>
      <c r="CH89" s="237" t="s">
        <v>231</v>
      </c>
      <c r="CI89" s="237" t="s">
        <v>231</v>
      </c>
      <c r="CJ89" s="237" t="s">
        <v>231</v>
      </c>
      <c r="CK89" s="237" t="s">
        <v>231</v>
      </c>
      <c r="CL89" s="237" t="s">
        <v>231</v>
      </c>
      <c r="CM89" s="237" t="s">
        <v>231</v>
      </c>
      <c r="CN89" s="237" t="s">
        <v>231</v>
      </c>
      <c r="CO89" s="237" t="s">
        <v>231</v>
      </c>
      <c r="CP89" s="237" t="s">
        <v>231</v>
      </c>
      <c r="CQ89" s="237" t="s">
        <v>231</v>
      </c>
      <c r="CR89" s="237" t="s">
        <v>231</v>
      </c>
      <c r="CS89" s="237" t="s">
        <v>1107</v>
      </c>
      <c r="CT89" s="237" t="s">
        <v>1107</v>
      </c>
      <c r="CU89" s="237" t="s">
        <v>1107</v>
      </c>
      <c r="CV89" s="237" t="s">
        <v>1107</v>
      </c>
      <c r="CW89" s="237" t="s">
        <v>1107</v>
      </c>
      <c r="CX89" s="237" t="s">
        <v>1107</v>
      </c>
      <c r="CY89" s="237" t="s">
        <v>1107</v>
      </c>
      <c r="CZ89" s="237" t="s">
        <v>1107</v>
      </c>
      <c r="DA89" s="237" t="s">
        <v>1107</v>
      </c>
      <c r="DB89" s="237" t="s">
        <v>1107</v>
      </c>
      <c r="DC89" s="237" t="s">
        <v>1107</v>
      </c>
      <c r="DD89" s="237" t="s">
        <v>1107</v>
      </c>
      <c r="DE89" s="237" t="s">
        <v>1107</v>
      </c>
      <c r="DF89" s="237" t="s">
        <v>1107</v>
      </c>
      <c r="DG89" s="237" t="s">
        <v>1107</v>
      </c>
      <c r="DH89" s="237" t="s">
        <v>1107</v>
      </c>
      <c r="DI89" s="237" t="s">
        <v>1107</v>
      </c>
      <c r="DJ89" s="237" t="s">
        <v>1107</v>
      </c>
      <c r="DK89" s="237" t="s">
        <v>1107</v>
      </c>
      <c r="DL89" s="237" t="s">
        <v>1107</v>
      </c>
      <c r="DM89" s="237" t="s">
        <v>1107</v>
      </c>
      <c r="DN89" s="237" t="s">
        <v>1107</v>
      </c>
      <c r="DO89" s="237" t="s">
        <v>1107</v>
      </c>
      <c r="DP89" s="237" t="s">
        <v>1107</v>
      </c>
      <c r="DQ89" s="237" t="s">
        <v>1107</v>
      </c>
      <c r="DR89" s="237" t="s">
        <v>1107</v>
      </c>
      <c r="DS89" s="237" t="s">
        <v>1107</v>
      </c>
      <c r="DT89" s="237" t="s">
        <v>1107</v>
      </c>
      <c r="DU89" s="237" t="s">
        <v>1107</v>
      </c>
      <c r="DV89" s="237" t="s">
        <v>1107</v>
      </c>
      <c r="DW89" s="237" t="s">
        <v>1107</v>
      </c>
      <c r="DX89" s="237" t="s">
        <v>1107</v>
      </c>
      <c r="DY89" s="237" t="s">
        <v>1107</v>
      </c>
      <c r="DZ89" s="237" t="s">
        <v>1107</v>
      </c>
      <c r="EA89" s="237" t="s">
        <v>1107</v>
      </c>
      <c r="EB89" s="237" t="s">
        <v>1107</v>
      </c>
      <c r="EC89" s="237" t="s">
        <v>1107</v>
      </c>
      <c r="ED89" s="237" t="s">
        <v>1107</v>
      </c>
      <c r="EE89" s="237" t="s">
        <v>1107</v>
      </c>
      <c r="EF89" s="237" t="s">
        <v>1107</v>
      </c>
      <c r="EG89" s="237" t="s">
        <v>1107</v>
      </c>
      <c r="EH89" s="237" t="s">
        <v>1107</v>
      </c>
      <c r="EI89" s="237" t="s">
        <v>1107</v>
      </c>
      <c r="EJ89" s="237" t="s">
        <v>1107</v>
      </c>
      <c r="EK89" s="237" t="s">
        <v>1107</v>
      </c>
      <c r="EL89" s="237" t="s">
        <v>1107</v>
      </c>
      <c r="EM89" s="237" t="s">
        <v>1107</v>
      </c>
      <c r="EN89" s="237" t="s">
        <v>1107</v>
      </c>
      <c r="EO89" s="237" t="s">
        <v>1107</v>
      </c>
      <c r="EP89" s="237" t="s">
        <v>1107</v>
      </c>
      <c r="EQ89" s="237" t="s">
        <v>1107</v>
      </c>
      <c r="ER89" s="237" t="s">
        <v>1107</v>
      </c>
      <c r="ES89" s="237" t="s">
        <v>1107</v>
      </c>
      <c r="ET89" s="237" t="s">
        <v>1107</v>
      </c>
      <c r="EU89" s="237" t="s">
        <v>1107</v>
      </c>
      <c r="EV89" s="237" t="s">
        <v>1107</v>
      </c>
      <c r="EW89" s="237" t="s">
        <v>1107</v>
      </c>
      <c r="EX89" s="237" t="s">
        <v>1107</v>
      </c>
      <c r="EY89" s="237" t="s">
        <v>1107</v>
      </c>
      <c r="EZ89" s="237" t="s">
        <v>231</v>
      </c>
      <c r="FA89" s="237" t="s">
        <v>231</v>
      </c>
      <c r="FB89" s="237" t="s">
        <v>231</v>
      </c>
      <c r="FC89" s="237" t="s">
        <v>231</v>
      </c>
      <c r="FD89" s="237" t="s">
        <v>231</v>
      </c>
      <c r="FE89" s="237" t="s">
        <v>231</v>
      </c>
      <c r="FF89" s="237" t="s">
        <v>231</v>
      </c>
      <c r="FG89" s="237" t="s">
        <v>492</v>
      </c>
      <c r="FH89" s="237" t="s">
        <v>231</v>
      </c>
      <c r="FI89" s="237" t="s">
        <v>231</v>
      </c>
      <c r="FJ89" s="237" t="s">
        <v>231</v>
      </c>
      <c r="FK89" s="237" t="s">
        <v>231</v>
      </c>
      <c r="FL89" s="237" t="s">
        <v>231</v>
      </c>
      <c r="FM89" s="237" t="s">
        <v>231</v>
      </c>
      <c r="FN89" s="237" t="s">
        <v>231</v>
      </c>
      <c r="FO89" s="237" t="s">
        <v>231</v>
      </c>
      <c r="FP89" s="237" t="s">
        <v>231</v>
      </c>
      <c r="FQ89" s="237" t="s">
        <v>231</v>
      </c>
      <c r="FR89" s="237" t="s">
        <v>231</v>
      </c>
      <c r="FS89" s="237" t="s">
        <v>231</v>
      </c>
      <c r="FT89" s="237" t="s">
        <v>231</v>
      </c>
      <c r="FU89" s="237" t="s">
        <v>231</v>
      </c>
      <c r="FV89" s="237" t="s">
        <v>231</v>
      </c>
      <c r="FW89" s="237" t="s">
        <v>231</v>
      </c>
      <c r="FX89" s="237" t="s">
        <v>231</v>
      </c>
      <c r="FY89" s="237" t="s">
        <v>492</v>
      </c>
      <c r="FZ89" s="237" t="s">
        <v>231</v>
      </c>
      <c r="GA89" s="237" t="s">
        <v>231</v>
      </c>
      <c r="GB89" s="237" t="s">
        <v>231</v>
      </c>
      <c r="GC89" s="237" t="s">
        <v>231</v>
      </c>
      <c r="GD89" s="237" t="s">
        <v>231</v>
      </c>
      <c r="GE89" s="237" t="s">
        <v>492</v>
      </c>
      <c r="GF89" s="237" t="s">
        <v>231</v>
      </c>
      <c r="GG89" s="237" t="s">
        <v>231</v>
      </c>
      <c r="GH89" s="237" t="s">
        <v>231</v>
      </c>
      <c r="GI89" s="237" t="s">
        <v>231</v>
      </c>
      <c r="GJ89" s="237" t="s">
        <v>231</v>
      </c>
      <c r="GK89" s="237" t="s">
        <v>231</v>
      </c>
      <c r="GL89" s="237" t="s">
        <v>231</v>
      </c>
      <c r="GM89" s="237" t="s">
        <v>231</v>
      </c>
      <c r="GN89" s="237" t="s">
        <v>492</v>
      </c>
      <c r="GO89" s="237" t="s">
        <v>231</v>
      </c>
      <c r="GP89" s="237" t="s">
        <v>231</v>
      </c>
      <c r="GQ89" s="237" t="s">
        <v>231</v>
      </c>
      <c r="GR89" s="237" t="s">
        <v>231</v>
      </c>
      <c r="GS89" s="237" t="s">
        <v>231</v>
      </c>
      <c r="GT89" s="237" t="s">
        <v>231</v>
      </c>
      <c r="GU89" s="237" t="s">
        <v>231</v>
      </c>
      <c r="GV89" s="237" t="s">
        <v>231</v>
      </c>
      <c r="GW89" s="237" t="s">
        <v>231</v>
      </c>
      <c r="GX89" s="237" t="s">
        <v>231</v>
      </c>
      <c r="GY89" s="237" t="s">
        <v>231</v>
      </c>
      <c r="GZ89" s="237" t="s">
        <v>231</v>
      </c>
      <c r="HA89" s="237" t="s">
        <v>231</v>
      </c>
      <c r="HB89" s="237" t="s">
        <v>231</v>
      </c>
      <c r="HC89" s="237" t="s">
        <v>231</v>
      </c>
      <c r="HD89" s="237" t="s">
        <v>1107</v>
      </c>
      <c r="HE89" s="237" t="s">
        <v>1107</v>
      </c>
      <c r="HF89" s="237" t="s">
        <v>1107</v>
      </c>
      <c r="HG89" s="237" t="s">
        <v>1107</v>
      </c>
      <c r="HH89" s="237" t="s">
        <v>1107</v>
      </c>
      <c r="HI89" s="237" t="s">
        <v>1107</v>
      </c>
      <c r="HJ89" s="237" t="s">
        <v>1107</v>
      </c>
      <c r="HK89" s="237" t="s">
        <v>1107</v>
      </c>
      <c r="HL89" s="237" t="s">
        <v>1107</v>
      </c>
      <c r="HM89" s="237" t="s">
        <v>1107</v>
      </c>
      <c r="HN89" s="237" t="s">
        <v>1107</v>
      </c>
      <c r="HO89" s="237" t="s">
        <v>1107</v>
      </c>
      <c r="HP89" s="237" t="s">
        <v>1107</v>
      </c>
      <c r="HQ89" s="237" t="s">
        <v>1107</v>
      </c>
      <c r="HR89" s="237" t="s">
        <v>1107</v>
      </c>
      <c r="HS89" s="237" t="s">
        <v>1107</v>
      </c>
      <c r="HT89" s="237" t="s">
        <v>231</v>
      </c>
      <c r="HU89" s="237" t="s">
        <v>231</v>
      </c>
      <c r="HV89" s="237" t="s">
        <v>231</v>
      </c>
      <c r="HW89" s="237" t="s">
        <v>231</v>
      </c>
      <c r="HX89" s="237" t="s">
        <v>220</v>
      </c>
      <c r="HY89" s="237" t="s">
        <v>493</v>
      </c>
      <c r="HZ89" s="237" t="s">
        <v>219</v>
      </c>
      <c r="IA89" s="237" t="s">
        <v>490</v>
      </c>
      <c r="IB89" s="237" t="s">
        <v>492</v>
      </c>
      <c r="IC89" s="237" t="s">
        <v>492</v>
      </c>
    </row>
    <row r="90" spans="1:237" ht="15" x14ac:dyDescent="0.25">
      <c r="A90" s="244" t="str">
        <f>HYPERLINK("http://www.ofsted.gov.uk/inspection-reports/find-inspection-report/provider/ELS/135541 ","Ofsted School Webpage")</f>
        <v>Ofsted School Webpage</v>
      </c>
      <c r="B90" s="240">
        <v>135541</v>
      </c>
      <c r="C90" s="240">
        <v>8886104</v>
      </c>
      <c r="D90" s="240" t="s">
        <v>1284</v>
      </c>
      <c r="E90" s="240" t="s">
        <v>248</v>
      </c>
      <c r="F90" s="240" t="s">
        <v>495</v>
      </c>
      <c r="G90" s="240" t="s">
        <v>495</v>
      </c>
      <c r="H90" s="240" t="s">
        <v>534</v>
      </c>
      <c r="I90" s="240" t="s">
        <v>1285</v>
      </c>
      <c r="J90" s="240" t="s">
        <v>93</v>
      </c>
      <c r="K90" s="240" t="s">
        <v>93</v>
      </c>
      <c r="L90" s="240" t="s">
        <v>93</v>
      </c>
      <c r="M90" s="240" t="s">
        <v>90</v>
      </c>
      <c r="N90" s="240" t="s">
        <v>486</v>
      </c>
      <c r="O90" s="240" t="s">
        <v>487</v>
      </c>
      <c r="P90" s="240">
        <v>10085844</v>
      </c>
      <c r="Q90" s="242">
        <v>43447</v>
      </c>
      <c r="R90" s="242">
        <v>43447</v>
      </c>
      <c r="S90" s="242">
        <v>43495</v>
      </c>
      <c r="T90" s="240" t="s">
        <v>1104</v>
      </c>
      <c r="U90" s="240" t="s">
        <v>1105</v>
      </c>
      <c r="V90" s="240" t="s">
        <v>490</v>
      </c>
      <c r="W90" s="240" t="s">
        <v>486</v>
      </c>
      <c r="X90" s="240" t="s">
        <v>486</v>
      </c>
      <c r="Y90" s="240" t="s">
        <v>486</v>
      </c>
      <c r="Z90" s="240" t="s">
        <v>486</v>
      </c>
      <c r="AA90" s="240" t="s">
        <v>486</v>
      </c>
      <c r="AB90" s="240" t="s">
        <v>486</v>
      </c>
      <c r="AC90" s="240" t="s">
        <v>486</v>
      </c>
      <c r="AD90" s="240" t="s">
        <v>1106</v>
      </c>
      <c r="AE90" s="240" t="s">
        <v>1107</v>
      </c>
      <c r="AF90" s="240" t="s">
        <v>1107</v>
      </c>
      <c r="AG90" s="240" t="s">
        <v>1107</v>
      </c>
      <c r="AH90" s="240" t="s">
        <v>1107</v>
      </c>
      <c r="AI90" s="240" t="s">
        <v>1107</v>
      </c>
      <c r="AJ90" s="240" t="s">
        <v>1107</v>
      </c>
      <c r="AK90" s="240" t="s">
        <v>1107</v>
      </c>
      <c r="AL90" s="240" t="s">
        <v>1107</v>
      </c>
      <c r="AM90" s="240" t="s">
        <v>1107</v>
      </c>
      <c r="AN90" s="240" t="s">
        <v>1107</v>
      </c>
      <c r="AO90" s="240" t="s">
        <v>1107</v>
      </c>
      <c r="AP90" s="240" t="s">
        <v>1107</v>
      </c>
      <c r="AQ90" s="240" t="s">
        <v>1107</v>
      </c>
      <c r="AR90" s="240" t="s">
        <v>1107</v>
      </c>
      <c r="AS90" s="240" t="s">
        <v>1107</v>
      </c>
      <c r="AT90" s="240" t="s">
        <v>1107</v>
      </c>
      <c r="AU90" s="240" t="s">
        <v>1107</v>
      </c>
      <c r="AV90" s="240" t="s">
        <v>1107</v>
      </c>
      <c r="AW90" s="240" t="s">
        <v>1107</v>
      </c>
      <c r="AX90" s="240" t="s">
        <v>1107</v>
      </c>
      <c r="AY90" s="240" t="s">
        <v>1107</v>
      </c>
      <c r="AZ90" s="240" t="s">
        <v>1107</v>
      </c>
      <c r="BA90" s="240" t="s">
        <v>1107</v>
      </c>
      <c r="BB90" s="240" t="s">
        <v>1107</v>
      </c>
      <c r="BC90" s="240" t="s">
        <v>1107</v>
      </c>
      <c r="BD90" s="240" t="s">
        <v>1107</v>
      </c>
      <c r="BE90" s="240" t="s">
        <v>1107</v>
      </c>
      <c r="BF90" s="240" t="s">
        <v>1107</v>
      </c>
      <c r="BG90" s="240" t="s">
        <v>1107</v>
      </c>
      <c r="BH90" s="240" t="s">
        <v>1107</v>
      </c>
      <c r="BI90" s="240" t="s">
        <v>1107</v>
      </c>
      <c r="BJ90" s="240" t="s">
        <v>1107</v>
      </c>
      <c r="BK90" s="240" t="s">
        <v>1107</v>
      </c>
      <c r="BL90" s="240" t="s">
        <v>1107</v>
      </c>
      <c r="BM90" s="240" t="s">
        <v>1107</v>
      </c>
      <c r="BN90" s="240" t="s">
        <v>1107</v>
      </c>
      <c r="BO90" s="240" t="s">
        <v>1107</v>
      </c>
      <c r="BP90" s="240" t="s">
        <v>1107</v>
      </c>
      <c r="BQ90" s="240" t="s">
        <v>1107</v>
      </c>
      <c r="BR90" s="240" t="s">
        <v>1107</v>
      </c>
      <c r="BS90" s="240" t="s">
        <v>1107</v>
      </c>
      <c r="BT90" s="240" t="s">
        <v>1107</v>
      </c>
      <c r="BU90" s="240" t="s">
        <v>1107</v>
      </c>
      <c r="BV90" s="240" t="s">
        <v>1107</v>
      </c>
      <c r="BW90" s="240" t="s">
        <v>1107</v>
      </c>
      <c r="BX90" s="240" t="s">
        <v>1107</v>
      </c>
      <c r="BY90" s="240" t="s">
        <v>1107</v>
      </c>
      <c r="BZ90" s="240" t="s">
        <v>1107</v>
      </c>
      <c r="CA90" s="240" t="s">
        <v>1107</v>
      </c>
      <c r="CB90" s="240" t="s">
        <v>1107</v>
      </c>
      <c r="CC90" s="240" t="s">
        <v>1107</v>
      </c>
      <c r="CD90" s="240" t="s">
        <v>1107</v>
      </c>
      <c r="CE90" s="240" t="s">
        <v>1107</v>
      </c>
      <c r="CF90" s="240" t="s">
        <v>1107</v>
      </c>
      <c r="CG90" s="240" t="s">
        <v>1107</v>
      </c>
      <c r="CH90" s="240" t="s">
        <v>1107</v>
      </c>
      <c r="CI90" s="240" t="s">
        <v>1107</v>
      </c>
      <c r="CJ90" s="240" t="s">
        <v>1107</v>
      </c>
      <c r="CK90" s="240" t="s">
        <v>231</v>
      </c>
      <c r="CL90" s="240" t="s">
        <v>231</v>
      </c>
      <c r="CM90" s="240" t="s">
        <v>1107</v>
      </c>
      <c r="CN90" s="240" t="s">
        <v>1107</v>
      </c>
      <c r="CO90" s="240" t="s">
        <v>1107</v>
      </c>
      <c r="CP90" s="240" t="s">
        <v>231</v>
      </c>
      <c r="CQ90" s="240" t="s">
        <v>231</v>
      </c>
      <c r="CR90" s="240" t="s">
        <v>231</v>
      </c>
      <c r="CS90" s="240" t="s">
        <v>1107</v>
      </c>
      <c r="CT90" s="240" t="s">
        <v>1107</v>
      </c>
      <c r="CU90" s="240" t="s">
        <v>1107</v>
      </c>
      <c r="CV90" s="240" t="s">
        <v>1107</v>
      </c>
      <c r="CW90" s="240" t="s">
        <v>1107</v>
      </c>
      <c r="CX90" s="240" t="s">
        <v>1107</v>
      </c>
      <c r="CY90" s="240" t="s">
        <v>1107</v>
      </c>
      <c r="CZ90" s="240" t="s">
        <v>1107</v>
      </c>
      <c r="DA90" s="240" t="s">
        <v>1107</v>
      </c>
      <c r="DB90" s="240" t="s">
        <v>1107</v>
      </c>
      <c r="DC90" s="240" t="s">
        <v>1107</v>
      </c>
      <c r="DD90" s="240" t="s">
        <v>1107</v>
      </c>
      <c r="DE90" s="240" t="s">
        <v>1107</v>
      </c>
      <c r="DF90" s="240" t="s">
        <v>1107</v>
      </c>
      <c r="DG90" s="240" t="s">
        <v>1107</v>
      </c>
      <c r="DH90" s="240" t="s">
        <v>1107</v>
      </c>
      <c r="DI90" s="240" t="s">
        <v>1107</v>
      </c>
      <c r="DJ90" s="240" t="s">
        <v>1107</v>
      </c>
      <c r="DK90" s="240" t="s">
        <v>1107</v>
      </c>
      <c r="DL90" s="240" t="s">
        <v>1107</v>
      </c>
      <c r="DM90" s="240" t="s">
        <v>1107</v>
      </c>
      <c r="DN90" s="240" t="s">
        <v>1107</v>
      </c>
      <c r="DO90" s="240" t="s">
        <v>1107</v>
      </c>
      <c r="DP90" s="240" t="s">
        <v>1107</v>
      </c>
      <c r="DQ90" s="240" t="s">
        <v>1107</v>
      </c>
      <c r="DR90" s="240" t="s">
        <v>1107</v>
      </c>
      <c r="DS90" s="240" t="s">
        <v>1107</v>
      </c>
      <c r="DT90" s="240" t="s">
        <v>1107</v>
      </c>
      <c r="DU90" s="240" t="s">
        <v>1107</v>
      </c>
      <c r="DV90" s="240" t="s">
        <v>1107</v>
      </c>
      <c r="DW90" s="240" t="s">
        <v>1107</v>
      </c>
      <c r="DX90" s="240" t="s">
        <v>1107</v>
      </c>
      <c r="DY90" s="240" t="s">
        <v>1107</v>
      </c>
      <c r="DZ90" s="240" t="s">
        <v>1107</v>
      </c>
      <c r="EA90" s="240" t="s">
        <v>1107</v>
      </c>
      <c r="EB90" s="240" t="s">
        <v>1107</v>
      </c>
      <c r="EC90" s="240" t="s">
        <v>1107</v>
      </c>
      <c r="ED90" s="240" t="s">
        <v>1107</v>
      </c>
      <c r="EE90" s="240" t="s">
        <v>1107</v>
      </c>
      <c r="EF90" s="240" t="s">
        <v>1107</v>
      </c>
      <c r="EG90" s="240" t="s">
        <v>1107</v>
      </c>
      <c r="EH90" s="240" t="s">
        <v>1107</v>
      </c>
      <c r="EI90" s="240" t="s">
        <v>1107</v>
      </c>
      <c r="EJ90" s="240" t="s">
        <v>1107</v>
      </c>
      <c r="EK90" s="240" t="s">
        <v>1107</v>
      </c>
      <c r="EL90" s="240" t="s">
        <v>1107</v>
      </c>
      <c r="EM90" s="240" t="s">
        <v>1107</v>
      </c>
      <c r="EN90" s="240" t="s">
        <v>1107</v>
      </c>
      <c r="EO90" s="240" t="s">
        <v>1107</v>
      </c>
      <c r="EP90" s="240" t="s">
        <v>1107</v>
      </c>
      <c r="EQ90" s="240" t="s">
        <v>1107</v>
      </c>
      <c r="ER90" s="240" t="s">
        <v>1107</v>
      </c>
      <c r="ES90" s="240" t="s">
        <v>1107</v>
      </c>
      <c r="ET90" s="240" t="s">
        <v>1107</v>
      </c>
      <c r="EU90" s="240" t="s">
        <v>1107</v>
      </c>
      <c r="EV90" s="240" t="s">
        <v>1107</v>
      </c>
      <c r="EW90" s="240" t="s">
        <v>1107</v>
      </c>
      <c r="EX90" s="240" t="s">
        <v>486</v>
      </c>
      <c r="EY90" s="240" t="s">
        <v>1107</v>
      </c>
      <c r="EZ90" s="240" t="s">
        <v>231</v>
      </c>
      <c r="FA90" s="240" t="s">
        <v>231</v>
      </c>
      <c r="FB90" s="240" t="s">
        <v>231</v>
      </c>
      <c r="FC90" s="240" t="s">
        <v>231</v>
      </c>
      <c r="FD90" s="240" t="s">
        <v>231</v>
      </c>
      <c r="FE90" s="240" t="s">
        <v>231</v>
      </c>
      <c r="FF90" s="240" t="s">
        <v>231</v>
      </c>
      <c r="FG90" s="240" t="s">
        <v>231</v>
      </c>
      <c r="FH90" s="240" t="s">
        <v>231</v>
      </c>
      <c r="FI90" s="240" t="s">
        <v>231</v>
      </c>
      <c r="FJ90" s="240" t="s">
        <v>231</v>
      </c>
      <c r="FK90" s="240" t="s">
        <v>231</v>
      </c>
      <c r="FL90" s="240" t="s">
        <v>231</v>
      </c>
      <c r="FM90" s="240" t="s">
        <v>231</v>
      </c>
      <c r="FN90" s="240" t="s">
        <v>231</v>
      </c>
      <c r="FO90" s="240" t="s">
        <v>231</v>
      </c>
      <c r="FP90" s="240" t="s">
        <v>231</v>
      </c>
      <c r="FQ90" s="240" t="s">
        <v>231</v>
      </c>
      <c r="FR90" s="240" t="s">
        <v>231</v>
      </c>
      <c r="FS90" s="240" t="s">
        <v>231</v>
      </c>
      <c r="FT90" s="240" t="s">
        <v>231</v>
      </c>
      <c r="FU90" s="240" t="s">
        <v>231</v>
      </c>
      <c r="FV90" s="240" t="s">
        <v>231</v>
      </c>
      <c r="FW90" s="240" t="s">
        <v>231</v>
      </c>
      <c r="FX90" s="240" t="s">
        <v>231</v>
      </c>
      <c r="FY90" s="240" t="s">
        <v>492</v>
      </c>
      <c r="FZ90" s="240" t="s">
        <v>1107</v>
      </c>
      <c r="GA90" s="240" t="s">
        <v>1107</v>
      </c>
      <c r="GB90" s="240" t="s">
        <v>1107</v>
      </c>
      <c r="GC90" s="240" t="s">
        <v>1107</v>
      </c>
      <c r="GD90" s="240" t="s">
        <v>1107</v>
      </c>
      <c r="GE90" s="240" t="s">
        <v>1107</v>
      </c>
      <c r="GF90" s="240" t="s">
        <v>1107</v>
      </c>
      <c r="GG90" s="240" t="s">
        <v>1107</v>
      </c>
      <c r="GH90" s="240" t="s">
        <v>1107</v>
      </c>
      <c r="GI90" s="240" t="s">
        <v>1107</v>
      </c>
      <c r="GJ90" s="240" t="s">
        <v>1107</v>
      </c>
      <c r="GK90" s="240" t="s">
        <v>1107</v>
      </c>
      <c r="GL90" s="240" t="s">
        <v>1107</v>
      </c>
      <c r="GM90" s="240" t="s">
        <v>1107</v>
      </c>
      <c r="GN90" s="240" t="s">
        <v>1107</v>
      </c>
      <c r="GO90" s="240" t="s">
        <v>1107</v>
      </c>
      <c r="GP90" s="240" t="s">
        <v>1107</v>
      </c>
      <c r="GQ90" s="240" t="s">
        <v>1107</v>
      </c>
      <c r="GR90" s="240" t="s">
        <v>1107</v>
      </c>
      <c r="GS90" s="240" t="s">
        <v>1107</v>
      </c>
      <c r="GT90" s="240" t="s">
        <v>1107</v>
      </c>
      <c r="GU90" s="240" t="s">
        <v>1107</v>
      </c>
      <c r="GV90" s="240" t="s">
        <v>1107</v>
      </c>
      <c r="GW90" s="240" t="s">
        <v>1107</v>
      </c>
      <c r="GX90" s="240" t="s">
        <v>1107</v>
      </c>
      <c r="GY90" s="240" t="s">
        <v>1107</v>
      </c>
      <c r="GZ90" s="240" t="s">
        <v>1107</v>
      </c>
      <c r="HA90" s="240" t="s">
        <v>1107</v>
      </c>
      <c r="HB90" s="240" t="s">
        <v>1107</v>
      </c>
      <c r="HC90" s="240" t="s">
        <v>1107</v>
      </c>
      <c r="HD90" s="240" t="s">
        <v>1107</v>
      </c>
      <c r="HE90" s="240" t="s">
        <v>1107</v>
      </c>
      <c r="HF90" s="240" t="s">
        <v>1107</v>
      </c>
      <c r="HG90" s="240" t="s">
        <v>1107</v>
      </c>
      <c r="HH90" s="240" t="s">
        <v>1107</v>
      </c>
      <c r="HI90" s="240" t="s">
        <v>1107</v>
      </c>
      <c r="HJ90" s="240" t="s">
        <v>1107</v>
      </c>
      <c r="HK90" s="240" t="s">
        <v>1107</v>
      </c>
      <c r="HL90" s="240" t="s">
        <v>1107</v>
      </c>
      <c r="HM90" s="240" t="s">
        <v>1107</v>
      </c>
      <c r="HN90" s="240" t="s">
        <v>1107</v>
      </c>
      <c r="HO90" s="240" t="s">
        <v>1107</v>
      </c>
      <c r="HP90" s="240" t="s">
        <v>1107</v>
      </c>
      <c r="HQ90" s="240" t="s">
        <v>1107</v>
      </c>
      <c r="HR90" s="240" t="s">
        <v>1107</v>
      </c>
      <c r="HS90" s="240" t="s">
        <v>1107</v>
      </c>
      <c r="HT90" s="240" t="s">
        <v>231</v>
      </c>
      <c r="HU90" s="240" t="s">
        <v>231</v>
      </c>
      <c r="HV90" s="240" t="s">
        <v>231</v>
      </c>
      <c r="HW90" s="240" t="s">
        <v>231</v>
      </c>
      <c r="HX90" s="240" t="s">
        <v>220</v>
      </c>
      <c r="HY90" s="240" t="s">
        <v>493</v>
      </c>
      <c r="HZ90" s="240" t="s">
        <v>219</v>
      </c>
      <c r="IA90" s="240" t="s">
        <v>490</v>
      </c>
      <c r="IB90" s="240" t="s">
        <v>1107</v>
      </c>
      <c r="IC90" s="240" t="s">
        <v>1107</v>
      </c>
    </row>
    <row r="91" spans="1:237" ht="15" x14ac:dyDescent="0.25">
      <c r="A91" s="243" t="str">
        <f>HYPERLINK("http://www.ofsted.gov.uk/inspection-reports/find-inspection-report/provider/ELS/105748 ","Ofsted School Webpage")</f>
        <v>Ofsted School Webpage</v>
      </c>
      <c r="B91" s="237">
        <v>105748</v>
      </c>
      <c r="C91" s="237">
        <v>3536015</v>
      </c>
      <c r="D91" s="237" t="s">
        <v>879</v>
      </c>
      <c r="E91" s="237" t="s">
        <v>248</v>
      </c>
      <c r="F91" s="237" t="s">
        <v>495</v>
      </c>
      <c r="G91" s="237" t="s">
        <v>495</v>
      </c>
      <c r="H91" s="237" t="s">
        <v>880</v>
      </c>
      <c r="I91" s="237" t="s">
        <v>881</v>
      </c>
      <c r="J91" s="237" t="s">
        <v>93</v>
      </c>
      <c r="K91" s="237" t="s">
        <v>93</v>
      </c>
      <c r="L91" s="237" t="s">
        <v>93</v>
      </c>
      <c r="M91" s="237" t="s">
        <v>90</v>
      </c>
      <c r="N91" s="237" t="s">
        <v>486</v>
      </c>
      <c r="O91" s="237" t="s">
        <v>487</v>
      </c>
      <c r="P91" s="237">
        <v>10086948</v>
      </c>
      <c r="Q91" s="239">
        <v>43447</v>
      </c>
      <c r="R91" s="239">
        <v>43447</v>
      </c>
      <c r="S91" s="239">
        <v>43486</v>
      </c>
      <c r="T91" s="237" t="s">
        <v>1104</v>
      </c>
      <c r="U91" s="237" t="s">
        <v>1105</v>
      </c>
      <c r="V91" s="237" t="s">
        <v>512</v>
      </c>
      <c r="W91" s="237" t="s">
        <v>486</v>
      </c>
      <c r="X91" s="237" t="s">
        <v>486</v>
      </c>
      <c r="Y91" s="237" t="s">
        <v>490</v>
      </c>
      <c r="Z91" s="237" t="s">
        <v>486</v>
      </c>
      <c r="AA91" s="237" t="s">
        <v>486</v>
      </c>
      <c r="AB91" s="237" t="s">
        <v>486</v>
      </c>
      <c r="AC91" s="237" t="s">
        <v>486</v>
      </c>
      <c r="AD91" s="237" t="s">
        <v>1106</v>
      </c>
      <c r="AE91" s="237" t="s">
        <v>1107</v>
      </c>
      <c r="AF91" s="237" t="s">
        <v>1107</v>
      </c>
      <c r="AG91" s="237" t="s">
        <v>1107</v>
      </c>
      <c r="AH91" s="237" t="s">
        <v>1107</v>
      </c>
      <c r="AI91" s="237" t="s">
        <v>1107</v>
      </c>
      <c r="AJ91" s="237" t="s">
        <v>1107</v>
      </c>
      <c r="AK91" s="237" t="s">
        <v>1107</v>
      </c>
      <c r="AL91" s="237" t="s">
        <v>1107</v>
      </c>
      <c r="AM91" s="237" t="s">
        <v>1107</v>
      </c>
      <c r="AN91" s="237" t="s">
        <v>1107</v>
      </c>
      <c r="AO91" s="237" t="s">
        <v>1107</v>
      </c>
      <c r="AP91" s="237" t="s">
        <v>1107</v>
      </c>
      <c r="AQ91" s="237" t="s">
        <v>1107</v>
      </c>
      <c r="AR91" s="237" t="s">
        <v>1107</v>
      </c>
      <c r="AS91" s="237" t="s">
        <v>1107</v>
      </c>
      <c r="AT91" s="237" t="s">
        <v>1107</v>
      </c>
      <c r="AU91" s="237" t="s">
        <v>1107</v>
      </c>
      <c r="AV91" s="237" t="s">
        <v>1107</v>
      </c>
      <c r="AW91" s="237" t="s">
        <v>1107</v>
      </c>
      <c r="AX91" s="237" t="s">
        <v>1107</v>
      </c>
      <c r="AY91" s="237" t="s">
        <v>1107</v>
      </c>
      <c r="AZ91" s="237" t="s">
        <v>1107</v>
      </c>
      <c r="BA91" s="237" t="s">
        <v>1107</v>
      </c>
      <c r="BB91" s="237" t="s">
        <v>1107</v>
      </c>
      <c r="BC91" s="237" t="s">
        <v>1107</v>
      </c>
      <c r="BD91" s="237" t="s">
        <v>1107</v>
      </c>
      <c r="BE91" s="237" t="s">
        <v>1107</v>
      </c>
      <c r="BF91" s="237" t="s">
        <v>1107</v>
      </c>
      <c r="BG91" s="237" t="s">
        <v>1107</v>
      </c>
      <c r="BH91" s="237" t="s">
        <v>1107</v>
      </c>
      <c r="BI91" s="237" t="s">
        <v>1107</v>
      </c>
      <c r="BJ91" s="237" t="s">
        <v>1107</v>
      </c>
      <c r="BK91" s="237" t="s">
        <v>1107</v>
      </c>
      <c r="BL91" s="237" t="s">
        <v>1107</v>
      </c>
      <c r="BM91" s="237" t="s">
        <v>1107</v>
      </c>
      <c r="BN91" s="237" t="s">
        <v>1107</v>
      </c>
      <c r="BO91" s="237" t="s">
        <v>1107</v>
      </c>
      <c r="BP91" s="237" t="s">
        <v>1107</v>
      </c>
      <c r="BQ91" s="237" t="s">
        <v>1107</v>
      </c>
      <c r="BR91" s="237" t="s">
        <v>1107</v>
      </c>
      <c r="BS91" s="237" t="s">
        <v>1107</v>
      </c>
      <c r="BT91" s="237" t="s">
        <v>1107</v>
      </c>
      <c r="BU91" s="237" t="s">
        <v>1107</v>
      </c>
      <c r="BV91" s="237" t="s">
        <v>1107</v>
      </c>
      <c r="BW91" s="237" t="s">
        <v>1107</v>
      </c>
      <c r="BX91" s="237" t="s">
        <v>1107</v>
      </c>
      <c r="BY91" s="237" t="s">
        <v>1107</v>
      </c>
      <c r="BZ91" s="237" t="s">
        <v>231</v>
      </c>
      <c r="CA91" s="237" t="s">
        <v>231</v>
      </c>
      <c r="CB91" s="237" t="s">
        <v>231</v>
      </c>
      <c r="CC91" s="237" t="s">
        <v>1107</v>
      </c>
      <c r="CD91" s="237" t="s">
        <v>1107</v>
      </c>
      <c r="CE91" s="237" t="s">
        <v>1107</v>
      </c>
      <c r="CF91" s="237" t="s">
        <v>1107</v>
      </c>
      <c r="CG91" s="237" t="s">
        <v>1107</v>
      </c>
      <c r="CH91" s="237" t="s">
        <v>1107</v>
      </c>
      <c r="CI91" s="237" t="s">
        <v>1107</v>
      </c>
      <c r="CJ91" s="237" t="s">
        <v>1107</v>
      </c>
      <c r="CK91" s="237" t="s">
        <v>1107</v>
      </c>
      <c r="CL91" s="237" t="s">
        <v>1107</v>
      </c>
      <c r="CM91" s="237" t="s">
        <v>1107</v>
      </c>
      <c r="CN91" s="237" t="s">
        <v>1107</v>
      </c>
      <c r="CO91" s="237" t="s">
        <v>1107</v>
      </c>
      <c r="CP91" s="237" t="s">
        <v>1107</v>
      </c>
      <c r="CQ91" s="237" t="s">
        <v>1107</v>
      </c>
      <c r="CR91" s="237" t="s">
        <v>1107</v>
      </c>
      <c r="CS91" s="237" t="s">
        <v>1107</v>
      </c>
      <c r="CT91" s="237" t="s">
        <v>1107</v>
      </c>
      <c r="CU91" s="237" t="s">
        <v>1107</v>
      </c>
      <c r="CV91" s="237" t="s">
        <v>1107</v>
      </c>
      <c r="CW91" s="237" t="s">
        <v>1107</v>
      </c>
      <c r="CX91" s="237" t="s">
        <v>1107</v>
      </c>
      <c r="CY91" s="237" t="s">
        <v>1107</v>
      </c>
      <c r="CZ91" s="237" t="s">
        <v>1107</v>
      </c>
      <c r="DA91" s="237" t="s">
        <v>1107</v>
      </c>
      <c r="DB91" s="237" t="s">
        <v>1107</v>
      </c>
      <c r="DC91" s="237" t="s">
        <v>1107</v>
      </c>
      <c r="DD91" s="237" t="s">
        <v>1107</v>
      </c>
      <c r="DE91" s="237" t="s">
        <v>1107</v>
      </c>
      <c r="DF91" s="237" t="s">
        <v>1107</v>
      </c>
      <c r="DG91" s="237" t="s">
        <v>1107</v>
      </c>
      <c r="DH91" s="237" t="s">
        <v>1107</v>
      </c>
      <c r="DI91" s="237" t="s">
        <v>1107</v>
      </c>
      <c r="DJ91" s="237" t="s">
        <v>1107</v>
      </c>
      <c r="DK91" s="237" t="s">
        <v>1107</v>
      </c>
      <c r="DL91" s="237" t="s">
        <v>1107</v>
      </c>
      <c r="DM91" s="237" t="s">
        <v>1107</v>
      </c>
      <c r="DN91" s="237" t="s">
        <v>1107</v>
      </c>
      <c r="DO91" s="237" t="s">
        <v>1107</v>
      </c>
      <c r="DP91" s="237" t="s">
        <v>1107</v>
      </c>
      <c r="DQ91" s="237" t="s">
        <v>1107</v>
      </c>
      <c r="DR91" s="237" t="s">
        <v>1107</v>
      </c>
      <c r="DS91" s="237" t="s">
        <v>1107</v>
      </c>
      <c r="DT91" s="237" t="s">
        <v>1107</v>
      </c>
      <c r="DU91" s="237" t="s">
        <v>1107</v>
      </c>
      <c r="DV91" s="237" t="s">
        <v>1107</v>
      </c>
      <c r="DW91" s="237" t="s">
        <v>1107</v>
      </c>
      <c r="DX91" s="237" t="s">
        <v>1107</v>
      </c>
      <c r="DY91" s="237" t="s">
        <v>1107</v>
      </c>
      <c r="DZ91" s="237" t="s">
        <v>1107</v>
      </c>
      <c r="EA91" s="237" t="s">
        <v>1107</v>
      </c>
      <c r="EB91" s="237" t="s">
        <v>1107</v>
      </c>
      <c r="EC91" s="237" t="s">
        <v>1107</v>
      </c>
      <c r="ED91" s="237" t="s">
        <v>1107</v>
      </c>
      <c r="EE91" s="237" t="s">
        <v>1107</v>
      </c>
      <c r="EF91" s="237" t="s">
        <v>1107</v>
      </c>
      <c r="EG91" s="237" t="s">
        <v>1107</v>
      </c>
      <c r="EH91" s="237" t="s">
        <v>1107</v>
      </c>
      <c r="EI91" s="237" t="s">
        <v>1107</v>
      </c>
      <c r="EJ91" s="237" t="s">
        <v>1107</v>
      </c>
      <c r="EK91" s="237" t="s">
        <v>1107</v>
      </c>
      <c r="EL91" s="237" t="s">
        <v>1107</v>
      </c>
      <c r="EM91" s="237" t="s">
        <v>1107</v>
      </c>
      <c r="EN91" s="237" t="s">
        <v>1107</v>
      </c>
      <c r="EO91" s="237" t="s">
        <v>1107</v>
      </c>
      <c r="EP91" s="237" t="s">
        <v>1107</v>
      </c>
      <c r="EQ91" s="237" t="s">
        <v>1107</v>
      </c>
      <c r="ER91" s="237" t="s">
        <v>1107</v>
      </c>
      <c r="ES91" s="237" t="s">
        <v>1107</v>
      </c>
      <c r="ET91" s="237" t="s">
        <v>1107</v>
      </c>
      <c r="EU91" s="237" t="s">
        <v>1107</v>
      </c>
      <c r="EV91" s="237" t="s">
        <v>1107</v>
      </c>
      <c r="EW91" s="237" t="s">
        <v>1107</v>
      </c>
      <c r="EX91" s="237" t="s">
        <v>1107</v>
      </c>
      <c r="EY91" s="237" t="s">
        <v>1107</v>
      </c>
      <c r="EZ91" s="237" t="s">
        <v>231</v>
      </c>
      <c r="FA91" s="237" t="s">
        <v>231</v>
      </c>
      <c r="FB91" s="237" t="s">
        <v>231</v>
      </c>
      <c r="FC91" s="237" t="s">
        <v>231</v>
      </c>
      <c r="FD91" s="237" t="s">
        <v>231</v>
      </c>
      <c r="FE91" s="237" t="s">
        <v>231</v>
      </c>
      <c r="FF91" s="237" t="s">
        <v>231</v>
      </c>
      <c r="FG91" s="237" t="s">
        <v>492</v>
      </c>
      <c r="FH91" s="237" t="s">
        <v>231</v>
      </c>
      <c r="FI91" s="237" t="s">
        <v>231</v>
      </c>
      <c r="FJ91" s="237" t="s">
        <v>231</v>
      </c>
      <c r="FK91" s="237" t="s">
        <v>231</v>
      </c>
      <c r="FL91" s="237" t="s">
        <v>231</v>
      </c>
      <c r="FM91" s="237" t="s">
        <v>231</v>
      </c>
      <c r="FN91" s="237" t="s">
        <v>231</v>
      </c>
      <c r="FO91" s="237" t="s">
        <v>231</v>
      </c>
      <c r="FP91" s="237" t="s">
        <v>231</v>
      </c>
      <c r="FQ91" s="237" t="s">
        <v>231</v>
      </c>
      <c r="FR91" s="237" t="s">
        <v>231</v>
      </c>
      <c r="FS91" s="237" t="s">
        <v>231</v>
      </c>
      <c r="FT91" s="237" t="s">
        <v>231</v>
      </c>
      <c r="FU91" s="237" t="s">
        <v>231</v>
      </c>
      <c r="FV91" s="237" t="s">
        <v>231</v>
      </c>
      <c r="FW91" s="237" t="s">
        <v>231</v>
      </c>
      <c r="FX91" s="237" t="s">
        <v>231</v>
      </c>
      <c r="FY91" s="237" t="s">
        <v>492</v>
      </c>
      <c r="FZ91" s="237" t="s">
        <v>231</v>
      </c>
      <c r="GA91" s="237" t="s">
        <v>1107</v>
      </c>
      <c r="GB91" s="237" t="s">
        <v>1107</v>
      </c>
      <c r="GC91" s="237" t="s">
        <v>231</v>
      </c>
      <c r="GD91" s="237" t="s">
        <v>1107</v>
      </c>
      <c r="GE91" s="237" t="s">
        <v>1107</v>
      </c>
      <c r="GF91" s="237" t="s">
        <v>1107</v>
      </c>
      <c r="GG91" s="237" t="s">
        <v>1107</v>
      </c>
      <c r="GH91" s="237" t="s">
        <v>1107</v>
      </c>
      <c r="GI91" s="237" t="s">
        <v>1107</v>
      </c>
      <c r="GJ91" s="237" t="s">
        <v>1107</v>
      </c>
      <c r="GK91" s="237" t="s">
        <v>1107</v>
      </c>
      <c r="GL91" s="237" t="s">
        <v>1107</v>
      </c>
      <c r="GM91" s="237" t="s">
        <v>1107</v>
      </c>
      <c r="GN91" s="237" t="s">
        <v>1107</v>
      </c>
      <c r="GO91" s="237" t="s">
        <v>1107</v>
      </c>
      <c r="GP91" s="237" t="s">
        <v>1107</v>
      </c>
      <c r="GQ91" s="237" t="s">
        <v>1107</v>
      </c>
      <c r="GR91" s="237" t="s">
        <v>1107</v>
      </c>
      <c r="GS91" s="237" t="s">
        <v>1107</v>
      </c>
      <c r="GT91" s="237" t="s">
        <v>1107</v>
      </c>
      <c r="GU91" s="237" t="s">
        <v>1107</v>
      </c>
      <c r="GV91" s="237" t="s">
        <v>1107</v>
      </c>
      <c r="GW91" s="237" t="s">
        <v>1107</v>
      </c>
      <c r="GX91" s="237" t="s">
        <v>1107</v>
      </c>
      <c r="GY91" s="237" t="s">
        <v>1107</v>
      </c>
      <c r="GZ91" s="237" t="s">
        <v>1107</v>
      </c>
      <c r="HA91" s="237" t="s">
        <v>1107</v>
      </c>
      <c r="HB91" s="237" t="s">
        <v>1107</v>
      </c>
      <c r="HC91" s="237" t="s">
        <v>1107</v>
      </c>
      <c r="HD91" s="237" t="s">
        <v>1107</v>
      </c>
      <c r="HE91" s="237" t="s">
        <v>1107</v>
      </c>
      <c r="HF91" s="237" t="s">
        <v>1107</v>
      </c>
      <c r="HG91" s="237" t="s">
        <v>1107</v>
      </c>
      <c r="HH91" s="237" t="s">
        <v>1107</v>
      </c>
      <c r="HI91" s="237" t="s">
        <v>1107</v>
      </c>
      <c r="HJ91" s="237" t="s">
        <v>1107</v>
      </c>
      <c r="HK91" s="237" t="s">
        <v>1107</v>
      </c>
      <c r="HL91" s="237" t="s">
        <v>1107</v>
      </c>
      <c r="HM91" s="237" t="s">
        <v>1107</v>
      </c>
      <c r="HN91" s="237" t="s">
        <v>1107</v>
      </c>
      <c r="HO91" s="237" t="s">
        <v>1107</v>
      </c>
      <c r="HP91" s="237" t="s">
        <v>1107</v>
      </c>
      <c r="HQ91" s="237" t="s">
        <v>1107</v>
      </c>
      <c r="HR91" s="237" t="s">
        <v>1107</v>
      </c>
      <c r="HS91" s="237" t="s">
        <v>1107</v>
      </c>
      <c r="HT91" s="237" t="s">
        <v>1107</v>
      </c>
      <c r="HU91" s="237" t="s">
        <v>1107</v>
      </c>
      <c r="HV91" s="237" t="s">
        <v>1107</v>
      </c>
      <c r="HW91" s="237" t="s">
        <v>1107</v>
      </c>
      <c r="HX91" s="237" t="s">
        <v>597</v>
      </c>
      <c r="HY91" s="237" t="s">
        <v>597</v>
      </c>
      <c r="HZ91" s="237" t="s">
        <v>597</v>
      </c>
      <c r="IA91" s="237" t="s">
        <v>490</v>
      </c>
      <c r="IB91" s="237" t="s">
        <v>1107</v>
      </c>
      <c r="IC91" s="237" t="s">
        <v>1107</v>
      </c>
    </row>
    <row r="92" spans="1:237" ht="15" x14ac:dyDescent="0.25">
      <c r="A92" s="244" t="str">
        <f>HYPERLINK("http://www.ofsted.gov.uk/inspection-reports/find-inspection-report/provider/ELS/143936 ","Ofsted School Webpage")</f>
        <v>Ofsted School Webpage</v>
      </c>
      <c r="B92" s="240">
        <v>143936</v>
      </c>
      <c r="C92" s="240">
        <v>8886069</v>
      </c>
      <c r="D92" s="240" t="s">
        <v>1286</v>
      </c>
      <c r="E92" s="240" t="s">
        <v>248</v>
      </c>
      <c r="F92" s="240" t="s">
        <v>495</v>
      </c>
      <c r="G92" s="240" t="s">
        <v>495</v>
      </c>
      <c r="H92" s="240" t="s">
        <v>534</v>
      </c>
      <c r="I92" s="240" t="s">
        <v>1287</v>
      </c>
      <c r="J92" s="240" t="s">
        <v>93</v>
      </c>
      <c r="K92" s="240" t="s">
        <v>93</v>
      </c>
      <c r="L92" s="240" t="s">
        <v>93</v>
      </c>
      <c r="M92" s="240" t="s">
        <v>90</v>
      </c>
      <c r="N92" s="240" t="s">
        <v>486</v>
      </c>
      <c r="O92" s="240" t="s">
        <v>487</v>
      </c>
      <c r="P92" s="240">
        <v>10085990</v>
      </c>
      <c r="Q92" s="242">
        <v>43448</v>
      </c>
      <c r="R92" s="242">
        <v>43448</v>
      </c>
      <c r="S92" s="242">
        <v>43481</v>
      </c>
      <c r="T92" s="240" t="s">
        <v>1104</v>
      </c>
      <c r="U92" s="240" t="s">
        <v>1105</v>
      </c>
      <c r="V92" s="240" t="s">
        <v>490</v>
      </c>
      <c r="W92" s="240" t="s">
        <v>486</v>
      </c>
      <c r="X92" s="240" t="s">
        <v>486</v>
      </c>
      <c r="Y92" s="240" t="s">
        <v>486</v>
      </c>
      <c r="Z92" s="240" t="s">
        <v>486</v>
      </c>
      <c r="AA92" s="240" t="s">
        <v>486</v>
      </c>
      <c r="AB92" s="240" t="s">
        <v>486</v>
      </c>
      <c r="AC92" s="240" t="s">
        <v>486</v>
      </c>
      <c r="AD92" s="240" t="s">
        <v>1106</v>
      </c>
      <c r="AE92" s="240" t="s">
        <v>231</v>
      </c>
      <c r="AF92" s="240" t="s">
        <v>231</v>
      </c>
      <c r="AG92" s="240" t="s">
        <v>231</v>
      </c>
      <c r="AH92" s="240" t="s">
        <v>231</v>
      </c>
      <c r="AI92" s="240" t="s">
        <v>231</v>
      </c>
      <c r="AJ92" s="240" t="s">
        <v>231</v>
      </c>
      <c r="AK92" s="240" t="s">
        <v>231</v>
      </c>
      <c r="AL92" s="240" t="s">
        <v>231</v>
      </c>
      <c r="AM92" s="240" t="s">
        <v>492</v>
      </c>
      <c r="AN92" s="240" t="s">
        <v>231</v>
      </c>
      <c r="AO92" s="240" t="s">
        <v>231</v>
      </c>
      <c r="AP92" s="240" t="s">
        <v>231</v>
      </c>
      <c r="AQ92" s="240" t="s">
        <v>231</v>
      </c>
      <c r="AR92" s="240" t="s">
        <v>231</v>
      </c>
      <c r="AS92" s="240" t="s">
        <v>231</v>
      </c>
      <c r="AT92" s="240" t="s">
        <v>231</v>
      </c>
      <c r="AU92" s="240" t="s">
        <v>492</v>
      </c>
      <c r="AV92" s="240" t="s">
        <v>231</v>
      </c>
      <c r="AW92" s="240" t="s">
        <v>231</v>
      </c>
      <c r="AX92" s="240" t="s">
        <v>231</v>
      </c>
      <c r="AY92" s="240" t="s">
        <v>231</v>
      </c>
      <c r="AZ92" s="240" t="s">
        <v>231</v>
      </c>
      <c r="BA92" s="240" t="s">
        <v>231</v>
      </c>
      <c r="BB92" s="240" t="s">
        <v>231</v>
      </c>
      <c r="BC92" s="240" t="s">
        <v>231</v>
      </c>
      <c r="BD92" s="240" t="s">
        <v>231</v>
      </c>
      <c r="BE92" s="240" t="s">
        <v>231</v>
      </c>
      <c r="BF92" s="240" t="s">
        <v>231</v>
      </c>
      <c r="BG92" s="240" t="s">
        <v>231</v>
      </c>
      <c r="BH92" s="240" t="s">
        <v>231</v>
      </c>
      <c r="BI92" s="240" t="s">
        <v>231</v>
      </c>
      <c r="BJ92" s="240" t="s">
        <v>231</v>
      </c>
      <c r="BK92" s="240" t="s">
        <v>231</v>
      </c>
      <c r="BL92" s="240" t="s">
        <v>231</v>
      </c>
      <c r="BM92" s="240" t="s">
        <v>231</v>
      </c>
      <c r="BN92" s="240" t="s">
        <v>231</v>
      </c>
      <c r="BO92" s="240" t="s">
        <v>231</v>
      </c>
      <c r="BP92" s="240" t="s">
        <v>231</v>
      </c>
      <c r="BQ92" s="240" t="s">
        <v>231</v>
      </c>
      <c r="BR92" s="240" t="s">
        <v>231</v>
      </c>
      <c r="BS92" s="240" t="s">
        <v>231</v>
      </c>
      <c r="BT92" s="240" t="s">
        <v>231</v>
      </c>
      <c r="BU92" s="240" t="s">
        <v>231</v>
      </c>
      <c r="BV92" s="240" t="s">
        <v>231</v>
      </c>
      <c r="BW92" s="240" t="s">
        <v>231</v>
      </c>
      <c r="BX92" s="240" t="s">
        <v>231</v>
      </c>
      <c r="BY92" s="240" t="s">
        <v>231</v>
      </c>
      <c r="BZ92" s="240" t="s">
        <v>231</v>
      </c>
      <c r="CA92" s="240" t="s">
        <v>231</v>
      </c>
      <c r="CB92" s="240" t="s">
        <v>231</v>
      </c>
      <c r="CC92" s="240" t="s">
        <v>1107</v>
      </c>
      <c r="CD92" s="240" t="s">
        <v>1107</v>
      </c>
      <c r="CE92" s="240" t="s">
        <v>1107</v>
      </c>
      <c r="CF92" s="240" t="s">
        <v>1107</v>
      </c>
      <c r="CG92" s="240" t="s">
        <v>1107</v>
      </c>
      <c r="CH92" s="240" t="s">
        <v>1107</v>
      </c>
      <c r="CI92" s="240" t="s">
        <v>1107</v>
      </c>
      <c r="CJ92" s="240" t="s">
        <v>1107</v>
      </c>
      <c r="CK92" s="240" t="s">
        <v>231</v>
      </c>
      <c r="CL92" s="240" t="s">
        <v>231</v>
      </c>
      <c r="CM92" s="240" t="s">
        <v>1107</v>
      </c>
      <c r="CN92" s="240" t="s">
        <v>231</v>
      </c>
      <c r="CO92" s="240" t="s">
        <v>1107</v>
      </c>
      <c r="CP92" s="240" t="s">
        <v>231</v>
      </c>
      <c r="CQ92" s="240" t="s">
        <v>231</v>
      </c>
      <c r="CR92" s="240" t="s">
        <v>231</v>
      </c>
      <c r="CS92" s="240" t="s">
        <v>231</v>
      </c>
      <c r="CT92" s="240" t="s">
        <v>231</v>
      </c>
      <c r="CU92" s="240" t="s">
        <v>231</v>
      </c>
      <c r="CV92" s="240" t="s">
        <v>231</v>
      </c>
      <c r="CW92" s="240" t="s">
        <v>231</v>
      </c>
      <c r="CX92" s="240" t="s">
        <v>231</v>
      </c>
      <c r="CY92" s="240" t="s">
        <v>231</v>
      </c>
      <c r="CZ92" s="240" t="s">
        <v>231</v>
      </c>
      <c r="DA92" s="240" t="s">
        <v>231</v>
      </c>
      <c r="DB92" s="240" t="s">
        <v>492</v>
      </c>
      <c r="DC92" s="240" t="s">
        <v>492</v>
      </c>
      <c r="DD92" s="240" t="s">
        <v>231</v>
      </c>
      <c r="DE92" s="240" t="s">
        <v>231</v>
      </c>
      <c r="DF92" s="240" t="s">
        <v>231</v>
      </c>
      <c r="DG92" s="240" t="s">
        <v>231</v>
      </c>
      <c r="DH92" s="240" t="s">
        <v>231</v>
      </c>
      <c r="DI92" s="240" t="s">
        <v>231</v>
      </c>
      <c r="DJ92" s="240" t="s">
        <v>231</v>
      </c>
      <c r="DK92" s="240" t="s">
        <v>231</v>
      </c>
      <c r="DL92" s="240" t="s">
        <v>231</v>
      </c>
      <c r="DM92" s="240" t="s">
        <v>231</v>
      </c>
      <c r="DN92" s="240" t="s">
        <v>231</v>
      </c>
      <c r="DO92" s="240" t="s">
        <v>231</v>
      </c>
      <c r="DP92" s="240" t="s">
        <v>231</v>
      </c>
      <c r="DQ92" s="240" t="s">
        <v>492</v>
      </c>
      <c r="DR92" s="240" t="s">
        <v>231</v>
      </c>
      <c r="DS92" s="240" t="s">
        <v>231</v>
      </c>
      <c r="DT92" s="240" t="s">
        <v>231</v>
      </c>
      <c r="DU92" s="240" t="s">
        <v>231</v>
      </c>
      <c r="DV92" s="240" t="s">
        <v>231</v>
      </c>
      <c r="DW92" s="240" t="s">
        <v>231</v>
      </c>
      <c r="DX92" s="240" t="s">
        <v>231</v>
      </c>
      <c r="DY92" s="240" t="s">
        <v>231</v>
      </c>
      <c r="DZ92" s="240" t="s">
        <v>492</v>
      </c>
      <c r="EA92" s="240" t="s">
        <v>231</v>
      </c>
      <c r="EB92" s="240" t="s">
        <v>231</v>
      </c>
      <c r="EC92" s="240" t="s">
        <v>231</v>
      </c>
      <c r="ED92" s="240" t="s">
        <v>231</v>
      </c>
      <c r="EE92" s="240" t="s">
        <v>231</v>
      </c>
      <c r="EF92" s="240" t="s">
        <v>231</v>
      </c>
      <c r="EG92" s="240" t="s">
        <v>231</v>
      </c>
      <c r="EH92" s="240" t="s">
        <v>231</v>
      </c>
      <c r="EI92" s="240" t="s">
        <v>231</v>
      </c>
      <c r="EJ92" s="240" t="s">
        <v>231</v>
      </c>
      <c r="EK92" s="240" t="s">
        <v>231</v>
      </c>
      <c r="EL92" s="240" t="s">
        <v>231</v>
      </c>
      <c r="EM92" s="240" t="s">
        <v>231</v>
      </c>
      <c r="EN92" s="240" t="s">
        <v>231</v>
      </c>
      <c r="EO92" s="240" t="s">
        <v>492</v>
      </c>
      <c r="EP92" s="240" t="s">
        <v>231</v>
      </c>
      <c r="EQ92" s="240" t="s">
        <v>231</v>
      </c>
      <c r="ER92" s="240" t="s">
        <v>231</v>
      </c>
      <c r="ES92" s="240" t="s">
        <v>231</v>
      </c>
      <c r="ET92" s="240" t="s">
        <v>492</v>
      </c>
      <c r="EU92" s="240" t="s">
        <v>231</v>
      </c>
      <c r="EV92" s="240" t="s">
        <v>231</v>
      </c>
      <c r="EW92" s="240" t="s">
        <v>492</v>
      </c>
      <c r="EX92" s="240" t="s">
        <v>231</v>
      </c>
      <c r="EY92" s="240" t="s">
        <v>231</v>
      </c>
      <c r="EZ92" s="240" t="s">
        <v>231</v>
      </c>
      <c r="FA92" s="240" t="s">
        <v>231</v>
      </c>
      <c r="FB92" s="240" t="s">
        <v>231</v>
      </c>
      <c r="FC92" s="240" t="s">
        <v>231</v>
      </c>
      <c r="FD92" s="240" t="s">
        <v>231</v>
      </c>
      <c r="FE92" s="240" t="s">
        <v>231</v>
      </c>
      <c r="FF92" s="240" t="s">
        <v>231</v>
      </c>
      <c r="FG92" s="240" t="s">
        <v>492</v>
      </c>
      <c r="FH92" s="240" t="s">
        <v>231</v>
      </c>
      <c r="FI92" s="240" t="s">
        <v>231</v>
      </c>
      <c r="FJ92" s="240" t="s">
        <v>231</v>
      </c>
      <c r="FK92" s="240" t="s">
        <v>231</v>
      </c>
      <c r="FL92" s="240" t="s">
        <v>231</v>
      </c>
      <c r="FM92" s="240" t="s">
        <v>231</v>
      </c>
      <c r="FN92" s="240" t="s">
        <v>231</v>
      </c>
      <c r="FO92" s="240" t="s">
        <v>231</v>
      </c>
      <c r="FP92" s="240" t="s">
        <v>231</v>
      </c>
      <c r="FQ92" s="240" t="s">
        <v>231</v>
      </c>
      <c r="FR92" s="240" t="s">
        <v>231</v>
      </c>
      <c r="FS92" s="240" t="s">
        <v>231</v>
      </c>
      <c r="FT92" s="240" t="s">
        <v>231</v>
      </c>
      <c r="FU92" s="240" t="s">
        <v>231</v>
      </c>
      <c r="FV92" s="240" t="s">
        <v>231</v>
      </c>
      <c r="FW92" s="240" t="s">
        <v>231</v>
      </c>
      <c r="FX92" s="240" t="s">
        <v>231</v>
      </c>
      <c r="FY92" s="240" t="s">
        <v>1107</v>
      </c>
      <c r="FZ92" s="240" t="s">
        <v>1107</v>
      </c>
      <c r="GA92" s="240" t="s">
        <v>1107</v>
      </c>
      <c r="GB92" s="240" t="s">
        <v>1107</v>
      </c>
      <c r="GC92" s="240" t="s">
        <v>1107</v>
      </c>
      <c r="GD92" s="240" t="s">
        <v>1107</v>
      </c>
      <c r="GE92" s="240" t="s">
        <v>1107</v>
      </c>
      <c r="GF92" s="240" t="s">
        <v>1107</v>
      </c>
      <c r="GG92" s="240" t="s">
        <v>1107</v>
      </c>
      <c r="GH92" s="240" t="s">
        <v>1107</v>
      </c>
      <c r="GI92" s="240" t="s">
        <v>1107</v>
      </c>
      <c r="GJ92" s="240" t="s">
        <v>1107</v>
      </c>
      <c r="GK92" s="240" t="s">
        <v>1107</v>
      </c>
      <c r="GL92" s="240" t="s">
        <v>1107</v>
      </c>
      <c r="GM92" s="240" t="s">
        <v>1107</v>
      </c>
      <c r="GN92" s="240" t="s">
        <v>1107</v>
      </c>
      <c r="GO92" s="240" t="s">
        <v>1107</v>
      </c>
      <c r="GP92" s="240" t="s">
        <v>1107</v>
      </c>
      <c r="GQ92" s="240" t="s">
        <v>1107</v>
      </c>
      <c r="GR92" s="240" t="s">
        <v>1107</v>
      </c>
      <c r="GS92" s="240" t="s">
        <v>1107</v>
      </c>
      <c r="GT92" s="240" t="s">
        <v>1107</v>
      </c>
      <c r="GU92" s="240" t="s">
        <v>1107</v>
      </c>
      <c r="GV92" s="240" t="s">
        <v>1107</v>
      </c>
      <c r="GW92" s="240" t="s">
        <v>1107</v>
      </c>
      <c r="GX92" s="240" t="s">
        <v>1107</v>
      </c>
      <c r="GY92" s="240" t="s">
        <v>1107</v>
      </c>
      <c r="GZ92" s="240" t="s">
        <v>1107</v>
      </c>
      <c r="HA92" s="240" t="s">
        <v>1107</v>
      </c>
      <c r="HB92" s="240" t="s">
        <v>1107</v>
      </c>
      <c r="HC92" s="240" t="s">
        <v>1107</v>
      </c>
      <c r="HD92" s="240" t="s">
        <v>1107</v>
      </c>
      <c r="HE92" s="240" t="s">
        <v>1107</v>
      </c>
      <c r="HF92" s="240" t="s">
        <v>1107</v>
      </c>
      <c r="HG92" s="240" t="s">
        <v>1107</v>
      </c>
      <c r="HH92" s="240" t="s">
        <v>1107</v>
      </c>
      <c r="HI92" s="240" t="s">
        <v>1107</v>
      </c>
      <c r="HJ92" s="240" t="s">
        <v>1107</v>
      </c>
      <c r="HK92" s="240" t="s">
        <v>1107</v>
      </c>
      <c r="HL92" s="240" t="s">
        <v>1107</v>
      </c>
      <c r="HM92" s="240" t="s">
        <v>1107</v>
      </c>
      <c r="HN92" s="240" t="s">
        <v>1107</v>
      </c>
      <c r="HO92" s="240" t="s">
        <v>1107</v>
      </c>
      <c r="HP92" s="240" t="s">
        <v>1107</v>
      </c>
      <c r="HQ92" s="240" t="s">
        <v>1107</v>
      </c>
      <c r="HR92" s="240" t="s">
        <v>1107</v>
      </c>
      <c r="HS92" s="240" t="s">
        <v>1107</v>
      </c>
      <c r="HT92" s="240" t="s">
        <v>231</v>
      </c>
      <c r="HU92" s="240" t="s">
        <v>231</v>
      </c>
      <c r="HV92" s="240" t="s">
        <v>231</v>
      </c>
      <c r="HW92" s="240" t="s">
        <v>231</v>
      </c>
      <c r="HX92" s="240" t="s">
        <v>220</v>
      </c>
      <c r="HY92" s="240" t="s">
        <v>493</v>
      </c>
      <c r="HZ92" s="240" t="s">
        <v>219</v>
      </c>
      <c r="IA92" s="240" t="s">
        <v>490</v>
      </c>
      <c r="IB92" s="240" t="s">
        <v>492</v>
      </c>
      <c r="IC92" s="240" t="s">
        <v>492</v>
      </c>
    </row>
    <row r="93" spans="1:237" ht="15" x14ac:dyDescent="0.25">
      <c r="A93" s="243" t="str">
        <f>HYPERLINK("http://www.ofsted.gov.uk/inspection-reports/find-inspection-report/provider/ELS/135097 ","Ofsted School Webpage")</f>
        <v>Ofsted School Webpage</v>
      </c>
      <c r="B93" s="237">
        <v>135097</v>
      </c>
      <c r="C93" s="237">
        <v>9166081</v>
      </c>
      <c r="D93" s="237" t="s">
        <v>1288</v>
      </c>
      <c r="E93" s="237" t="s">
        <v>247</v>
      </c>
      <c r="F93" s="237" t="s">
        <v>483</v>
      </c>
      <c r="G93" s="237" t="s">
        <v>483</v>
      </c>
      <c r="H93" s="237" t="s">
        <v>948</v>
      </c>
      <c r="I93" s="237" t="s">
        <v>1289</v>
      </c>
      <c r="J93" s="237" t="s">
        <v>93</v>
      </c>
      <c r="K93" s="237" t="s">
        <v>84</v>
      </c>
      <c r="L93" s="237" t="s">
        <v>84</v>
      </c>
      <c r="M93" s="237" t="s">
        <v>84</v>
      </c>
      <c r="N93" s="237" t="s">
        <v>486</v>
      </c>
      <c r="O93" s="237" t="s">
        <v>487</v>
      </c>
      <c r="P93" s="237">
        <v>10082470</v>
      </c>
      <c r="Q93" s="239">
        <v>43451</v>
      </c>
      <c r="R93" s="239">
        <v>43451</v>
      </c>
      <c r="S93" s="239">
        <v>43489</v>
      </c>
      <c r="T93" s="237" t="s">
        <v>1124</v>
      </c>
      <c r="U93" s="237" t="s">
        <v>1105</v>
      </c>
      <c r="V93" s="237" t="s">
        <v>512</v>
      </c>
      <c r="W93" s="237" t="s">
        <v>486</v>
      </c>
      <c r="X93" s="237" t="s">
        <v>486</v>
      </c>
      <c r="Y93" s="237" t="s">
        <v>490</v>
      </c>
      <c r="Z93" s="237" t="s">
        <v>486</v>
      </c>
      <c r="AA93" s="237" t="s">
        <v>486</v>
      </c>
      <c r="AB93" s="237" t="s">
        <v>486</v>
      </c>
      <c r="AC93" s="237" t="s">
        <v>486</v>
      </c>
      <c r="AD93" s="237" t="s">
        <v>1136</v>
      </c>
      <c r="AE93" s="237" t="s">
        <v>1107</v>
      </c>
      <c r="AF93" s="237" t="s">
        <v>1107</v>
      </c>
      <c r="AG93" s="237" t="s">
        <v>1107</v>
      </c>
      <c r="AH93" s="237" t="s">
        <v>1107</v>
      </c>
      <c r="AI93" s="237" t="s">
        <v>1107</v>
      </c>
      <c r="AJ93" s="237" t="s">
        <v>1107</v>
      </c>
      <c r="AK93" s="237" t="s">
        <v>1107</v>
      </c>
      <c r="AL93" s="237" t="s">
        <v>1107</v>
      </c>
      <c r="AM93" s="237" t="s">
        <v>1107</v>
      </c>
      <c r="AN93" s="237" t="s">
        <v>1107</v>
      </c>
      <c r="AO93" s="237" t="s">
        <v>1107</v>
      </c>
      <c r="AP93" s="237" t="s">
        <v>1107</v>
      </c>
      <c r="AQ93" s="237" t="s">
        <v>1107</v>
      </c>
      <c r="AR93" s="237" t="s">
        <v>1107</v>
      </c>
      <c r="AS93" s="237" t="s">
        <v>1107</v>
      </c>
      <c r="AT93" s="237" t="s">
        <v>1107</v>
      </c>
      <c r="AU93" s="237" t="s">
        <v>1107</v>
      </c>
      <c r="AV93" s="237" t="s">
        <v>1107</v>
      </c>
      <c r="AW93" s="237" t="s">
        <v>1107</v>
      </c>
      <c r="AX93" s="237" t="s">
        <v>1107</v>
      </c>
      <c r="AY93" s="237" t="s">
        <v>232</v>
      </c>
      <c r="AZ93" s="237" t="s">
        <v>232</v>
      </c>
      <c r="BA93" s="237" t="s">
        <v>1107</v>
      </c>
      <c r="BB93" s="237" t="s">
        <v>1107</v>
      </c>
      <c r="BC93" s="237" t="s">
        <v>1107</v>
      </c>
      <c r="BD93" s="237" t="s">
        <v>1107</v>
      </c>
      <c r="BE93" s="237" t="s">
        <v>231</v>
      </c>
      <c r="BF93" s="237" t="s">
        <v>1107</v>
      </c>
      <c r="BG93" s="237" t="s">
        <v>1107</v>
      </c>
      <c r="BH93" s="237" t="s">
        <v>1107</v>
      </c>
      <c r="BI93" s="237" t="s">
        <v>1107</v>
      </c>
      <c r="BJ93" s="237" t="s">
        <v>1107</v>
      </c>
      <c r="BK93" s="237" t="s">
        <v>1107</v>
      </c>
      <c r="BL93" s="237" t="s">
        <v>1107</v>
      </c>
      <c r="BM93" s="237" t="s">
        <v>1107</v>
      </c>
      <c r="BN93" s="237" t="s">
        <v>1107</v>
      </c>
      <c r="BO93" s="237" t="s">
        <v>1107</v>
      </c>
      <c r="BP93" s="237" t="s">
        <v>1107</v>
      </c>
      <c r="BQ93" s="237" t="s">
        <v>1107</v>
      </c>
      <c r="BR93" s="237" t="s">
        <v>1107</v>
      </c>
      <c r="BS93" s="237" t="s">
        <v>1107</v>
      </c>
      <c r="BT93" s="237" t="s">
        <v>1107</v>
      </c>
      <c r="BU93" s="237" t="s">
        <v>1107</v>
      </c>
      <c r="BV93" s="237" t="s">
        <v>1107</v>
      </c>
      <c r="BW93" s="237" t="s">
        <v>1107</v>
      </c>
      <c r="BX93" s="237" t="s">
        <v>1107</v>
      </c>
      <c r="BY93" s="237" t="s">
        <v>1107</v>
      </c>
      <c r="BZ93" s="237" t="s">
        <v>231</v>
      </c>
      <c r="CA93" s="237" t="s">
        <v>231</v>
      </c>
      <c r="CB93" s="237" t="s">
        <v>231</v>
      </c>
      <c r="CC93" s="237" t="s">
        <v>1107</v>
      </c>
      <c r="CD93" s="237" t="s">
        <v>1107</v>
      </c>
      <c r="CE93" s="237" t="s">
        <v>1107</v>
      </c>
      <c r="CF93" s="237" t="s">
        <v>1107</v>
      </c>
      <c r="CG93" s="237" t="s">
        <v>1107</v>
      </c>
      <c r="CH93" s="237" t="s">
        <v>1107</v>
      </c>
      <c r="CI93" s="237" t="s">
        <v>1107</v>
      </c>
      <c r="CJ93" s="237" t="s">
        <v>1107</v>
      </c>
      <c r="CK93" s="237" t="s">
        <v>1107</v>
      </c>
      <c r="CL93" s="237" t="s">
        <v>231</v>
      </c>
      <c r="CM93" s="237" t="s">
        <v>1107</v>
      </c>
      <c r="CN93" s="237" t="s">
        <v>1107</v>
      </c>
      <c r="CO93" s="237" t="s">
        <v>1107</v>
      </c>
      <c r="CP93" s="237" t="s">
        <v>231</v>
      </c>
      <c r="CQ93" s="237" t="s">
        <v>231</v>
      </c>
      <c r="CR93" s="237" t="s">
        <v>231</v>
      </c>
      <c r="CS93" s="237" t="s">
        <v>1107</v>
      </c>
      <c r="CT93" s="237" t="s">
        <v>1107</v>
      </c>
      <c r="CU93" s="237" t="s">
        <v>1107</v>
      </c>
      <c r="CV93" s="237" t="s">
        <v>1107</v>
      </c>
      <c r="CW93" s="237" t="s">
        <v>1107</v>
      </c>
      <c r="CX93" s="237" t="s">
        <v>1107</v>
      </c>
      <c r="CY93" s="237" t="s">
        <v>1107</v>
      </c>
      <c r="CZ93" s="237" t="s">
        <v>1107</v>
      </c>
      <c r="DA93" s="237" t="s">
        <v>1107</v>
      </c>
      <c r="DB93" s="237" t="s">
        <v>1107</v>
      </c>
      <c r="DC93" s="237" t="s">
        <v>1107</v>
      </c>
      <c r="DD93" s="237" t="s">
        <v>1107</v>
      </c>
      <c r="DE93" s="237" t="s">
        <v>1107</v>
      </c>
      <c r="DF93" s="237" t="s">
        <v>1107</v>
      </c>
      <c r="DG93" s="237" t="s">
        <v>1107</v>
      </c>
      <c r="DH93" s="237" t="s">
        <v>1107</v>
      </c>
      <c r="DI93" s="237" t="s">
        <v>1107</v>
      </c>
      <c r="DJ93" s="237" t="s">
        <v>1107</v>
      </c>
      <c r="DK93" s="237" t="s">
        <v>1107</v>
      </c>
      <c r="DL93" s="237" t="s">
        <v>1107</v>
      </c>
      <c r="DM93" s="237" t="s">
        <v>1107</v>
      </c>
      <c r="DN93" s="237" t="s">
        <v>1107</v>
      </c>
      <c r="DO93" s="237" t="s">
        <v>1107</v>
      </c>
      <c r="DP93" s="237" t="s">
        <v>1107</v>
      </c>
      <c r="DQ93" s="237" t="s">
        <v>1107</v>
      </c>
      <c r="DR93" s="237" t="s">
        <v>1107</v>
      </c>
      <c r="DS93" s="237" t="s">
        <v>1107</v>
      </c>
      <c r="DT93" s="237" t="s">
        <v>1107</v>
      </c>
      <c r="DU93" s="237" t="s">
        <v>1107</v>
      </c>
      <c r="DV93" s="237" t="s">
        <v>1107</v>
      </c>
      <c r="DW93" s="237" t="s">
        <v>1107</v>
      </c>
      <c r="DX93" s="237" t="s">
        <v>1107</v>
      </c>
      <c r="DY93" s="237" t="s">
        <v>1107</v>
      </c>
      <c r="DZ93" s="237" t="s">
        <v>1107</v>
      </c>
      <c r="EA93" s="237" t="s">
        <v>1107</v>
      </c>
      <c r="EB93" s="237" t="s">
        <v>1107</v>
      </c>
      <c r="EC93" s="237" t="s">
        <v>1107</v>
      </c>
      <c r="ED93" s="237" t="s">
        <v>1107</v>
      </c>
      <c r="EE93" s="237" t="s">
        <v>1107</v>
      </c>
      <c r="EF93" s="237" t="s">
        <v>1107</v>
      </c>
      <c r="EG93" s="237" t="s">
        <v>1107</v>
      </c>
      <c r="EH93" s="237" t="s">
        <v>1107</v>
      </c>
      <c r="EI93" s="237" t="s">
        <v>1107</v>
      </c>
      <c r="EJ93" s="237" t="s">
        <v>1107</v>
      </c>
      <c r="EK93" s="237" t="s">
        <v>1107</v>
      </c>
      <c r="EL93" s="237" t="s">
        <v>1107</v>
      </c>
      <c r="EM93" s="237" t="s">
        <v>1107</v>
      </c>
      <c r="EN93" s="237" t="s">
        <v>1107</v>
      </c>
      <c r="EO93" s="237" t="s">
        <v>1107</v>
      </c>
      <c r="EP93" s="237" t="s">
        <v>1107</v>
      </c>
      <c r="EQ93" s="237" t="s">
        <v>1107</v>
      </c>
      <c r="ER93" s="237" t="s">
        <v>1107</v>
      </c>
      <c r="ES93" s="237" t="s">
        <v>1107</v>
      </c>
      <c r="ET93" s="237" t="s">
        <v>1107</v>
      </c>
      <c r="EU93" s="237" t="s">
        <v>1107</v>
      </c>
      <c r="EV93" s="237" t="s">
        <v>1107</v>
      </c>
      <c r="EW93" s="237" t="s">
        <v>1107</v>
      </c>
      <c r="EX93" s="237" t="s">
        <v>1107</v>
      </c>
      <c r="EY93" s="237" t="s">
        <v>1107</v>
      </c>
      <c r="EZ93" s="237" t="s">
        <v>1107</v>
      </c>
      <c r="FA93" s="237" t="s">
        <v>1107</v>
      </c>
      <c r="FB93" s="237" t="s">
        <v>1107</v>
      </c>
      <c r="FC93" s="237" t="s">
        <v>1107</v>
      </c>
      <c r="FD93" s="237" t="s">
        <v>1107</v>
      </c>
      <c r="FE93" s="237" t="s">
        <v>1107</v>
      </c>
      <c r="FF93" s="237" t="s">
        <v>1107</v>
      </c>
      <c r="FG93" s="237" t="s">
        <v>1107</v>
      </c>
      <c r="FH93" s="237" t="s">
        <v>1107</v>
      </c>
      <c r="FI93" s="237" t="s">
        <v>231</v>
      </c>
      <c r="FJ93" s="237" t="s">
        <v>1107</v>
      </c>
      <c r="FK93" s="237" t="s">
        <v>1107</v>
      </c>
      <c r="FL93" s="237" t="s">
        <v>1107</v>
      </c>
      <c r="FM93" s="237" t="s">
        <v>1107</v>
      </c>
      <c r="FN93" s="237" t="s">
        <v>1107</v>
      </c>
      <c r="FO93" s="237" t="s">
        <v>1107</v>
      </c>
      <c r="FP93" s="237" t="s">
        <v>1107</v>
      </c>
      <c r="FQ93" s="237" t="s">
        <v>1107</v>
      </c>
      <c r="FR93" s="237" t="s">
        <v>1107</v>
      </c>
      <c r="FS93" s="237" t="s">
        <v>1107</v>
      </c>
      <c r="FT93" s="237" t="s">
        <v>1107</v>
      </c>
      <c r="FU93" s="237" t="s">
        <v>1107</v>
      </c>
      <c r="FV93" s="237" t="s">
        <v>1107</v>
      </c>
      <c r="FW93" s="237" t="s">
        <v>1107</v>
      </c>
      <c r="FX93" s="237" t="s">
        <v>1107</v>
      </c>
      <c r="FY93" s="237" t="s">
        <v>1107</v>
      </c>
      <c r="FZ93" s="237" t="s">
        <v>1107</v>
      </c>
      <c r="GA93" s="237" t="s">
        <v>1107</v>
      </c>
      <c r="GB93" s="237" t="s">
        <v>1107</v>
      </c>
      <c r="GC93" s="237" t="s">
        <v>1107</v>
      </c>
      <c r="GD93" s="237" t="s">
        <v>1107</v>
      </c>
      <c r="GE93" s="237" t="s">
        <v>1107</v>
      </c>
      <c r="GF93" s="237" t="s">
        <v>1107</v>
      </c>
      <c r="GG93" s="237" t="s">
        <v>1107</v>
      </c>
      <c r="GH93" s="237" t="s">
        <v>1107</v>
      </c>
      <c r="GI93" s="237" t="s">
        <v>1107</v>
      </c>
      <c r="GJ93" s="237" t="s">
        <v>1107</v>
      </c>
      <c r="GK93" s="237" t="s">
        <v>1107</v>
      </c>
      <c r="GL93" s="237" t="s">
        <v>1107</v>
      </c>
      <c r="GM93" s="237" t="s">
        <v>1107</v>
      </c>
      <c r="GN93" s="237" t="s">
        <v>1107</v>
      </c>
      <c r="GO93" s="237" t="s">
        <v>1107</v>
      </c>
      <c r="GP93" s="237" t="s">
        <v>1107</v>
      </c>
      <c r="GQ93" s="237" t="s">
        <v>1107</v>
      </c>
      <c r="GR93" s="237" t="s">
        <v>1107</v>
      </c>
      <c r="GS93" s="237" t="s">
        <v>1107</v>
      </c>
      <c r="GT93" s="237" t="s">
        <v>1107</v>
      </c>
      <c r="GU93" s="237" t="s">
        <v>1107</v>
      </c>
      <c r="GV93" s="237" t="s">
        <v>1107</v>
      </c>
      <c r="GW93" s="237" t="s">
        <v>1107</v>
      </c>
      <c r="GX93" s="237" t="s">
        <v>1107</v>
      </c>
      <c r="GY93" s="237" t="s">
        <v>1107</v>
      </c>
      <c r="GZ93" s="237" t="s">
        <v>1107</v>
      </c>
      <c r="HA93" s="237" t="s">
        <v>1107</v>
      </c>
      <c r="HB93" s="237" t="s">
        <v>1107</v>
      </c>
      <c r="HC93" s="237" t="s">
        <v>1107</v>
      </c>
      <c r="HD93" s="237" t="s">
        <v>1107</v>
      </c>
      <c r="HE93" s="237" t="s">
        <v>1107</v>
      </c>
      <c r="HF93" s="237" t="s">
        <v>1107</v>
      </c>
      <c r="HG93" s="237" t="s">
        <v>1107</v>
      </c>
      <c r="HH93" s="237" t="s">
        <v>1107</v>
      </c>
      <c r="HI93" s="237" t="s">
        <v>1107</v>
      </c>
      <c r="HJ93" s="237" t="s">
        <v>1107</v>
      </c>
      <c r="HK93" s="237" t="s">
        <v>1107</v>
      </c>
      <c r="HL93" s="237" t="s">
        <v>1107</v>
      </c>
      <c r="HM93" s="237" t="s">
        <v>1107</v>
      </c>
      <c r="HN93" s="237" t="s">
        <v>1107</v>
      </c>
      <c r="HO93" s="237" t="s">
        <v>1107</v>
      </c>
      <c r="HP93" s="237" t="s">
        <v>1107</v>
      </c>
      <c r="HQ93" s="237" t="s">
        <v>1107</v>
      </c>
      <c r="HR93" s="237" t="s">
        <v>1107</v>
      </c>
      <c r="HS93" s="237" t="s">
        <v>1107</v>
      </c>
      <c r="HT93" s="237" t="s">
        <v>232</v>
      </c>
      <c r="HU93" s="237" t="s">
        <v>232</v>
      </c>
      <c r="HV93" s="237" t="s">
        <v>232</v>
      </c>
      <c r="HW93" s="237" t="s">
        <v>231</v>
      </c>
      <c r="HX93" s="237" t="s">
        <v>220</v>
      </c>
      <c r="HY93" s="237" t="s">
        <v>493</v>
      </c>
      <c r="HZ93" s="237" t="s">
        <v>219</v>
      </c>
      <c r="IA93" s="237" t="s">
        <v>490</v>
      </c>
      <c r="IB93" s="237" t="s">
        <v>231</v>
      </c>
      <c r="IC93" s="237" t="s">
        <v>232</v>
      </c>
    </row>
    <row r="94" spans="1:237" ht="15" x14ac:dyDescent="0.25">
      <c r="A94" s="244" t="str">
        <f>HYPERLINK("http://www.ofsted.gov.uk/inspection-reports/find-inspection-report/provider/ELS/142784 ","Ofsted School Webpage")</f>
        <v>Ofsted School Webpage</v>
      </c>
      <c r="B94" s="240">
        <v>142784</v>
      </c>
      <c r="C94" s="240">
        <v>3806013</v>
      </c>
      <c r="D94" s="240" t="s">
        <v>1290</v>
      </c>
      <c r="E94" s="240" t="s">
        <v>248</v>
      </c>
      <c r="F94" s="240" t="s">
        <v>523</v>
      </c>
      <c r="G94" s="240" t="s">
        <v>524</v>
      </c>
      <c r="H94" s="240" t="s">
        <v>674</v>
      </c>
      <c r="I94" s="240" t="s">
        <v>1291</v>
      </c>
      <c r="J94" s="240" t="s">
        <v>93</v>
      </c>
      <c r="K94" s="240" t="s">
        <v>93</v>
      </c>
      <c r="L94" s="240" t="s">
        <v>93</v>
      </c>
      <c r="M94" s="240" t="s">
        <v>90</v>
      </c>
      <c r="N94" s="240" t="s">
        <v>486</v>
      </c>
      <c r="O94" s="240" t="s">
        <v>487</v>
      </c>
      <c r="P94" s="240">
        <v>10084479</v>
      </c>
      <c r="Q94" s="242">
        <v>43452</v>
      </c>
      <c r="R94" s="242">
        <v>43452</v>
      </c>
      <c r="S94" s="242">
        <v>43489</v>
      </c>
      <c r="T94" s="240" t="s">
        <v>1124</v>
      </c>
      <c r="U94" s="240" t="s">
        <v>1105</v>
      </c>
      <c r="V94" s="240" t="s">
        <v>490</v>
      </c>
      <c r="W94" s="240" t="s">
        <v>486</v>
      </c>
      <c r="X94" s="240" t="s">
        <v>486</v>
      </c>
      <c r="Y94" s="240" t="s">
        <v>486</v>
      </c>
      <c r="Z94" s="240" t="s">
        <v>486</v>
      </c>
      <c r="AA94" s="240" t="s">
        <v>486</v>
      </c>
      <c r="AB94" s="240" t="s">
        <v>486</v>
      </c>
      <c r="AC94" s="240" t="s">
        <v>486</v>
      </c>
      <c r="AD94" s="240" t="s">
        <v>1110</v>
      </c>
      <c r="AE94" s="240" t="s">
        <v>1107</v>
      </c>
      <c r="AF94" s="240" t="s">
        <v>1107</v>
      </c>
      <c r="AG94" s="240" t="s">
        <v>1107</v>
      </c>
      <c r="AH94" s="240" t="s">
        <v>1107</v>
      </c>
      <c r="AI94" s="240" t="s">
        <v>1107</v>
      </c>
      <c r="AJ94" s="240" t="s">
        <v>1107</v>
      </c>
      <c r="AK94" s="240" t="s">
        <v>1107</v>
      </c>
      <c r="AL94" s="240" t="s">
        <v>1107</v>
      </c>
      <c r="AM94" s="240" t="s">
        <v>492</v>
      </c>
      <c r="AN94" s="240" t="s">
        <v>1107</v>
      </c>
      <c r="AO94" s="240" t="s">
        <v>1107</v>
      </c>
      <c r="AP94" s="240" t="s">
        <v>1107</v>
      </c>
      <c r="AQ94" s="240" t="s">
        <v>1107</v>
      </c>
      <c r="AR94" s="240" t="s">
        <v>1107</v>
      </c>
      <c r="AS94" s="240" t="s">
        <v>1107</v>
      </c>
      <c r="AT94" s="240" t="s">
        <v>1107</v>
      </c>
      <c r="AU94" s="240" t="s">
        <v>492</v>
      </c>
      <c r="AV94" s="240" t="s">
        <v>492</v>
      </c>
      <c r="AW94" s="240" t="s">
        <v>1107</v>
      </c>
      <c r="AX94" s="240" t="s">
        <v>1107</v>
      </c>
      <c r="AY94" s="240" t="s">
        <v>1107</v>
      </c>
      <c r="AZ94" s="240" t="s">
        <v>1107</v>
      </c>
      <c r="BA94" s="240" t="s">
        <v>1107</v>
      </c>
      <c r="BB94" s="240" t="s">
        <v>1107</v>
      </c>
      <c r="BC94" s="240" t="s">
        <v>1107</v>
      </c>
      <c r="BD94" s="240" t="s">
        <v>1107</v>
      </c>
      <c r="BE94" s="240" t="s">
        <v>1107</v>
      </c>
      <c r="BF94" s="240" t="s">
        <v>1107</v>
      </c>
      <c r="BG94" s="240" t="s">
        <v>1107</v>
      </c>
      <c r="BH94" s="240" t="s">
        <v>1107</v>
      </c>
      <c r="BI94" s="240" t="s">
        <v>1107</v>
      </c>
      <c r="BJ94" s="240" t="s">
        <v>1107</v>
      </c>
      <c r="BK94" s="240" t="s">
        <v>1107</v>
      </c>
      <c r="BL94" s="240" t="s">
        <v>1107</v>
      </c>
      <c r="BM94" s="240" t="s">
        <v>1107</v>
      </c>
      <c r="BN94" s="240" t="s">
        <v>1107</v>
      </c>
      <c r="BO94" s="240" t="s">
        <v>1107</v>
      </c>
      <c r="BP94" s="240" t="s">
        <v>1107</v>
      </c>
      <c r="BQ94" s="240" t="s">
        <v>1107</v>
      </c>
      <c r="BR94" s="240" t="s">
        <v>1107</v>
      </c>
      <c r="BS94" s="240" t="s">
        <v>1107</v>
      </c>
      <c r="BT94" s="240" t="s">
        <v>1107</v>
      </c>
      <c r="BU94" s="240" t="s">
        <v>1107</v>
      </c>
      <c r="BV94" s="240" t="s">
        <v>1107</v>
      </c>
      <c r="BW94" s="240" t="s">
        <v>1107</v>
      </c>
      <c r="BX94" s="240" t="s">
        <v>1107</v>
      </c>
      <c r="BY94" s="240" t="s">
        <v>1107</v>
      </c>
      <c r="BZ94" s="240" t="s">
        <v>231</v>
      </c>
      <c r="CA94" s="240" t="s">
        <v>231</v>
      </c>
      <c r="CB94" s="240" t="s">
        <v>231</v>
      </c>
      <c r="CC94" s="240" t="s">
        <v>492</v>
      </c>
      <c r="CD94" s="240" t="s">
        <v>492</v>
      </c>
      <c r="CE94" s="240" t="s">
        <v>492</v>
      </c>
      <c r="CF94" s="240" t="s">
        <v>231</v>
      </c>
      <c r="CG94" s="240" t="s">
        <v>231</v>
      </c>
      <c r="CH94" s="240" t="s">
        <v>231</v>
      </c>
      <c r="CI94" s="240" t="s">
        <v>231</v>
      </c>
      <c r="CJ94" s="240" t="s">
        <v>231</v>
      </c>
      <c r="CK94" s="240" t="s">
        <v>231</v>
      </c>
      <c r="CL94" s="240" t="s">
        <v>231</v>
      </c>
      <c r="CM94" s="240" t="s">
        <v>231</v>
      </c>
      <c r="CN94" s="240" t="s">
        <v>231</v>
      </c>
      <c r="CO94" s="240" t="s">
        <v>231</v>
      </c>
      <c r="CP94" s="240" t="s">
        <v>231</v>
      </c>
      <c r="CQ94" s="240" t="s">
        <v>231</v>
      </c>
      <c r="CR94" s="240" t="s">
        <v>231</v>
      </c>
      <c r="CS94" s="240" t="s">
        <v>231</v>
      </c>
      <c r="CT94" s="240" t="s">
        <v>231</v>
      </c>
      <c r="CU94" s="240" t="s">
        <v>231</v>
      </c>
      <c r="CV94" s="240" t="s">
        <v>231</v>
      </c>
      <c r="CW94" s="240" t="s">
        <v>231</v>
      </c>
      <c r="CX94" s="240" t="s">
        <v>231</v>
      </c>
      <c r="CY94" s="240" t="s">
        <v>231</v>
      </c>
      <c r="CZ94" s="240" t="s">
        <v>231</v>
      </c>
      <c r="DA94" s="240" t="s">
        <v>231</v>
      </c>
      <c r="DB94" s="240" t="s">
        <v>231</v>
      </c>
      <c r="DC94" s="240" t="s">
        <v>492</v>
      </c>
      <c r="DD94" s="240" t="s">
        <v>231</v>
      </c>
      <c r="DE94" s="240" t="s">
        <v>231</v>
      </c>
      <c r="DF94" s="240" t="s">
        <v>231</v>
      </c>
      <c r="DG94" s="240" t="s">
        <v>231</v>
      </c>
      <c r="DH94" s="240" t="s">
        <v>231</v>
      </c>
      <c r="DI94" s="240" t="s">
        <v>231</v>
      </c>
      <c r="DJ94" s="240" t="s">
        <v>231</v>
      </c>
      <c r="DK94" s="240" t="s">
        <v>231</v>
      </c>
      <c r="DL94" s="240" t="s">
        <v>231</v>
      </c>
      <c r="DM94" s="240" t="s">
        <v>231</v>
      </c>
      <c r="DN94" s="240" t="s">
        <v>231</v>
      </c>
      <c r="DO94" s="240" t="s">
        <v>231</v>
      </c>
      <c r="DP94" s="240" t="s">
        <v>231</v>
      </c>
      <c r="DQ94" s="240" t="s">
        <v>492</v>
      </c>
      <c r="DR94" s="240" t="s">
        <v>231</v>
      </c>
      <c r="DS94" s="240" t="s">
        <v>231</v>
      </c>
      <c r="DT94" s="240" t="s">
        <v>231</v>
      </c>
      <c r="DU94" s="240" t="s">
        <v>231</v>
      </c>
      <c r="DV94" s="240" t="s">
        <v>231</v>
      </c>
      <c r="DW94" s="240" t="s">
        <v>231</v>
      </c>
      <c r="DX94" s="240" t="s">
        <v>231</v>
      </c>
      <c r="DY94" s="240" t="s">
        <v>231</v>
      </c>
      <c r="DZ94" s="240" t="s">
        <v>231</v>
      </c>
      <c r="EA94" s="240" t="s">
        <v>231</v>
      </c>
      <c r="EB94" s="240" t="s">
        <v>231</v>
      </c>
      <c r="EC94" s="240" t="s">
        <v>231</v>
      </c>
      <c r="ED94" s="240" t="s">
        <v>231</v>
      </c>
      <c r="EE94" s="240" t="s">
        <v>231</v>
      </c>
      <c r="EF94" s="240" t="s">
        <v>231</v>
      </c>
      <c r="EG94" s="240" t="s">
        <v>231</v>
      </c>
      <c r="EH94" s="240" t="s">
        <v>231</v>
      </c>
      <c r="EI94" s="240" t="s">
        <v>231</v>
      </c>
      <c r="EJ94" s="240" t="s">
        <v>231</v>
      </c>
      <c r="EK94" s="240" t="s">
        <v>231</v>
      </c>
      <c r="EL94" s="240" t="s">
        <v>231</v>
      </c>
      <c r="EM94" s="240" t="s">
        <v>231</v>
      </c>
      <c r="EN94" s="240" t="s">
        <v>231</v>
      </c>
      <c r="EO94" s="240" t="s">
        <v>492</v>
      </c>
      <c r="EP94" s="240" t="s">
        <v>231</v>
      </c>
      <c r="EQ94" s="240" t="s">
        <v>231</v>
      </c>
      <c r="ER94" s="240" t="s">
        <v>231</v>
      </c>
      <c r="ES94" s="240" t="s">
        <v>231</v>
      </c>
      <c r="ET94" s="240" t="s">
        <v>492</v>
      </c>
      <c r="EU94" s="240" t="s">
        <v>231</v>
      </c>
      <c r="EV94" s="240" t="s">
        <v>231</v>
      </c>
      <c r="EW94" s="240" t="s">
        <v>231</v>
      </c>
      <c r="EX94" s="240" t="s">
        <v>231</v>
      </c>
      <c r="EY94" s="240" t="s">
        <v>231</v>
      </c>
      <c r="EZ94" s="240" t="s">
        <v>1107</v>
      </c>
      <c r="FA94" s="240" t="s">
        <v>1107</v>
      </c>
      <c r="FB94" s="240" t="s">
        <v>1107</v>
      </c>
      <c r="FC94" s="240" t="s">
        <v>1107</v>
      </c>
      <c r="FD94" s="240" t="s">
        <v>1107</v>
      </c>
      <c r="FE94" s="240" t="s">
        <v>1107</v>
      </c>
      <c r="FF94" s="240" t="s">
        <v>1107</v>
      </c>
      <c r="FG94" s="240" t="s">
        <v>492</v>
      </c>
      <c r="FH94" s="240" t="s">
        <v>1107</v>
      </c>
      <c r="FI94" s="240" t="s">
        <v>231</v>
      </c>
      <c r="FJ94" s="240" t="s">
        <v>1107</v>
      </c>
      <c r="FK94" s="240" t="s">
        <v>1107</v>
      </c>
      <c r="FL94" s="240" t="s">
        <v>1107</v>
      </c>
      <c r="FM94" s="240" t="s">
        <v>1107</v>
      </c>
      <c r="FN94" s="240" t="s">
        <v>1107</v>
      </c>
      <c r="FO94" s="240" t="s">
        <v>1107</v>
      </c>
      <c r="FP94" s="240" t="s">
        <v>1107</v>
      </c>
      <c r="FQ94" s="240" t="s">
        <v>1107</v>
      </c>
      <c r="FR94" s="240" t="s">
        <v>1107</v>
      </c>
      <c r="FS94" s="240" t="s">
        <v>1107</v>
      </c>
      <c r="FT94" s="240" t="s">
        <v>1107</v>
      </c>
      <c r="FU94" s="240" t="s">
        <v>1107</v>
      </c>
      <c r="FV94" s="240" t="s">
        <v>1107</v>
      </c>
      <c r="FW94" s="240" t="s">
        <v>1107</v>
      </c>
      <c r="FX94" s="240" t="s">
        <v>1107</v>
      </c>
      <c r="FY94" s="240" t="s">
        <v>492</v>
      </c>
      <c r="FZ94" s="240" t="s">
        <v>231</v>
      </c>
      <c r="GA94" s="240" t="s">
        <v>231</v>
      </c>
      <c r="GB94" s="240" t="s">
        <v>231</v>
      </c>
      <c r="GC94" s="240" t="s">
        <v>231</v>
      </c>
      <c r="GD94" s="240" t="s">
        <v>231</v>
      </c>
      <c r="GE94" s="240" t="s">
        <v>492</v>
      </c>
      <c r="GF94" s="240" t="s">
        <v>1107</v>
      </c>
      <c r="GG94" s="240" t="s">
        <v>231</v>
      </c>
      <c r="GH94" s="240" t="s">
        <v>1107</v>
      </c>
      <c r="GI94" s="240" t="s">
        <v>1107</v>
      </c>
      <c r="GJ94" s="240" t="s">
        <v>1107</v>
      </c>
      <c r="GK94" s="240" t="s">
        <v>231</v>
      </c>
      <c r="GL94" s="240" t="s">
        <v>231</v>
      </c>
      <c r="GM94" s="240" t="s">
        <v>231</v>
      </c>
      <c r="GN94" s="240" t="s">
        <v>492</v>
      </c>
      <c r="GO94" s="240" t="s">
        <v>231</v>
      </c>
      <c r="GP94" s="240" t="s">
        <v>231</v>
      </c>
      <c r="GQ94" s="240" t="s">
        <v>231</v>
      </c>
      <c r="GR94" s="240" t="s">
        <v>231</v>
      </c>
      <c r="GS94" s="240" t="s">
        <v>231</v>
      </c>
      <c r="GT94" s="240" t="s">
        <v>231</v>
      </c>
      <c r="GU94" s="240" t="s">
        <v>1107</v>
      </c>
      <c r="GV94" s="240" t="s">
        <v>231</v>
      </c>
      <c r="GW94" s="240" t="s">
        <v>1107</v>
      </c>
      <c r="GX94" s="240" t="s">
        <v>1107</v>
      </c>
      <c r="GY94" s="240" t="s">
        <v>231</v>
      </c>
      <c r="GZ94" s="240" t="s">
        <v>492</v>
      </c>
      <c r="HA94" s="240" t="s">
        <v>492</v>
      </c>
      <c r="HB94" s="240" t="s">
        <v>492</v>
      </c>
      <c r="HC94" s="240" t="s">
        <v>492</v>
      </c>
      <c r="HD94" s="240" t="s">
        <v>1107</v>
      </c>
      <c r="HE94" s="240" t="s">
        <v>1107</v>
      </c>
      <c r="HF94" s="240" t="s">
        <v>1107</v>
      </c>
      <c r="HG94" s="240" t="s">
        <v>1107</v>
      </c>
      <c r="HH94" s="240" t="s">
        <v>1107</v>
      </c>
      <c r="HI94" s="240" t="s">
        <v>1107</v>
      </c>
      <c r="HJ94" s="240" t="s">
        <v>1107</v>
      </c>
      <c r="HK94" s="240" t="s">
        <v>1107</v>
      </c>
      <c r="HL94" s="240" t="s">
        <v>1107</v>
      </c>
      <c r="HM94" s="240" t="s">
        <v>1107</v>
      </c>
      <c r="HN94" s="240" t="s">
        <v>1107</v>
      </c>
      <c r="HO94" s="240" t="s">
        <v>1107</v>
      </c>
      <c r="HP94" s="240" t="s">
        <v>1107</v>
      </c>
      <c r="HQ94" s="240" t="s">
        <v>1107</v>
      </c>
      <c r="HR94" s="240" t="s">
        <v>1107</v>
      </c>
      <c r="HS94" s="240" t="s">
        <v>1107</v>
      </c>
      <c r="HT94" s="240" t="s">
        <v>231</v>
      </c>
      <c r="HU94" s="240" t="s">
        <v>231</v>
      </c>
      <c r="HV94" s="240" t="s">
        <v>231</v>
      </c>
      <c r="HW94" s="240" t="s">
        <v>231</v>
      </c>
      <c r="HX94" s="240" t="s">
        <v>220</v>
      </c>
      <c r="HY94" s="240" t="s">
        <v>493</v>
      </c>
      <c r="HZ94" s="240" t="s">
        <v>219</v>
      </c>
      <c r="IA94" s="240" t="s">
        <v>490</v>
      </c>
      <c r="IB94" s="240" t="s">
        <v>492</v>
      </c>
      <c r="IC94" s="240" t="s">
        <v>492</v>
      </c>
    </row>
    <row r="95" spans="1:237" ht="15" x14ac:dyDescent="0.25">
      <c r="A95" s="243" t="str">
        <f>HYPERLINK("http://www.ofsted.gov.uk/inspection-reports/find-inspection-report/provider/ELS/133478 ","Ofsted School Webpage")</f>
        <v>Ofsted School Webpage</v>
      </c>
      <c r="B95" s="237">
        <v>133478</v>
      </c>
      <c r="C95" s="237">
        <v>8936025</v>
      </c>
      <c r="D95" s="237" t="s">
        <v>1292</v>
      </c>
      <c r="E95" s="237" t="s">
        <v>248</v>
      </c>
      <c r="F95" s="237" t="s">
        <v>502</v>
      </c>
      <c r="G95" s="237" t="s">
        <v>502</v>
      </c>
      <c r="H95" s="237" t="s">
        <v>666</v>
      </c>
      <c r="I95" s="237" t="s">
        <v>1293</v>
      </c>
      <c r="J95" s="237" t="s">
        <v>93</v>
      </c>
      <c r="K95" s="237" t="s">
        <v>93</v>
      </c>
      <c r="L95" s="237" t="s">
        <v>93</v>
      </c>
      <c r="M95" s="237" t="s">
        <v>90</v>
      </c>
      <c r="N95" s="237" t="s">
        <v>486</v>
      </c>
      <c r="O95" s="237" t="s">
        <v>487</v>
      </c>
      <c r="P95" s="237">
        <v>10085965</v>
      </c>
      <c r="Q95" s="239">
        <v>43452</v>
      </c>
      <c r="R95" s="239">
        <v>43452</v>
      </c>
      <c r="S95" s="239">
        <v>43494</v>
      </c>
      <c r="T95" s="237" t="s">
        <v>1104</v>
      </c>
      <c r="U95" s="237" t="s">
        <v>1105</v>
      </c>
      <c r="V95" s="237" t="s">
        <v>490</v>
      </c>
      <c r="W95" s="237" t="s">
        <v>486</v>
      </c>
      <c r="X95" s="237" t="s">
        <v>486</v>
      </c>
      <c r="Y95" s="237" t="s">
        <v>486</v>
      </c>
      <c r="Z95" s="237" t="s">
        <v>486</v>
      </c>
      <c r="AA95" s="237" t="s">
        <v>486</v>
      </c>
      <c r="AB95" s="237" t="s">
        <v>486</v>
      </c>
      <c r="AC95" s="237" t="s">
        <v>486</v>
      </c>
      <c r="AD95" s="237" t="s">
        <v>1106</v>
      </c>
      <c r="AE95" s="237" t="s">
        <v>231</v>
      </c>
      <c r="AF95" s="237" t="s">
        <v>231</v>
      </c>
      <c r="AG95" s="237" t="s">
        <v>231</v>
      </c>
      <c r="AH95" s="237" t="s">
        <v>231</v>
      </c>
      <c r="AI95" s="237" t="s">
        <v>231</v>
      </c>
      <c r="AJ95" s="237" t="s">
        <v>231</v>
      </c>
      <c r="AK95" s="237" t="s">
        <v>231</v>
      </c>
      <c r="AL95" s="237" t="s">
        <v>231</v>
      </c>
      <c r="AM95" s="237" t="s">
        <v>492</v>
      </c>
      <c r="AN95" s="237" t="s">
        <v>231</v>
      </c>
      <c r="AO95" s="237" t="s">
        <v>231</v>
      </c>
      <c r="AP95" s="237" t="s">
        <v>231</v>
      </c>
      <c r="AQ95" s="237" t="s">
        <v>231</v>
      </c>
      <c r="AR95" s="237" t="s">
        <v>231</v>
      </c>
      <c r="AS95" s="237" t="s">
        <v>231</v>
      </c>
      <c r="AT95" s="237" t="s">
        <v>231</v>
      </c>
      <c r="AU95" s="237" t="s">
        <v>492</v>
      </c>
      <c r="AV95" s="237" t="s">
        <v>231</v>
      </c>
      <c r="AW95" s="237" t="s">
        <v>231</v>
      </c>
      <c r="AX95" s="237" t="s">
        <v>231</v>
      </c>
      <c r="AY95" s="237" t="s">
        <v>231</v>
      </c>
      <c r="AZ95" s="237" t="s">
        <v>231</v>
      </c>
      <c r="BA95" s="237" t="s">
        <v>231</v>
      </c>
      <c r="BB95" s="237" t="s">
        <v>231</v>
      </c>
      <c r="BC95" s="237" t="s">
        <v>231</v>
      </c>
      <c r="BD95" s="237" t="s">
        <v>231</v>
      </c>
      <c r="BE95" s="237" t="s">
        <v>231</v>
      </c>
      <c r="BF95" s="237" t="s">
        <v>231</v>
      </c>
      <c r="BG95" s="237" t="s">
        <v>231</v>
      </c>
      <c r="BH95" s="237" t="s">
        <v>231</v>
      </c>
      <c r="BI95" s="237" t="s">
        <v>231</v>
      </c>
      <c r="BJ95" s="237" t="s">
        <v>231</v>
      </c>
      <c r="BK95" s="237" t="s">
        <v>231</v>
      </c>
      <c r="BL95" s="237" t="s">
        <v>231</v>
      </c>
      <c r="BM95" s="237" t="s">
        <v>231</v>
      </c>
      <c r="BN95" s="237" t="s">
        <v>231</v>
      </c>
      <c r="BO95" s="237" t="s">
        <v>231</v>
      </c>
      <c r="BP95" s="237" t="s">
        <v>231</v>
      </c>
      <c r="BQ95" s="237" t="s">
        <v>231</v>
      </c>
      <c r="BR95" s="237" t="s">
        <v>231</v>
      </c>
      <c r="BS95" s="237" t="s">
        <v>231</v>
      </c>
      <c r="BT95" s="237" t="s">
        <v>231</v>
      </c>
      <c r="BU95" s="237" t="s">
        <v>231</v>
      </c>
      <c r="BV95" s="237" t="s">
        <v>231</v>
      </c>
      <c r="BW95" s="237" t="s">
        <v>231</v>
      </c>
      <c r="BX95" s="237" t="s">
        <v>231</v>
      </c>
      <c r="BY95" s="237" t="s">
        <v>231</v>
      </c>
      <c r="BZ95" s="237" t="s">
        <v>231</v>
      </c>
      <c r="CA95" s="237" t="s">
        <v>231</v>
      </c>
      <c r="CB95" s="237" t="s">
        <v>231</v>
      </c>
      <c r="CC95" s="237" t="s">
        <v>1107</v>
      </c>
      <c r="CD95" s="237" t="s">
        <v>1107</v>
      </c>
      <c r="CE95" s="237" t="s">
        <v>1107</v>
      </c>
      <c r="CF95" s="237" t="s">
        <v>1107</v>
      </c>
      <c r="CG95" s="237" t="s">
        <v>1107</v>
      </c>
      <c r="CH95" s="237" t="s">
        <v>1107</v>
      </c>
      <c r="CI95" s="237" t="s">
        <v>1107</v>
      </c>
      <c r="CJ95" s="237" t="s">
        <v>1107</v>
      </c>
      <c r="CK95" s="237" t="s">
        <v>1107</v>
      </c>
      <c r="CL95" s="237" t="s">
        <v>1107</v>
      </c>
      <c r="CM95" s="237" t="s">
        <v>1107</v>
      </c>
      <c r="CN95" s="237" t="s">
        <v>1107</v>
      </c>
      <c r="CO95" s="237" t="s">
        <v>1107</v>
      </c>
      <c r="CP95" s="237" t="s">
        <v>1107</v>
      </c>
      <c r="CQ95" s="237" t="s">
        <v>1107</v>
      </c>
      <c r="CR95" s="237" t="s">
        <v>1107</v>
      </c>
      <c r="CS95" s="237" t="s">
        <v>1107</v>
      </c>
      <c r="CT95" s="237" t="s">
        <v>1107</v>
      </c>
      <c r="CU95" s="237" t="s">
        <v>1107</v>
      </c>
      <c r="CV95" s="237" t="s">
        <v>1107</v>
      </c>
      <c r="CW95" s="237" t="s">
        <v>1107</v>
      </c>
      <c r="CX95" s="237" t="s">
        <v>1107</v>
      </c>
      <c r="CY95" s="237" t="s">
        <v>1107</v>
      </c>
      <c r="CZ95" s="237" t="s">
        <v>1107</v>
      </c>
      <c r="DA95" s="237" t="s">
        <v>1107</v>
      </c>
      <c r="DB95" s="237" t="s">
        <v>1107</v>
      </c>
      <c r="DC95" s="237" t="s">
        <v>1107</v>
      </c>
      <c r="DD95" s="237" t="s">
        <v>1107</v>
      </c>
      <c r="DE95" s="237" t="s">
        <v>1107</v>
      </c>
      <c r="DF95" s="237" t="s">
        <v>1107</v>
      </c>
      <c r="DG95" s="237" t="s">
        <v>1107</v>
      </c>
      <c r="DH95" s="237" t="s">
        <v>1107</v>
      </c>
      <c r="DI95" s="237" t="s">
        <v>1107</v>
      </c>
      <c r="DJ95" s="237" t="s">
        <v>1107</v>
      </c>
      <c r="DK95" s="237" t="s">
        <v>1107</v>
      </c>
      <c r="DL95" s="237" t="s">
        <v>1107</v>
      </c>
      <c r="DM95" s="237" t="s">
        <v>1107</v>
      </c>
      <c r="DN95" s="237" t="s">
        <v>1107</v>
      </c>
      <c r="DO95" s="237" t="s">
        <v>1107</v>
      </c>
      <c r="DP95" s="237" t="s">
        <v>1107</v>
      </c>
      <c r="DQ95" s="237" t="s">
        <v>1107</v>
      </c>
      <c r="DR95" s="237" t="s">
        <v>1107</v>
      </c>
      <c r="DS95" s="237" t="s">
        <v>1107</v>
      </c>
      <c r="DT95" s="237" t="s">
        <v>1107</v>
      </c>
      <c r="DU95" s="237" t="s">
        <v>1107</v>
      </c>
      <c r="DV95" s="237" t="s">
        <v>1107</v>
      </c>
      <c r="DW95" s="237" t="s">
        <v>1107</v>
      </c>
      <c r="DX95" s="237" t="s">
        <v>1107</v>
      </c>
      <c r="DY95" s="237" t="s">
        <v>1107</v>
      </c>
      <c r="DZ95" s="237" t="s">
        <v>1107</v>
      </c>
      <c r="EA95" s="237" t="s">
        <v>1107</v>
      </c>
      <c r="EB95" s="237" t="s">
        <v>1107</v>
      </c>
      <c r="EC95" s="237" t="s">
        <v>1107</v>
      </c>
      <c r="ED95" s="237" t="s">
        <v>1107</v>
      </c>
      <c r="EE95" s="237" t="s">
        <v>1107</v>
      </c>
      <c r="EF95" s="237" t="s">
        <v>1107</v>
      </c>
      <c r="EG95" s="237" t="s">
        <v>1107</v>
      </c>
      <c r="EH95" s="237" t="s">
        <v>1107</v>
      </c>
      <c r="EI95" s="237" t="s">
        <v>1107</v>
      </c>
      <c r="EJ95" s="237" t="s">
        <v>1107</v>
      </c>
      <c r="EK95" s="237" t="s">
        <v>1107</v>
      </c>
      <c r="EL95" s="237" t="s">
        <v>1107</v>
      </c>
      <c r="EM95" s="237" t="s">
        <v>1107</v>
      </c>
      <c r="EN95" s="237" t="s">
        <v>1107</v>
      </c>
      <c r="EO95" s="237" t="s">
        <v>1107</v>
      </c>
      <c r="EP95" s="237" t="s">
        <v>1107</v>
      </c>
      <c r="EQ95" s="237" t="s">
        <v>1107</v>
      </c>
      <c r="ER95" s="237" t="s">
        <v>1107</v>
      </c>
      <c r="ES95" s="237" t="s">
        <v>1107</v>
      </c>
      <c r="ET95" s="237" t="s">
        <v>1107</v>
      </c>
      <c r="EU95" s="237" t="s">
        <v>1107</v>
      </c>
      <c r="EV95" s="237" t="s">
        <v>1107</v>
      </c>
      <c r="EW95" s="237" t="s">
        <v>1107</v>
      </c>
      <c r="EX95" s="237" t="s">
        <v>1107</v>
      </c>
      <c r="EY95" s="237" t="s">
        <v>1107</v>
      </c>
      <c r="EZ95" s="237" t="s">
        <v>1107</v>
      </c>
      <c r="FA95" s="237" t="s">
        <v>1107</v>
      </c>
      <c r="FB95" s="237" t="s">
        <v>1107</v>
      </c>
      <c r="FC95" s="237" t="s">
        <v>1107</v>
      </c>
      <c r="FD95" s="237" t="s">
        <v>1107</v>
      </c>
      <c r="FE95" s="237" t="s">
        <v>1107</v>
      </c>
      <c r="FF95" s="237" t="s">
        <v>1107</v>
      </c>
      <c r="FG95" s="237" t="s">
        <v>1107</v>
      </c>
      <c r="FH95" s="237" t="s">
        <v>1107</v>
      </c>
      <c r="FI95" s="237" t="s">
        <v>1107</v>
      </c>
      <c r="FJ95" s="237" t="s">
        <v>1107</v>
      </c>
      <c r="FK95" s="237" t="s">
        <v>1107</v>
      </c>
      <c r="FL95" s="237" t="s">
        <v>1107</v>
      </c>
      <c r="FM95" s="237" t="s">
        <v>1107</v>
      </c>
      <c r="FN95" s="237" t="s">
        <v>1107</v>
      </c>
      <c r="FO95" s="237" t="s">
        <v>1107</v>
      </c>
      <c r="FP95" s="237" t="s">
        <v>1107</v>
      </c>
      <c r="FQ95" s="237" t="s">
        <v>1107</v>
      </c>
      <c r="FR95" s="237" t="s">
        <v>1107</v>
      </c>
      <c r="FS95" s="237" t="s">
        <v>1107</v>
      </c>
      <c r="FT95" s="237" t="s">
        <v>1107</v>
      </c>
      <c r="FU95" s="237" t="s">
        <v>1107</v>
      </c>
      <c r="FV95" s="237" t="s">
        <v>1107</v>
      </c>
      <c r="FW95" s="237" t="s">
        <v>1107</v>
      </c>
      <c r="FX95" s="237" t="s">
        <v>1107</v>
      </c>
      <c r="FY95" s="237" t="s">
        <v>1107</v>
      </c>
      <c r="FZ95" s="237" t="s">
        <v>1107</v>
      </c>
      <c r="GA95" s="237" t="s">
        <v>1107</v>
      </c>
      <c r="GB95" s="237" t="s">
        <v>1107</v>
      </c>
      <c r="GC95" s="237" t="s">
        <v>231</v>
      </c>
      <c r="GD95" s="237" t="s">
        <v>1107</v>
      </c>
      <c r="GE95" s="237" t="s">
        <v>1107</v>
      </c>
      <c r="GF95" s="237" t="s">
        <v>1107</v>
      </c>
      <c r="GG95" s="237" t="s">
        <v>1107</v>
      </c>
      <c r="GH95" s="237" t="s">
        <v>1107</v>
      </c>
      <c r="GI95" s="237" t="s">
        <v>1107</v>
      </c>
      <c r="GJ95" s="237" t="s">
        <v>231</v>
      </c>
      <c r="GK95" s="237" t="s">
        <v>1107</v>
      </c>
      <c r="GL95" s="237" t="s">
        <v>1107</v>
      </c>
      <c r="GM95" s="237" t="s">
        <v>1107</v>
      </c>
      <c r="GN95" s="237" t="s">
        <v>1107</v>
      </c>
      <c r="GO95" s="237" t="s">
        <v>1107</v>
      </c>
      <c r="GP95" s="237" t="s">
        <v>1107</v>
      </c>
      <c r="GQ95" s="237" t="s">
        <v>1107</v>
      </c>
      <c r="GR95" s="237" t="s">
        <v>1107</v>
      </c>
      <c r="GS95" s="237" t="s">
        <v>1107</v>
      </c>
      <c r="GT95" s="237" t="s">
        <v>1107</v>
      </c>
      <c r="GU95" s="237" t="s">
        <v>1107</v>
      </c>
      <c r="GV95" s="237" t="s">
        <v>1107</v>
      </c>
      <c r="GW95" s="237" t="s">
        <v>1107</v>
      </c>
      <c r="GX95" s="237" t="s">
        <v>1107</v>
      </c>
      <c r="GY95" s="237" t="s">
        <v>1107</v>
      </c>
      <c r="GZ95" s="237" t="s">
        <v>1107</v>
      </c>
      <c r="HA95" s="237" t="s">
        <v>1107</v>
      </c>
      <c r="HB95" s="237" t="s">
        <v>1107</v>
      </c>
      <c r="HC95" s="237" t="s">
        <v>1107</v>
      </c>
      <c r="HD95" s="237" t="s">
        <v>1107</v>
      </c>
      <c r="HE95" s="237" t="s">
        <v>1107</v>
      </c>
      <c r="HF95" s="237" t="s">
        <v>1107</v>
      </c>
      <c r="HG95" s="237" t="s">
        <v>1107</v>
      </c>
      <c r="HH95" s="237" t="s">
        <v>1107</v>
      </c>
      <c r="HI95" s="237" t="s">
        <v>1107</v>
      </c>
      <c r="HJ95" s="237" t="s">
        <v>1107</v>
      </c>
      <c r="HK95" s="237" t="s">
        <v>1107</v>
      </c>
      <c r="HL95" s="237" t="s">
        <v>1107</v>
      </c>
      <c r="HM95" s="237" t="s">
        <v>1107</v>
      </c>
      <c r="HN95" s="237" t="s">
        <v>1107</v>
      </c>
      <c r="HO95" s="237" t="s">
        <v>1107</v>
      </c>
      <c r="HP95" s="237" t="s">
        <v>1107</v>
      </c>
      <c r="HQ95" s="237" t="s">
        <v>1107</v>
      </c>
      <c r="HR95" s="237" t="s">
        <v>1107</v>
      </c>
      <c r="HS95" s="237" t="s">
        <v>1107</v>
      </c>
      <c r="HT95" s="237" t="s">
        <v>231</v>
      </c>
      <c r="HU95" s="237" t="s">
        <v>231</v>
      </c>
      <c r="HV95" s="237" t="s">
        <v>231</v>
      </c>
      <c r="HW95" s="237" t="s">
        <v>231</v>
      </c>
      <c r="HX95" s="237" t="s">
        <v>220</v>
      </c>
      <c r="HY95" s="237" t="s">
        <v>493</v>
      </c>
      <c r="HZ95" s="237" t="s">
        <v>219</v>
      </c>
      <c r="IA95" s="237" t="s">
        <v>490</v>
      </c>
      <c r="IB95" s="237" t="s">
        <v>231</v>
      </c>
      <c r="IC95" s="237" t="s">
        <v>231</v>
      </c>
    </row>
    <row r="96" spans="1:237" ht="15" x14ac:dyDescent="0.25">
      <c r="A96" s="244" t="str">
        <f>HYPERLINK("http://www.ofsted.gov.uk/inspection-reports/find-inspection-report/provider/ELS/137950 ","Ofsted School Webpage")</f>
        <v>Ofsted School Webpage</v>
      </c>
      <c r="B96" s="240">
        <v>137950</v>
      </c>
      <c r="C96" s="240">
        <v>8036008</v>
      </c>
      <c r="D96" s="240" t="s">
        <v>1294</v>
      </c>
      <c r="E96" s="240" t="s">
        <v>247</v>
      </c>
      <c r="F96" s="240" t="s">
        <v>483</v>
      </c>
      <c r="G96" s="240" t="s">
        <v>483</v>
      </c>
      <c r="H96" s="240" t="s">
        <v>1214</v>
      </c>
      <c r="I96" s="240" t="s">
        <v>1295</v>
      </c>
      <c r="J96" s="240" t="s">
        <v>93</v>
      </c>
      <c r="K96" s="240" t="s">
        <v>93</v>
      </c>
      <c r="L96" s="240" t="s">
        <v>93</v>
      </c>
      <c r="M96" s="240" t="s">
        <v>90</v>
      </c>
      <c r="N96" s="240" t="s">
        <v>486</v>
      </c>
      <c r="O96" s="240" t="s">
        <v>487</v>
      </c>
      <c r="P96" s="240">
        <v>10084375</v>
      </c>
      <c r="Q96" s="242">
        <v>43473</v>
      </c>
      <c r="R96" s="242">
        <v>43473</v>
      </c>
      <c r="S96" s="242">
        <v>43494</v>
      </c>
      <c r="T96" s="240" t="s">
        <v>1202</v>
      </c>
      <c r="U96" s="240" t="s">
        <v>1105</v>
      </c>
      <c r="V96" s="240" t="s">
        <v>490</v>
      </c>
      <c r="W96" s="240" t="s">
        <v>486</v>
      </c>
      <c r="X96" s="240" t="s">
        <v>486</v>
      </c>
      <c r="Y96" s="240" t="s">
        <v>486</v>
      </c>
      <c r="Z96" s="240" t="s">
        <v>486</v>
      </c>
      <c r="AA96" s="240" t="s">
        <v>486</v>
      </c>
      <c r="AB96" s="240" t="s">
        <v>486</v>
      </c>
      <c r="AC96" s="240" t="s">
        <v>486</v>
      </c>
      <c r="AD96" s="240" t="s">
        <v>1136</v>
      </c>
      <c r="AE96" s="240" t="s">
        <v>1107</v>
      </c>
      <c r="AF96" s="240" t="s">
        <v>1107</v>
      </c>
      <c r="AG96" s="240" t="s">
        <v>1107</v>
      </c>
      <c r="AH96" s="240" t="s">
        <v>1107</v>
      </c>
      <c r="AI96" s="240" t="s">
        <v>1107</v>
      </c>
      <c r="AJ96" s="240" t="s">
        <v>1107</v>
      </c>
      <c r="AK96" s="240" t="s">
        <v>1107</v>
      </c>
      <c r="AL96" s="240" t="s">
        <v>1107</v>
      </c>
      <c r="AM96" s="240" t="s">
        <v>1107</v>
      </c>
      <c r="AN96" s="240" t="s">
        <v>1107</v>
      </c>
      <c r="AO96" s="240" t="s">
        <v>1107</v>
      </c>
      <c r="AP96" s="240" t="s">
        <v>1107</v>
      </c>
      <c r="AQ96" s="240" t="s">
        <v>1107</v>
      </c>
      <c r="AR96" s="240" t="s">
        <v>1107</v>
      </c>
      <c r="AS96" s="240" t="s">
        <v>1107</v>
      </c>
      <c r="AT96" s="240" t="s">
        <v>1107</v>
      </c>
      <c r="AU96" s="240" t="s">
        <v>1107</v>
      </c>
      <c r="AV96" s="240" t="s">
        <v>1107</v>
      </c>
      <c r="AW96" s="240" t="s">
        <v>1107</v>
      </c>
      <c r="AX96" s="240" t="s">
        <v>1107</v>
      </c>
      <c r="AY96" s="240" t="s">
        <v>1107</v>
      </c>
      <c r="AZ96" s="240" t="s">
        <v>1107</v>
      </c>
      <c r="BA96" s="240" t="s">
        <v>1107</v>
      </c>
      <c r="BB96" s="240" t="s">
        <v>1107</v>
      </c>
      <c r="BC96" s="240" t="s">
        <v>1107</v>
      </c>
      <c r="BD96" s="240" t="s">
        <v>1107</v>
      </c>
      <c r="BE96" s="240" t="s">
        <v>1107</v>
      </c>
      <c r="BF96" s="240" t="s">
        <v>1107</v>
      </c>
      <c r="BG96" s="240" t="s">
        <v>1107</v>
      </c>
      <c r="BH96" s="240" t="s">
        <v>1107</v>
      </c>
      <c r="BI96" s="240" t="s">
        <v>1107</v>
      </c>
      <c r="BJ96" s="240" t="s">
        <v>1107</v>
      </c>
      <c r="BK96" s="240" t="s">
        <v>1107</v>
      </c>
      <c r="BL96" s="240" t="s">
        <v>1107</v>
      </c>
      <c r="BM96" s="240" t="s">
        <v>1107</v>
      </c>
      <c r="BN96" s="240" t="s">
        <v>1107</v>
      </c>
      <c r="BO96" s="240" t="s">
        <v>1107</v>
      </c>
      <c r="BP96" s="240" t="s">
        <v>1107</v>
      </c>
      <c r="BQ96" s="240" t="s">
        <v>1107</v>
      </c>
      <c r="BR96" s="240" t="s">
        <v>1107</v>
      </c>
      <c r="BS96" s="240" t="s">
        <v>1107</v>
      </c>
      <c r="BT96" s="240" t="s">
        <v>1107</v>
      </c>
      <c r="BU96" s="240" t="s">
        <v>1107</v>
      </c>
      <c r="BV96" s="240" t="s">
        <v>1107</v>
      </c>
      <c r="BW96" s="240" t="s">
        <v>1107</v>
      </c>
      <c r="BX96" s="240" t="s">
        <v>1107</v>
      </c>
      <c r="BY96" s="240" t="s">
        <v>1107</v>
      </c>
      <c r="BZ96" s="240" t="s">
        <v>232</v>
      </c>
      <c r="CA96" s="240" t="s">
        <v>232</v>
      </c>
      <c r="CB96" s="240" t="s">
        <v>232</v>
      </c>
      <c r="CC96" s="240" t="s">
        <v>232</v>
      </c>
      <c r="CD96" s="240" t="s">
        <v>232</v>
      </c>
      <c r="CE96" s="240" t="s">
        <v>232</v>
      </c>
      <c r="CF96" s="240" t="s">
        <v>1107</v>
      </c>
      <c r="CG96" s="240" t="s">
        <v>1107</v>
      </c>
      <c r="CH96" s="240" t="s">
        <v>1107</v>
      </c>
      <c r="CI96" s="240" t="s">
        <v>1107</v>
      </c>
      <c r="CJ96" s="240" t="s">
        <v>1107</v>
      </c>
      <c r="CK96" s="240" t="s">
        <v>1107</v>
      </c>
      <c r="CL96" s="240" t="s">
        <v>1107</v>
      </c>
      <c r="CM96" s="240" t="s">
        <v>1107</v>
      </c>
      <c r="CN96" s="240" t="s">
        <v>1107</v>
      </c>
      <c r="CO96" s="240" t="s">
        <v>1107</v>
      </c>
      <c r="CP96" s="240" t="s">
        <v>1107</v>
      </c>
      <c r="CQ96" s="240" t="s">
        <v>1107</v>
      </c>
      <c r="CR96" s="240" t="s">
        <v>1107</v>
      </c>
      <c r="CS96" s="240" t="s">
        <v>231</v>
      </c>
      <c r="CT96" s="240" t="s">
        <v>1107</v>
      </c>
      <c r="CU96" s="240" t="s">
        <v>1107</v>
      </c>
      <c r="CV96" s="240" t="s">
        <v>1107</v>
      </c>
      <c r="CW96" s="240" t="s">
        <v>1107</v>
      </c>
      <c r="CX96" s="240" t="s">
        <v>1107</v>
      </c>
      <c r="CY96" s="240" t="s">
        <v>1107</v>
      </c>
      <c r="CZ96" s="240" t="s">
        <v>1107</v>
      </c>
      <c r="DA96" s="240" t="s">
        <v>1107</v>
      </c>
      <c r="DB96" s="240" t="s">
        <v>1107</v>
      </c>
      <c r="DC96" s="240" t="s">
        <v>231</v>
      </c>
      <c r="DD96" s="240" t="s">
        <v>231</v>
      </c>
      <c r="DE96" s="240" t="s">
        <v>1107</v>
      </c>
      <c r="DF96" s="240" t="s">
        <v>1107</v>
      </c>
      <c r="DG96" s="240" t="s">
        <v>1107</v>
      </c>
      <c r="DH96" s="240" t="s">
        <v>1107</v>
      </c>
      <c r="DI96" s="240" t="s">
        <v>1107</v>
      </c>
      <c r="DJ96" s="240" t="s">
        <v>1107</v>
      </c>
      <c r="DK96" s="240" t="s">
        <v>1107</v>
      </c>
      <c r="DL96" s="240" t="s">
        <v>1107</v>
      </c>
      <c r="DM96" s="240" t="s">
        <v>1107</v>
      </c>
      <c r="DN96" s="240" t="s">
        <v>1107</v>
      </c>
      <c r="DO96" s="240" t="s">
        <v>1107</v>
      </c>
      <c r="DP96" s="240" t="s">
        <v>1107</v>
      </c>
      <c r="DQ96" s="240" t="s">
        <v>1107</v>
      </c>
      <c r="DR96" s="240" t="s">
        <v>1107</v>
      </c>
      <c r="DS96" s="240" t="s">
        <v>1107</v>
      </c>
      <c r="DT96" s="240" t="s">
        <v>1107</v>
      </c>
      <c r="DU96" s="240" t="s">
        <v>1107</v>
      </c>
      <c r="DV96" s="240" t="s">
        <v>1107</v>
      </c>
      <c r="DW96" s="240" t="s">
        <v>1107</v>
      </c>
      <c r="DX96" s="240" t="s">
        <v>1107</v>
      </c>
      <c r="DY96" s="240" t="s">
        <v>1107</v>
      </c>
      <c r="DZ96" s="240" t="s">
        <v>1107</v>
      </c>
      <c r="EA96" s="240" t="s">
        <v>1107</v>
      </c>
      <c r="EB96" s="240" t="s">
        <v>1107</v>
      </c>
      <c r="EC96" s="240" t="s">
        <v>1107</v>
      </c>
      <c r="ED96" s="240" t="s">
        <v>1107</v>
      </c>
      <c r="EE96" s="240" t="s">
        <v>1107</v>
      </c>
      <c r="EF96" s="240" t="s">
        <v>1107</v>
      </c>
      <c r="EG96" s="240" t="s">
        <v>1107</v>
      </c>
      <c r="EH96" s="240" t="s">
        <v>1107</v>
      </c>
      <c r="EI96" s="240" t="s">
        <v>1107</v>
      </c>
      <c r="EJ96" s="240" t="s">
        <v>1107</v>
      </c>
      <c r="EK96" s="240" t="s">
        <v>1107</v>
      </c>
      <c r="EL96" s="240" t="s">
        <v>1107</v>
      </c>
      <c r="EM96" s="240" t="s">
        <v>1107</v>
      </c>
      <c r="EN96" s="240" t="s">
        <v>1107</v>
      </c>
      <c r="EO96" s="240" t="s">
        <v>1107</v>
      </c>
      <c r="EP96" s="240" t="s">
        <v>1107</v>
      </c>
      <c r="EQ96" s="240" t="s">
        <v>1107</v>
      </c>
      <c r="ER96" s="240" t="s">
        <v>1107</v>
      </c>
      <c r="ES96" s="240" t="s">
        <v>1107</v>
      </c>
      <c r="ET96" s="240" t="s">
        <v>1107</v>
      </c>
      <c r="EU96" s="240" t="s">
        <v>1107</v>
      </c>
      <c r="EV96" s="240" t="s">
        <v>1107</v>
      </c>
      <c r="EW96" s="240" t="s">
        <v>1107</v>
      </c>
      <c r="EX96" s="240" t="s">
        <v>1107</v>
      </c>
      <c r="EY96" s="240" t="s">
        <v>1107</v>
      </c>
      <c r="EZ96" s="240" t="s">
        <v>1107</v>
      </c>
      <c r="FA96" s="240" t="s">
        <v>1107</v>
      </c>
      <c r="FB96" s="240" t="s">
        <v>1107</v>
      </c>
      <c r="FC96" s="240" t="s">
        <v>1107</v>
      </c>
      <c r="FD96" s="240" t="s">
        <v>1107</v>
      </c>
      <c r="FE96" s="240" t="s">
        <v>1107</v>
      </c>
      <c r="FF96" s="240" t="s">
        <v>1107</v>
      </c>
      <c r="FG96" s="240" t="s">
        <v>1107</v>
      </c>
      <c r="FH96" s="240" t="s">
        <v>1107</v>
      </c>
      <c r="FI96" s="240" t="s">
        <v>1107</v>
      </c>
      <c r="FJ96" s="240" t="s">
        <v>1107</v>
      </c>
      <c r="FK96" s="240" t="s">
        <v>1107</v>
      </c>
      <c r="FL96" s="240" t="s">
        <v>1107</v>
      </c>
      <c r="FM96" s="240" t="s">
        <v>1107</v>
      </c>
      <c r="FN96" s="240" t="s">
        <v>1107</v>
      </c>
      <c r="FO96" s="240" t="s">
        <v>1107</v>
      </c>
      <c r="FP96" s="240" t="s">
        <v>1107</v>
      </c>
      <c r="FQ96" s="240" t="s">
        <v>1107</v>
      </c>
      <c r="FR96" s="240" t="s">
        <v>1107</v>
      </c>
      <c r="FS96" s="240" t="s">
        <v>1107</v>
      </c>
      <c r="FT96" s="240" t="s">
        <v>1107</v>
      </c>
      <c r="FU96" s="240" t="s">
        <v>1107</v>
      </c>
      <c r="FV96" s="240" t="s">
        <v>1107</v>
      </c>
      <c r="FW96" s="240" t="s">
        <v>1107</v>
      </c>
      <c r="FX96" s="240" t="s">
        <v>1107</v>
      </c>
      <c r="FY96" s="240" t="s">
        <v>1107</v>
      </c>
      <c r="FZ96" s="240" t="s">
        <v>1107</v>
      </c>
      <c r="GA96" s="240" t="s">
        <v>1107</v>
      </c>
      <c r="GB96" s="240" t="s">
        <v>1107</v>
      </c>
      <c r="GC96" s="240" t="s">
        <v>1107</v>
      </c>
      <c r="GD96" s="240" t="s">
        <v>1107</v>
      </c>
      <c r="GE96" s="240" t="s">
        <v>1107</v>
      </c>
      <c r="GF96" s="240" t="s">
        <v>1107</v>
      </c>
      <c r="GG96" s="240" t="s">
        <v>1107</v>
      </c>
      <c r="GH96" s="240" t="s">
        <v>1107</v>
      </c>
      <c r="GI96" s="240" t="s">
        <v>1107</v>
      </c>
      <c r="GJ96" s="240" t="s">
        <v>1107</v>
      </c>
      <c r="GK96" s="240" t="s">
        <v>1107</v>
      </c>
      <c r="GL96" s="240" t="s">
        <v>1107</v>
      </c>
      <c r="GM96" s="240" t="s">
        <v>1107</v>
      </c>
      <c r="GN96" s="240" t="s">
        <v>1107</v>
      </c>
      <c r="GO96" s="240" t="s">
        <v>1107</v>
      </c>
      <c r="GP96" s="240" t="s">
        <v>1107</v>
      </c>
      <c r="GQ96" s="240" t="s">
        <v>1107</v>
      </c>
      <c r="GR96" s="240" t="s">
        <v>1107</v>
      </c>
      <c r="GS96" s="240" t="s">
        <v>1107</v>
      </c>
      <c r="GT96" s="240" t="s">
        <v>1107</v>
      </c>
      <c r="GU96" s="240" t="s">
        <v>1107</v>
      </c>
      <c r="GV96" s="240" t="s">
        <v>1107</v>
      </c>
      <c r="GW96" s="240" t="s">
        <v>1107</v>
      </c>
      <c r="GX96" s="240" t="s">
        <v>1107</v>
      </c>
      <c r="GY96" s="240" t="s">
        <v>1107</v>
      </c>
      <c r="GZ96" s="240" t="s">
        <v>1107</v>
      </c>
      <c r="HA96" s="240" t="s">
        <v>1107</v>
      </c>
      <c r="HB96" s="240" t="s">
        <v>1107</v>
      </c>
      <c r="HC96" s="240" t="s">
        <v>1107</v>
      </c>
      <c r="HD96" s="240" t="s">
        <v>1107</v>
      </c>
      <c r="HE96" s="240" t="s">
        <v>1107</v>
      </c>
      <c r="HF96" s="240" t="s">
        <v>1107</v>
      </c>
      <c r="HG96" s="240" t="s">
        <v>1107</v>
      </c>
      <c r="HH96" s="240" t="s">
        <v>1107</v>
      </c>
      <c r="HI96" s="240" t="s">
        <v>1107</v>
      </c>
      <c r="HJ96" s="240" t="s">
        <v>1107</v>
      </c>
      <c r="HK96" s="240" t="s">
        <v>1107</v>
      </c>
      <c r="HL96" s="240" t="s">
        <v>1107</v>
      </c>
      <c r="HM96" s="240" t="s">
        <v>1107</v>
      </c>
      <c r="HN96" s="240" t="s">
        <v>1107</v>
      </c>
      <c r="HO96" s="240" t="s">
        <v>1107</v>
      </c>
      <c r="HP96" s="240" t="s">
        <v>1107</v>
      </c>
      <c r="HQ96" s="240" t="s">
        <v>1107</v>
      </c>
      <c r="HR96" s="240" t="s">
        <v>1107</v>
      </c>
      <c r="HS96" s="240" t="s">
        <v>1107</v>
      </c>
      <c r="HT96" s="240" t="s">
        <v>232</v>
      </c>
      <c r="HU96" s="240" t="s">
        <v>232</v>
      </c>
      <c r="HV96" s="240" t="s">
        <v>232</v>
      </c>
      <c r="HW96" s="240" t="s">
        <v>232</v>
      </c>
      <c r="HX96" s="240" t="s">
        <v>219</v>
      </c>
      <c r="HY96" s="240" t="s">
        <v>597</v>
      </c>
      <c r="HZ96" s="240" t="s">
        <v>219</v>
      </c>
      <c r="IA96" s="240" t="s">
        <v>490</v>
      </c>
      <c r="IB96" s="240" t="s">
        <v>492</v>
      </c>
      <c r="IC96" s="240" t="s">
        <v>492</v>
      </c>
    </row>
    <row r="97" spans="1:237" ht="15" x14ac:dyDescent="0.25">
      <c r="A97" s="243" t="str">
        <f>HYPERLINK("http://www.ofsted.gov.uk/inspection-reports/find-inspection-report/provider/ELS/122143 ","Ofsted School Webpage")</f>
        <v>Ofsted School Webpage</v>
      </c>
      <c r="B97" s="237">
        <v>122143</v>
      </c>
      <c r="C97" s="237">
        <v>9286056</v>
      </c>
      <c r="D97" s="237" t="s">
        <v>1296</v>
      </c>
      <c r="E97" s="237" t="s">
        <v>247</v>
      </c>
      <c r="F97" s="237" t="s">
        <v>572</v>
      </c>
      <c r="G97" s="237" t="s">
        <v>572</v>
      </c>
      <c r="H97" s="237" t="s">
        <v>1297</v>
      </c>
      <c r="I97" s="237" t="s">
        <v>1298</v>
      </c>
      <c r="J97" s="237" t="s">
        <v>93</v>
      </c>
      <c r="K97" s="237" t="s">
        <v>71</v>
      </c>
      <c r="L97" s="237" t="s">
        <v>71</v>
      </c>
      <c r="M97" s="237" t="s">
        <v>71</v>
      </c>
      <c r="N97" s="237" t="s">
        <v>486</v>
      </c>
      <c r="O97" s="237" t="s">
        <v>487</v>
      </c>
      <c r="P97" s="237">
        <v>10085182</v>
      </c>
      <c r="Q97" s="239">
        <v>43474</v>
      </c>
      <c r="R97" s="239">
        <v>43474</v>
      </c>
      <c r="S97" s="239">
        <v>43503</v>
      </c>
      <c r="T97" s="237" t="s">
        <v>1109</v>
      </c>
      <c r="U97" s="237" t="s">
        <v>1105</v>
      </c>
      <c r="V97" s="237" t="s">
        <v>490</v>
      </c>
      <c r="W97" s="237" t="s">
        <v>486</v>
      </c>
      <c r="X97" s="237" t="s">
        <v>486</v>
      </c>
      <c r="Y97" s="237" t="s">
        <v>486</v>
      </c>
      <c r="Z97" s="237" t="s">
        <v>486</v>
      </c>
      <c r="AA97" s="237" t="s">
        <v>486</v>
      </c>
      <c r="AB97" s="237" t="s">
        <v>486</v>
      </c>
      <c r="AC97" s="237" t="s">
        <v>486</v>
      </c>
      <c r="AD97" s="237" t="s">
        <v>1110</v>
      </c>
      <c r="AE97" s="237" t="s">
        <v>231</v>
      </c>
      <c r="AF97" s="237" t="s">
        <v>231</v>
      </c>
      <c r="AG97" s="237" t="s">
        <v>231</v>
      </c>
      <c r="AH97" s="237" t="s">
        <v>231</v>
      </c>
      <c r="AI97" s="237" t="s">
        <v>231</v>
      </c>
      <c r="AJ97" s="237" t="s">
        <v>231</v>
      </c>
      <c r="AK97" s="237" t="s">
        <v>231</v>
      </c>
      <c r="AL97" s="237" t="s">
        <v>231</v>
      </c>
      <c r="AM97" s="237" t="s">
        <v>231</v>
      </c>
      <c r="AN97" s="237" t="s">
        <v>231</v>
      </c>
      <c r="AO97" s="237" t="s">
        <v>231</v>
      </c>
      <c r="AP97" s="237" t="s">
        <v>231</v>
      </c>
      <c r="AQ97" s="237" t="s">
        <v>231</v>
      </c>
      <c r="AR97" s="237" t="s">
        <v>231</v>
      </c>
      <c r="AS97" s="237" t="s">
        <v>231</v>
      </c>
      <c r="AT97" s="237" t="s">
        <v>231</v>
      </c>
      <c r="AU97" s="237" t="s">
        <v>231</v>
      </c>
      <c r="AV97" s="237" t="s">
        <v>492</v>
      </c>
      <c r="AW97" s="237" t="s">
        <v>231</v>
      </c>
      <c r="AX97" s="237" t="s">
        <v>231</v>
      </c>
      <c r="AY97" s="237" t="s">
        <v>231</v>
      </c>
      <c r="AZ97" s="237" t="s">
        <v>231</v>
      </c>
      <c r="BA97" s="237" t="s">
        <v>231</v>
      </c>
      <c r="BB97" s="237" t="s">
        <v>231</v>
      </c>
      <c r="BC97" s="237" t="s">
        <v>231</v>
      </c>
      <c r="BD97" s="237" t="s">
        <v>231</v>
      </c>
      <c r="BE97" s="237" t="s">
        <v>231</v>
      </c>
      <c r="BF97" s="237" t="s">
        <v>231</v>
      </c>
      <c r="BG97" s="237" t="s">
        <v>231</v>
      </c>
      <c r="BH97" s="237" t="s">
        <v>231</v>
      </c>
      <c r="BI97" s="237" t="s">
        <v>231</v>
      </c>
      <c r="BJ97" s="237" t="s">
        <v>231</v>
      </c>
      <c r="BK97" s="237" t="s">
        <v>1107</v>
      </c>
      <c r="BL97" s="237" t="s">
        <v>1107</v>
      </c>
      <c r="BM97" s="237" t="s">
        <v>1107</v>
      </c>
      <c r="BN97" s="237" t="s">
        <v>1107</v>
      </c>
      <c r="BO97" s="237" t="s">
        <v>1107</v>
      </c>
      <c r="BP97" s="237" t="s">
        <v>1107</v>
      </c>
      <c r="BQ97" s="237" t="s">
        <v>1107</v>
      </c>
      <c r="BR97" s="237" t="s">
        <v>1107</v>
      </c>
      <c r="BS97" s="237" t="s">
        <v>1107</v>
      </c>
      <c r="BT97" s="237" t="s">
        <v>1107</v>
      </c>
      <c r="BU97" s="237" t="s">
        <v>1107</v>
      </c>
      <c r="BV97" s="237" t="s">
        <v>1107</v>
      </c>
      <c r="BW97" s="237" t="s">
        <v>1107</v>
      </c>
      <c r="BX97" s="237" t="s">
        <v>1107</v>
      </c>
      <c r="BY97" s="237" t="s">
        <v>1107</v>
      </c>
      <c r="BZ97" s="237" t="s">
        <v>231</v>
      </c>
      <c r="CA97" s="237" t="s">
        <v>231</v>
      </c>
      <c r="CB97" s="237" t="s">
        <v>231</v>
      </c>
      <c r="CC97" s="237" t="s">
        <v>492</v>
      </c>
      <c r="CD97" s="237" t="s">
        <v>492</v>
      </c>
      <c r="CE97" s="237" t="s">
        <v>492</v>
      </c>
      <c r="CF97" s="237" t="s">
        <v>231</v>
      </c>
      <c r="CG97" s="237" t="s">
        <v>231</v>
      </c>
      <c r="CH97" s="237" t="s">
        <v>231</v>
      </c>
      <c r="CI97" s="237" t="s">
        <v>231</v>
      </c>
      <c r="CJ97" s="237" t="s">
        <v>231</v>
      </c>
      <c r="CK97" s="237" t="s">
        <v>231</v>
      </c>
      <c r="CL97" s="237" t="s">
        <v>231</v>
      </c>
      <c r="CM97" s="237" t="s">
        <v>231</v>
      </c>
      <c r="CN97" s="237" t="s">
        <v>231</v>
      </c>
      <c r="CO97" s="237" t="s">
        <v>231</v>
      </c>
      <c r="CP97" s="237" t="s">
        <v>231</v>
      </c>
      <c r="CQ97" s="237" t="s">
        <v>231</v>
      </c>
      <c r="CR97" s="237" t="s">
        <v>231</v>
      </c>
      <c r="CS97" s="237" t="s">
        <v>231</v>
      </c>
      <c r="CT97" s="237" t="s">
        <v>231</v>
      </c>
      <c r="CU97" s="237" t="s">
        <v>231</v>
      </c>
      <c r="CV97" s="237" t="s">
        <v>231</v>
      </c>
      <c r="CW97" s="237" t="s">
        <v>231</v>
      </c>
      <c r="CX97" s="237" t="s">
        <v>231</v>
      </c>
      <c r="CY97" s="237" t="s">
        <v>231</v>
      </c>
      <c r="CZ97" s="237" t="s">
        <v>231</v>
      </c>
      <c r="DA97" s="237" t="s">
        <v>231</v>
      </c>
      <c r="DB97" s="237" t="s">
        <v>231</v>
      </c>
      <c r="DC97" s="237" t="s">
        <v>231</v>
      </c>
      <c r="DD97" s="237" t="s">
        <v>231</v>
      </c>
      <c r="DE97" s="237" t="s">
        <v>231</v>
      </c>
      <c r="DF97" s="237" t="s">
        <v>231</v>
      </c>
      <c r="DG97" s="237" t="s">
        <v>231</v>
      </c>
      <c r="DH97" s="237" t="s">
        <v>231</v>
      </c>
      <c r="DI97" s="237" t="s">
        <v>231</v>
      </c>
      <c r="DJ97" s="237" t="s">
        <v>231</v>
      </c>
      <c r="DK97" s="237" t="s">
        <v>231</v>
      </c>
      <c r="DL97" s="237" t="s">
        <v>231</v>
      </c>
      <c r="DM97" s="237" t="s">
        <v>231</v>
      </c>
      <c r="DN97" s="237" t="s">
        <v>231</v>
      </c>
      <c r="DO97" s="237" t="s">
        <v>231</v>
      </c>
      <c r="DP97" s="237" t="s">
        <v>231</v>
      </c>
      <c r="DQ97" s="237" t="s">
        <v>231</v>
      </c>
      <c r="DR97" s="237" t="s">
        <v>231</v>
      </c>
      <c r="DS97" s="237" t="s">
        <v>231</v>
      </c>
      <c r="DT97" s="237" t="s">
        <v>231</v>
      </c>
      <c r="DU97" s="237" t="s">
        <v>231</v>
      </c>
      <c r="DV97" s="237" t="s">
        <v>231</v>
      </c>
      <c r="DW97" s="237" t="s">
        <v>231</v>
      </c>
      <c r="DX97" s="237" t="s">
        <v>231</v>
      </c>
      <c r="DY97" s="237" t="s">
        <v>231</v>
      </c>
      <c r="DZ97" s="237" t="s">
        <v>231</v>
      </c>
      <c r="EA97" s="237" t="s">
        <v>231</v>
      </c>
      <c r="EB97" s="237" t="s">
        <v>231</v>
      </c>
      <c r="EC97" s="237" t="s">
        <v>231</v>
      </c>
      <c r="ED97" s="237" t="s">
        <v>231</v>
      </c>
      <c r="EE97" s="237" t="s">
        <v>231</v>
      </c>
      <c r="EF97" s="237" t="s">
        <v>231</v>
      </c>
      <c r="EG97" s="237" t="s">
        <v>231</v>
      </c>
      <c r="EH97" s="237" t="s">
        <v>231</v>
      </c>
      <c r="EI97" s="237" t="s">
        <v>231</v>
      </c>
      <c r="EJ97" s="237" t="s">
        <v>231</v>
      </c>
      <c r="EK97" s="237" t="s">
        <v>231</v>
      </c>
      <c r="EL97" s="237" t="s">
        <v>231</v>
      </c>
      <c r="EM97" s="237" t="s">
        <v>231</v>
      </c>
      <c r="EN97" s="237" t="s">
        <v>231</v>
      </c>
      <c r="EO97" s="237" t="s">
        <v>231</v>
      </c>
      <c r="EP97" s="237" t="s">
        <v>231</v>
      </c>
      <c r="EQ97" s="237" t="s">
        <v>231</v>
      </c>
      <c r="ER97" s="237" t="s">
        <v>231</v>
      </c>
      <c r="ES97" s="237" t="s">
        <v>231</v>
      </c>
      <c r="ET97" s="237" t="s">
        <v>231</v>
      </c>
      <c r="EU97" s="237" t="s">
        <v>231</v>
      </c>
      <c r="EV97" s="237" t="s">
        <v>231</v>
      </c>
      <c r="EW97" s="237" t="s">
        <v>231</v>
      </c>
      <c r="EX97" s="237" t="s">
        <v>231</v>
      </c>
      <c r="EY97" s="237" t="s">
        <v>231</v>
      </c>
      <c r="EZ97" s="237" t="s">
        <v>231</v>
      </c>
      <c r="FA97" s="237" t="s">
        <v>231</v>
      </c>
      <c r="FB97" s="237" t="s">
        <v>231</v>
      </c>
      <c r="FC97" s="237" t="s">
        <v>231</v>
      </c>
      <c r="FD97" s="237" t="s">
        <v>231</v>
      </c>
      <c r="FE97" s="237" t="s">
        <v>231</v>
      </c>
      <c r="FF97" s="237" t="s">
        <v>231</v>
      </c>
      <c r="FG97" s="237" t="s">
        <v>231</v>
      </c>
      <c r="FH97" s="237" t="s">
        <v>231</v>
      </c>
      <c r="FI97" s="237" t="s">
        <v>231</v>
      </c>
      <c r="FJ97" s="237" t="s">
        <v>231</v>
      </c>
      <c r="FK97" s="237" t="s">
        <v>231</v>
      </c>
      <c r="FL97" s="237" t="s">
        <v>231</v>
      </c>
      <c r="FM97" s="237" t="s">
        <v>231</v>
      </c>
      <c r="FN97" s="237" t="s">
        <v>231</v>
      </c>
      <c r="FO97" s="237" t="s">
        <v>231</v>
      </c>
      <c r="FP97" s="237" t="s">
        <v>231</v>
      </c>
      <c r="FQ97" s="237" t="s">
        <v>231</v>
      </c>
      <c r="FR97" s="237" t="s">
        <v>231</v>
      </c>
      <c r="FS97" s="237" t="s">
        <v>231</v>
      </c>
      <c r="FT97" s="237" t="s">
        <v>231</v>
      </c>
      <c r="FU97" s="237" t="s">
        <v>231</v>
      </c>
      <c r="FV97" s="237" t="s">
        <v>231</v>
      </c>
      <c r="FW97" s="237" t="s">
        <v>231</v>
      </c>
      <c r="FX97" s="237" t="s">
        <v>231</v>
      </c>
      <c r="FY97" s="237" t="s">
        <v>231</v>
      </c>
      <c r="FZ97" s="237" t="s">
        <v>231</v>
      </c>
      <c r="GA97" s="237" t="s">
        <v>231</v>
      </c>
      <c r="GB97" s="237" t="s">
        <v>231</v>
      </c>
      <c r="GC97" s="237" t="s">
        <v>231</v>
      </c>
      <c r="GD97" s="237" t="s">
        <v>231</v>
      </c>
      <c r="GE97" s="237" t="s">
        <v>231</v>
      </c>
      <c r="GF97" s="237" t="s">
        <v>231</v>
      </c>
      <c r="GG97" s="237" t="s">
        <v>231</v>
      </c>
      <c r="GH97" s="237" t="s">
        <v>231</v>
      </c>
      <c r="GI97" s="237" t="s">
        <v>231</v>
      </c>
      <c r="GJ97" s="237" t="s">
        <v>231</v>
      </c>
      <c r="GK97" s="237" t="s">
        <v>231</v>
      </c>
      <c r="GL97" s="237" t="s">
        <v>231</v>
      </c>
      <c r="GM97" s="237" t="s">
        <v>231</v>
      </c>
      <c r="GN97" s="237" t="s">
        <v>231</v>
      </c>
      <c r="GO97" s="237" t="s">
        <v>231</v>
      </c>
      <c r="GP97" s="237" t="s">
        <v>231</v>
      </c>
      <c r="GQ97" s="237" t="s">
        <v>231</v>
      </c>
      <c r="GR97" s="237" t="s">
        <v>231</v>
      </c>
      <c r="GS97" s="237" t="s">
        <v>231</v>
      </c>
      <c r="GT97" s="237" t="s">
        <v>231</v>
      </c>
      <c r="GU97" s="237" t="s">
        <v>231</v>
      </c>
      <c r="GV97" s="237" t="s">
        <v>231</v>
      </c>
      <c r="GW97" s="237" t="s">
        <v>231</v>
      </c>
      <c r="GX97" s="237" t="s">
        <v>231</v>
      </c>
      <c r="GY97" s="237" t="s">
        <v>231</v>
      </c>
      <c r="GZ97" s="237" t="s">
        <v>231</v>
      </c>
      <c r="HA97" s="237" t="s">
        <v>231</v>
      </c>
      <c r="HB97" s="237" t="s">
        <v>231</v>
      </c>
      <c r="HC97" s="237" t="s">
        <v>231</v>
      </c>
      <c r="HD97" s="237" t="s">
        <v>231</v>
      </c>
      <c r="HE97" s="237" t="s">
        <v>231</v>
      </c>
      <c r="HF97" s="237" t="s">
        <v>231</v>
      </c>
      <c r="HG97" s="237" t="s">
        <v>231</v>
      </c>
      <c r="HH97" s="237" t="s">
        <v>231</v>
      </c>
      <c r="HI97" s="237" t="s">
        <v>231</v>
      </c>
      <c r="HJ97" s="237" t="s">
        <v>231</v>
      </c>
      <c r="HK97" s="237" t="s">
        <v>231</v>
      </c>
      <c r="HL97" s="237" t="s">
        <v>231</v>
      </c>
      <c r="HM97" s="237" t="s">
        <v>231</v>
      </c>
      <c r="HN97" s="237" t="s">
        <v>231</v>
      </c>
      <c r="HO97" s="237" t="s">
        <v>231</v>
      </c>
      <c r="HP97" s="237" t="s">
        <v>231</v>
      </c>
      <c r="HQ97" s="237" t="s">
        <v>231</v>
      </c>
      <c r="HR97" s="237" t="s">
        <v>231</v>
      </c>
      <c r="HS97" s="237" t="s">
        <v>231</v>
      </c>
      <c r="HT97" s="237" t="s">
        <v>231</v>
      </c>
      <c r="HU97" s="237" t="s">
        <v>231</v>
      </c>
      <c r="HV97" s="237" t="s">
        <v>231</v>
      </c>
      <c r="HW97" s="237" t="s">
        <v>231</v>
      </c>
      <c r="HX97" s="237" t="s">
        <v>220</v>
      </c>
      <c r="HY97" s="237" t="s">
        <v>493</v>
      </c>
      <c r="HZ97" s="237" t="s">
        <v>219</v>
      </c>
      <c r="IA97" s="237" t="s">
        <v>490</v>
      </c>
      <c r="IB97" s="237" t="s">
        <v>231</v>
      </c>
      <c r="IC97" s="237" t="s">
        <v>231</v>
      </c>
    </row>
    <row r="98" spans="1:237" ht="15" x14ac:dyDescent="0.25">
      <c r="A98" s="244" t="str">
        <f>HYPERLINK("http://www.ofsted.gov.uk/inspection-reports/find-inspection-report/provider/ELS/100078 ","Ofsted School Webpage")</f>
        <v>Ofsted School Webpage</v>
      </c>
      <c r="B98" s="240">
        <v>100078</v>
      </c>
      <c r="C98" s="240">
        <v>2026360</v>
      </c>
      <c r="D98" s="240" t="s">
        <v>1176</v>
      </c>
      <c r="E98" s="240" t="s">
        <v>247</v>
      </c>
      <c r="F98" s="240" t="s">
        <v>506</v>
      </c>
      <c r="G98" s="240" t="s">
        <v>506</v>
      </c>
      <c r="H98" s="240" t="s">
        <v>1177</v>
      </c>
      <c r="I98" s="240" t="s">
        <v>1178</v>
      </c>
      <c r="J98" s="240" t="s">
        <v>93</v>
      </c>
      <c r="K98" s="240" t="s">
        <v>93</v>
      </c>
      <c r="L98" s="240" t="s">
        <v>93</v>
      </c>
      <c r="M98" s="240" t="s">
        <v>90</v>
      </c>
      <c r="N98" s="240" t="s">
        <v>486</v>
      </c>
      <c r="O98" s="240" t="s">
        <v>487</v>
      </c>
      <c r="P98" s="240">
        <v>10089316</v>
      </c>
      <c r="Q98" s="242">
        <v>43475</v>
      </c>
      <c r="R98" s="242">
        <v>43475</v>
      </c>
      <c r="S98" s="242">
        <v>43508</v>
      </c>
      <c r="T98" s="240" t="s">
        <v>1202</v>
      </c>
      <c r="U98" s="240" t="s">
        <v>1105</v>
      </c>
      <c r="V98" s="240" t="s">
        <v>490</v>
      </c>
      <c r="W98" s="240" t="s">
        <v>486</v>
      </c>
      <c r="X98" s="240" t="s">
        <v>486</v>
      </c>
      <c r="Y98" s="240" t="s">
        <v>486</v>
      </c>
      <c r="Z98" s="240" t="s">
        <v>486</v>
      </c>
      <c r="AA98" s="240" t="s">
        <v>486</v>
      </c>
      <c r="AB98" s="240" t="s">
        <v>486</v>
      </c>
      <c r="AC98" s="240" t="s">
        <v>486</v>
      </c>
      <c r="AD98" s="240" t="s">
        <v>1110</v>
      </c>
      <c r="AE98" s="240" t="s">
        <v>1107</v>
      </c>
      <c r="AF98" s="240" t="s">
        <v>1107</v>
      </c>
      <c r="AG98" s="240" t="s">
        <v>1107</v>
      </c>
      <c r="AH98" s="240" t="s">
        <v>1107</v>
      </c>
      <c r="AI98" s="240" t="s">
        <v>1107</v>
      </c>
      <c r="AJ98" s="240" t="s">
        <v>1107</v>
      </c>
      <c r="AK98" s="240" t="s">
        <v>1107</v>
      </c>
      <c r="AL98" s="240" t="s">
        <v>1107</v>
      </c>
      <c r="AM98" s="240" t="s">
        <v>1107</v>
      </c>
      <c r="AN98" s="240" t="s">
        <v>1107</v>
      </c>
      <c r="AO98" s="240" t="s">
        <v>1107</v>
      </c>
      <c r="AP98" s="240" t="s">
        <v>1107</v>
      </c>
      <c r="AQ98" s="240" t="s">
        <v>1107</v>
      </c>
      <c r="AR98" s="240" t="s">
        <v>1107</v>
      </c>
      <c r="AS98" s="240" t="s">
        <v>1107</v>
      </c>
      <c r="AT98" s="240" t="s">
        <v>1107</v>
      </c>
      <c r="AU98" s="240" t="s">
        <v>1107</v>
      </c>
      <c r="AV98" s="240" t="s">
        <v>1107</v>
      </c>
      <c r="AW98" s="240" t="s">
        <v>1107</v>
      </c>
      <c r="AX98" s="240" t="s">
        <v>1107</v>
      </c>
      <c r="AY98" s="240" t="s">
        <v>1107</v>
      </c>
      <c r="AZ98" s="240" t="s">
        <v>1107</v>
      </c>
      <c r="BA98" s="240" t="s">
        <v>1107</v>
      </c>
      <c r="BB98" s="240" t="s">
        <v>1107</v>
      </c>
      <c r="BC98" s="240" t="s">
        <v>1107</v>
      </c>
      <c r="BD98" s="240" t="s">
        <v>1107</v>
      </c>
      <c r="BE98" s="240" t="s">
        <v>1107</v>
      </c>
      <c r="BF98" s="240" t="s">
        <v>1107</v>
      </c>
      <c r="BG98" s="240" t="s">
        <v>1107</v>
      </c>
      <c r="BH98" s="240" t="s">
        <v>1107</v>
      </c>
      <c r="BI98" s="240" t="s">
        <v>1107</v>
      </c>
      <c r="BJ98" s="240" t="s">
        <v>1107</v>
      </c>
      <c r="BK98" s="240" t="s">
        <v>1107</v>
      </c>
      <c r="BL98" s="240" t="s">
        <v>1107</v>
      </c>
      <c r="BM98" s="240" t="s">
        <v>1107</v>
      </c>
      <c r="BN98" s="240" t="s">
        <v>1107</v>
      </c>
      <c r="BO98" s="240" t="s">
        <v>1107</v>
      </c>
      <c r="BP98" s="240" t="s">
        <v>1107</v>
      </c>
      <c r="BQ98" s="240" t="s">
        <v>1107</v>
      </c>
      <c r="BR98" s="240" t="s">
        <v>1107</v>
      </c>
      <c r="BS98" s="240" t="s">
        <v>1107</v>
      </c>
      <c r="BT98" s="240" t="s">
        <v>1107</v>
      </c>
      <c r="BU98" s="240" t="s">
        <v>1107</v>
      </c>
      <c r="BV98" s="240" t="s">
        <v>1107</v>
      </c>
      <c r="BW98" s="240" t="s">
        <v>1107</v>
      </c>
      <c r="BX98" s="240" t="s">
        <v>1107</v>
      </c>
      <c r="BY98" s="240" t="s">
        <v>1107</v>
      </c>
      <c r="BZ98" s="240" t="s">
        <v>231</v>
      </c>
      <c r="CA98" s="240" t="s">
        <v>231</v>
      </c>
      <c r="CB98" s="240" t="s">
        <v>231</v>
      </c>
      <c r="CC98" s="240" t="s">
        <v>231</v>
      </c>
      <c r="CD98" s="240" t="s">
        <v>231</v>
      </c>
      <c r="CE98" s="240" t="s">
        <v>231</v>
      </c>
      <c r="CF98" s="240" t="s">
        <v>1107</v>
      </c>
      <c r="CG98" s="240" t="s">
        <v>1107</v>
      </c>
      <c r="CH98" s="240" t="s">
        <v>1107</v>
      </c>
      <c r="CI98" s="240" t="s">
        <v>1107</v>
      </c>
      <c r="CJ98" s="240" t="s">
        <v>1107</v>
      </c>
      <c r="CK98" s="240" t="s">
        <v>231</v>
      </c>
      <c r="CL98" s="240" t="s">
        <v>231</v>
      </c>
      <c r="CM98" s="240" t="s">
        <v>1107</v>
      </c>
      <c r="CN98" s="240" t="s">
        <v>231</v>
      </c>
      <c r="CO98" s="240" t="s">
        <v>231</v>
      </c>
      <c r="CP98" s="240" t="s">
        <v>231</v>
      </c>
      <c r="CQ98" s="240" t="s">
        <v>231</v>
      </c>
      <c r="CR98" s="240" t="s">
        <v>231</v>
      </c>
      <c r="CS98" s="240" t="s">
        <v>231</v>
      </c>
      <c r="CT98" s="240" t="s">
        <v>231</v>
      </c>
      <c r="CU98" s="240" t="s">
        <v>231</v>
      </c>
      <c r="CV98" s="240" t="s">
        <v>231</v>
      </c>
      <c r="CW98" s="240" t="s">
        <v>231</v>
      </c>
      <c r="CX98" s="240" t="s">
        <v>231</v>
      </c>
      <c r="CY98" s="240" t="s">
        <v>231</v>
      </c>
      <c r="CZ98" s="240" t="s">
        <v>231</v>
      </c>
      <c r="DA98" s="240" t="s">
        <v>231</v>
      </c>
      <c r="DB98" s="240" t="s">
        <v>231</v>
      </c>
      <c r="DC98" s="240" t="s">
        <v>231</v>
      </c>
      <c r="DD98" s="240" t="s">
        <v>231</v>
      </c>
      <c r="DE98" s="240" t="s">
        <v>231</v>
      </c>
      <c r="DF98" s="240" t="s">
        <v>231</v>
      </c>
      <c r="DG98" s="240" t="s">
        <v>231</v>
      </c>
      <c r="DH98" s="240" t="s">
        <v>231</v>
      </c>
      <c r="DI98" s="240" t="s">
        <v>231</v>
      </c>
      <c r="DJ98" s="240" t="s">
        <v>231</v>
      </c>
      <c r="DK98" s="240" t="s">
        <v>231</v>
      </c>
      <c r="DL98" s="240" t="s">
        <v>231</v>
      </c>
      <c r="DM98" s="240" t="s">
        <v>231</v>
      </c>
      <c r="DN98" s="240" t="s">
        <v>231</v>
      </c>
      <c r="DO98" s="240" t="s">
        <v>231</v>
      </c>
      <c r="DP98" s="240" t="s">
        <v>231</v>
      </c>
      <c r="DQ98" s="240" t="s">
        <v>231</v>
      </c>
      <c r="DR98" s="240" t="s">
        <v>231</v>
      </c>
      <c r="DS98" s="240" t="s">
        <v>1107</v>
      </c>
      <c r="DT98" s="240" t="s">
        <v>1107</v>
      </c>
      <c r="DU98" s="240" t="s">
        <v>1107</v>
      </c>
      <c r="DV98" s="240" t="s">
        <v>1107</v>
      </c>
      <c r="DW98" s="240" t="s">
        <v>1107</v>
      </c>
      <c r="DX98" s="240" t="s">
        <v>1107</v>
      </c>
      <c r="DY98" s="240" t="s">
        <v>1107</v>
      </c>
      <c r="DZ98" s="240" t="s">
        <v>1107</v>
      </c>
      <c r="EA98" s="240" t="s">
        <v>1107</v>
      </c>
      <c r="EB98" s="240" t="s">
        <v>231</v>
      </c>
      <c r="EC98" s="240" t="s">
        <v>231</v>
      </c>
      <c r="ED98" s="240" t="s">
        <v>231</v>
      </c>
      <c r="EE98" s="240" t="s">
        <v>231</v>
      </c>
      <c r="EF98" s="240" t="s">
        <v>231</v>
      </c>
      <c r="EG98" s="240" t="s">
        <v>231</v>
      </c>
      <c r="EH98" s="240" t="s">
        <v>231</v>
      </c>
      <c r="EI98" s="240" t="s">
        <v>231</v>
      </c>
      <c r="EJ98" s="240" t="s">
        <v>231</v>
      </c>
      <c r="EK98" s="240" t="s">
        <v>231</v>
      </c>
      <c r="EL98" s="240" t="s">
        <v>231</v>
      </c>
      <c r="EM98" s="240" t="s">
        <v>231</v>
      </c>
      <c r="EN98" s="240" t="s">
        <v>231</v>
      </c>
      <c r="EO98" s="240" t="s">
        <v>231</v>
      </c>
      <c r="EP98" s="240" t="s">
        <v>231</v>
      </c>
      <c r="EQ98" s="240" t="s">
        <v>231</v>
      </c>
      <c r="ER98" s="240" t="s">
        <v>231</v>
      </c>
      <c r="ES98" s="240" t="s">
        <v>231</v>
      </c>
      <c r="ET98" s="240" t="s">
        <v>231</v>
      </c>
      <c r="EU98" s="240" t="s">
        <v>231</v>
      </c>
      <c r="EV98" s="240" t="s">
        <v>1107</v>
      </c>
      <c r="EW98" s="240" t="s">
        <v>1107</v>
      </c>
      <c r="EX98" s="240" t="s">
        <v>1107</v>
      </c>
      <c r="EY98" s="240" t="s">
        <v>1107</v>
      </c>
      <c r="EZ98" s="240" t="s">
        <v>1107</v>
      </c>
      <c r="FA98" s="240" t="s">
        <v>1107</v>
      </c>
      <c r="FB98" s="240" t="s">
        <v>1107</v>
      </c>
      <c r="FC98" s="240" t="s">
        <v>1107</v>
      </c>
      <c r="FD98" s="240" t="s">
        <v>1107</v>
      </c>
      <c r="FE98" s="240" t="s">
        <v>1107</v>
      </c>
      <c r="FF98" s="240" t="s">
        <v>1107</v>
      </c>
      <c r="FG98" s="240" t="s">
        <v>1107</v>
      </c>
      <c r="FH98" s="240" t="s">
        <v>1107</v>
      </c>
      <c r="FI98" s="240" t="s">
        <v>231</v>
      </c>
      <c r="FJ98" s="240" t="s">
        <v>1107</v>
      </c>
      <c r="FK98" s="240" t="s">
        <v>231</v>
      </c>
      <c r="FL98" s="240" t="s">
        <v>1107</v>
      </c>
      <c r="FM98" s="240" t="s">
        <v>231</v>
      </c>
      <c r="FN98" s="240" t="s">
        <v>1107</v>
      </c>
      <c r="FO98" s="240" t="s">
        <v>1107</v>
      </c>
      <c r="FP98" s="240" t="s">
        <v>1107</v>
      </c>
      <c r="FQ98" s="240" t="s">
        <v>1107</v>
      </c>
      <c r="FR98" s="240" t="s">
        <v>1107</v>
      </c>
      <c r="FS98" s="240" t="s">
        <v>1107</v>
      </c>
      <c r="FT98" s="240" t="s">
        <v>1107</v>
      </c>
      <c r="FU98" s="240" t="s">
        <v>1107</v>
      </c>
      <c r="FV98" s="240" t="s">
        <v>1107</v>
      </c>
      <c r="FW98" s="240" t="s">
        <v>1107</v>
      </c>
      <c r="FX98" s="240" t="s">
        <v>1107</v>
      </c>
      <c r="FY98" s="240" t="s">
        <v>1107</v>
      </c>
      <c r="FZ98" s="240" t="s">
        <v>231</v>
      </c>
      <c r="GA98" s="240" t="s">
        <v>1107</v>
      </c>
      <c r="GB98" s="240" t="s">
        <v>1107</v>
      </c>
      <c r="GC98" s="240" t="s">
        <v>231</v>
      </c>
      <c r="GD98" s="240" t="s">
        <v>1107</v>
      </c>
      <c r="GE98" s="240" t="s">
        <v>1107</v>
      </c>
      <c r="GF98" s="240" t="s">
        <v>1107</v>
      </c>
      <c r="GG98" s="240" t="s">
        <v>1107</v>
      </c>
      <c r="GH98" s="240" t="s">
        <v>1107</v>
      </c>
      <c r="GI98" s="240" t="s">
        <v>1107</v>
      </c>
      <c r="GJ98" s="240" t="s">
        <v>1107</v>
      </c>
      <c r="GK98" s="240" t="s">
        <v>1107</v>
      </c>
      <c r="GL98" s="240" t="s">
        <v>1107</v>
      </c>
      <c r="GM98" s="240" t="s">
        <v>1107</v>
      </c>
      <c r="GN98" s="240" t="s">
        <v>1107</v>
      </c>
      <c r="GO98" s="240" t="s">
        <v>1107</v>
      </c>
      <c r="GP98" s="240" t="s">
        <v>1107</v>
      </c>
      <c r="GQ98" s="240" t="s">
        <v>1107</v>
      </c>
      <c r="GR98" s="240" t="s">
        <v>1107</v>
      </c>
      <c r="GS98" s="240" t="s">
        <v>1107</v>
      </c>
      <c r="GT98" s="240" t="s">
        <v>1107</v>
      </c>
      <c r="GU98" s="240" t="s">
        <v>1107</v>
      </c>
      <c r="GV98" s="240" t="s">
        <v>1107</v>
      </c>
      <c r="GW98" s="240" t="s">
        <v>1107</v>
      </c>
      <c r="GX98" s="240" t="s">
        <v>1107</v>
      </c>
      <c r="GY98" s="240" t="s">
        <v>1107</v>
      </c>
      <c r="GZ98" s="240" t="s">
        <v>1107</v>
      </c>
      <c r="HA98" s="240" t="s">
        <v>1107</v>
      </c>
      <c r="HB98" s="240" t="s">
        <v>1107</v>
      </c>
      <c r="HC98" s="240" t="s">
        <v>1107</v>
      </c>
      <c r="HD98" s="240" t="s">
        <v>1107</v>
      </c>
      <c r="HE98" s="240" t="s">
        <v>1107</v>
      </c>
      <c r="HF98" s="240" t="s">
        <v>1107</v>
      </c>
      <c r="HG98" s="240" t="s">
        <v>1107</v>
      </c>
      <c r="HH98" s="240" t="s">
        <v>1107</v>
      </c>
      <c r="HI98" s="240" t="s">
        <v>1107</v>
      </c>
      <c r="HJ98" s="240" t="s">
        <v>1107</v>
      </c>
      <c r="HK98" s="240" t="s">
        <v>1107</v>
      </c>
      <c r="HL98" s="240" t="s">
        <v>1107</v>
      </c>
      <c r="HM98" s="240" t="s">
        <v>1107</v>
      </c>
      <c r="HN98" s="240" t="s">
        <v>1107</v>
      </c>
      <c r="HO98" s="240" t="s">
        <v>1107</v>
      </c>
      <c r="HP98" s="240" t="s">
        <v>1107</v>
      </c>
      <c r="HQ98" s="240" t="s">
        <v>1107</v>
      </c>
      <c r="HR98" s="240" t="s">
        <v>1107</v>
      </c>
      <c r="HS98" s="240" t="s">
        <v>1107</v>
      </c>
      <c r="HT98" s="240" t="s">
        <v>1107</v>
      </c>
      <c r="HU98" s="240" t="s">
        <v>1107</v>
      </c>
      <c r="HV98" s="240" t="s">
        <v>1107</v>
      </c>
      <c r="HW98" s="240" t="s">
        <v>1107</v>
      </c>
      <c r="HX98" s="240" t="s">
        <v>220</v>
      </c>
      <c r="HY98" s="240" t="s">
        <v>493</v>
      </c>
      <c r="HZ98" s="240" t="s">
        <v>219</v>
      </c>
      <c r="IA98" s="240" t="s">
        <v>490</v>
      </c>
      <c r="IB98" s="240" t="s">
        <v>1107</v>
      </c>
      <c r="IC98" s="240" t="s">
        <v>1107</v>
      </c>
    </row>
    <row r="99" spans="1:237" ht="15" x14ac:dyDescent="0.25">
      <c r="A99" s="243" t="str">
        <f>HYPERLINK("http://www.ofsted.gov.uk/inspection-reports/find-inspection-report/provider/ELS/137505 ","Ofsted School Webpage")</f>
        <v>Ofsted School Webpage</v>
      </c>
      <c r="B99" s="237">
        <v>137505</v>
      </c>
      <c r="C99" s="237">
        <v>2046002</v>
      </c>
      <c r="D99" s="237" t="s">
        <v>1299</v>
      </c>
      <c r="E99" s="237" t="s">
        <v>247</v>
      </c>
      <c r="F99" s="237" t="s">
        <v>506</v>
      </c>
      <c r="G99" s="237" t="s">
        <v>506</v>
      </c>
      <c r="H99" s="237" t="s">
        <v>617</v>
      </c>
      <c r="I99" s="237" t="s">
        <v>1300</v>
      </c>
      <c r="J99" s="237" t="s">
        <v>82</v>
      </c>
      <c r="K99" s="237" t="s">
        <v>81</v>
      </c>
      <c r="L99" s="237" t="s">
        <v>82</v>
      </c>
      <c r="M99" s="237" t="s">
        <v>81</v>
      </c>
      <c r="N99" s="237" t="s">
        <v>486</v>
      </c>
      <c r="O99" s="237" t="s">
        <v>487</v>
      </c>
      <c r="P99" s="237">
        <v>10087092</v>
      </c>
      <c r="Q99" s="239">
        <v>43475</v>
      </c>
      <c r="R99" s="239">
        <v>43475</v>
      </c>
      <c r="S99" s="239">
        <v>43499</v>
      </c>
      <c r="T99" s="237" t="s">
        <v>1109</v>
      </c>
      <c r="U99" s="237" t="s">
        <v>1105</v>
      </c>
      <c r="V99" s="237" t="s">
        <v>512</v>
      </c>
      <c r="W99" s="237" t="s">
        <v>486</v>
      </c>
      <c r="X99" s="237" t="s">
        <v>486</v>
      </c>
      <c r="Y99" s="237" t="s">
        <v>490</v>
      </c>
      <c r="Z99" s="237" t="s">
        <v>490</v>
      </c>
      <c r="AA99" s="237" t="s">
        <v>486</v>
      </c>
      <c r="AB99" s="237" t="s">
        <v>486</v>
      </c>
      <c r="AC99" s="237" t="s">
        <v>486</v>
      </c>
      <c r="AD99" s="237" t="s">
        <v>1136</v>
      </c>
      <c r="AE99" s="237" t="s">
        <v>232</v>
      </c>
      <c r="AF99" s="237" t="s">
        <v>1107</v>
      </c>
      <c r="AG99" s="237" t="s">
        <v>1107</v>
      </c>
      <c r="AH99" s="237" t="s">
        <v>1107</v>
      </c>
      <c r="AI99" s="237" t="s">
        <v>1107</v>
      </c>
      <c r="AJ99" s="237" t="s">
        <v>232</v>
      </c>
      <c r="AK99" s="237" t="s">
        <v>1107</v>
      </c>
      <c r="AL99" s="237" t="s">
        <v>1107</v>
      </c>
      <c r="AM99" s="237" t="s">
        <v>1107</v>
      </c>
      <c r="AN99" s="237" t="s">
        <v>232</v>
      </c>
      <c r="AO99" s="237" t="s">
        <v>1107</v>
      </c>
      <c r="AP99" s="237" t="s">
        <v>232</v>
      </c>
      <c r="AQ99" s="237" t="s">
        <v>1107</v>
      </c>
      <c r="AR99" s="237" t="s">
        <v>1107</v>
      </c>
      <c r="AS99" s="237" t="s">
        <v>1107</v>
      </c>
      <c r="AT99" s="237" t="s">
        <v>1107</v>
      </c>
      <c r="AU99" s="237" t="s">
        <v>231</v>
      </c>
      <c r="AV99" s="237" t="s">
        <v>1107</v>
      </c>
      <c r="AW99" s="237" t="s">
        <v>1107</v>
      </c>
      <c r="AX99" s="237" t="s">
        <v>232</v>
      </c>
      <c r="AY99" s="237" t="s">
        <v>1107</v>
      </c>
      <c r="AZ99" s="237" t="s">
        <v>1107</v>
      </c>
      <c r="BA99" s="237" t="s">
        <v>1107</v>
      </c>
      <c r="BB99" s="237" t="s">
        <v>1107</v>
      </c>
      <c r="BC99" s="237" t="s">
        <v>1107</v>
      </c>
      <c r="BD99" s="237" t="s">
        <v>1107</v>
      </c>
      <c r="BE99" s="237" t="s">
        <v>1107</v>
      </c>
      <c r="BF99" s="237" t="s">
        <v>1107</v>
      </c>
      <c r="BG99" s="237" t="s">
        <v>1107</v>
      </c>
      <c r="BH99" s="237" t="s">
        <v>1107</v>
      </c>
      <c r="BI99" s="237" t="s">
        <v>1107</v>
      </c>
      <c r="BJ99" s="237" t="s">
        <v>1107</v>
      </c>
      <c r="BK99" s="237" t="s">
        <v>232</v>
      </c>
      <c r="BL99" s="237" t="s">
        <v>232</v>
      </c>
      <c r="BM99" s="237" t="s">
        <v>232</v>
      </c>
      <c r="BN99" s="237" t="s">
        <v>1107</v>
      </c>
      <c r="BO99" s="237" t="s">
        <v>1107</v>
      </c>
      <c r="BP99" s="237" t="s">
        <v>1107</v>
      </c>
      <c r="BQ99" s="237" t="s">
        <v>1107</v>
      </c>
      <c r="BR99" s="237" t="s">
        <v>232</v>
      </c>
      <c r="BS99" s="237" t="s">
        <v>232</v>
      </c>
      <c r="BT99" s="237" t="s">
        <v>1107</v>
      </c>
      <c r="BU99" s="237" t="s">
        <v>1107</v>
      </c>
      <c r="BV99" s="237" t="s">
        <v>1107</v>
      </c>
      <c r="BW99" s="237" t="s">
        <v>1107</v>
      </c>
      <c r="BX99" s="237" t="s">
        <v>1107</v>
      </c>
      <c r="BY99" s="237" t="s">
        <v>1107</v>
      </c>
      <c r="BZ99" s="237" t="s">
        <v>232</v>
      </c>
      <c r="CA99" s="237" t="s">
        <v>232</v>
      </c>
      <c r="CB99" s="237" t="s">
        <v>232</v>
      </c>
      <c r="CC99" s="237" t="s">
        <v>492</v>
      </c>
      <c r="CD99" s="237" t="s">
        <v>492</v>
      </c>
      <c r="CE99" s="237" t="s">
        <v>492</v>
      </c>
      <c r="CF99" s="237" t="s">
        <v>1107</v>
      </c>
      <c r="CG99" s="237" t="s">
        <v>1107</v>
      </c>
      <c r="CH99" s="237" t="s">
        <v>1107</v>
      </c>
      <c r="CI99" s="237" t="s">
        <v>1107</v>
      </c>
      <c r="CJ99" s="237" t="s">
        <v>1107</v>
      </c>
      <c r="CK99" s="237" t="s">
        <v>1107</v>
      </c>
      <c r="CL99" s="237" t="s">
        <v>1107</v>
      </c>
      <c r="CM99" s="237" t="s">
        <v>1107</v>
      </c>
      <c r="CN99" s="237" t="s">
        <v>1107</v>
      </c>
      <c r="CO99" s="237" t="s">
        <v>1107</v>
      </c>
      <c r="CP99" s="237" t="s">
        <v>1107</v>
      </c>
      <c r="CQ99" s="237" t="s">
        <v>1107</v>
      </c>
      <c r="CR99" s="237" t="s">
        <v>1107</v>
      </c>
      <c r="CS99" s="237" t="s">
        <v>1107</v>
      </c>
      <c r="CT99" s="237" t="s">
        <v>1107</v>
      </c>
      <c r="CU99" s="237" t="s">
        <v>1107</v>
      </c>
      <c r="CV99" s="237" t="s">
        <v>1107</v>
      </c>
      <c r="CW99" s="237" t="s">
        <v>1107</v>
      </c>
      <c r="CX99" s="237" t="s">
        <v>1107</v>
      </c>
      <c r="CY99" s="237" t="s">
        <v>1107</v>
      </c>
      <c r="CZ99" s="237" t="s">
        <v>1107</v>
      </c>
      <c r="DA99" s="237" t="s">
        <v>1107</v>
      </c>
      <c r="DB99" s="237" t="s">
        <v>1107</v>
      </c>
      <c r="DC99" s="237" t="s">
        <v>1107</v>
      </c>
      <c r="DD99" s="237" t="s">
        <v>1107</v>
      </c>
      <c r="DE99" s="237" t="s">
        <v>1107</v>
      </c>
      <c r="DF99" s="237" t="s">
        <v>1107</v>
      </c>
      <c r="DG99" s="237" t="s">
        <v>1107</v>
      </c>
      <c r="DH99" s="237" t="s">
        <v>1107</v>
      </c>
      <c r="DI99" s="237" t="s">
        <v>1107</v>
      </c>
      <c r="DJ99" s="237" t="s">
        <v>1107</v>
      </c>
      <c r="DK99" s="237" t="s">
        <v>1107</v>
      </c>
      <c r="DL99" s="237" t="s">
        <v>1107</v>
      </c>
      <c r="DM99" s="237" t="s">
        <v>1107</v>
      </c>
      <c r="DN99" s="237" t="s">
        <v>1107</v>
      </c>
      <c r="DO99" s="237" t="s">
        <v>1107</v>
      </c>
      <c r="DP99" s="237" t="s">
        <v>1107</v>
      </c>
      <c r="DQ99" s="237" t="s">
        <v>1107</v>
      </c>
      <c r="DR99" s="237" t="s">
        <v>1107</v>
      </c>
      <c r="DS99" s="237" t="s">
        <v>1107</v>
      </c>
      <c r="DT99" s="237" t="s">
        <v>1107</v>
      </c>
      <c r="DU99" s="237" t="s">
        <v>1107</v>
      </c>
      <c r="DV99" s="237" t="s">
        <v>1107</v>
      </c>
      <c r="DW99" s="237" t="s">
        <v>1107</v>
      </c>
      <c r="DX99" s="237" t="s">
        <v>1107</v>
      </c>
      <c r="DY99" s="237" t="s">
        <v>1107</v>
      </c>
      <c r="DZ99" s="237" t="s">
        <v>1107</v>
      </c>
      <c r="EA99" s="237" t="s">
        <v>1107</v>
      </c>
      <c r="EB99" s="237" t="s">
        <v>1107</v>
      </c>
      <c r="EC99" s="237" t="s">
        <v>1107</v>
      </c>
      <c r="ED99" s="237" t="s">
        <v>1107</v>
      </c>
      <c r="EE99" s="237" t="s">
        <v>1107</v>
      </c>
      <c r="EF99" s="237" t="s">
        <v>1107</v>
      </c>
      <c r="EG99" s="237" t="s">
        <v>1107</v>
      </c>
      <c r="EH99" s="237" t="s">
        <v>1107</v>
      </c>
      <c r="EI99" s="237" t="s">
        <v>1107</v>
      </c>
      <c r="EJ99" s="237" t="s">
        <v>1107</v>
      </c>
      <c r="EK99" s="237" t="s">
        <v>1107</v>
      </c>
      <c r="EL99" s="237" t="s">
        <v>1107</v>
      </c>
      <c r="EM99" s="237" t="s">
        <v>1107</v>
      </c>
      <c r="EN99" s="237" t="s">
        <v>1107</v>
      </c>
      <c r="EO99" s="237" t="s">
        <v>1107</v>
      </c>
      <c r="EP99" s="237" t="s">
        <v>1107</v>
      </c>
      <c r="EQ99" s="237" t="s">
        <v>1107</v>
      </c>
      <c r="ER99" s="237" t="s">
        <v>1107</v>
      </c>
      <c r="ES99" s="237" t="s">
        <v>1107</v>
      </c>
      <c r="ET99" s="237" t="s">
        <v>1107</v>
      </c>
      <c r="EU99" s="237" t="s">
        <v>1107</v>
      </c>
      <c r="EV99" s="237" t="s">
        <v>1107</v>
      </c>
      <c r="EW99" s="237" t="s">
        <v>1107</v>
      </c>
      <c r="EX99" s="237" t="s">
        <v>1107</v>
      </c>
      <c r="EY99" s="237" t="s">
        <v>1107</v>
      </c>
      <c r="EZ99" s="237" t="s">
        <v>1107</v>
      </c>
      <c r="FA99" s="237" t="s">
        <v>1107</v>
      </c>
      <c r="FB99" s="237" t="s">
        <v>1107</v>
      </c>
      <c r="FC99" s="237" t="s">
        <v>1107</v>
      </c>
      <c r="FD99" s="237" t="s">
        <v>231</v>
      </c>
      <c r="FE99" s="237" t="s">
        <v>1107</v>
      </c>
      <c r="FF99" s="237" t="s">
        <v>231</v>
      </c>
      <c r="FG99" s="237" t="s">
        <v>492</v>
      </c>
      <c r="FH99" s="237" t="s">
        <v>1107</v>
      </c>
      <c r="FI99" s="237" t="s">
        <v>1107</v>
      </c>
      <c r="FJ99" s="237" t="s">
        <v>1107</v>
      </c>
      <c r="FK99" s="237" t="s">
        <v>1107</v>
      </c>
      <c r="FL99" s="237" t="s">
        <v>1107</v>
      </c>
      <c r="FM99" s="237" t="s">
        <v>1107</v>
      </c>
      <c r="FN99" s="237" t="s">
        <v>1107</v>
      </c>
      <c r="FO99" s="237" t="s">
        <v>1107</v>
      </c>
      <c r="FP99" s="237" t="s">
        <v>1107</v>
      </c>
      <c r="FQ99" s="237" t="s">
        <v>1107</v>
      </c>
      <c r="FR99" s="237" t="s">
        <v>1107</v>
      </c>
      <c r="FS99" s="237" t="s">
        <v>1107</v>
      </c>
      <c r="FT99" s="237" t="s">
        <v>1107</v>
      </c>
      <c r="FU99" s="237" t="s">
        <v>1107</v>
      </c>
      <c r="FV99" s="237" t="s">
        <v>1107</v>
      </c>
      <c r="FW99" s="237" t="s">
        <v>1107</v>
      </c>
      <c r="FX99" s="237" t="s">
        <v>1107</v>
      </c>
      <c r="FY99" s="237" t="s">
        <v>492</v>
      </c>
      <c r="FZ99" s="237" t="s">
        <v>232</v>
      </c>
      <c r="GA99" s="237" t="s">
        <v>1107</v>
      </c>
      <c r="GB99" s="237" t="s">
        <v>1107</v>
      </c>
      <c r="GC99" s="237" t="s">
        <v>232</v>
      </c>
      <c r="GD99" s="237" t="s">
        <v>1107</v>
      </c>
      <c r="GE99" s="237" t="s">
        <v>492</v>
      </c>
      <c r="GF99" s="237" t="s">
        <v>1107</v>
      </c>
      <c r="GG99" s="237" t="s">
        <v>1107</v>
      </c>
      <c r="GH99" s="237" t="s">
        <v>1107</v>
      </c>
      <c r="GI99" s="237" t="s">
        <v>1107</v>
      </c>
      <c r="GJ99" s="237" t="s">
        <v>1107</v>
      </c>
      <c r="GK99" s="237" t="s">
        <v>1107</v>
      </c>
      <c r="GL99" s="237" t="s">
        <v>1107</v>
      </c>
      <c r="GM99" s="237" t="s">
        <v>1107</v>
      </c>
      <c r="GN99" s="237" t="s">
        <v>1107</v>
      </c>
      <c r="GO99" s="237" t="s">
        <v>1107</v>
      </c>
      <c r="GP99" s="237" t="s">
        <v>1107</v>
      </c>
      <c r="GQ99" s="237" t="s">
        <v>1107</v>
      </c>
      <c r="GR99" s="237" t="s">
        <v>1107</v>
      </c>
      <c r="GS99" s="237" t="s">
        <v>1107</v>
      </c>
      <c r="GT99" s="237" t="s">
        <v>1107</v>
      </c>
      <c r="GU99" s="237" t="s">
        <v>1107</v>
      </c>
      <c r="GV99" s="237" t="s">
        <v>1107</v>
      </c>
      <c r="GW99" s="237" t="s">
        <v>1107</v>
      </c>
      <c r="GX99" s="237" t="s">
        <v>1107</v>
      </c>
      <c r="GY99" s="237" t="s">
        <v>1107</v>
      </c>
      <c r="GZ99" s="237" t="s">
        <v>1107</v>
      </c>
      <c r="HA99" s="237" t="s">
        <v>1107</v>
      </c>
      <c r="HB99" s="237" t="s">
        <v>1107</v>
      </c>
      <c r="HC99" s="237" t="s">
        <v>1107</v>
      </c>
      <c r="HD99" s="237" t="s">
        <v>1107</v>
      </c>
      <c r="HE99" s="237" t="s">
        <v>1107</v>
      </c>
      <c r="HF99" s="237" t="s">
        <v>1107</v>
      </c>
      <c r="HG99" s="237" t="s">
        <v>1107</v>
      </c>
      <c r="HH99" s="237" t="s">
        <v>1107</v>
      </c>
      <c r="HI99" s="237" t="s">
        <v>1107</v>
      </c>
      <c r="HJ99" s="237" t="s">
        <v>1107</v>
      </c>
      <c r="HK99" s="237" t="s">
        <v>1107</v>
      </c>
      <c r="HL99" s="237" t="s">
        <v>1107</v>
      </c>
      <c r="HM99" s="237" t="s">
        <v>1107</v>
      </c>
      <c r="HN99" s="237" t="s">
        <v>1107</v>
      </c>
      <c r="HO99" s="237" t="s">
        <v>1107</v>
      </c>
      <c r="HP99" s="237" t="s">
        <v>1107</v>
      </c>
      <c r="HQ99" s="237" t="s">
        <v>1107</v>
      </c>
      <c r="HR99" s="237" t="s">
        <v>1107</v>
      </c>
      <c r="HS99" s="237" t="s">
        <v>1107</v>
      </c>
      <c r="HT99" s="237" t="s">
        <v>232</v>
      </c>
      <c r="HU99" s="237" t="s">
        <v>232</v>
      </c>
      <c r="HV99" s="237" t="s">
        <v>232</v>
      </c>
      <c r="HW99" s="237" t="s">
        <v>232</v>
      </c>
      <c r="HX99" s="237" t="s">
        <v>220</v>
      </c>
      <c r="HY99" s="237" t="s">
        <v>493</v>
      </c>
      <c r="HZ99" s="237" t="s">
        <v>219</v>
      </c>
      <c r="IA99" s="237" t="s">
        <v>486</v>
      </c>
      <c r="IB99" s="237" t="s">
        <v>232</v>
      </c>
      <c r="IC99" s="237" t="s">
        <v>231</v>
      </c>
    </row>
    <row r="100" spans="1:237" ht="15" x14ac:dyDescent="0.25">
      <c r="A100" s="244" t="str">
        <f>HYPERLINK("http://www.ofsted.gov.uk/inspection-reports/find-inspection-report/provider/ELS/136014 ","Ofsted School Webpage")</f>
        <v>Ofsted School Webpage</v>
      </c>
      <c r="B100" s="240">
        <v>136014</v>
      </c>
      <c r="C100" s="240">
        <v>3026122</v>
      </c>
      <c r="D100" s="240" t="s">
        <v>1301</v>
      </c>
      <c r="E100" s="240" t="s">
        <v>247</v>
      </c>
      <c r="F100" s="240" t="s">
        <v>506</v>
      </c>
      <c r="G100" s="240" t="s">
        <v>506</v>
      </c>
      <c r="H100" s="240" t="s">
        <v>614</v>
      </c>
      <c r="I100" s="240" t="s">
        <v>1302</v>
      </c>
      <c r="J100" s="240" t="s">
        <v>93</v>
      </c>
      <c r="K100" s="240" t="s">
        <v>81</v>
      </c>
      <c r="L100" s="240" t="s">
        <v>81</v>
      </c>
      <c r="M100" s="240" t="s">
        <v>81</v>
      </c>
      <c r="N100" s="240" t="s">
        <v>486</v>
      </c>
      <c r="O100" s="240" t="s">
        <v>487</v>
      </c>
      <c r="P100" s="240">
        <v>10086403</v>
      </c>
      <c r="Q100" s="242">
        <v>43480</v>
      </c>
      <c r="R100" s="242">
        <v>43480</v>
      </c>
      <c r="S100" s="242">
        <v>43506</v>
      </c>
      <c r="T100" s="240" t="s">
        <v>1104</v>
      </c>
      <c r="U100" s="240" t="s">
        <v>1105</v>
      </c>
      <c r="V100" s="240" t="s">
        <v>512</v>
      </c>
      <c r="W100" s="240" t="s">
        <v>486</v>
      </c>
      <c r="X100" s="240" t="s">
        <v>486</v>
      </c>
      <c r="Y100" s="240" t="s">
        <v>486</v>
      </c>
      <c r="Z100" s="240" t="s">
        <v>490</v>
      </c>
      <c r="AA100" s="240" t="s">
        <v>486</v>
      </c>
      <c r="AB100" s="240" t="s">
        <v>486</v>
      </c>
      <c r="AC100" s="240" t="s">
        <v>486</v>
      </c>
      <c r="AD100" s="240" t="s">
        <v>1257</v>
      </c>
      <c r="AE100" s="240" t="s">
        <v>1107</v>
      </c>
      <c r="AF100" s="240" t="s">
        <v>1107</v>
      </c>
      <c r="AG100" s="240" t="s">
        <v>1107</v>
      </c>
      <c r="AH100" s="240" t="s">
        <v>1107</v>
      </c>
      <c r="AI100" s="240" t="s">
        <v>1107</v>
      </c>
      <c r="AJ100" s="240" t="s">
        <v>1107</v>
      </c>
      <c r="AK100" s="240" t="s">
        <v>1107</v>
      </c>
      <c r="AL100" s="240" t="s">
        <v>1107</v>
      </c>
      <c r="AM100" s="240" t="s">
        <v>1107</v>
      </c>
      <c r="AN100" s="240" t="s">
        <v>1107</v>
      </c>
      <c r="AO100" s="240" t="s">
        <v>1107</v>
      </c>
      <c r="AP100" s="240" t="s">
        <v>1107</v>
      </c>
      <c r="AQ100" s="240" t="s">
        <v>492</v>
      </c>
      <c r="AR100" s="240" t="s">
        <v>492</v>
      </c>
      <c r="AS100" s="240" t="s">
        <v>492</v>
      </c>
      <c r="AT100" s="240" t="s">
        <v>492</v>
      </c>
      <c r="AU100" s="240" t="s">
        <v>1107</v>
      </c>
      <c r="AV100" s="240" t="s">
        <v>492</v>
      </c>
      <c r="AW100" s="240" t="s">
        <v>1107</v>
      </c>
      <c r="AX100" s="240" t="s">
        <v>1107</v>
      </c>
      <c r="AY100" s="240" t="s">
        <v>1107</v>
      </c>
      <c r="AZ100" s="240" t="s">
        <v>1107</v>
      </c>
      <c r="BA100" s="240" t="s">
        <v>1107</v>
      </c>
      <c r="BB100" s="240" t="s">
        <v>1107</v>
      </c>
      <c r="BC100" s="240" t="s">
        <v>1107</v>
      </c>
      <c r="BD100" s="240" t="s">
        <v>1107</v>
      </c>
      <c r="BE100" s="240" t="s">
        <v>1107</v>
      </c>
      <c r="BF100" s="240" t="s">
        <v>1107</v>
      </c>
      <c r="BG100" s="240" t="s">
        <v>1107</v>
      </c>
      <c r="BH100" s="240" t="s">
        <v>1107</v>
      </c>
      <c r="BI100" s="240" t="s">
        <v>1107</v>
      </c>
      <c r="BJ100" s="240" t="s">
        <v>1107</v>
      </c>
      <c r="BK100" s="240" t="s">
        <v>1107</v>
      </c>
      <c r="BL100" s="240" t="s">
        <v>1107</v>
      </c>
      <c r="BM100" s="240" t="s">
        <v>1107</v>
      </c>
      <c r="BN100" s="240" t="s">
        <v>1107</v>
      </c>
      <c r="BO100" s="240" t="s">
        <v>1107</v>
      </c>
      <c r="BP100" s="240" t="s">
        <v>1107</v>
      </c>
      <c r="BQ100" s="240" t="s">
        <v>1107</v>
      </c>
      <c r="BR100" s="240" t="s">
        <v>1107</v>
      </c>
      <c r="BS100" s="240" t="s">
        <v>1107</v>
      </c>
      <c r="BT100" s="240" t="s">
        <v>1107</v>
      </c>
      <c r="BU100" s="240" t="s">
        <v>1107</v>
      </c>
      <c r="BV100" s="240" t="s">
        <v>1107</v>
      </c>
      <c r="BW100" s="240" t="s">
        <v>1107</v>
      </c>
      <c r="BX100" s="240" t="s">
        <v>1107</v>
      </c>
      <c r="BY100" s="240" t="s">
        <v>1107</v>
      </c>
      <c r="BZ100" s="240" t="s">
        <v>231</v>
      </c>
      <c r="CA100" s="240" t="s">
        <v>231</v>
      </c>
      <c r="CB100" s="240" t="s">
        <v>231</v>
      </c>
      <c r="CC100" s="240" t="s">
        <v>492</v>
      </c>
      <c r="CD100" s="240" t="s">
        <v>492</v>
      </c>
      <c r="CE100" s="240" t="s">
        <v>492</v>
      </c>
      <c r="CF100" s="240" t="s">
        <v>1107</v>
      </c>
      <c r="CG100" s="240" t="s">
        <v>1107</v>
      </c>
      <c r="CH100" s="240" t="s">
        <v>1107</v>
      </c>
      <c r="CI100" s="240" t="s">
        <v>1107</v>
      </c>
      <c r="CJ100" s="240" t="s">
        <v>1107</v>
      </c>
      <c r="CK100" s="240" t="s">
        <v>231</v>
      </c>
      <c r="CL100" s="240" t="s">
        <v>231</v>
      </c>
      <c r="CM100" s="240" t="s">
        <v>1107</v>
      </c>
      <c r="CN100" s="240" t="s">
        <v>231</v>
      </c>
      <c r="CO100" s="240" t="s">
        <v>1107</v>
      </c>
      <c r="CP100" s="240" t="s">
        <v>231</v>
      </c>
      <c r="CQ100" s="240" t="s">
        <v>231</v>
      </c>
      <c r="CR100" s="240" t="s">
        <v>231</v>
      </c>
      <c r="CS100" s="240" t="s">
        <v>231</v>
      </c>
      <c r="CT100" s="240" t="s">
        <v>231</v>
      </c>
      <c r="CU100" s="240" t="s">
        <v>231</v>
      </c>
      <c r="CV100" s="240" t="s">
        <v>231</v>
      </c>
      <c r="CW100" s="240" t="s">
        <v>231</v>
      </c>
      <c r="CX100" s="240" t="s">
        <v>231</v>
      </c>
      <c r="CY100" s="240" t="s">
        <v>231</v>
      </c>
      <c r="CZ100" s="240" t="s">
        <v>231</v>
      </c>
      <c r="DA100" s="240" t="s">
        <v>231</v>
      </c>
      <c r="DB100" s="240" t="s">
        <v>231</v>
      </c>
      <c r="DC100" s="240" t="s">
        <v>492</v>
      </c>
      <c r="DD100" s="240" t="s">
        <v>231</v>
      </c>
      <c r="DE100" s="240" t="s">
        <v>492</v>
      </c>
      <c r="DF100" s="240" t="s">
        <v>492</v>
      </c>
      <c r="DG100" s="240" t="s">
        <v>492</v>
      </c>
      <c r="DH100" s="240" t="s">
        <v>492</v>
      </c>
      <c r="DI100" s="240" t="s">
        <v>492</v>
      </c>
      <c r="DJ100" s="240" t="s">
        <v>492</v>
      </c>
      <c r="DK100" s="240" t="s">
        <v>492</v>
      </c>
      <c r="DL100" s="240" t="s">
        <v>492</v>
      </c>
      <c r="DM100" s="240" t="s">
        <v>492</v>
      </c>
      <c r="DN100" s="240" t="s">
        <v>492</v>
      </c>
      <c r="DO100" s="240" t="s">
        <v>492</v>
      </c>
      <c r="DP100" s="240" t="s">
        <v>492</v>
      </c>
      <c r="DQ100" s="240" t="s">
        <v>492</v>
      </c>
      <c r="DR100" s="240" t="s">
        <v>492</v>
      </c>
      <c r="DS100" s="240" t="s">
        <v>231</v>
      </c>
      <c r="DT100" s="240" t="s">
        <v>231</v>
      </c>
      <c r="DU100" s="240" t="s">
        <v>231</v>
      </c>
      <c r="DV100" s="240" t="s">
        <v>231</v>
      </c>
      <c r="DW100" s="240" t="s">
        <v>231</v>
      </c>
      <c r="DX100" s="240" t="s">
        <v>231</v>
      </c>
      <c r="DY100" s="240" t="s">
        <v>231</v>
      </c>
      <c r="DZ100" s="240" t="s">
        <v>231</v>
      </c>
      <c r="EA100" s="240" t="s">
        <v>231</v>
      </c>
      <c r="EB100" s="240" t="s">
        <v>231</v>
      </c>
      <c r="EC100" s="240" t="s">
        <v>231</v>
      </c>
      <c r="ED100" s="240" t="s">
        <v>231</v>
      </c>
      <c r="EE100" s="240" t="s">
        <v>231</v>
      </c>
      <c r="EF100" s="240" t="s">
        <v>231</v>
      </c>
      <c r="EG100" s="240" t="s">
        <v>231</v>
      </c>
      <c r="EH100" s="240" t="s">
        <v>231</v>
      </c>
      <c r="EI100" s="240" t="s">
        <v>231</v>
      </c>
      <c r="EJ100" s="240" t="s">
        <v>231</v>
      </c>
      <c r="EK100" s="240" t="s">
        <v>231</v>
      </c>
      <c r="EL100" s="240" t="s">
        <v>231</v>
      </c>
      <c r="EM100" s="240" t="s">
        <v>231</v>
      </c>
      <c r="EN100" s="240" t="s">
        <v>231</v>
      </c>
      <c r="EO100" s="240" t="s">
        <v>492</v>
      </c>
      <c r="EP100" s="240" t="s">
        <v>492</v>
      </c>
      <c r="EQ100" s="240" t="s">
        <v>492</v>
      </c>
      <c r="ER100" s="240" t="s">
        <v>492</v>
      </c>
      <c r="ES100" s="240" t="s">
        <v>492</v>
      </c>
      <c r="ET100" s="240" t="s">
        <v>492</v>
      </c>
      <c r="EU100" s="240" t="s">
        <v>492</v>
      </c>
      <c r="EV100" s="240" t="s">
        <v>231</v>
      </c>
      <c r="EW100" s="240" t="s">
        <v>492</v>
      </c>
      <c r="EX100" s="240" t="s">
        <v>492</v>
      </c>
      <c r="EY100" s="240" t="s">
        <v>492</v>
      </c>
      <c r="EZ100" s="240" t="s">
        <v>231</v>
      </c>
      <c r="FA100" s="240" t="s">
        <v>231</v>
      </c>
      <c r="FB100" s="240" t="s">
        <v>492</v>
      </c>
      <c r="FC100" s="240" t="s">
        <v>492</v>
      </c>
      <c r="FD100" s="240" t="s">
        <v>231</v>
      </c>
      <c r="FE100" s="240" t="s">
        <v>231</v>
      </c>
      <c r="FF100" s="240" t="s">
        <v>231</v>
      </c>
      <c r="FG100" s="240" t="s">
        <v>492</v>
      </c>
      <c r="FH100" s="240" t="s">
        <v>231</v>
      </c>
      <c r="FI100" s="240" t="s">
        <v>231</v>
      </c>
      <c r="FJ100" s="240" t="s">
        <v>231</v>
      </c>
      <c r="FK100" s="240" t="s">
        <v>231</v>
      </c>
      <c r="FL100" s="240" t="s">
        <v>231</v>
      </c>
      <c r="FM100" s="240" t="s">
        <v>231</v>
      </c>
      <c r="FN100" s="240" t="s">
        <v>231</v>
      </c>
      <c r="FO100" s="240" t="s">
        <v>231</v>
      </c>
      <c r="FP100" s="240" t="s">
        <v>231</v>
      </c>
      <c r="FQ100" s="240" t="s">
        <v>231</v>
      </c>
      <c r="FR100" s="240" t="s">
        <v>231</v>
      </c>
      <c r="FS100" s="240" t="s">
        <v>231</v>
      </c>
      <c r="FT100" s="240" t="s">
        <v>231</v>
      </c>
      <c r="FU100" s="240" t="s">
        <v>231</v>
      </c>
      <c r="FV100" s="240" t="s">
        <v>231</v>
      </c>
      <c r="FW100" s="240" t="s">
        <v>231</v>
      </c>
      <c r="FX100" s="240" t="s">
        <v>231</v>
      </c>
      <c r="FY100" s="240" t="s">
        <v>492</v>
      </c>
      <c r="FZ100" s="240" t="s">
        <v>1107</v>
      </c>
      <c r="GA100" s="240" t="s">
        <v>1107</v>
      </c>
      <c r="GB100" s="240" t="s">
        <v>1107</v>
      </c>
      <c r="GC100" s="240" t="s">
        <v>1107</v>
      </c>
      <c r="GD100" s="240" t="s">
        <v>1107</v>
      </c>
      <c r="GE100" s="240" t="s">
        <v>1107</v>
      </c>
      <c r="GF100" s="240" t="s">
        <v>1107</v>
      </c>
      <c r="GG100" s="240" t="s">
        <v>1107</v>
      </c>
      <c r="GH100" s="240" t="s">
        <v>1107</v>
      </c>
      <c r="GI100" s="240" t="s">
        <v>1107</v>
      </c>
      <c r="GJ100" s="240" t="s">
        <v>1107</v>
      </c>
      <c r="GK100" s="240" t="s">
        <v>1107</v>
      </c>
      <c r="GL100" s="240" t="s">
        <v>1107</v>
      </c>
      <c r="GM100" s="240" t="s">
        <v>1107</v>
      </c>
      <c r="GN100" s="240" t="s">
        <v>1107</v>
      </c>
      <c r="GO100" s="240" t="s">
        <v>1107</v>
      </c>
      <c r="GP100" s="240" t="s">
        <v>1107</v>
      </c>
      <c r="GQ100" s="240" t="s">
        <v>1107</v>
      </c>
      <c r="GR100" s="240" t="s">
        <v>1107</v>
      </c>
      <c r="GS100" s="240" t="s">
        <v>1107</v>
      </c>
      <c r="GT100" s="240" t="s">
        <v>1107</v>
      </c>
      <c r="GU100" s="240" t="s">
        <v>1107</v>
      </c>
      <c r="GV100" s="240" t="s">
        <v>1107</v>
      </c>
      <c r="GW100" s="240" t="s">
        <v>1107</v>
      </c>
      <c r="GX100" s="240" t="s">
        <v>1107</v>
      </c>
      <c r="GY100" s="240" t="s">
        <v>1107</v>
      </c>
      <c r="GZ100" s="240" t="s">
        <v>1107</v>
      </c>
      <c r="HA100" s="240" t="s">
        <v>1107</v>
      </c>
      <c r="HB100" s="240" t="s">
        <v>1107</v>
      </c>
      <c r="HC100" s="240" t="s">
        <v>1107</v>
      </c>
      <c r="HD100" s="240" t="s">
        <v>1107</v>
      </c>
      <c r="HE100" s="240" t="s">
        <v>1107</v>
      </c>
      <c r="HF100" s="240" t="s">
        <v>1107</v>
      </c>
      <c r="HG100" s="240" t="s">
        <v>1107</v>
      </c>
      <c r="HH100" s="240" t="s">
        <v>1107</v>
      </c>
      <c r="HI100" s="240" t="s">
        <v>1107</v>
      </c>
      <c r="HJ100" s="240" t="s">
        <v>1107</v>
      </c>
      <c r="HK100" s="240" t="s">
        <v>1107</v>
      </c>
      <c r="HL100" s="240" t="s">
        <v>1107</v>
      </c>
      <c r="HM100" s="240" t="s">
        <v>1107</v>
      </c>
      <c r="HN100" s="240" t="s">
        <v>1107</v>
      </c>
      <c r="HO100" s="240" t="s">
        <v>1107</v>
      </c>
      <c r="HP100" s="240" t="s">
        <v>1107</v>
      </c>
      <c r="HQ100" s="240" t="s">
        <v>1107</v>
      </c>
      <c r="HR100" s="240" t="s">
        <v>1107</v>
      </c>
      <c r="HS100" s="240" t="s">
        <v>1107</v>
      </c>
      <c r="HT100" s="240" t="s">
        <v>231</v>
      </c>
      <c r="HU100" s="240" t="s">
        <v>231</v>
      </c>
      <c r="HV100" s="240" t="s">
        <v>231</v>
      </c>
      <c r="HW100" s="240" t="s">
        <v>231</v>
      </c>
      <c r="HX100" s="240" t="s">
        <v>220</v>
      </c>
      <c r="HY100" s="240" t="s">
        <v>493</v>
      </c>
      <c r="HZ100" s="240" t="s">
        <v>219</v>
      </c>
      <c r="IA100" s="240" t="s">
        <v>490</v>
      </c>
      <c r="IB100" s="240" t="s">
        <v>231</v>
      </c>
      <c r="IC100" s="240" t="s">
        <v>1107</v>
      </c>
    </row>
    <row r="101" spans="1:237" ht="15" x14ac:dyDescent="0.25">
      <c r="A101" s="243" t="str">
        <f>HYPERLINK("http://www.ofsted.gov.uk/inspection-reports/find-inspection-report/provider/ELS/123621 ","Ofsted School Webpage")</f>
        <v>Ofsted School Webpage</v>
      </c>
      <c r="B101" s="237">
        <v>123621</v>
      </c>
      <c r="C101" s="237">
        <v>8946003</v>
      </c>
      <c r="D101" s="237" t="s">
        <v>519</v>
      </c>
      <c r="E101" s="237" t="s">
        <v>248</v>
      </c>
      <c r="F101" s="237" t="s">
        <v>502</v>
      </c>
      <c r="G101" s="237" t="s">
        <v>502</v>
      </c>
      <c r="H101" s="237" t="s">
        <v>520</v>
      </c>
      <c r="I101" s="237" t="s">
        <v>521</v>
      </c>
      <c r="J101" s="237" t="s">
        <v>93</v>
      </c>
      <c r="K101" s="237" t="s">
        <v>93</v>
      </c>
      <c r="L101" s="237" t="s">
        <v>93</v>
      </c>
      <c r="M101" s="237" t="s">
        <v>90</v>
      </c>
      <c r="N101" s="237" t="s">
        <v>486</v>
      </c>
      <c r="O101" s="237" t="s">
        <v>487</v>
      </c>
      <c r="P101" s="237">
        <v>10091612</v>
      </c>
      <c r="Q101" s="239">
        <v>43480</v>
      </c>
      <c r="R101" s="239">
        <v>43480</v>
      </c>
      <c r="S101" s="239">
        <v>43507</v>
      </c>
      <c r="T101" s="237" t="s">
        <v>1124</v>
      </c>
      <c r="U101" s="237" t="s">
        <v>1105</v>
      </c>
      <c r="V101" s="237" t="s">
        <v>490</v>
      </c>
      <c r="W101" s="237" t="s">
        <v>486</v>
      </c>
      <c r="X101" s="237" t="s">
        <v>486</v>
      </c>
      <c r="Y101" s="237" t="s">
        <v>486</v>
      </c>
      <c r="Z101" s="237" t="s">
        <v>486</v>
      </c>
      <c r="AA101" s="237" t="s">
        <v>486</v>
      </c>
      <c r="AB101" s="237" t="s">
        <v>486</v>
      </c>
      <c r="AC101" s="237" t="s">
        <v>486</v>
      </c>
      <c r="AD101" s="237" t="s">
        <v>1110</v>
      </c>
      <c r="AE101" s="237" t="s">
        <v>1107</v>
      </c>
      <c r="AF101" s="237" t="s">
        <v>1107</v>
      </c>
      <c r="AG101" s="237" t="s">
        <v>1107</v>
      </c>
      <c r="AH101" s="237" t="s">
        <v>1107</v>
      </c>
      <c r="AI101" s="237" t="s">
        <v>1107</v>
      </c>
      <c r="AJ101" s="237" t="s">
        <v>1107</v>
      </c>
      <c r="AK101" s="237" t="s">
        <v>1107</v>
      </c>
      <c r="AL101" s="237" t="s">
        <v>1107</v>
      </c>
      <c r="AM101" s="237" t="s">
        <v>1107</v>
      </c>
      <c r="AN101" s="237" t="s">
        <v>1107</v>
      </c>
      <c r="AO101" s="237" t="s">
        <v>1107</v>
      </c>
      <c r="AP101" s="237" t="s">
        <v>1107</v>
      </c>
      <c r="AQ101" s="237" t="s">
        <v>1107</v>
      </c>
      <c r="AR101" s="237" t="s">
        <v>1107</v>
      </c>
      <c r="AS101" s="237" t="s">
        <v>1107</v>
      </c>
      <c r="AT101" s="237" t="s">
        <v>1107</v>
      </c>
      <c r="AU101" s="237" t="s">
        <v>1107</v>
      </c>
      <c r="AV101" s="237" t="s">
        <v>1107</v>
      </c>
      <c r="AW101" s="237" t="s">
        <v>1107</v>
      </c>
      <c r="AX101" s="237" t="s">
        <v>1107</v>
      </c>
      <c r="AY101" s="237" t="s">
        <v>1107</v>
      </c>
      <c r="AZ101" s="237" t="s">
        <v>1107</v>
      </c>
      <c r="BA101" s="237" t="s">
        <v>1107</v>
      </c>
      <c r="BB101" s="237" t="s">
        <v>1107</v>
      </c>
      <c r="BC101" s="237" t="s">
        <v>1107</v>
      </c>
      <c r="BD101" s="237" t="s">
        <v>1107</v>
      </c>
      <c r="BE101" s="237" t="s">
        <v>1107</v>
      </c>
      <c r="BF101" s="237" t="s">
        <v>1107</v>
      </c>
      <c r="BG101" s="237" t="s">
        <v>1107</v>
      </c>
      <c r="BH101" s="237" t="s">
        <v>1107</v>
      </c>
      <c r="BI101" s="237" t="s">
        <v>1107</v>
      </c>
      <c r="BJ101" s="237" t="s">
        <v>1107</v>
      </c>
      <c r="BK101" s="237" t="s">
        <v>1107</v>
      </c>
      <c r="BL101" s="237" t="s">
        <v>1107</v>
      </c>
      <c r="BM101" s="237" t="s">
        <v>1107</v>
      </c>
      <c r="BN101" s="237" t="s">
        <v>1107</v>
      </c>
      <c r="BO101" s="237" t="s">
        <v>1107</v>
      </c>
      <c r="BP101" s="237" t="s">
        <v>1107</v>
      </c>
      <c r="BQ101" s="237" t="s">
        <v>1107</v>
      </c>
      <c r="BR101" s="237" t="s">
        <v>1107</v>
      </c>
      <c r="BS101" s="237" t="s">
        <v>1107</v>
      </c>
      <c r="BT101" s="237" t="s">
        <v>1107</v>
      </c>
      <c r="BU101" s="237" t="s">
        <v>1107</v>
      </c>
      <c r="BV101" s="237" t="s">
        <v>1107</v>
      </c>
      <c r="BW101" s="237" t="s">
        <v>1107</v>
      </c>
      <c r="BX101" s="237" t="s">
        <v>1107</v>
      </c>
      <c r="BY101" s="237" t="s">
        <v>1107</v>
      </c>
      <c r="BZ101" s="237" t="s">
        <v>231</v>
      </c>
      <c r="CA101" s="237" t="s">
        <v>231</v>
      </c>
      <c r="CB101" s="237" t="s">
        <v>231</v>
      </c>
      <c r="CC101" s="237" t="s">
        <v>1107</v>
      </c>
      <c r="CD101" s="237" t="s">
        <v>1107</v>
      </c>
      <c r="CE101" s="237" t="s">
        <v>1107</v>
      </c>
      <c r="CF101" s="237" t="s">
        <v>1107</v>
      </c>
      <c r="CG101" s="237" t="s">
        <v>1107</v>
      </c>
      <c r="CH101" s="237" t="s">
        <v>1107</v>
      </c>
      <c r="CI101" s="237" t="s">
        <v>1107</v>
      </c>
      <c r="CJ101" s="237" t="s">
        <v>1107</v>
      </c>
      <c r="CK101" s="237" t="s">
        <v>1107</v>
      </c>
      <c r="CL101" s="237" t="s">
        <v>1107</v>
      </c>
      <c r="CM101" s="237" t="s">
        <v>1107</v>
      </c>
      <c r="CN101" s="237" t="s">
        <v>1107</v>
      </c>
      <c r="CO101" s="237" t="s">
        <v>1107</v>
      </c>
      <c r="CP101" s="237" t="s">
        <v>1107</v>
      </c>
      <c r="CQ101" s="237" t="s">
        <v>1107</v>
      </c>
      <c r="CR101" s="237" t="s">
        <v>1107</v>
      </c>
      <c r="CS101" s="237" t="s">
        <v>1107</v>
      </c>
      <c r="CT101" s="237" t="s">
        <v>1107</v>
      </c>
      <c r="CU101" s="237" t="s">
        <v>1107</v>
      </c>
      <c r="CV101" s="237" t="s">
        <v>1107</v>
      </c>
      <c r="CW101" s="237" t="s">
        <v>1107</v>
      </c>
      <c r="CX101" s="237" t="s">
        <v>1107</v>
      </c>
      <c r="CY101" s="237" t="s">
        <v>1107</v>
      </c>
      <c r="CZ101" s="237" t="s">
        <v>1107</v>
      </c>
      <c r="DA101" s="237" t="s">
        <v>1107</v>
      </c>
      <c r="DB101" s="237" t="s">
        <v>1107</v>
      </c>
      <c r="DC101" s="237" t="s">
        <v>1107</v>
      </c>
      <c r="DD101" s="237" t="s">
        <v>1107</v>
      </c>
      <c r="DE101" s="237" t="s">
        <v>1107</v>
      </c>
      <c r="DF101" s="237" t="s">
        <v>1107</v>
      </c>
      <c r="DG101" s="237" t="s">
        <v>1107</v>
      </c>
      <c r="DH101" s="237" t="s">
        <v>1107</v>
      </c>
      <c r="DI101" s="237" t="s">
        <v>1107</v>
      </c>
      <c r="DJ101" s="237" t="s">
        <v>1107</v>
      </c>
      <c r="DK101" s="237" t="s">
        <v>1107</v>
      </c>
      <c r="DL101" s="237" t="s">
        <v>1107</v>
      </c>
      <c r="DM101" s="237" t="s">
        <v>1107</v>
      </c>
      <c r="DN101" s="237" t="s">
        <v>1107</v>
      </c>
      <c r="DO101" s="237" t="s">
        <v>1107</v>
      </c>
      <c r="DP101" s="237" t="s">
        <v>1107</v>
      </c>
      <c r="DQ101" s="237" t="s">
        <v>1107</v>
      </c>
      <c r="DR101" s="237" t="s">
        <v>1107</v>
      </c>
      <c r="DS101" s="237" t="s">
        <v>1107</v>
      </c>
      <c r="DT101" s="237" t="s">
        <v>1107</v>
      </c>
      <c r="DU101" s="237" t="s">
        <v>1107</v>
      </c>
      <c r="DV101" s="237" t="s">
        <v>1107</v>
      </c>
      <c r="DW101" s="237" t="s">
        <v>1107</v>
      </c>
      <c r="DX101" s="237" t="s">
        <v>1107</v>
      </c>
      <c r="DY101" s="237" t="s">
        <v>1107</v>
      </c>
      <c r="DZ101" s="237" t="s">
        <v>1107</v>
      </c>
      <c r="EA101" s="237" t="s">
        <v>1107</v>
      </c>
      <c r="EB101" s="237" t="s">
        <v>1107</v>
      </c>
      <c r="EC101" s="237" t="s">
        <v>1107</v>
      </c>
      <c r="ED101" s="237" t="s">
        <v>1107</v>
      </c>
      <c r="EE101" s="237" t="s">
        <v>1107</v>
      </c>
      <c r="EF101" s="237" t="s">
        <v>1107</v>
      </c>
      <c r="EG101" s="237" t="s">
        <v>1107</v>
      </c>
      <c r="EH101" s="237" t="s">
        <v>1107</v>
      </c>
      <c r="EI101" s="237" t="s">
        <v>1107</v>
      </c>
      <c r="EJ101" s="237" t="s">
        <v>1107</v>
      </c>
      <c r="EK101" s="237" t="s">
        <v>1107</v>
      </c>
      <c r="EL101" s="237" t="s">
        <v>1107</v>
      </c>
      <c r="EM101" s="237" t="s">
        <v>1107</v>
      </c>
      <c r="EN101" s="237" t="s">
        <v>1107</v>
      </c>
      <c r="EO101" s="237" t="s">
        <v>1107</v>
      </c>
      <c r="EP101" s="237" t="s">
        <v>1107</v>
      </c>
      <c r="EQ101" s="237" t="s">
        <v>1107</v>
      </c>
      <c r="ER101" s="237" t="s">
        <v>1107</v>
      </c>
      <c r="ES101" s="237" t="s">
        <v>1107</v>
      </c>
      <c r="ET101" s="237" t="s">
        <v>1107</v>
      </c>
      <c r="EU101" s="237" t="s">
        <v>1107</v>
      </c>
      <c r="EV101" s="237" t="s">
        <v>1107</v>
      </c>
      <c r="EW101" s="237" t="s">
        <v>1107</v>
      </c>
      <c r="EX101" s="237" t="s">
        <v>1107</v>
      </c>
      <c r="EY101" s="237" t="s">
        <v>1107</v>
      </c>
      <c r="EZ101" s="237" t="s">
        <v>1107</v>
      </c>
      <c r="FA101" s="237" t="s">
        <v>1107</v>
      </c>
      <c r="FB101" s="237" t="s">
        <v>1107</v>
      </c>
      <c r="FC101" s="237" t="s">
        <v>1107</v>
      </c>
      <c r="FD101" s="237" t="s">
        <v>1107</v>
      </c>
      <c r="FE101" s="237" t="s">
        <v>1107</v>
      </c>
      <c r="FF101" s="237" t="s">
        <v>1107</v>
      </c>
      <c r="FG101" s="237" t="s">
        <v>1107</v>
      </c>
      <c r="FH101" s="237" t="s">
        <v>1107</v>
      </c>
      <c r="FI101" s="237" t="s">
        <v>1107</v>
      </c>
      <c r="FJ101" s="237" t="s">
        <v>1107</v>
      </c>
      <c r="FK101" s="237" t="s">
        <v>1107</v>
      </c>
      <c r="FL101" s="237" t="s">
        <v>1107</v>
      </c>
      <c r="FM101" s="237" t="s">
        <v>1107</v>
      </c>
      <c r="FN101" s="237" t="s">
        <v>1107</v>
      </c>
      <c r="FO101" s="237" t="s">
        <v>1107</v>
      </c>
      <c r="FP101" s="237" t="s">
        <v>1107</v>
      </c>
      <c r="FQ101" s="237" t="s">
        <v>1107</v>
      </c>
      <c r="FR101" s="237" t="s">
        <v>1107</v>
      </c>
      <c r="FS101" s="237" t="s">
        <v>1107</v>
      </c>
      <c r="FT101" s="237" t="s">
        <v>1107</v>
      </c>
      <c r="FU101" s="237" t="s">
        <v>1107</v>
      </c>
      <c r="FV101" s="237" t="s">
        <v>1107</v>
      </c>
      <c r="FW101" s="237" t="s">
        <v>1107</v>
      </c>
      <c r="FX101" s="237" t="s">
        <v>1107</v>
      </c>
      <c r="FY101" s="237" t="s">
        <v>1107</v>
      </c>
      <c r="FZ101" s="237" t="s">
        <v>1107</v>
      </c>
      <c r="GA101" s="237" t="s">
        <v>1107</v>
      </c>
      <c r="GB101" s="237" t="s">
        <v>1107</v>
      </c>
      <c r="GC101" s="237" t="s">
        <v>231</v>
      </c>
      <c r="GD101" s="237" t="s">
        <v>1107</v>
      </c>
      <c r="GE101" s="237" t="s">
        <v>1107</v>
      </c>
      <c r="GF101" s="237" t="s">
        <v>1107</v>
      </c>
      <c r="GG101" s="237" t="s">
        <v>1107</v>
      </c>
      <c r="GH101" s="237" t="s">
        <v>1107</v>
      </c>
      <c r="GI101" s="237" t="s">
        <v>1107</v>
      </c>
      <c r="GJ101" s="237" t="s">
        <v>1107</v>
      </c>
      <c r="GK101" s="237" t="s">
        <v>1107</v>
      </c>
      <c r="GL101" s="237" t="s">
        <v>1107</v>
      </c>
      <c r="GM101" s="237" t="s">
        <v>1107</v>
      </c>
      <c r="GN101" s="237" t="s">
        <v>1107</v>
      </c>
      <c r="GO101" s="237" t="s">
        <v>1107</v>
      </c>
      <c r="GP101" s="237" t="s">
        <v>1107</v>
      </c>
      <c r="GQ101" s="237" t="s">
        <v>1107</v>
      </c>
      <c r="GR101" s="237" t="s">
        <v>1107</v>
      </c>
      <c r="GS101" s="237" t="s">
        <v>1107</v>
      </c>
      <c r="GT101" s="237" t="s">
        <v>1107</v>
      </c>
      <c r="GU101" s="237" t="s">
        <v>1107</v>
      </c>
      <c r="GV101" s="237" t="s">
        <v>1107</v>
      </c>
      <c r="GW101" s="237" t="s">
        <v>1107</v>
      </c>
      <c r="GX101" s="237" t="s">
        <v>1107</v>
      </c>
      <c r="GY101" s="237" t="s">
        <v>1107</v>
      </c>
      <c r="GZ101" s="237" t="s">
        <v>1107</v>
      </c>
      <c r="HA101" s="237" t="s">
        <v>1107</v>
      </c>
      <c r="HB101" s="237" t="s">
        <v>1107</v>
      </c>
      <c r="HC101" s="237" t="s">
        <v>1107</v>
      </c>
      <c r="HD101" s="237" t="s">
        <v>231</v>
      </c>
      <c r="HE101" s="237" t="s">
        <v>231</v>
      </c>
      <c r="HF101" s="237" t="s">
        <v>231</v>
      </c>
      <c r="HG101" s="237" t="s">
        <v>231</v>
      </c>
      <c r="HH101" s="237" t="s">
        <v>231</v>
      </c>
      <c r="HI101" s="237" t="s">
        <v>231</v>
      </c>
      <c r="HJ101" s="237" t="s">
        <v>231</v>
      </c>
      <c r="HK101" s="237" t="s">
        <v>231</v>
      </c>
      <c r="HL101" s="237" t="s">
        <v>231</v>
      </c>
      <c r="HM101" s="237" t="s">
        <v>231</v>
      </c>
      <c r="HN101" s="237" t="s">
        <v>231</v>
      </c>
      <c r="HO101" s="237" t="s">
        <v>231</v>
      </c>
      <c r="HP101" s="237" t="s">
        <v>231</v>
      </c>
      <c r="HQ101" s="237" t="s">
        <v>231</v>
      </c>
      <c r="HR101" s="237" t="s">
        <v>231</v>
      </c>
      <c r="HS101" s="237" t="s">
        <v>231</v>
      </c>
      <c r="HT101" s="237" t="s">
        <v>231</v>
      </c>
      <c r="HU101" s="237" t="s">
        <v>231</v>
      </c>
      <c r="HV101" s="237" t="s">
        <v>231</v>
      </c>
      <c r="HW101" s="237" t="s">
        <v>231</v>
      </c>
      <c r="HX101" s="237" t="s">
        <v>220</v>
      </c>
      <c r="HY101" s="237" t="s">
        <v>493</v>
      </c>
      <c r="HZ101" s="237" t="s">
        <v>219</v>
      </c>
      <c r="IA101" s="237" t="s">
        <v>490</v>
      </c>
      <c r="IB101" s="237" t="s">
        <v>1107</v>
      </c>
      <c r="IC101" s="237" t="s">
        <v>1107</v>
      </c>
    </row>
    <row r="102" spans="1:237" ht="15" x14ac:dyDescent="0.25">
      <c r="A102" s="244" t="str">
        <f>HYPERLINK("http://www.ofsted.gov.uk/inspection-reports/find-inspection-report/provider/ELS/117044 ","Ofsted School Webpage")</f>
        <v>Ofsted School Webpage</v>
      </c>
      <c r="B102" s="240">
        <v>117044</v>
      </c>
      <c r="C102" s="240">
        <v>8856031</v>
      </c>
      <c r="D102" s="240" t="s">
        <v>1303</v>
      </c>
      <c r="E102" s="240" t="s">
        <v>247</v>
      </c>
      <c r="F102" s="240" t="s">
        <v>502</v>
      </c>
      <c r="G102" s="240" t="s">
        <v>502</v>
      </c>
      <c r="H102" s="240" t="s">
        <v>550</v>
      </c>
      <c r="I102" s="240" t="s">
        <v>1304</v>
      </c>
      <c r="J102" s="240" t="s">
        <v>93</v>
      </c>
      <c r="K102" s="240" t="s">
        <v>84</v>
      </c>
      <c r="L102" s="240" t="s">
        <v>84</v>
      </c>
      <c r="M102" s="240" t="s">
        <v>84</v>
      </c>
      <c r="N102" s="240" t="s">
        <v>486</v>
      </c>
      <c r="O102" s="240" t="s">
        <v>487</v>
      </c>
      <c r="P102" s="240">
        <v>10092129</v>
      </c>
      <c r="Q102" s="242">
        <v>43480</v>
      </c>
      <c r="R102" s="242">
        <v>43480</v>
      </c>
      <c r="S102" s="242">
        <v>43521</v>
      </c>
      <c r="T102" s="240" t="s">
        <v>1179</v>
      </c>
      <c r="U102" s="240" t="s">
        <v>1105</v>
      </c>
      <c r="V102" s="240" t="s">
        <v>490</v>
      </c>
      <c r="W102" s="240" t="s">
        <v>486</v>
      </c>
      <c r="X102" s="240" t="s">
        <v>486</v>
      </c>
      <c r="Y102" s="240" t="s">
        <v>486</v>
      </c>
      <c r="Z102" s="240" t="s">
        <v>486</v>
      </c>
      <c r="AA102" s="240" t="s">
        <v>486</v>
      </c>
      <c r="AB102" s="240" t="s">
        <v>486</v>
      </c>
      <c r="AC102" s="240" t="s">
        <v>486</v>
      </c>
      <c r="AD102" s="240" t="s">
        <v>1136</v>
      </c>
      <c r="AE102" s="240" t="s">
        <v>1107</v>
      </c>
      <c r="AF102" s="240" t="s">
        <v>1107</v>
      </c>
      <c r="AG102" s="240" t="s">
        <v>1107</v>
      </c>
      <c r="AH102" s="240" t="s">
        <v>1107</v>
      </c>
      <c r="AI102" s="240" t="s">
        <v>1107</v>
      </c>
      <c r="AJ102" s="240" t="s">
        <v>1107</v>
      </c>
      <c r="AK102" s="240" t="s">
        <v>1107</v>
      </c>
      <c r="AL102" s="240" t="s">
        <v>1107</v>
      </c>
      <c r="AM102" s="240" t="s">
        <v>492</v>
      </c>
      <c r="AN102" s="240" t="s">
        <v>1107</v>
      </c>
      <c r="AO102" s="240" t="s">
        <v>1107</v>
      </c>
      <c r="AP102" s="240" t="s">
        <v>1107</v>
      </c>
      <c r="AQ102" s="240" t="s">
        <v>1107</v>
      </c>
      <c r="AR102" s="240" t="s">
        <v>1107</v>
      </c>
      <c r="AS102" s="240" t="s">
        <v>1107</v>
      </c>
      <c r="AT102" s="240" t="s">
        <v>1107</v>
      </c>
      <c r="AU102" s="240" t="s">
        <v>1107</v>
      </c>
      <c r="AV102" s="240" t="s">
        <v>1107</v>
      </c>
      <c r="AW102" s="240" t="s">
        <v>1107</v>
      </c>
      <c r="AX102" s="240" t="s">
        <v>1107</v>
      </c>
      <c r="AY102" s="240" t="s">
        <v>1107</v>
      </c>
      <c r="AZ102" s="240" t="s">
        <v>1107</v>
      </c>
      <c r="BA102" s="240" t="s">
        <v>1107</v>
      </c>
      <c r="BB102" s="240" t="s">
        <v>1107</v>
      </c>
      <c r="BC102" s="240" t="s">
        <v>1107</v>
      </c>
      <c r="BD102" s="240" t="s">
        <v>1107</v>
      </c>
      <c r="BE102" s="240" t="s">
        <v>1107</v>
      </c>
      <c r="BF102" s="240" t="s">
        <v>1107</v>
      </c>
      <c r="BG102" s="240" t="s">
        <v>1107</v>
      </c>
      <c r="BH102" s="240" t="s">
        <v>1107</v>
      </c>
      <c r="BI102" s="240" t="s">
        <v>1107</v>
      </c>
      <c r="BJ102" s="240" t="s">
        <v>1107</v>
      </c>
      <c r="BK102" s="240" t="s">
        <v>1107</v>
      </c>
      <c r="BL102" s="240" t="s">
        <v>1107</v>
      </c>
      <c r="BM102" s="240" t="s">
        <v>1107</v>
      </c>
      <c r="BN102" s="240" t="s">
        <v>1107</v>
      </c>
      <c r="BO102" s="240" t="s">
        <v>1107</v>
      </c>
      <c r="BP102" s="240" t="s">
        <v>1107</v>
      </c>
      <c r="BQ102" s="240" t="s">
        <v>1107</v>
      </c>
      <c r="BR102" s="240" t="s">
        <v>1107</v>
      </c>
      <c r="BS102" s="240" t="s">
        <v>1107</v>
      </c>
      <c r="BT102" s="240" t="s">
        <v>1107</v>
      </c>
      <c r="BU102" s="240" t="s">
        <v>1107</v>
      </c>
      <c r="BV102" s="240" t="s">
        <v>1107</v>
      </c>
      <c r="BW102" s="240" t="s">
        <v>1107</v>
      </c>
      <c r="BX102" s="240" t="s">
        <v>1107</v>
      </c>
      <c r="BY102" s="240" t="s">
        <v>1107</v>
      </c>
      <c r="BZ102" s="240" t="s">
        <v>231</v>
      </c>
      <c r="CA102" s="240" t="s">
        <v>231</v>
      </c>
      <c r="CB102" s="240" t="s">
        <v>231</v>
      </c>
      <c r="CC102" s="240" t="s">
        <v>231</v>
      </c>
      <c r="CD102" s="240" t="s">
        <v>231</v>
      </c>
      <c r="CE102" s="240" t="s">
        <v>231</v>
      </c>
      <c r="CF102" s="240" t="s">
        <v>231</v>
      </c>
      <c r="CG102" s="240" t="s">
        <v>231</v>
      </c>
      <c r="CH102" s="240" t="s">
        <v>231</v>
      </c>
      <c r="CI102" s="240" t="s">
        <v>231</v>
      </c>
      <c r="CJ102" s="240" t="s">
        <v>232</v>
      </c>
      <c r="CK102" s="240" t="s">
        <v>231</v>
      </c>
      <c r="CL102" s="240" t="s">
        <v>231</v>
      </c>
      <c r="CM102" s="240" t="s">
        <v>231</v>
      </c>
      <c r="CN102" s="240" t="s">
        <v>231</v>
      </c>
      <c r="CO102" s="240" t="s">
        <v>231</v>
      </c>
      <c r="CP102" s="240" t="s">
        <v>231</v>
      </c>
      <c r="CQ102" s="240" t="s">
        <v>231</v>
      </c>
      <c r="CR102" s="240" t="s">
        <v>231</v>
      </c>
      <c r="CS102" s="240" t="s">
        <v>1107</v>
      </c>
      <c r="CT102" s="240" t="s">
        <v>1107</v>
      </c>
      <c r="CU102" s="240" t="s">
        <v>1107</v>
      </c>
      <c r="CV102" s="240" t="s">
        <v>1107</v>
      </c>
      <c r="CW102" s="240" t="s">
        <v>1107</v>
      </c>
      <c r="CX102" s="240" t="s">
        <v>1107</v>
      </c>
      <c r="CY102" s="240" t="s">
        <v>1107</v>
      </c>
      <c r="CZ102" s="240" t="s">
        <v>1107</v>
      </c>
      <c r="DA102" s="240" t="s">
        <v>1107</v>
      </c>
      <c r="DB102" s="240" t="s">
        <v>1107</v>
      </c>
      <c r="DC102" s="240" t="s">
        <v>1107</v>
      </c>
      <c r="DD102" s="240" t="s">
        <v>1107</v>
      </c>
      <c r="DE102" s="240" t="s">
        <v>1107</v>
      </c>
      <c r="DF102" s="240" t="s">
        <v>1107</v>
      </c>
      <c r="DG102" s="240" t="s">
        <v>1107</v>
      </c>
      <c r="DH102" s="240" t="s">
        <v>1107</v>
      </c>
      <c r="DI102" s="240" t="s">
        <v>1107</v>
      </c>
      <c r="DJ102" s="240" t="s">
        <v>1107</v>
      </c>
      <c r="DK102" s="240" t="s">
        <v>1107</v>
      </c>
      <c r="DL102" s="240" t="s">
        <v>1107</v>
      </c>
      <c r="DM102" s="240" t="s">
        <v>1107</v>
      </c>
      <c r="DN102" s="240" t="s">
        <v>1107</v>
      </c>
      <c r="DO102" s="240" t="s">
        <v>1107</v>
      </c>
      <c r="DP102" s="240" t="s">
        <v>1107</v>
      </c>
      <c r="DQ102" s="240" t="s">
        <v>1107</v>
      </c>
      <c r="DR102" s="240" t="s">
        <v>1107</v>
      </c>
      <c r="DS102" s="240" t="s">
        <v>1107</v>
      </c>
      <c r="DT102" s="240" t="s">
        <v>1107</v>
      </c>
      <c r="DU102" s="240" t="s">
        <v>1107</v>
      </c>
      <c r="DV102" s="240" t="s">
        <v>1107</v>
      </c>
      <c r="DW102" s="240" t="s">
        <v>1107</v>
      </c>
      <c r="DX102" s="240" t="s">
        <v>1107</v>
      </c>
      <c r="DY102" s="240" t="s">
        <v>1107</v>
      </c>
      <c r="DZ102" s="240" t="s">
        <v>1107</v>
      </c>
      <c r="EA102" s="240" t="s">
        <v>1107</v>
      </c>
      <c r="EB102" s="240" t="s">
        <v>1107</v>
      </c>
      <c r="EC102" s="240" t="s">
        <v>1107</v>
      </c>
      <c r="ED102" s="240" t="s">
        <v>1107</v>
      </c>
      <c r="EE102" s="240" t="s">
        <v>1107</v>
      </c>
      <c r="EF102" s="240" t="s">
        <v>1107</v>
      </c>
      <c r="EG102" s="240" t="s">
        <v>1107</v>
      </c>
      <c r="EH102" s="240" t="s">
        <v>1107</v>
      </c>
      <c r="EI102" s="240" t="s">
        <v>1107</v>
      </c>
      <c r="EJ102" s="240" t="s">
        <v>1107</v>
      </c>
      <c r="EK102" s="240" t="s">
        <v>1107</v>
      </c>
      <c r="EL102" s="240" t="s">
        <v>1107</v>
      </c>
      <c r="EM102" s="240" t="s">
        <v>1107</v>
      </c>
      <c r="EN102" s="240" t="s">
        <v>1107</v>
      </c>
      <c r="EO102" s="240" t="s">
        <v>1107</v>
      </c>
      <c r="EP102" s="240" t="s">
        <v>1107</v>
      </c>
      <c r="EQ102" s="240" t="s">
        <v>1107</v>
      </c>
      <c r="ER102" s="240" t="s">
        <v>1107</v>
      </c>
      <c r="ES102" s="240" t="s">
        <v>1107</v>
      </c>
      <c r="ET102" s="240" t="s">
        <v>1107</v>
      </c>
      <c r="EU102" s="240" t="s">
        <v>1107</v>
      </c>
      <c r="EV102" s="240" t="s">
        <v>1107</v>
      </c>
      <c r="EW102" s="240" t="s">
        <v>1107</v>
      </c>
      <c r="EX102" s="240" t="s">
        <v>1107</v>
      </c>
      <c r="EY102" s="240" t="s">
        <v>1107</v>
      </c>
      <c r="EZ102" s="240" t="s">
        <v>1107</v>
      </c>
      <c r="FA102" s="240" t="s">
        <v>1107</v>
      </c>
      <c r="FB102" s="240" t="s">
        <v>1107</v>
      </c>
      <c r="FC102" s="240" t="s">
        <v>1107</v>
      </c>
      <c r="FD102" s="240" t="s">
        <v>1107</v>
      </c>
      <c r="FE102" s="240" t="s">
        <v>1107</v>
      </c>
      <c r="FF102" s="240" t="s">
        <v>1107</v>
      </c>
      <c r="FG102" s="240" t="s">
        <v>1107</v>
      </c>
      <c r="FH102" s="240" t="s">
        <v>1107</v>
      </c>
      <c r="FI102" s="240" t="s">
        <v>1107</v>
      </c>
      <c r="FJ102" s="240" t="s">
        <v>1107</v>
      </c>
      <c r="FK102" s="240" t="s">
        <v>1107</v>
      </c>
      <c r="FL102" s="240" t="s">
        <v>1107</v>
      </c>
      <c r="FM102" s="240" t="s">
        <v>1107</v>
      </c>
      <c r="FN102" s="240" t="s">
        <v>1107</v>
      </c>
      <c r="FO102" s="240" t="s">
        <v>1107</v>
      </c>
      <c r="FP102" s="240" t="s">
        <v>1107</v>
      </c>
      <c r="FQ102" s="240" t="s">
        <v>1107</v>
      </c>
      <c r="FR102" s="240" t="s">
        <v>1107</v>
      </c>
      <c r="FS102" s="240" t="s">
        <v>1107</v>
      </c>
      <c r="FT102" s="240" t="s">
        <v>1107</v>
      </c>
      <c r="FU102" s="240" t="s">
        <v>1107</v>
      </c>
      <c r="FV102" s="240" t="s">
        <v>1107</v>
      </c>
      <c r="FW102" s="240" t="s">
        <v>1107</v>
      </c>
      <c r="FX102" s="240" t="s">
        <v>1107</v>
      </c>
      <c r="FY102" s="240" t="s">
        <v>1107</v>
      </c>
      <c r="FZ102" s="240" t="s">
        <v>1107</v>
      </c>
      <c r="GA102" s="240" t="s">
        <v>1107</v>
      </c>
      <c r="GB102" s="240" t="s">
        <v>1107</v>
      </c>
      <c r="GC102" s="240" t="s">
        <v>231</v>
      </c>
      <c r="GD102" s="240" t="s">
        <v>1107</v>
      </c>
      <c r="GE102" s="240" t="s">
        <v>1107</v>
      </c>
      <c r="GF102" s="240" t="s">
        <v>1107</v>
      </c>
      <c r="GG102" s="240" t="s">
        <v>1107</v>
      </c>
      <c r="GH102" s="240" t="s">
        <v>1107</v>
      </c>
      <c r="GI102" s="240" t="s">
        <v>1107</v>
      </c>
      <c r="GJ102" s="240" t="s">
        <v>1107</v>
      </c>
      <c r="GK102" s="240" t="s">
        <v>1107</v>
      </c>
      <c r="GL102" s="240" t="s">
        <v>1107</v>
      </c>
      <c r="GM102" s="240" t="s">
        <v>1107</v>
      </c>
      <c r="GN102" s="240" t="s">
        <v>1107</v>
      </c>
      <c r="GO102" s="240" t="s">
        <v>1107</v>
      </c>
      <c r="GP102" s="240" t="s">
        <v>1107</v>
      </c>
      <c r="GQ102" s="240" t="s">
        <v>1107</v>
      </c>
      <c r="GR102" s="240" t="s">
        <v>1107</v>
      </c>
      <c r="GS102" s="240" t="s">
        <v>1107</v>
      </c>
      <c r="GT102" s="240" t="s">
        <v>1107</v>
      </c>
      <c r="GU102" s="240" t="s">
        <v>1107</v>
      </c>
      <c r="GV102" s="240" t="s">
        <v>1107</v>
      </c>
      <c r="GW102" s="240" t="s">
        <v>1107</v>
      </c>
      <c r="GX102" s="240" t="s">
        <v>1107</v>
      </c>
      <c r="GY102" s="240" t="s">
        <v>1107</v>
      </c>
      <c r="GZ102" s="240" t="s">
        <v>1107</v>
      </c>
      <c r="HA102" s="240" t="s">
        <v>1107</v>
      </c>
      <c r="HB102" s="240" t="s">
        <v>1107</v>
      </c>
      <c r="HC102" s="240" t="s">
        <v>1107</v>
      </c>
      <c r="HD102" s="240" t="s">
        <v>1107</v>
      </c>
      <c r="HE102" s="240" t="s">
        <v>1107</v>
      </c>
      <c r="HF102" s="240" t="s">
        <v>1107</v>
      </c>
      <c r="HG102" s="240" t="s">
        <v>1107</v>
      </c>
      <c r="HH102" s="240" t="s">
        <v>1107</v>
      </c>
      <c r="HI102" s="240" t="s">
        <v>1107</v>
      </c>
      <c r="HJ102" s="240" t="s">
        <v>1107</v>
      </c>
      <c r="HK102" s="240" t="s">
        <v>1107</v>
      </c>
      <c r="HL102" s="240" t="s">
        <v>1107</v>
      </c>
      <c r="HM102" s="240" t="s">
        <v>1107</v>
      </c>
      <c r="HN102" s="240" t="s">
        <v>1107</v>
      </c>
      <c r="HO102" s="240" t="s">
        <v>1107</v>
      </c>
      <c r="HP102" s="240" t="s">
        <v>1107</v>
      </c>
      <c r="HQ102" s="240" t="s">
        <v>1107</v>
      </c>
      <c r="HR102" s="240" t="s">
        <v>1107</v>
      </c>
      <c r="HS102" s="240" t="s">
        <v>1107</v>
      </c>
      <c r="HT102" s="240" t="s">
        <v>1107</v>
      </c>
      <c r="HU102" s="240" t="s">
        <v>1107</v>
      </c>
      <c r="HV102" s="240" t="s">
        <v>1107</v>
      </c>
      <c r="HW102" s="240" t="s">
        <v>1107</v>
      </c>
      <c r="HX102" s="240" t="s">
        <v>220</v>
      </c>
      <c r="HY102" s="240" t="s">
        <v>493</v>
      </c>
      <c r="HZ102" s="240" t="s">
        <v>219</v>
      </c>
      <c r="IA102" s="240" t="s">
        <v>486</v>
      </c>
      <c r="IB102" s="240" t="s">
        <v>1107</v>
      </c>
      <c r="IC102" s="240" t="s">
        <v>1107</v>
      </c>
    </row>
    <row r="103" spans="1:237" ht="15" x14ac:dyDescent="0.25">
      <c r="A103" s="243" t="str">
        <f>HYPERLINK("http://www.ofsted.gov.uk/inspection-reports/find-inspection-report/provider/ELS/136239 ","Ofsted School Webpage")</f>
        <v>Ofsted School Webpage</v>
      </c>
      <c r="B103" s="237">
        <v>136239</v>
      </c>
      <c r="C103" s="237">
        <v>3586019</v>
      </c>
      <c r="D103" s="237" t="s">
        <v>1305</v>
      </c>
      <c r="E103" s="237" t="s">
        <v>248</v>
      </c>
      <c r="F103" s="237" t="s">
        <v>495</v>
      </c>
      <c r="G103" s="237" t="s">
        <v>495</v>
      </c>
      <c r="H103" s="237" t="s">
        <v>1306</v>
      </c>
      <c r="I103" s="237" t="s">
        <v>1307</v>
      </c>
      <c r="J103" s="237" t="s">
        <v>71</v>
      </c>
      <c r="K103" s="237" t="s">
        <v>71</v>
      </c>
      <c r="L103" s="237" t="s">
        <v>71</v>
      </c>
      <c r="M103" s="237" t="s">
        <v>71</v>
      </c>
      <c r="N103" s="237" t="s">
        <v>486</v>
      </c>
      <c r="O103" s="237" t="s">
        <v>487</v>
      </c>
      <c r="P103" s="237">
        <v>10091334</v>
      </c>
      <c r="Q103" s="239">
        <v>43480</v>
      </c>
      <c r="R103" s="239">
        <v>43480</v>
      </c>
      <c r="S103" s="239">
        <v>43507</v>
      </c>
      <c r="T103" s="237" t="s">
        <v>1109</v>
      </c>
      <c r="U103" s="237" t="s">
        <v>1105</v>
      </c>
      <c r="V103" s="237" t="s">
        <v>490</v>
      </c>
      <c r="W103" s="237" t="s">
        <v>486</v>
      </c>
      <c r="X103" s="237" t="s">
        <v>486</v>
      </c>
      <c r="Y103" s="237" t="s">
        <v>486</v>
      </c>
      <c r="Z103" s="237" t="s">
        <v>486</v>
      </c>
      <c r="AA103" s="237" t="s">
        <v>486</v>
      </c>
      <c r="AB103" s="237" t="s">
        <v>486</v>
      </c>
      <c r="AC103" s="237" t="s">
        <v>486</v>
      </c>
      <c r="AD103" s="237" t="s">
        <v>1136</v>
      </c>
      <c r="AE103" s="237" t="s">
        <v>1107</v>
      </c>
      <c r="AF103" s="237" t="s">
        <v>1107</v>
      </c>
      <c r="AG103" s="237" t="s">
        <v>1107</v>
      </c>
      <c r="AH103" s="237" t="s">
        <v>1107</v>
      </c>
      <c r="AI103" s="237" t="s">
        <v>1107</v>
      </c>
      <c r="AJ103" s="237" t="s">
        <v>1107</v>
      </c>
      <c r="AK103" s="237" t="s">
        <v>1107</v>
      </c>
      <c r="AL103" s="237" t="s">
        <v>1107</v>
      </c>
      <c r="AM103" s="237" t="s">
        <v>492</v>
      </c>
      <c r="AN103" s="237" t="s">
        <v>1107</v>
      </c>
      <c r="AO103" s="237" t="s">
        <v>1107</v>
      </c>
      <c r="AP103" s="237" t="s">
        <v>1107</v>
      </c>
      <c r="AQ103" s="237" t="s">
        <v>1107</v>
      </c>
      <c r="AR103" s="237" t="s">
        <v>1107</v>
      </c>
      <c r="AS103" s="237" t="s">
        <v>1107</v>
      </c>
      <c r="AT103" s="237" t="s">
        <v>1107</v>
      </c>
      <c r="AU103" s="237" t="s">
        <v>492</v>
      </c>
      <c r="AV103" s="237" t="s">
        <v>1107</v>
      </c>
      <c r="AW103" s="237" t="s">
        <v>1107</v>
      </c>
      <c r="AX103" s="237" t="s">
        <v>1107</v>
      </c>
      <c r="AY103" s="237" t="s">
        <v>1107</v>
      </c>
      <c r="AZ103" s="237" t="s">
        <v>1107</v>
      </c>
      <c r="BA103" s="237" t="s">
        <v>1107</v>
      </c>
      <c r="BB103" s="237" t="s">
        <v>1107</v>
      </c>
      <c r="BC103" s="237" t="s">
        <v>1107</v>
      </c>
      <c r="BD103" s="237" t="s">
        <v>1107</v>
      </c>
      <c r="BE103" s="237" t="s">
        <v>1107</v>
      </c>
      <c r="BF103" s="237" t="s">
        <v>1107</v>
      </c>
      <c r="BG103" s="237" t="s">
        <v>1107</v>
      </c>
      <c r="BH103" s="237" t="s">
        <v>1107</v>
      </c>
      <c r="BI103" s="237" t="s">
        <v>1107</v>
      </c>
      <c r="BJ103" s="237" t="s">
        <v>1107</v>
      </c>
      <c r="BK103" s="237" t="s">
        <v>1107</v>
      </c>
      <c r="BL103" s="237" t="s">
        <v>1107</v>
      </c>
      <c r="BM103" s="237" t="s">
        <v>1107</v>
      </c>
      <c r="BN103" s="237" t="s">
        <v>1107</v>
      </c>
      <c r="BO103" s="237" t="s">
        <v>1107</v>
      </c>
      <c r="BP103" s="237" t="s">
        <v>1107</v>
      </c>
      <c r="BQ103" s="237" t="s">
        <v>1107</v>
      </c>
      <c r="BR103" s="237" t="s">
        <v>1107</v>
      </c>
      <c r="BS103" s="237" t="s">
        <v>1107</v>
      </c>
      <c r="BT103" s="237" t="s">
        <v>1107</v>
      </c>
      <c r="BU103" s="237" t="s">
        <v>1107</v>
      </c>
      <c r="BV103" s="237" t="s">
        <v>1107</v>
      </c>
      <c r="BW103" s="237" t="s">
        <v>1107</v>
      </c>
      <c r="BX103" s="237" t="s">
        <v>1107</v>
      </c>
      <c r="BY103" s="237" t="s">
        <v>1107</v>
      </c>
      <c r="BZ103" s="237" t="s">
        <v>232</v>
      </c>
      <c r="CA103" s="237" t="s">
        <v>231</v>
      </c>
      <c r="CB103" s="237" t="s">
        <v>232</v>
      </c>
      <c r="CC103" s="237" t="s">
        <v>492</v>
      </c>
      <c r="CD103" s="237" t="s">
        <v>492</v>
      </c>
      <c r="CE103" s="237" t="s">
        <v>492</v>
      </c>
      <c r="CF103" s="237" t="s">
        <v>1107</v>
      </c>
      <c r="CG103" s="237" t="s">
        <v>1107</v>
      </c>
      <c r="CH103" s="237" t="s">
        <v>1107</v>
      </c>
      <c r="CI103" s="237" t="s">
        <v>1107</v>
      </c>
      <c r="CJ103" s="237" t="s">
        <v>1107</v>
      </c>
      <c r="CK103" s="237" t="s">
        <v>231</v>
      </c>
      <c r="CL103" s="237" t="s">
        <v>231</v>
      </c>
      <c r="CM103" s="237" t="s">
        <v>1107</v>
      </c>
      <c r="CN103" s="237" t="s">
        <v>1107</v>
      </c>
      <c r="CO103" s="237" t="s">
        <v>1107</v>
      </c>
      <c r="CP103" s="237" t="s">
        <v>231</v>
      </c>
      <c r="CQ103" s="237" t="s">
        <v>231</v>
      </c>
      <c r="CR103" s="237" t="s">
        <v>231</v>
      </c>
      <c r="CS103" s="237" t="s">
        <v>1107</v>
      </c>
      <c r="CT103" s="237" t="s">
        <v>1107</v>
      </c>
      <c r="CU103" s="237" t="s">
        <v>1107</v>
      </c>
      <c r="CV103" s="237" t="s">
        <v>1107</v>
      </c>
      <c r="CW103" s="237" t="s">
        <v>1107</v>
      </c>
      <c r="CX103" s="237" t="s">
        <v>1107</v>
      </c>
      <c r="CY103" s="237" t="s">
        <v>1107</v>
      </c>
      <c r="CZ103" s="237" t="s">
        <v>1107</v>
      </c>
      <c r="DA103" s="237" t="s">
        <v>1107</v>
      </c>
      <c r="DB103" s="237" t="s">
        <v>1107</v>
      </c>
      <c r="DC103" s="237" t="s">
        <v>492</v>
      </c>
      <c r="DD103" s="237" t="s">
        <v>1107</v>
      </c>
      <c r="DE103" s="237" t="s">
        <v>492</v>
      </c>
      <c r="DF103" s="237" t="s">
        <v>492</v>
      </c>
      <c r="DG103" s="237" t="s">
        <v>492</v>
      </c>
      <c r="DH103" s="237" t="s">
        <v>492</v>
      </c>
      <c r="DI103" s="237" t="s">
        <v>492</v>
      </c>
      <c r="DJ103" s="237" t="s">
        <v>492</v>
      </c>
      <c r="DK103" s="237" t="s">
        <v>492</v>
      </c>
      <c r="DL103" s="237" t="s">
        <v>492</v>
      </c>
      <c r="DM103" s="237" t="s">
        <v>492</v>
      </c>
      <c r="DN103" s="237" t="s">
        <v>492</v>
      </c>
      <c r="DO103" s="237" t="s">
        <v>492</v>
      </c>
      <c r="DP103" s="237" t="s">
        <v>492</v>
      </c>
      <c r="DQ103" s="237" t="s">
        <v>492</v>
      </c>
      <c r="DR103" s="237" t="s">
        <v>492</v>
      </c>
      <c r="DS103" s="237" t="s">
        <v>492</v>
      </c>
      <c r="DT103" s="237" t="s">
        <v>492</v>
      </c>
      <c r="DU103" s="237" t="s">
        <v>492</v>
      </c>
      <c r="DV103" s="237" t="s">
        <v>492</v>
      </c>
      <c r="DW103" s="237" t="s">
        <v>492</v>
      </c>
      <c r="DX103" s="237" t="s">
        <v>492</v>
      </c>
      <c r="DY103" s="237" t="s">
        <v>492</v>
      </c>
      <c r="DZ103" s="237" t="s">
        <v>492</v>
      </c>
      <c r="EA103" s="237" t="s">
        <v>492</v>
      </c>
      <c r="EB103" s="237" t="s">
        <v>1107</v>
      </c>
      <c r="EC103" s="237" t="s">
        <v>1107</v>
      </c>
      <c r="ED103" s="237" t="s">
        <v>1107</v>
      </c>
      <c r="EE103" s="237" t="s">
        <v>1107</v>
      </c>
      <c r="EF103" s="237" t="s">
        <v>1107</v>
      </c>
      <c r="EG103" s="237" t="s">
        <v>1107</v>
      </c>
      <c r="EH103" s="237" t="s">
        <v>1107</v>
      </c>
      <c r="EI103" s="237" t="s">
        <v>1107</v>
      </c>
      <c r="EJ103" s="237" t="s">
        <v>1107</v>
      </c>
      <c r="EK103" s="237" t="s">
        <v>1107</v>
      </c>
      <c r="EL103" s="237" t="s">
        <v>1107</v>
      </c>
      <c r="EM103" s="237" t="s">
        <v>1107</v>
      </c>
      <c r="EN103" s="237" t="s">
        <v>1107</v>
      </c>
      <c r="EO103" s="237" t="s">
        <v>492</v>
      </c>
      <c r="EP103" s="237" t="s">
        <v>492</v>
      </c>
      <c r="EQ103" s="237" t="s">
        <v>492</v>
      </c>
      <c r="ER103" s="237" t="s">
        <v>492</v>
      </c>
      <c r="ES103" s="237" t="s">
        <v>492</v>
      </c>
      <c r="ET103" s="237" t="s">
        <v>492</v>
      </c>
      <c r="EU103" s="237" t="s">
        <v>492</v>
      </c>
      <c r="EV103" s="237" t="s">
        <v>492</v>
      </c>
      <c r="EW103" s="237" t="s">
        <v>492</v>
      </c>
      <c r="EX103" s="237" t="s">
        <v>492</v>
      </c>
      <c r="EY103" s="237" t="s">
        <v>492</v>
      </c>
      <c r="EZ103" s="237" t="s">
        <v>231</v>
      </c>
      <c r="FA103" s="237" t="s">
        <v>231</v>
      </c>
      <c r="FB103" s="237" t="s">
        <v>1107</v>
      </c>
      <c r="FC103" s="237" t="s">
        <v>1107</v>
      </c>
      <c r="FD103" s="237" t="s">
        <v>231</v>
      </c>
      <c r="FE103" s="237" t="s">
        <v>231</v>
      </c>
      <c r="FF103" s="237" t="s">
        <v>231</v>
      </c>
      <c r="FG103" s="237" t="s">
        <v>492</v>
      </c>
      <c r="FH103" s="237" t="s">
        <v>231</v>
      </c>
      <c r="FI103" s="237" t="s">
        <v>232</v>
      </c>
      <c r="FJ103" s="237" t="s">
        <v>1107</v>
      </c>
      <c r="FK103" s="237" t="s">
        <v>1107</v>
      </c>
      <c r="FL103" s="237" t="s">
        <v>1107</v>
      </c>
      <c r="FM103" s="237" t="s">
        <v>1107</v>
      </c>
      <c r="FN103" s="237" t="s">
        <v>231</v>
      </c>
      <c r="FO103" s="237" t="s">
        <v>1107</v>
      </c>
      <c r="FP103" s="237" t="s">
        <v>231</v>
      </c>
      <c r="FQ103" s="237" t="s">
        <v>231</v>
      </c>
      <c r="FR103" s="237" t="s">
        <v>231</v>
      </c>
      <c r="FS103" s="237" t="s">
        <v>1107</v>
      </c>
      <c r="FT103" s="237" t="s">
        <v>1107</v>
      </c>
      <c r="FU103" s="237" t="s">
        <v>1107</v>
      </c>
      <c r="FV103" s="237" t="s">
        <v>1107</v>
      </c>
      <c r="FW103" s="237" t="s">
        <v>1107</v>
      </c>
      <c r="FX103" s="237" t="s">
        <v>1107</v>
      </c>
      <c r="FY103" s="237" t="s">
        <v>492</v>
      </c>
      <c r="FZ103" s="237" t="s">
        <v>231</v>
      </c>
      <c r="GA103" s="237" t="s">
        <v>1107</v>
      </c>
      <c r="GB103" s="237" t="s">
        <v>1107</v>
      </c>
      <c r="GC103" s="237" t="s">
        <v>231</v>
      </c>
      <c r="GD103" s="237" t="s">
        <v>1107</v>
      </c>
      <c r="GE103" s="237" t="s">
        <v>492</v>
      </c>
      <c r="GF103" s="237" t="s">
        <v>1107</v>
      </c>
      <c r="GG103" s="237" t="s">
        <v>1107</v>
      </c>
      <c r="GH103" s="237" t="s">
        <v>1107</v>
      </c>
      <c r="GI103" s="237" t="s">
        <v>1107</v>
      </c>
      <c r="GJ103" s="237" t="s">
        <v>1107</v>
      </c>
      <c r="GK103" s="237" t="s">
        <v>1107</v>
      </c>
      <c r="GL103" s="237" t="s">
        <v>1107</v>
      </c>
      <c r="GM103" s="237" t="s">
        <v>1107</v>
      </c>
      <c r="GN103" s="237" t="s">
        <v>1107</v>
      </c>
      <c r="GO103" s="237" t="s">
        <v>492</v>
      </c>
      <c r="GP103" s="237" t="s">
        <v>492</v>
      </c>
      <c r="GQ103" s="237" t="s">
        <v>1107</v>
      </c>
      <c r="GR103" s="237" t="s">
        <v>1107</v>
      </c>
      <c r="GS103" s="237" t="s">
        <v>1107</v>
      </c>
      <c r="GT103" s="237" t="s">
        <v>1107</v>
      </c>
      <c r="GU103" s="237" t="s">
        <v>1107</v>
      </c>
      <c r="GV103" s="237" t="s">
        <v>1107</v>
      </c>
      <c r="GW103" s="237" t="s">
        <v>1107</v>
      </c>
      <c r="GX103" s="237" t="s">
        <v>1107</v>
      </c>
      <c r="GY103" s="237" t="s">
        <v>1107</v>
      </c>
      <c r="GZ103" s="237" t="s">
        <v>492</v>
      </c>
      <c r="HA103" s="237" t="s">
        <v>492</v>
      </c>
      <c r="HB103" s="237" t="s">
        <v>492</v>
      </c>
      <c r="HC103" s="237" t="s">
        <v>492</v>
      </c>
      <c r="HD103" s="237" t="s">
        <v>1107</v>
      </c>
      <c r="HE103" s="237" t="s">
        <v>1107</v>
      </c>
      <c r="HF103" s="237" t="s">
        <v>1107</v>
      </c>
      <c r="HG103" s="237" t="s">
        <v>1107</v>
      </c>
      <c r="HH103" s="237" t="s">
        <v>1107</v>
      </c>
      <c r="HI103" s="237" t="s">
        <v>1107</v>
      </c>
      <c r="HJ103" s="237" t="s">
        <v>1107</v>
      </c>
      <c r="HK103" s="237" t="s">
        <v>1107</v>
      </c>
      <c r="HL103" s="237" t="s">
        <v>1107</v>
      </c>
      <c r="HM103" s="237" t="s">
        <v>1107</v>
      </c>
      <c r="HN103" s="237" t="s">
        <v>1107</v>
      </c>
      <c r="HO103" s="237" t="s">
        <v>1107</v>
      </c>
      <c r="HP103" s="237" t="s">
        <v>1107</v>
      </c>
      <c r="HQ103" s="237" t="s">
        <v>1107</v>
      </c>
      <c r="HR103" s="237" t="s">
        <v>1107</v>
      </c>
      <c r="HS103" s="237" t="s">
        <v>1107</v>
      </c>
      <c r="HT103" s="237" t="s">
        <v>232</v>
      </c>
      <c r="HU103" s="237" t="s">
        <v>232</v>
      </c>
      <c r="HV103" s="237" t="s">
        <v>232</v>
      </c>
      <c r="HW103" s="237" t="s">
        <v>232</v>
      </c>
      <c r="HX103" s="237" t="s">
        <v>220</v>
      </c>
      <c r="HY103" s="237" t="s">
        <v>493</v>
      </c>
      <c r="HZ103" s="237" t="s">
        <v>219</v>
      </c>
      <c r="IA103" s="237" t="s">
        <v>490</v>
      </c>
      <c r="IB103" s="237" t="s">
        <v>492</v>
      </c>
      <c r="IC103" s="237" t="s">
        <v>492</v>
      </c>
    </row>
    <row r="104" spans="1:237" ht="15" x14ac:dyDescent="0.25">
      <c r="A104" s="244" t="str">
        <f>HYPERLINK("http://www.ofsted.gov.uk/inspection-reports/find-inspection-report/provider/ELS/144727 ","Ofsted School Webpage")</f>
        <v>Ofsted School Webpage</v>
      </c>
      <c r="B104" s="240">
        <v>144727</v>
      </c>
      <c r="C104" s="240">
        <v>3026012</v>
      </c>
      <c r="D104" s="240" t="s">
        <v>1308</v>
      </c>
      <c r="E104" s="240" t="s">
        <v>247</v>
      </c>
      <c r="F104" s="240" t="s">
        <v>506</v>
      </c>
      <c r="G104" s="240" t="s">
        <v>506</v>
      </c>
      <c r="H104" s="240" t="s">
        <v>614</v>
      </c>
      <c r="I104" s="240" t="s">
        <v>1309</v>
      </c>
      <c r="J104" s="240" t="s">
        <v>82</v>
      </c>
      <c r="K104" s="240" t="s">
        <v>82</v>
      </c>
      <c r="L104" s="240" t="s">
        <v>82</v>
      </c>
      <c r="M104" s="240" t="s">
        <v>81</v>
      </c>
      <c r="N104" s="240" t="s">
        <v>486</v>
      </c>
      <c r="O104" s="240" t="s">
        <v>487</v>
      </c>
      <c r="P104" s="240">
        <v>10086121</v>
      </c>
      <c r="Q104" s="242">
        <v>43480</v>
      </c>
      <c r="R104" s="242">
        <v>43480</v>
      </c>
      <c r="S104" s="242">
        <v>43502</v>
      </c>
      <c r="T104" s="240" t="s">
        <v>1124</v>
      </c>
      <c r="U104" s="240" t="s">
        <v>1105</v>
      </c>
      <c r="V104" s="240" t="s">
        <v>490</v>
      </c>
      <c r="W104" s="240" t="s">
        <v>486</v>
      </c>
      <c r="X104" s="240" t="s">
        <v>486</v>
      </c>
      <c r="Y104" s="240" t="s">
        <v>486</v>
      </c>
      <c r="Z104" s="240" t="s">
        <v>486</v>
      </c>
      <c r="AA104" s="240" t="s">
        <v>486</v>
      </c>
      <c r="AB104" s="240" t="s">
        <v>486</v>
      </c>
      <c r="AC104" s="240" t="s">
        <v>486</v>
      </c>
      <c r="AD104" s="240" t="s">
        <v>1125</v>
      </c>
      <c r="AE104" s="240" t="s">
        <v>661</v>
      </c>
      <c r="AF104" s="240" t="s">
        <v>1107</v>
      </c>
      <c r="AG104" s="240" t="s">
        <v>1107</v>
      </c>
      <c r="AH104" s="240" t="s">
        <v>1107</v>
      </c>
      <c r="AI104" s="240" t="s">
        <v>1107</v>
      </c>
      <c r="AJ104" s="240" t="s">
        <v>661</v>
      </c>
      <c r="AK104" s="240" t="s">
        <v>1107</v>
      </c>
      <c r="AL104" s="240" t="s">
        <v>1107</v>
      </c>
      <c r="AM104" s="240" t="s">
        <v>1107</v>
      </c>
      <c r="AN104" s="240" t="s">
        <v>1107</v>
      </c>
      <c r="AO104" s="240" t="s">
        <v>1107</v>
      </c>
      <c r="AP104" s="240" t="s">
        <v>1107</v>
      </c>
      <c r="AQ104" s="240" t="s">
        <v>1107</v>
      </c>
      <c r="AR104" s="240" t="s">
        <v>1107</v>
      </c>
      <c r="AS104" s="240" t="s">
        <v>1107</v>
      </c>
      <c r="AT104" s="240" t="s">
        <v>1107</v>
      </c>
      <c r="AU104" s="240" t="s">
        <v>1107</v>
      </c>
      <c r="AV104" s="240" t="s">
        <v>1107</v>
      </c>
      <c r="AW104" s="240" t="s">
        <v>661</v>
      </c>
      <c r="AX104" s="240" t="s">
        <v>661</v>
      </c>
      <c r="AY104" s="240" t="s">
        <v>661</v>
      </c>
      <c r="AZ104" s="240" t="s">
        <v>661</v>
      </c>
      <c r="BA104" s="240" t="s">
        <v>1107</v>
      </c>
      <c r="BB104" s="240" t="s">
        <v>661</v>
      </c>
      <c r="BC104" s="240" t="s">
        <v>661</v>
      </c>
      <c r="BD104" s="240" t="s">
        <v>661</v>
      </c>
      <c r="BE104" s="240" t="s">
        <v>661</v>
      </c>
      <c r="BF104" s="240" t="s">
        <v>1107</v>
      </c>
      <c r="BG104" s="240" t="s">
        <v>1107</v>
      </c>
      <c r="BH104" s="240" t="s">
        <v>1107</v>
      </c>
      <c r="BI104" s="240" t="s">
        <v>1107</v>
      </c>
      <c r="BJ104" s="240" t="s">
        <v>1107</v>
      </c>
      <c r="BK104" s="240" t="s">
        <v>1107</v>
      </c>
      <c r="BL104" s="240" t="s">
        <v>1107</v>
      </c>
      <c r="BM104" s="240" t="s">
        <v>1107</v>
      </c>
      <c r="BN104" s="240" t="s">
        <v>1107</v>
      </c>
      <c r="BO104" s="240" t="s">
        <v>1107</v>
      </c>
      <c r="BP104" s="240" t="s">
        <v>1107</v>
      </c>
      <c r="BQ104" s="240" t="s">
        <v>1107</v>
      </c>
      <c r="BR104" s="240" t="s">
        <v>1107</v>
      </c>
      <c r="BS104" s="240" t="s">
        <v>1107</v>
      </c>
      <c r="BT104" s="240" t="s">
        <v>1107</v>
      </c>
      <c r="BU104" s="240" t="s">
        <v>1107</v>
      </c>
      <c r="BV104" s="240" t="s">
        <v>1107</v>
      </c>
      <c r="BW104" s="240" t="s">
        <v>1107</v>
      </c>
      <c r="BX104" s="240" t="s">
        <v>1107</v>
      </c>
      <c r="BY104" s="240" t="s">
        <v>1107</v>
      </c>
      <c r="BZ104" s="240" t="s">
        <v>232</v>
      </c>
      <c r="CA104" s="240" t="s">
        <v>232</v>
      </c>
      <c r="CB104" s="240" t="s">
        <v>232</v>
      </c>
      <c r="CC104" s="240" t="s">
        <v>1107</v>
      </c>
      <c r="CD104" s="240" t="s">
        <v>1107</v>
      </c>
      <c r="CE104" s="240" t="s">
        <v>1107</v>
      </c>
      <c r="CF104" s="240" t="s">
        <v>1107</v>
      </c>
      <c r="CG104" s="240" t="s">
        <v>1107</v>
      </c>
      <c r="CH104" s="240" t="s">
        <v>1107</v>
      </c>
      <c r="CI104" s="240" t="s">
        <v>1107</v>
      </c>
      <c r="CJ104" s="240" t="s">
        <v>1107</v>
      </c>
      <c r="CK104" s="240" t="s">
        <v>1107</v>
      </c>
      <c r="CL104" s="240" t="s">
        <v>1107</v>
      </c>
      <c r="CM104" s="240" t="s">
        <v>1107</v>
      </c>
      <c r="CN104" s="240" t="s">
        <v>1107</v>
      </c>
      <c r="CO104" s="240" t="s">
        <v>1107</v>
      </c>
      <c r="CP104" s="240" t="s">
        <v>1107</v>
      </c>
      <c r="CQ104" s="240" t="s">
        <v>1107</v>
      </c>
      <c r="CR104" s="240" t="s">
        <v>1107</v>
      </c>
      <c r="CS104" s="240" t="s">
        <v>1107</v>
      </c>
      <c r="CT104" s="240" t="s">
        <v>1107</v>
      </c>
      <c r="CU104" s="240" t="s">
        <v>1107</v>
      </c>
      <c r="CV104" s="240" t="s">
        <v>1107</v>
      </c>
      <c r="CW104" s="240" t="s">
        <v>1107</v>
      </c>
      <c r="CX104" s="240" t="s">
        <v>1107</v>
      </c>
      <c r="CY104" s="240" t="s">
        <v>1107</v>
      </c>
      <c r="CZ104" s="240" t="s">
        <v>1107</v>
      </c>
      <c r="DA104" s="240" t="s">
        <v>1107</v>
      </c>
      <c r="DB104" s="240" t="s">
        <v>1107</v>
      </c>
      <c r="DC104" s="240" t="s">
        <v>1107</v>
      </c>
      <c r="DD104" s="240" t="s">
        <v>1107</v>
      </c>
      <c r="DE104" s="240" t="s">
        <v>1107</v>
      </c>
      <c r="DF104" s="240" t="s">
        <v>1107</v>
      </c>
      <c r="DG104" s="240" t="s">
        <v>1107</v>
      </c>
      <c r="DH104" s="240" t="s">
        <v>1107</v>
      </c>
      <c r="DI104" s="240" t="s">
        <v>1107</v>
      </c>
      <c r="DJ104" s="240" t="s">
        <v>1107</v>
      </c>
      <c r="DK104" s="240" t="s">
        <v>1107</v>
      </c>
      <c r="DL104" s="240" t="s">
        <v>1107</v>
      </c>
      <c r="DM104" s="240" t="s">
        <v>1107</v>
      </c>
      <c r="DN104" s="240" t="s">
        <v>1107</v>
      </c>
      <c r="DO104" s="240" t="s">
        <v>1107</v>
      </c>
      <c r="DP104" s="240" t="s">
        <v>1107</v>
      </c>
      <c r="DQ104" s="240" t="s">
        <v>1107</v>
      </c>
      <c r="DR104" s="240" t="s">
        <v>1107</v>
      </c>
      <c r="DS104" s="240" t="s">
        <v>1107</v>
      </c>
      <c r="DT104" s="240" t="s">
        <v>1107</v>
      </c>
      <c r="DU104" s="240" t="s">
        <v>1107</v>
      </c>
      <c r="DV104" s="240" t="s">
        <v>1107</v>
      </c>
      <c r="DW104" s="240" t="s">
        <v>1107</v>
      </c>
      <c r="DX104" s="240" t="s">
        <v>1107</v>
      </c>
      <c r="DY104" s="240" t="s">
        <v>1107</v>
      </c>
      <c r="DZ104" s="240" t="s">
        <v>1107</v>
      </c>
      <c r="EA104" s="240" t="s">
        <v>1107</v>
      </c>
      <c r="EB104" s="240" t="s">
        <v>1107</v>
      </c>
      <c r="EC104" s="240" t="s">
        <v>1107</v>
      </c>
      <c r="ED104" s="240" t="s">
        <v>1107</v>
      </c>
      <c r="EE104" s="240" t="s">
        <v>1107</v>
      </c>
      <c r="EF104" s="240" t="s">
        <v>1107</v>
      </c>
      <c r="EG104" s="240" t="s">
        <v>1107</v>
      </c>
      <c r="EH104" s="240" t="s">
        <v>1107</v>
      </c>
      <c r="EI104" s="240" t="s">
        <v>1107</v>
      </c>
      <c r="EJ104" s="240" t="s">
        <v>1107</v>
      </c>
      <c r="EK104" s="240" t="s">
        <v>1107</v>
      </c>
      <c r="EL104" s="240" t="s">
        <v>1107</v>
      </c>
      <c r="EM104" s="240" t="s">
        <v>1107</v>
      </c>
      <c r="EN104" s="240" t="s">
        <v>1107</v>
      </c>
      <c r="EO104" s="240" t="s">
        <v>1107</v>
      </c>
      <c r="EP104" s="240" t="s">
        <v>1107</v>
      </c>
      <c r="EQ104" s="240" t="s">
        <v>1107</v>
      </c>
      <c r="ER104" s="240" t="s">
        <v>1107</v>
      </c>
      <c r="ES104" s="240" t="s">
        <v>1107</v>
      </c>
      <c r="ET104" s="240" t="s">
        <v>1107</v>
      </c>
      <c r="EU104" s="240" t="s">
        <v>1107</v>
      </c>
      <c r="EV104" s="240" t="s">
        <v>1107</v>
      </c>
      <c r="EW104" s="240" t="s">
        <v>1107</v>
      </c>
      <c r="EX104" s="240" t="s">
        <v>1107</v>
      </c>
      <c r="EY104" s="240" t="s">
        <v>1107</v>
      </c>
      <c r="EZ104" s="240" t="s">
        <v>1107</v>
      </c>
      <c r="FA104" s="240" t="s">
        <v>1107</v>
      </c>
      <c r="FB104" s="240" t="s">
        <v>1107</v>
      </c>
      <c r="FC104" s="240" t="s">
        <v>1107</v>
      </c>
      <c r="FD104" s="240" t="s">
        <v>1107</v>
      </c>
      <c r="FE104" s="240" t="s">
        <v>1107</v>
      </c>
      <c r="FF104" s="240" t="s">
        <v>1107</v>
      </c>
      <c r="FG104" s="240" t="s">
        <v>1107</v>
      </c>
      <c r="FH104" s="240" t="s">
        <v>1107</v>
      </c>
      <c r="FI104" s="240" t="s">
        <v>1107</v>
      </c>
      <c r="FJ104" s="240" t="s">
        <v>1107</v>
      </c>
      <c r="FK104" s="240" t="s">
        <v>1107</v>
      </c>
      <c r="FL104" s="240" t="s">
        <v>1107</v>
      </c>
      <c r="FM104" s="240" t="s">
        <v>1107</v>
      </c>
      <c r="FN104" s="240" t="s">
        <v>1107</v>
      </c>
      <c r="FO104" s="240" t="s">
        <v>1107</v>
      </c>
      <c r="FP104" s="240" t="s">
        <v>1107</v>
      </c>
      <c r="FQ104" s="240" t="s">
        <v>1107</v>
      </c>
      <c r="FR104" s="240" t="s">
        <v>1107</v>
      </c>
      <c r="FS104" s="240" t="s">
        <v>1107</v>
      </c>
      <c r="FT104" s="240" t="s">
        <v>1107</v>
      </c>
      <c r="FU104" s="240" t="s">
        <v>1107</v>
      </c>
      <c r="FV104" s="240" t="s">
        <v>1107</v>
      </c>
      <c r="FW104" s="240" t="s">
        <v>1107</v>
      </c>
      <c r="FX104" s="240" t="s">
        <v>1107</v>
      </c>
      <c r="FY104" s="240" t="s">
        <v>1107</v>
      </c>
      <c r="FZ104" s="240" t="s">
        <v>1107</v>
      </c>
      <c r="GA104" s="240" t="s">
        <v>1107</v>
      </c>
      <c r="GB104" s="240" t="s">
        <v>1107</v>
      </c>
      <c r="GC104" s="240" t="s">
        <v>1107</v>
      </c>
      <c r="GD104" s="240" t="s">
        <v>1107</v>
      </c>
      <c r="GE104" s="240" t="s">
        <v>1107</v>
      </c>
      <c r="GF104" s="240" t="s">
        <v>1107</v>
      </c>
      <c r="GG104" s="240" t="s">
        <v>1107</v>
      </c>
      <c r="GH104" s="240" t="s">
        <v>1107</v>
      </c>
      <c r="GI104" s="240" t="s">
        <v>1107</v>
      </c>
      <c r="GJ104" s="240" t="s">
        <v>1107</v>
      </c>
      <c r="GK104" s="240" t="s">
        <v>1107</v>
      </c>
      <c r="GL104" s="240" t="s">
        <v>1107</v>
      </c>
      <c r="GM104" s="240" t="s">
        <v>1107</v>
      </c>
      <c r="GN104" s="240" t="s">
        <v>1107</v>
      </c>
      <c r="GO104" s="240" t="s">
        <v>1107</v>
      </c>
      <c r="GP104" s="240" t="s">
        <v>1107</v>
      </c>
      <c r="GQ104" s="240" t="s">
        <v>1107</v>
      </c>
      <c r="GR104" s="240" t="s">
        <v>1107</v>
      </c>
      <c r="GS104" s="240" t="s">
        <v>1107</v>
      </c>
      <c r="GT104" s="240" t="s">
        <v>1107</v>
      </c>
      <c r="GU104" s="240" t="s">
        <v>1107</v>
      </c>
      <c r="GV104" s="240" t="s">
        <v>1107</v>
      </c>
      <c r="GW104" s="240" t="s">
        <v>1107</v>
      </c>
      <c r="GX104" s="240" t="s">
        <v>1107</v>
      </c>
      <c r="GY104" s="240" t="s">
        <v>1107</v>
      </c>
      <c r="GZ104" s="240" t="s">
        <v>1107</v>
      </c>
      <c r="HA104" s="240" t="s">
        <v>1107</v>
      </c>
      <c r="HB104" s="240" t="s">
        <v>1107</v>
      </c>
      <c r="HC104" s="240" t="s">
        <v>1107</v>
      </c>
      <c r="HD104" s="240" t="s">
        <v>1107</v>
      </c>
      <c r="HE104" s="240" t="s">
        <v>1107</v>
      </c>
      <c r="HF104" s="240" t="s">
        <v>1107</v>
      </c>
      <c r="HG104" s="240" t="s">
        <v>1107</v>
      </c>
      <c r="HH104" s="240" t="s">
        <v>1107</v>
      </c>
      <c r="HI104" s="240" t="s">
        <v>1107</v>
      </c>
      <c r="HJ104" s="240" t="s">
        <v>1107</v>
      </c>
      <c r="HK104" s="240" t="s">
        <v>1107</v>
      </c>
      <c r="HL104" s="240" t="s">
        <v>1107</v>
      </c>
      <c r="HM104" s="240" t="s">
        <v>1107</v>
      </c>
      <c r="HN104" s="240" t="s">
        <v>1107</v>
      </c>
      <c r="HO104" s="240" t="s">
        <v>1107</v>
      </c>
      <c r="HP104" s="240" t="s">
        <v>1107</v>
      </c>
      <c r="HQ104" s="240" t="s">
        <v>1107</v>
      </c>
      <c r="HR104" s="240" t="s">
        <v>1107</v>
      </c>
      <c r="HS104" s="240" t="s">
        <v>1107</v>
      </c>
      <c r="HT104" s="240" t="s">
        <v>232</v>
      </c>
      <c r="HU104" s="240" t="s">
        <v>232</v>
      </c>
      <c r="HV104" s="240" t="s">
        <v>232</v>
      </c>
      <c r="HW104" s="240" t="s">
        <v>1107</v>
      </c>
      <c r="HX104" s="240" t="s">
        <v>597</v>
      </c>
      <c r="HY104" s="240" t="s">
        <v>597</v>
      </c>
      <c r="HZ104" s="240" t="s">
        <v>597</v>
      </c>
      <c r="IA104" s="240" t="s">
        <v>490</v>
      </c>
      <c r="IB104" s="240" t="s">
        <v>1107</v>
      </c>
      <c r="IC104" s="240" t="s">
        <v>1107</v>
      </c>
    </row>
    <row r="105" spans="1:237" ht="15" x14ac:dyDescent="0.25">
      <c r="A105" s="243" t="str">
        <f>HYPERLINK("http://www.ofsted.gov.uk/inspection-reports/find-inspection-report/provider/ELS/134142 ","Ofsted School Webpage")</f>
        <v>Ofsted School Webpage</v>
      </c>
      <c r="B105" s="237">
        <v>134142</v>
      </c>
      <c r="C105" s="237">
        <v>2106393</v>
      </c>
      <c r="D105" s="237" t="s">
        <v>1310</v>
      </c>
      <c r="E105" s="237" t="s">
        <v>247</v>
      </c>
      <c r="F105" s="237" t="s">
        <v>506</v>
      </c>
      <c r="G105" s="237" t="s">
        <v>506</v>
      </c>
      <c r="H105" s="237" t="s">
        <v>1311</v>
      </c>
      <c r="I105" s="237" t="s">
        <v>1312</v>
      </c>
      <c r="J105" s="237" t="s">
        <v>93</v>
      </c>
      <c r="K105" s="237" t="s">
        <v>93</v>
      </c>
      <c r="L105" s="237" t="s">
        <v>93</v>
      </c>
      <c r="M105" s="237" t="s">
        <v>90</v>
      </c>
      <c r="N105" s="237" t="s">
        <v>486</v>
      </c>
      <c r="O105" s="237" t="s">
        <v>487</v>
      </c>
      <c r="P105" s="237">
        <v>10086543</v>
      </c>
      <c r="Q105" s="239">
        <v>43480</v>
      </c>
      <c r="R105" s="239">
        <v>43480</v>
      </c>
      <c r="S105" s="239">
        <v>43509</v>
      </c>
      <c r="T105" s="237" t="s">
        <v>1124</v>
      </c>
      <c r="U105" s="237" t="s">
        <v>1105</v>
      </c>
      <c r="V105" s="237" t="s">
        <v>490</v>
      </c>
      <c r="W105" s="237" t="s">
        <v>486</v>
      </c>
      <c r="X105" s="237" t="s">
        <v>486</v>
      </c>
      <c r="Y105" s="237" t="s">
        <v>486</v>
      </c>
      <c r="Z105" s="237" t="s">
        <v>486</v>
      </c>
      <c r="AA105" s="237" t="s">
        <v>486</v>
      </c>
      <c r="AB105" s="237" t="s">
        <v>486</v>
      </c>
      <c r="AC105" s="237" t="s">
        <v>486</v>
      </c>
      <c r="AD105" s="237" t="s">
        <v>1110</v>
      </c>
      <c r="AE105" s="237" t="s">
        <v>1107</v>
      </c>
      <c r="AF105" s="237" t="s">
        <v>1107</v>
      </c>
      <c r="AG105" s="237" t="s">
        <v>1107</v>
      </c>
      <c r="AH105" s="237" t="s">
        <v>1107</v>
      </c>
      <c r="AI105" s="237" t="s">
        <v>1107</v>
      </c>
      <c r="AJ105" s="237" t="s">
        <v>1107</v>
      </c>
      <c r="AK105" s="237" t="s">
        <v>1107</v>
      </c>
      <c r="AL105" s="237" t="s">
        <v>1107</v>
      </c>
      <c r="AM105" s="237" t="s">
        <v>492</v>
      </c>
      <c r="AN105" s="237" t="s">
        <v>1107</v>
      </c>
      <c r="AO105" s="237" t="s">
        <v>1107</v>
      </c>
      <c r="AP105" s="237" t="s">
        <v>1107</v>
      </c>
      <c r="AQ105" s="237" t="s">
        <v>492</v>
      </c>
      <c r="AR105" s="237" t="s">
        <v>492</v>
      </c>
      <c r="AS105" s="237" t="s">
        <v>492</v>
      </c>
      <c r="AT105" s="237" t="s">
        <v>492</v>
      </c>
      <c r="AU105" s="237" t="s">
        <v>1107</v>
      </c>
      <c r="AV105" s="237" t="s">
        <v>492</v>
      </c>
      <c r="AW105" s="237" t="s">
        <v>1107</v>
      </c>
      <c r="AX105" s="237" t="s">
        <v>1107</v>
      </c>
      <c r="AY105" s="237" t="s">
        <v>1107</v>
      </c>
      <c r="AZ105" s="237" t="s">
        <v>1107</v>
      </c>
      <c r="BA105" s="237" t="s">
        <v>1107</v>
      </c>
      <c r="BB105" s="237" t="s">
        <v>1107</v>
      </c>
      <c r="BC105" s="237" t="s">
        <v>1107</v>
      </c>
      <c r="BD105" s="237" t="s">
        <v>1107</v>
      </c>
      <c r="BE105" s="237" t="s">
        <v>1107</v>
      </c>
      <c r="BF105" s="237" t="s">
        <v>1107</v>
      </c>
      <c r="BG105" s="237" t="s">
        <v>1107</v>
      </c>
      <c r="BH105" s="237" t="s">
        <v>1107</v>
      </c>
      <c r="BI105" s="237" t="s">
        <v>1107</v>
      </c>
      <c r="BJ105" s="237" t="s">
        <v>1107</v>
      </c>
      <c r="BK105" s="237" t="s">
        <v>1107</v>
      </c>
      <c r="BL105" s="237" t="s">
        <v>1107</v>
      </c>
      <c r="BM105" s="237" t="s">
        <v>1107</v>
      </c>
      <c r="BN105" s="237" t="s">
        <v>1107</v>
      </c>
      <c r="BO105" s="237" t="s">
        <v>1107</v>
      </c>
      <c r="BP105" s="237" t="s">
        <v>1107</v>
      </c>
      <c r="BQ105" s="237" t="s">
        <v>1107</v>
      </c>
      <c r="BR105" s="237" t="s">
        <v>1107</v>
      </c>
      <c r="BS105" s="237" t="s">
        <v>1107</v>
      </c>
      <c r="BT105" s="237" t="s">
        <v>1107</v>
      </c>
      <c r="BU105" s="237" t="s">
        <v>1107</v>
      </c>
      <c r="BV105" s="237" t="s">
        <v>1107</v>
      </c>
      <c r="BW105" s="237" t="s">
        <v>1107</v>
      </c>
      <c r="BX105" s="237" t="s">
        <v>1107</v>
      </c>
      <c r="BY105" s="237" t="s">
        <v>1107</v>
      </c>
      <c r="BZ105" s="237" t="s">
        <v>231</v>
      </c>
      <c r="CA105" s="237" t="s">
        <v>231</v>
      </c>
      <c r="CB105" s="237" t="s">
        <v>231</v>
      </c>
      <c r="CC105" s="237" t="s">
        <v>492</v>
      </c>
      <c r="CD105" s="237" t="s">
        <v>492</v>
      </c>
      <c r="CE105" s="237" t="s">
        <v>492</v>
      </c>
      <c r="CF105" s="237" t="s">
        <v>1107</v>
      </c>
      <c r="CG105" s="237" t="s">
        <v>1107</v>
      </c>
      <c r="CH105" s="237" t="s">
        <v>1107</v>
      </c>
      <c r="CI105" s="237" t="s">
        <v>1107</v>
      </c>
      <c r="CJ105" s="237" t="s">
        <v>1107</v>
      </c>
      <c r="CK105" s="237" t="s">
        <v>231</v>
      </c>
      <c r="CL105" s="237" t="s">
        <v>1107</v>
      </c>
      <c r="CM105" s="237" t="s">
        <v>1107</v>
      </c>
      <c r="CN105" s="237" t="s">
        <v>231</v>
      </c>
      <c r="CO105" s="237" t="s">
        <v>1107</v>
      </c>
      <c r="CP105" s="237" t="s">
        <v>231</v>
      </c>
      <c r="CQ105" s="237" t="s">
        <v>231</v>
      </c>
      <c r="CR105" s="237" t="s">
        <v>231</v>
      </c>
      <c r="CS105" s="237" t="s">
        <v>1107</v>
      </c>
      <c r="CT105" s="237" t="s">
        <v>1107</v>
      </c>
      <c r="CU105" s="237" t="s">
        <v>1107</v>
      </c>
      <c r="CV105" s="237" t="s">
        <v>1107</v>
      </c>
      <c r="CW105" s="237" t="s">
        <v>1107</v>
      </c>
      <c r="CX105" s="237" t="s">
        <v>1107</v>
      </c>
      <c r="CY105" s="237" t="s">
        <v>1107</v>
      </c>
      <c r="CZ105" s="237" t="s">
        <v>1107</v>
      </c>
      <c r="DA105" s="237" t="s">
        <v>1107</v>
      </c>
      <c r="DB105" s="237" t="s">
        <v>1107</v>
      </c>
      <c r="DC105" s="237" t="s">
        <v>1107</v>
      </c>
      <c r="DD105" s="237" t="s">
        <v>1107</v>
      </c>
      <c r="DE105" s="237" t="s">
        <v>1107</v>
      </c>
      <c r="DF105" s="237" t="s">
        <v>1107</v>
      </c>
      <c r="DG105" s="237" t="s">
        <v>1107</v>
      </c>
      <c r="DH105" s="237" t="s">
        <v>1107</v>
      </c>
      <c r="DI105" s="237" t="s">
        <v>1107</v>
      </c>
      <c r="DJ105" s="237" t="s">
        <v>1107</v>
      </c>
      <c r="DK105" s="237" t="s">
        <v>1107</v>
      </c>
      <c r="DL105" s="237" t="s">
        <v>1107</v>
      </c>
      <c r="DM105" s="237" t="s">
        <v>1107</v>
      </c>
      <c r="DN105" s="237" t="s">
        <v>1107</v>
      </c>
      <c r="DO105" s="237" t="s">
        <v>1107</v>
      </c>
      <c r="DP105" s="237" t="s">
        <v>1107</v>
      </c>
      <c r="DQ105" s="237" t="s">
        <v>1107</v>
      </c>
      <c r="DR105" s="237" t="s">
        <v>1107</v>
      </c>
      <c r="DS105" s="237" t="s">
        <v>1107</v>
      </c>
      <c r="DT105" s="237" t="s">
        <v>1107</v>
      </c>
      <c r="DU105" s="237" t="s">
        <v>1107</v>
      </c>
      <c r="DV105" s="237" t="s">
        <v>1107</v>
      </c>
      <c r="DW105" s="237" t="s">
        <v>1107</v>
      </c>
      <c r="DX105" s="237" t="s">
        <v>1107</v>
      </c>
      <c r="DY105" s="237" t="s">
        <v>1107</v>
      </c>
      <c r="DZ105" s="237" t="s">
        <v>1107</v>
      </c>
      <c r="EA105" s="237" t="s">
        <v>1107</v>
      </c>
      <c r="EB105" s="237" t="s">
        <v>1107</v>
      </c>
      <c r="EC105" s="237" t="s">
        <v>1107</v>
      </c>
      <c r="ED105" s="237" t="s">
        <v>1107</v>
      </c>
      <c r="EE105" s="237" t="s">
        <v>1107</v>
      </c>
      <c r="EF105" s="237" t="s">
        <v>1107</v>
      </c>
      <c r="EG105" s="237" t="s">
        <v>1107</v>
      </c>
      <c r="EH105" s="237" t="s">
        <v>1107</v>
      </c>
      <c r="EI105" s="237" t="s">
        <v>1107</v>
      </c>
      <c r="EJ105" s="237" t="s">
        <v>1107</v>
      </c>
      <c r="EK105" s="237" t="s">
        <v>1107</v>
      </c>
      <c r="EL105" s="237" t="s">
        <v>1107</v>
      </c>
      <c r="EM105" s="237" t="s">
        <v>1107</v>
      </c>
      <c r="EN105" s="237" t="s">
        <v>1107</v>
      </c>
      <c r="EO105" s="237" t="s">
        <v>1107</v>
      </c>
      <c r="EP105" s="237" t="s">
        <v>1107</v>
      </c>
      <c r="EQ105" s="237" t="s">
        <v>1107</v>
      </c>
      <c r="ER105" s="237" t="s">
        <v>1107</v>
      </c>
      <c r="ES105" s="237" t="s">
        <v>1107</v>
      </c>
      <c r="ET105" s="237" t="s">
        <v>1107</v>
      </c>
      <c r="EU105" s="237" t="s">
        <v>1107</v>
      </c>
      <c r="EV105" s="237" t="s">
        <v>1107</v>
      </c>
      <c r="EW105" s="237" t="s">
        <v>1107</v>
      </c>
      <c r="EX105" s="237" t="s">
        <v>1107</v>
      </c>
      <c r="EY105" s="237" t="s">
        <v>1107</v>
      </c>
      <c r="EZ105" s="237" t="s">
        <v>1107</v>
      </c>
      <c r="FA105" s="237" t="s">
        <v>1107</v>
      </c>
      <c r="FB105" s="237" t="s">
        <v>492</v>
      </c>
      <c r="FC105" s="237" t="s">
        <v>492</v>
      </c>
      <c r="FD105" s="237" t="s">
        <v>1107</v>
      </c>
      <c r="FE105" s="237" t="s">
        <v>1107</v>
      </c>
      <c r="FF105" s="237" t="s">
        <v>1107</v>
      </c>
      <c r="FG105" s="237" t="s">
        <v>492</v>
      </c>
      <c r="FH105" s="237" t="s">
        <v>1107</v>
      </c>
      <c r="FI105" s="237" t="s">
        <v>231</v>
      </c>
      <c r="FJ105" s="237" t="s">
        <v>1107</v>
      </c>
      <c r="FK105" s="237" t="s">
        <v>1107</v>
      </c>
      <c r="FL105" s="237" t="s">
        <v>1107</v>
      </c>
      <c r="FM105" s="237" t="s">
        <v>1107</v>
      </c>
      <c r="FN105" s="237" t="s">
        <v>1107</v>
      </c>
      <c r="FO105" s="237" t="s">
        <v>1107</v>
      </c>
      <c r="FP105" s="237" t="s">
        <v>1107</v>
      </c>
      <c r="FQ105" s="237" t="s">
        <v>1107</v>
      </c>
      <c r="FR105" s="237" t="s">
        <v>1107</v>
      </c>
      <c r="FS105" s="237" t="s">
        <v>1107</v>
      </c>
      <c r="FT105" s="237" t="s">
        <v>1107</v>
      </c>
      <c r="FU105" s="237" t="s">
        <v>1107</v>
      </c>
      <c r="FV105" s="237" t="s">
        <v>1107</v>
      </c>
      <c r="FW105" s="237" t="s">
        <v>1107</v>
      </c>
      <c r="FX105" s="237" t="s">
        <v>1107</v>
      </c>
      <c r="FY105" s="237" t="s">
        <v>492</v>
      </c>
      <c r="FZ105" s="237" t="s">
        <v>231</v>
      </c>
      <c r="GA105" s="237" t="s">
        <v>1107</v>
      </c>
      <c r="GB105" s="237" t="s">
        <v>1107</v>
      </c>
      <c r="GC105" s="237" t="s">
        <v>231</v>
      </c>
      <c r="GD105" s="237" t="s">
        <v>1107</v>
      </c>
      <c r="GE105" s="237" t="s">
        <v>492</v>
      </c>
      <c r="GF105" s="237" t="s">
        <v>1107</v>
      </c>
      <c r="GG105" s="237" t="s">
        <v>1107</v>
      </c>
      <c r="GH105" s="237" t="s">
        <v>1107</v>
      </c>
      <c r="GI105" s="237" t="s">
        <v>1107</v>
      </c>
      <c r="GJ105" s="237" t="s">
        <v>1107</v>
      </c>
      <c r="GK105" s="237" t="s">
        <v>1107</v>
      </c>
      <c r="GL105" s="237" t="s">
        <v>1107</v>
      </c>
      <c r="GM105" s="237" t="s">
        <v>1107</v>
      </c>
      <c r="GN105" s="237" t="s">
        <v>1107</v>
      </c>
      <c r="GO105" s="237" t="s">
        <v>1107</v>
      </c>
      <c r="GP105" s="237" t="s">
        <v>1107</v>
      </c>
      <c r="GQ105" s="237" t="s">
        <v>1107</v>
      </c>
      <c r="GR105" s="237" t="s">
        <v>1107</v>
      </c>
      <c r="GS105" s="237" t="s">
        <v>1107</v>
      </c>
      <c r="GT105" s="237" t="s">
        <v>1107</v>
      </c>
      <c r="GU105" s="237" t="s">
        <v>1107</v>
      </c>
      <c r="GV105" s="237" t="s">
        <v>1107</v>
      </c>
      <c r="GW105" s="237" t="s">
        <v>1107</v>
      </c>
      <c r="GX105" s="237" t="s">
        <v>1107</v>
      </c>
      <c r="GY105" s="237" t="s">
        <v>1107</v>
      </c>
      <c r="GZ105" s="237" t="s">
        <v>1107</v>
      </c>
      <c r="HA105" s="237" t="s">
        <v>1107</v>
      </c>
      <c r="HB105" s="237" t="s">
        <v>1107</v>
      </c>
      <c r="HC105" s="237" t="s">
        <v>1107</v>
      </c>
      <c r="HD105" s="237" t="s">
        <v>1107</v>
      </c>
      <c r="HE105" s="237" t="s">
        <v>1107</v>
      </c>
      <c r="HF105" s="237" t="s">
        <v>1107</v>
      </c>
      <c r="HG105" s="237" t="s">
        <v>1107</v>
      </c>
      <c r="HH105" s="237" t="s">
        <v>1107</v>
      </c>
      <c r="HI105" s="237" t="s">
        <v>1107</v>
      </c>
      <c r="HJ105" s="237" t="s">
        <v>1107</v>
      </c>
      <c r="HK105" s="237" t="s">
        <v>1107</v>
      </c>
      <c r="HL105" s="237" t="s">
        <v>1107</v>
      </c>
      <c r="HM105" s="237" t="s">
        <v>1107</v>
      </c>
      <c r="HN105" s="237" t="s">
        <v>1107</v>
      </c>
      <c r="HO105" s="237" t="s">
        <v>1107</v>
      </c>
      <c r="HP105" s="237" t="s">
        <v>1107</v>
      </c>
      <c r="HQ105" s="237" t="s">
        <v>1107</v>
      </c>
      <c r="HR105" s="237" t="s">
        <v>1107</v>
      </c>
      <c r="HS105" s="237" t="s">
        <v>1107</v>
      </c>
      <c r="HT105" s="237" t="s">
        <v>231</v>
      </c>
      <c r="HU105" s="237" t="s">
        <v>231</v>
      </c>
      <c r="HV105" s="237" t="s">
        <v>231</v>
      </c>
      <c r="HW105" s="237" t="s">
        <v>231</v>
      </c>
      <c r="HX105" s="237" t="s">
        <v>220</v>
      </c>
      <c r="HY105" s="237" t="s">
        <v>493</v>
      </c>
      <c r="HZ105" s="237" t="s">
        <v>219</v>
      </c>
      <c r="IA105" s="237" t="s">
        <v>486</v>
      </c>
      <c r="IB105" s="237" t="s">
        <v>231</v>
      </c>
      <c r="IC105" s="237" t="s">
        <v>1107</v>
      </c>
    </row>
    <row r="106" spans="1:237" ht="15" x14ac:dyDescent="0.25">
      <c r="A106" s="244" t="str">
        <f>HYPERLINK("http://www.ofsted.gov.uk/inspection-reports/find-inspection-report/provider/ELS/115437 ","Ofsted School Webpage")</f>
        <v>Ofsted School Webpage</v>
      </c>
      <c r="B106" s="240">
        <v>115437</v>
      </c>
      <c r="C106" s="240">
        <v>8816042</v>
      </c>
      <c r="D106" s="240" t="s">
        <v>1313</v>
      </c>
      <c r="E106" s="240" t="s">
        <v>247</v>
      </c>
      <c r="F106" s="240" t="s">
        <v>516</v>
      </c>
      <c r="G106" s="240" t="s">
        <v>516</v>
      </c>
      <c r="H106" s="240" t="s">
        <v>764</v>
      </c>
      <c r="I106" s="240" t="s">
        <v>1314</v>
      </c>
      <c r="J106" s="240" t="s">
        <v>93</v>
      </c>
      <c r="K106" s="240" t="s">
        <v>88</v>
      </c>
      <c r="L106" s="240" t="s">
        <v>88</v>
      </c>
      <c r="M106" s="240" t="s">
        <v>226</v>
      </c>
      <c r="N106" s="240" t="s">
        <v>486</v>
      </c>
      <c r="O106" s="240" t="s">
        <v>487</v>
      </c>
      <c r="P106" s="240">
        <v>10080602</v>
      </c>
      <c r="Q106" s="242">
        <v>43481</v>
      </c>
      <c r="R106" s="242">
        <v>43481</v>
      </c>
      <c r="S106" s="242">
        <v>43508</v>
      </c>
      <c r="T106" s="240" t="s">
        <v>1109</v>
      </c>
      <c r="U106" s="240" t="s">
        <v>1105</v>
      </c>
      <c r="V106" s="240" t="s">
        <v>490</v>
      </c>
      <c r="W106" s="240" t="s">
        <v>486</v>
      </c>
      <c r="X106" s="240" t="s">
        <v>486</v>
      </c>
      <c r="Y106" s="240" t="s">
        <v>486</v>
      </c>
      <c r="Z106" s="240" t="s">
        <v>486</v>
      </c>
      <c r="AA106" s="240" t="s">
        <v>486</v>
      </c>
      <c r="AB106" s="240" t="s">
        <v>486</v>
      </c>
      <c r="AC106" s="240" t="s">
        <v>486</v>
      </c>
      <c r="AD106" s="240" t="s">
        <v>1136</v>
      </c>
      <c r="AE106" s="240" t="s">
        <v>1107</v>
      </c>
      <c r="AF106" s="240" t="s">
        <v>1107</v>
      </c>
      <c r="AG106" s="240" t="s">
        <v>1107</v>
      </c>
      <c r="AH106" s="240" t="s">
        <v>1107</v>
      </c>
      <c r="AI106" s="240" t="s">
        <v>1107</v>
      </c>
      <c r="AJ106" s="240" t="s">
        <v>1107</v>
      </c>
      <c r="AK106" s="240" t="s">
        <v>1107</v>
      </c>
      <c r="AL106" s="240" t="s">
        <v>1107</v>
      </c>
      <c r="AM106" s="240" t="s">
        <v>1107</v>
      </c>
      <c r="AN106" s="240" t="s">
        <v>1107</v>
      </c>
      <c r="AO106" s="240" t="s">
        <v>1107</v>
      </c>
      <c r="AP106" s="240" t="s">
        <v>1107</v>
      </c>
      <c r="AQ106" s="240" t="s">
        <v>1107</v>
      </c>
      <c r="AR106" s="240" t="s">
        <v>1107</v>
      </c>
      <c r="AS106" s="240" t="s">
        <v>1107</v>
      </c>
      <c r="AT106" s="240" t="s">
        <v>1107</v>
      </c>
      <c r="AU106" s="240" t="s">
        <v>1107</v>
      </c>
      <c r="AV106" s="240" t="s">
        <v>1107</v>
      </c>
      <c r="AW106" s="240" t="s">
        <v>1107</v>
      </c>
      <c r="AX106" s="240" t="s">
        <v>1107</v>
      </c>
      <c r="AY106" s="240" t="s">
        <v>1107</v>
      </c>
      <c r="AZ106" s="240" t="s">
        <v>1107</v>
      </c>
      <c r="BA106" s="240" t="s">
        <v>1107</v>
      </c>
      <c r="BB106" s="240" t="s">
        <v>1107</v>
      </c>
      <c r="BC106" s="240" t="s">
        <v>1107</v>
      </c>
      <c r="BD106" s="240" t="s">
        <v>1107</v>
      </c>
      <c r="BE106" s="240" t="s">
        <v>1107</v>
      </c>
      <c r="BF106" s="240" t="s">
        <v>1107</v>
      </c>
      <c r="BG106" s="240" t="s">
        <v>1107</v>
      </c>
      <c r="BH106" s="240" t="s">
        <v>1107</v>
      </c>
      <c r="BI106" s="240" t="s">
        <v>1107</v>
      </c>
      <c r="BJ106" s="240" t="s">
        <v>1107</v>
      </c>
      <c r="BK106" s="240" t="s">
        <v>1107</v>
      </c>
      <c r="BL106" s="240" t="s">
        <v>1107</v>
      </c>
      <c r="BM106" s="240" t="s">
        <v>1107</v>
      </c>
      <c r="BN106" s="240" t="s">
        <v>1107</v>
      </c>
      <c r="BO106" s="240" t="s">
        <v>1107</v>
      </c>
      <c r="BP106" s="240" t="s">
        <v>1107</v>
      </c>
      <c r="BQ106" s="240" t="s">
        <v>1107</v>
      </c>
      <c r="BR106" s="240" t="s">
        <v>1107</v>
      </c>
      <c r="BS106" s="240" t="s">
        <v>1107</v>
      </c>
      <c r="BT106" s="240" t="s">
        <v>1107</v>
      </c>
      <c r="BU106" s="240" t="s">
        <v>1107</v>
      </c>
      <c r="BV106" s="240" t="s">
        <v>1107</v>
      </c>
      <c r="BW106" s="240" t="s">
        <v>1107</v>
      </c>
      <c r="BX106" s="240" t="s">
        <v>1107</v>
      </c>
      <c r="BY106" s="240" t="s">
        <v>1107</v>
      </c>
      <c r="BZ106" s="240" t="s">
        <v>231</v>
      </c>
      <c r="CA106" s="240" t="s">
        <v>231</v>
      </c>
      <c r="CB106" s="240" t="s">
        <v>231</v>
      </c>
      <c r="CC106" s="240" t="s">
        <v>492</v>
      </c>
      <c r="CD106" s="240" t="s">
        <v>492</v>
      </c>
      <c r="CE106" s="240" t="s">
        <v>492</v>
      </c>
      <c r="CF106" s="240" t="s">
        <v>1107</v>
      </c>
      <c r="CG106" s="240" t="s">
        <v>1107</v>
      </c>
      <c r="CH106" s="240" t="s">
        <v>1107</v>
      </c>
      <c r="CI106" s="240" t="s">
        <v>1107</v>
      </c>
      <c r="CJ106" s="240" t="s">
        <v>1107</v>
      </c>
      <c r="CK106" s="240" t="s">
        <v>232</v>
      </c>
      <c r="CL106" s="240" t="s">
        <v>232</v>
      </c>
      <c r="CM106" s="240" t="s">
        <v>1107</v>
      </c>
      <c r="CN106" s="240" t="s">
        <v>1107</v>
      </c>
      <c r="CO106" s="240" t="s">
        <v>232</v>
      </c>
      <c r="CP106" s="240" t="s">
        <v>1107</v>
      </c>
      <c r="CQ106" s="240" t="s">
        <v>1107</v>
      </c>
      <c r="CR106" s="240" t="s">
        <v>1107</v>
      </c>
      <c r="CS106" s="240" t="s">
        <v>1107</v>
      </c>
      <c r="CT106" s="240" t="s">
        <v>1107</v>
      </c>
      <c r="CU106" s="240" t="s">
        <v>1107</v>
      </c>
      <c r="CV106" s="240" t="s">
        <v>1107</v>
      </c>
      <c r="CW106" s="240" t="s">
        <v>1107</v>
      </c>
      <c r="CX106" s="240" t="s">
        <v>1107</v>
      </c>
      <c r="CY106" s="240" t="s">
        <v>1107</v>
      </c>
      <c r="CZ106" s="240" t="s">
        <v>1107</v>
      </c>
      <c r="DA106" s="240" t="s">
        <v>1107</v>
      </c>
      <c r="DB106" s="240" t="s">
        <v>1107</v>
      </c>
      <c r="DC106" s="240" t="s">
        <v>1107</v>
      </c>
      <c r="DD106" s="240" t="s">
        <v>1107</v>
      </c>
      <c r="DE106" s="240" t="s">
        <v>492</v>
      </c>
      <c r="DF106" s="240" t="s">
        <v>492</v>
      </c>
      <c r="DG106" s="240" t="s">
        <v>492</v>
      </c>
      <c r="DH106" s="240" t="s">
        <v>492</v>
      </c>
      <c r="DI106" s="240" t="s">
        <v>492</v>
      </c>
      <c r="DJ106" s="240" t="s">
        <v>492</v>
      </c>
      <c r="DK106" s="240" t="s">
        <v>492</v>
      </c>
      <c r="DL106" s="240" t="s">
        <v>492</v>
      </c>
      <c r="DM106" s="240" t="s">
        <v>492</v>
      </c>
      <c r="DN106" s="240" t="s">
        <v>492</v>
      </c>
      <c r="DO106" s="240" t="s">
        <v>492</v>
      </c>
      <c r="DP106" s="240" t="s">
        <v>492</v>
      </c>
      <c r="DQ106" s="240" t="s">
        <v>492</v>
      </c>
      <c r="DR106" s="240" t="s">
        <v>492</v>
      </c>
      <c r="DS106" s="240" t="s">
        <v>1107</v>
      </c>
      <c r="DT106" s="240" t="s">
        <v>1107</v>
      </c>
      <c r="DU106" s="240" t="s">
        <v>1107</v>
      </c>
      <c r="DV106" s="240" t="s">
        <v>1107</v>
      </c>
      <c r="DW106" s="240" t="s">
        <v>1107</v>
      </c>
      <c r="DX106" s="240" t="s">
        <v>1107</v>
      </c>
      <c r="DY106" s="240" t="s">
        <v>1107</v>
      </c>
      <c r="DZ106" s="240" t="s">
        <v>1107</v>
      </c>
      <c r="EA106" s="240" t="s">
        <v>1107</v>
      </c>
      <c r="EB106" s="240" t="s">
        <v>1107</v>
      </c>
      <c r="EC106" s="240" t="s">
        <v>1107</v>
      </c>
      <c r="ED106" s="240" t="s">
        <v>1107</v>
      </c>
      <c r="EE106" s="240" t="s">
        <v>1107</v>
      </c>
      <c r="EF106" s="240" t="s">
        <v>1107</v>
      </c>
      <c r="EG106" s="240" t="s">
        <v>1107</v>
      </c>
      <c r="EH106" s="240" t="s">
        <v>1107</v>
      </c>
      <c r="EI106" s="240" t="s">
        <v>1107</v>
      </c>
      <c r="EJ106" s="240" t="s">
        <v>1107</v>
      </c>
      <c r="EK106" s="240" t="s">
        <v>1107</v>
      </c>
      <c r="EL106" s="240" t="s">
        <v>1107</v>
      </c>
      <c r="EM106" s="240" t="s">
        <v>1107</v>
      </c>
      <c r="EN106" s="240" t="s">
        <v>1107</v>
      </c>
      <c r="EO106" s="240" t="s">
        <v>1107</v>
      </c>
      <c r="EP106" s="240" t="s">
        <v>492</v>
      </c>
      <c r="EQ106" s="240" t="s">
        <v>492</v>
      </c>
      <c r="ER106" s="240" t="s">
        <v>492</v>
      </c>
      <c r="ES106" s="240" t="s">
        <v>492</v>
      </c>
      <c r="ET106" s="240" t="s">
        <v>492</v>
      </c>
      <c r="EU106" s="240" t="s">
        <v>492</v>
      </c>
      <c r="EV106" s="240" t="s">
        <v>1107</v>
      </c>
      <c r="EW106" s="240" t="s">
        <v>1107</v>
      </c>
      <c r="EX106" s="240" t="s">
        <v>1107</v>
      </c>
      <c r="EY106" s="240" t="s">
        <v>1107</v>
      </c>
      <c r="EZ106" s="240" t="s">
        <v>1107</v>
      </c>
      <c r="FA106" s="240" t="s">
        <v>1107</v>
      </c>
      <c r="FB106" s="240" t="s">
        <v>1107</v>
      </c>
      <c r="FC106" s="240" t="s">
        <v>1107</v>
      </c>
      <c r="FD106" s="240" t="s">
        <v>1107</v>
      </c>
      <c r="FE106" s="240" t="s">
        <v>1107</v>
      </c>
      <c r="FF106" s="240" t="s">
        <v>1107</v>
      </c>
      <c r="FG106" s="240" t="s">
        <v>1107</v>
      </c>
      <c r="FH106" s="240" t="s">
        <v>1107</v>
      </c>
      <c r="FI106" s="240" t="s">
        <v>232</v>
      </c>
      <c r="FJ106" s="240" t="s">
        <v>1107</v>
      </c>
      <c r="FK106" s="240" t="s">
        <v>1107</v>
      </c>
      <c r="FL106" s="240" t="s">
        <v>1107</v>
      </c>
      <c r="FM106" s="240" t="s">
        <v>1107</v>
      </c>
      <c r="FN106" s="240" t="s">
        <v>1107</v>
      </c>
      <c r="FO106" s="240" t="s">
        <v>1107</v>
      </c>
      <c r="FP106" s="240" t="s">
        <v>1107</v>
      </c>
      <c r="FQ106" s="240" t="s">
        <v>1107</v>
      </c>
      <c r="FR106" s="240" t="s">
        <v>1107</v>
      </c>
      <c r="FS106" s="240" t="s">
        <v>1107</v>
      </c>
      <c r="FT106" s="240" t="s">
        <v>1107</v>
      </c>
      <c r="FU106" s="240" t="s">
        <v>1107</v>
      </c>
      <c r="FV106" s="240" t="s">
        <v>1107</v>
      </c>
      <c r="FW106" s="240" t="s">
        <v>1107</v>
      </c>
      <c r="FX106" s="240" t="s">
        <v>1107</v>
      </c>
      <c r="FY106" s="240" t="s">
        <v>1107</v>
      </c>
      <c r="FZ106" s="240" t="s">
        <v>1107</v>
      </c>
      <c r="GA106" s="240" t="s">
        <v>1107</v>
      </c>
      <c r="GB106" s="240" t="s">
        <v>1107</v>
      </c>
      <c r="GC106" s="240" t="s">
        <v>1107</v>
      </c>
      <c r="GD106" s="240" t="s">
        <v>1107</v>
      </c>
      <c r="GE106" s="240" t="s">
        <v>1107</v>
      </c>
      <c r="GF106" s="240" t="s">
        <v>1107</v>
      </c>
      <c r="GG106" s="240" t="s">
        <v>1107</v>
      </c>
      <c r="GH106" s="240" t="s">
        <v>1107</v>
      </c>
      <c r="GI106" s="240" t="s">
        <v>1107</v>
      </c>
      <c r="GJ106" s="240" t="s">
        <v>1107</v>
      </c>
      <c r="GK106" s="240" t="s">
        <v>1107</v>
      </c>
      <c r="GL106" s="240" t="s">
        <v>1107</v>
      </c>
      <c r="GM106" s="240" t="s">
        <v>1107</v>
      </c>
      <c r="GN106" s="240" t="s">
        <v>1107</v>
      </c>
      <c r="GO106" s="240" t="s">
        <v>1107</v>
      </c>
      <c r="GP106" s="240" t="s">
        <v>1107</v>
      </c>
      <c r="GQ106" s="240" t="s">
        <v>1107</v>
      </c>
      <c r="GR106" s="240" t="s">
        <v>1107</v>
      </c>
      <c r="GS106" s="240" t="s">
        <v>1107</v>
      </c>
      <c r="GT106" s="240" t="s">
        <v>1107</v>
      </c>
      <c r="GU106" s="240" t="s">
        <v>1107</v>
      </c>
      <c r="GV106" s="240" t="s">
        <v>1107</v>
      </c>
      <c r="GW106" s="240" t="s">
        <v>1107</v>
      </c>
      <c r="GX106" s="240" t="s">
        <v>1107</v>
      </c>
      <c r="GY106" s="240" t="s">
        <v>1107</v>
      </c>
      <c r="GZ106" s="240" t="s">
        <v>1107</v>
      </c>
      <c r="HA106" s="240" t="s">
        <v>1107</v>
      </c>
      <c r="HB106" s="240" t="s">
        <v>1107</v>
      </c>
      <c r="HC106" s="240" t="s">
        <v>1107</v>
      </c>
      <c r="HD106" s="240" t="s">
        <v>1107</v>
      </c>
      <c r="HE106" s="240" t="s">
        <v>1107</v>
      </c>
      <c r="HF106" s="240" t="s">
        <v>1107</v>
      </c>
      <c r="HG106" s="240" t="s">
        <v>1107</v>
      </c>
      <c r="HH106" s="240" t="s">
        <v>1107</v>
      </c>
      <c r="HI106" s="240" t="s">
        <v>1107</v>
      </c>
      <c r="HJ106" s="240" t="s">
        <v>1107</v>
      </c>
      <c r="HK106" s="240" t="s">
        <v>1107</v>
      </c>
      <c r="HL106" s="240" t="s">
        <v>1107</v>
      </c>
      <c r="HM106" s="240" t="s">
        <v>1107</v>
      </c>
      <c r="HN106" s="240" t="s">
        <v>1107</v>
      </c>
      <c r="HO106" s="240" t="s">
        <v>1107</v>
      </c>
      <c r="HP106" s="240" t="s">
        <v>1107</v>
      </c>
      <c r="HQ106" s="240" t="s">
        <v>1107</v>
      </c>
      <c r="HR106" s="240" t="s">
        <v>1107</v>
      </c>
      <c r="HS106" s="240" t="s">
        <v>1107</v>
      </c>
      <c r="HT106" s="240" t="s">
        <v>232</v>
      </c>
      <c r="HU106" s="240" t="s">
        <v>232</v>
      </c>
      <c r="HV106" s="240" t="s">
        <v>232</v>
      </c>
      <c r="HW106" s="240" t="s">
        <v>232</v>
      </c>
      <c r="HX106" s="240" t="s">
        <v>220</v>
      </c>
      <c r="HY106" s="240" t="s">
        <v>493</v>
      </c>
      <c r="HZ106" s="240" t="s">
        <v>219</v>
      </c>
      <c r="IA106" s="240" t="s">
        <v>490</v>
      </c>
      <c r="IB106" s="240" t="s">
        <v>231</v>
      </c>
      <c r="IC106" s="240" t="s">
        <v>1107</v>
      </c>
    </row>
    <row r="107" spans="1:237" ht="15" x14ac:dyDescent="0.25">
      <c r="A107" s="243" t="str">
        <f>HYPERLINK("http://www.ofsted.gov.uk/inspection-reports/find-inspection-report/provider/ELS/142931 ","Ofsted School Webpage")</f>
        <v>Ofsted School Webpage</v>
      </c>
      <c r="B107" s="237">
        <v>142931</v>
      </c>
      <c r="C107" s="237">
        <v>8896015</v>
      </c>
      <c r="D107" s="237" t="s">
        <v>1315</v>
      </c>
      <c r="E107" s="237" t="s">
        <v>247</v>
      </c>
      <c r="F107" s="237" t="s">
        <v>495</v>
      </c>
      <c r="G107" s="237" t="s">
        <v>495</v>
      </c>
      <c r="H107" s="237" t="s">
        <v>609</v>
      </c>
      <c r="I107" s="237" t="s">
        <v>1316</v>
      </c>
      <c r="J107" s="237" t="s">
        <v>93</v>
      </c>
      <c r="K107" s="237" t="s">
        <v>83</v>
      </c>
      <c r="L107" s="237" t="s">
        <v>83</v>
      </c>
      <c r="M107" s="237" t="s">
        <v>84</v>
      </c>
      <c r="N107" s="237" t="s">
        <v>486</v>
      </c>
      <c r="O107" s="237" t="s">
        <v>487</v>
      </c>
      <c r="P107" s="237">
        <v>10084301</v>
      </c>
      <c r="Q107" s="239">
        <v>43481</v>
      </c>
      <c r="R107" s="239">
        <v>43481</v>
      </c>
      <c r="S107" s="239">
        <v>43502</v>
      </c>
      <c r="T107" s="237" t="s">
        <v>1109</v>
      </c>
      <c r="U107" s="237" t="s">
        <v>1105</v>
      </c>
      <c r="V107" s="237" t="s">
        <v>490</v>
      </c>
      <c r="W107" s="237" t="s">
        <v>486</v>
      </c>
      <c r="X107" s="237" t="s">
        <v>486</v>
      </c>
      <c r="Y107" s="237" t="s">
        <v>486</v>
      </c>
      <c r="Z107" s="237" t="s">
        <v>486</v>
      </c>
      <c r="AA107" s="237" t="s">
        <v>486</v>
      </c>
      <c r="AB107" s="237" t="s">
        <v>486</v>
      </c>
      <c r="AC107" s="237" t="s">
        <v>486</v>
      </c>
      <c r="AD107" s="237" t="s">
        <v>1110</v>
      </c>
      <c r="AE107" s="237" t="s">
        <v>231</v>
      </c>
      <c r="AF107" s="237" t="s">
        <v>231</v>
      </c>
      <c r="AG107" s="237" t="s">
        <v>231</v>
      </c>
      <c r="AH107" s="237" t="s">
        <v>231</v>
      </c>
      <c r="AI107" s="237" t="s">
        <v>1107</v>
      </c>
      <c r="AJ107" s="237" t="s">
        <v>1107</v>
      </c>
      <c r="AK107" s="237" t="s">
        <v>1107</v>
      </c>
      <c r="AL107" s="237" t="s">
        <v>1107</v>
      </c>
      <c r="AM107" s="237" t="s">
        <v>1107</v>
      </c>
      <c r="AN107" s="237" t="s">
        <v>1107</v>
      </c>
      <c r="AO107" s="237" t="s">
        <v>1107</v>
      </c>
      <c r="AP107" s="237" t="s">
        <v>1107</v>
      </c>
      <c r="AQ107" s="237" t="s">
        <v>1107</v>
      </c>
      <c r="AR107" s="237" t="s">
        <v>1107</v>
      </c>
      <c r="AS107" s="237" t="s">
        <v>1107</v>
      </c>
      <c r="AT107" s="237" t="s">
        <v>1107</v>
      </c>
      <c r="AU107" s="237" t="s">
        <v>1107</v>
      </c>
      <c r="AV107" s="237" t="s">
        <v>1107</v>
      </c>
      <c r="AW107" s="237" t="s">
        <v>1107</v>
      </c>
      <c r="AX107" s="237" t="s">
        <v>1107</v>
      </c>
      <c r="AY107" s="237" t="s">
        <v>231</v>
      </c>
      <c r="AZ107" s="237" t="s">
        <v>231</v>
      </c>
      <c r="BA107" s="237" t="s">
        <v>231</v>
      </c>
      <c r="BB107" s="237" t="s">
        <v>231</v>
      </c>
      <c r="BC107" s="237" t="s">
        <v>231</v>
      </c>
      <c r="BD107" s="237" t="s">
        <v>231</v>
      </c>
      <c r="BE107" s="237" t="s">
        <v>231</v>
      </c>
      <c r="BF107" s="237" t="s">
        <v>231</v>
      </c>
      <c r="BG107" s="237" t="s">
        <v>1107</v>
      </c>
      <c r="BH107" s="237" t="s">
        <v>1107</v>
      </c>
      <c r="BI107" s="237" t="s">
        <v>1107</v>
      </c>
      <c r="BJ107" s="237" t="s">
        <v>1107</v>
      </c>
      <c r="BK107" s="237" t="s">
        <v>231</v>
      </c>
      <c r="BL107" s="237" t="s">
        <v>231</v>
      </c>
      <c r="BM107" s="237" t="s">
        <v>231</v>
      </c>
      <c r="BN107" s="237" t="s">
        <v>231</v>
      </c>
      <c r="BO107" s="237" t="s">
        <v>231</v>
      </c>
      <c r="BP107" s="237" t="s">
        <v>231</v>
      </c>
      <c r="BQ107" s="237" t="s">
        <v>231</v>
      </c>
      <c r="BR107" s="237" t="s">
        <v>231</v>
      </c>
      <c r="BS107" s="237" t="s">
        <v>231</v>
      </c>
      <c r="BT107" s="237" t="s">
        <v>231</v>
      </c>
      <c r="BU107" s="237" t="s">
        <v>231</v>
      </c>
      <c r="BV107" s="237" t="s">
        <v>231</v>
      </c>
      <c r="BW107" s="237" t="s">
        <v>231</v>
      </c>
      <c r="BX107" s="237" t="s">
        <v>231</v>
      </c>
      <c r="BY107" s="237" t="s">
        <v>231</v>
      </c>
      <c r="BZ107" s="237" t="s">
        <v>231</v>
      </c>
      <c r="CA107" s="237" t="s">
        <v>231</v>
      </c>
      <c r="CB107" s="237" t="s">
        <v>231</v>
      </c>
      <c r="CC107" s="237" t="s">
        <v>492</v>
      </c>
      <c r="CD107" s="237" t="s">
        <v>492</v>
      </c>
      <c r="CE107" s="237" t="s">
        <v>492</v>
      </c>
      <c r="CF107" s="237" t="s">
        <v>231</v>
      </c>
      <c r="CG107" s="237" t="s">
        <v>231</v>
      </c>
      <c r="CH107" s="237" t="s">
        <v>231</v>
      </c>
      <c r="CI107" s="237" t="s">
        <v>231</v>
      </c>
      <c r="CJ107" s="237" t="s">
        <v>231</v>
      </c>
      <c r="CK107" s="237" t="s">
        <v>231</v>
      </c>
      <c r="CL107" s="237" t="s">
        <v>231</v>
      </c>
      <c r="CM107" s="237" t="s">
        <v>231</v>
      </c>
      <c r="CN107" s="237" t="s">
        <v>231</v>
      </c>
      <c r="CO107" s="237" t="s">
        <v>231</v>
      </c>
      <c r="CP107" s="237" t="s">
        <v>231</v>
      </c>
      <c r="CQ107" s="237" t="s">
        <v>231</v>
      </c>
      <c r="CR107" s="237" t="s">
        <v>231</v>
      </c>
      <c r="CS107" s="237" t="s">
        <v>231</v>
      </c>
      <c r="CT107" s="237" t="s">
        <v>231</v>
      </c>
      <c r="CU107" s="237" t="s">
        <v>231</v>
      </c>
      <c r="CV107" s="237" t="s">
        <v>231</v>
      </c>
      <c r="CW107" s="237" t="s">
        <v>231</v>
      </c>
      <c r="CX107" s="237" t="s">
        <v>231</v>
      </c>
      <c r="CY107" s="237" t="s">
        <v>231</v>
      </c>
      <c r="CZ107" s="237" t="s">
        <v>231</v>
      </c>
      <c r="DA107" s="237" t="s">
        <v>231</v>
      </c>
      <c r="DB107" s="237" t="s">
        <v>231</v>
      </c>
      <c r="DC107" s="237" t="s">
        <v>492</v>
      </c>
      <c r="DD107" s="237" t="s">
        <v>231</v>
      </c>
      <c r="DE107" s="237" t="s">
        <v>492</v>
      </c>
      <c r="DF107" s="237" t="s">
        <v>492</v>
      </c>
      <c r="DG107" s="237" t="s">
        <v>492</v>
      </c>
      <c r="DH107" s="237" t="s">
        <v>492</v>
      </c>
      <c r="DI107" s="237" t="s">
        <v>492</v>
      </c>
      <c r="DJ107" s="237" t="s">
        <v>492</v>
      </c>
      <c r="DK107" s="237" t="s">
        <v>492</v>
      </c>
      <c r="DL107" s="237" t="s">
        <v>492</v>
      </c>
      <c r="DM107" s="237" t="s">
        <v>492</v>
      </c>
      <c r="DN107" s="237" t="s">
        <v>492</v>
      </c>
      <c r="DO107" s="237" t="s">
        <v>492</v>
      </c>
      <c r="DP107" s="237" t="s">
        <v>492</v>
      </c>
      <c r="DQ107" s="237" t="s">
        <v>492</v>
      </c>
      <c r="DR107" s="237" t="s">
        <v>492</v>
      </c>
      <c r="DS107" s="237" t="s">
        <v>231</v>
      </c>
      <c r="DT107" s="237" t="s">
        <v>231</v>
      </c>
      <c r="DU107" s="237" t="s">
        <v>231</v>
      </c>
      <c r="DV107" s="237" t="s">
        <v>231</v>
      </c>
      <c r="DW107" s="237" t="s">
        <v>231</v>
      </c>
      <c r="DX107" s="237" t="s">
        <v>231</v>
      </c>
      <c r="DY107" s="237" t="s">
        <v>231</v>
      </c>
      <c r="DZ107" s="237" t="s">
        <v>231</v>
      </c>
      <c r="EA107" s="237" t="s">
        <v>231</v>
      </c>
      <c r="EB107" s="237" t="s">
        <v>231</v>
      </c>
      <c r="EC107" s="237" t="s">
        <v>231</v>
      </c>
      <c r="ED107" s="237" t="s">
        <v>231</v>
      </c>
      <c r="EE107" s="237" t="s">
        <v>231</v>
      </c>
      <c r="EF107" s="237" t="s">
        <v>231</v>
      </c>
      <c r="EG107" s="237" t="s">
        <v>231</v>
      </c>
      <c r="EH107" s="237" t="s">
        <v>231</v>
      </c>
      <c r="EI107" s="237" t="s">
        <v>231</v>
      </c>
      <c r="EJ107" s="237" t="s">
        <v>231</v>
      </c>
      <c r="EK107" s="237" t="s">
        <v>231</v>
      </c>
      <c r="EL107" s="237" t="s">
        <v>231</v>
      </c>
      <c r="EM107" s="237" t="s">
        <v>231</v>
      </c>
      <c r="EN107" s="237" t="s">
        <v>231</v>
      </c>
      <c r="EO107" s="237" t="s">
        <v>492</v>
      </c>
      <c r="EP107" s="237" t="s">
        <v>492</v>
      </c>
      <c r="EQ107" s="237" t="s">
        <v>492</v>
      </c>
      <c r="ER107" s="237" t="s">
        <v>492</v>
      </c>
      <c r="ES107" s="237" t="s">
        <v>492</v>
      </c>
      <c r="ET107" s="237" t="s">
        <v>492</v>
      </c>
      <c r="EU107" s="237" t="s">
        <v>492</v>
      </c>
      <c r="EV107" s="237" t="s">
        <v>231</v>
      </c>
      <c r="EW107" s="237" t="s">
        <v>492</v>
      </c>
      <c r="EX107" s="237" t="s">
        <v>492</v>
      </c>
      <c r="EY107" s="237" t="s">
        <v>492</v>
      </c>
      <c r="EZ107" s="237" t="s">
        <v>231</v>
      </c>
      <c r="FA107" s="237" t="s">
        <v>231</v>
      </c>
      <c r="FB107" s="237" t="s">
        <v>231</v>
      </c>
      <c r="FC107" s="237" t="s">
        <v>231</v>
      </c>
      <c r="FD107" s="237" t="s">
        <v>492</v>
      </c>
      <c r="FE107" s="237" t="s">
        <v>231</v>
      </c>
      <c r="FF107" s="237" t="s">
        <v>231</v>
      </c>
      <c r="FG107" s="237" t="s">
        <v>231</v>
      </c>
      <c r="FH107" s="237" t="s">
        <v>231</v>
      </c>
      <c r="FI107" s="237" t="s">
        <v>231</v>
      </c>
      <c r="FJ107" s="237" t="s">
        <v>231</v>
      </c>
      <c r="FK107" s="237" t="s">
        <v>231</v>
      </c>
      <c r="FL107" s="237" t="s">
        <v>231</v>
      </c>
      <c r="FM107" s="237" t="s">
        <v>231</v>
      </c>
      <c r="FN107" s="237" t="s">
        <v>231</v>
      </c>
      <c r="FO107" s="237" t="s">
        <v>231</v>
      </c>
      <c r="FP107" s="237" t="s">
        <v>231</v>
      </c>
      <c r="FQ107" s="237" t="s">
        <v>231</v>
      </c>
      <c r="FR107" s="237" t="s">
        <v>231</v>
      </c>
      <c r="FS107" s="237" t="s">
        <v>231</v>
      </c>
      <c r="FT107" s="237" t="s">
        <v>231</v>
      </c>
      <c r="FU107" s="237" t="s">
        <v>231</v>
      </c>
      <c r="FV107" s="237" t="s">
        <v>231</v>
      </c>
      <c r="FW107" s="237" t="s">
        <v>231</v>
      </c>
      <c r="FX107" s="237" t="s">
        <v>231</v>
      </c>
      <c r="FY107" s="237" t="s">
        <v>492</v>
      </c>
      <c r="FZ107" s="237" t="s">
        <v>231</v>
      </c>
      <c r="GA107" s="237" t="s">
        <v>1107</v>
      </c>
      <c r="GB107" s="237" t="s">
        <v>1107</v>
      </c>
      <c r="GC107" s="237" t="s">
        <v>231</v>
      </c>
      <c r="GD107" s="237" t="s">
        <v>1107</v>
      </c>
      <c r="GE107" s="237" t="s">
        <v>1107</v>
      </c>
      <c r="GF107" s="237" t="s">
        <v>1107</v>
      </c>
      <c r="GG107" s="237" t="s">
        <v>1107</v>
      </c>
      <c r="GH107" s="237" t="s">
        <v>1107</v>
      </c>
      <c r="GI107" s="237" t="s">
        <v>1107</v>
      </c>
      <c r="GJ107" s="237" t="s">
        <v>1107</v>
      </c>
      <c r="GK107" s="237" t="s">
        <v>1107</v>
      </c>
      <c r="GL107" s="237" t="s">
        <v>1107</v>
      </c>
      <c r="GM107" s="237" t="s">
        <v>1107</v>
      </c>
      <c r="GN107" s="237" t="s">
        <v>1107</v>
      </c>
      <c r="GO107" s="237" t="s">
        <v>1107</v>
      </c>
      <c r="GP107" s="237" t="s">
        <v>1107</v>
      </c>
      <c r="GQ107" s="237" t="s">
        <v>1107</v>
      </c>
      <c r="GR107" s="237" t="s">
        <v>1107</v>
      </c>
      <c r="GS107" s="237" t="s">
        <v>1107</v>
      </c>
      <c r="GT107" s="237" t="s">
        <v>1107</v>
      </c>
      <c r="GU107" s="237" t="s">
        <v>1107</v>
      </c>
      <c r="GV107" s="237" t="s">
        <v>1107</v>
      </c>
      <c r="GW107" s="237" t="s">
        <v>1107</v>
      </c>
      <c r="GX107" s="237" t="s">
        <v>1107</v>
      </c>
      <c r="GY107" s="237" t="s">
        <v>1107</v>
      </c>
      <c r="GZ107" s="237" t="s">
        <v>1107</v>
      </c>
      <c r="HA107" s="237" t="s">
        <v>1107</v>
      </c>
      <c r="HB107" s="237" t="s">
        <v>1107</v>
      </c>
      <c r="HC107" s="237" t="s">
        <v>1107</v>
      </c>
      <c r="HD107" s="237" t="s">
        <v>1107</v>
      </c>
      <c r="HE107" s="237" t="s">
        <v>1107</v>
      </c>
      <c r="HF107" s="237" t="s">
        <v>1107</v>
      </c>
      <c r="HG107" s="237" t="s">
        <v>1107</v>
      </c>
      <c r="HH107" s="237" t="s">
        <v>1107</v>
      </c>
      <c r="HI107" s="237" t="s">
        <v>1107</v>
      </c>
      <c r="HJ107" s="237" t="s">
        <v>1107</v>
      </c>
      <c r="HK107" s="237" t="s">
        <v>1107</v>
      </c>
      <c r="HL107" s="237" t="s">
        <v>1107</v>
      </c>
      <c r="HM107" s="237" t="s">
        <v>1107</v>
      </c>
      <c r="HN107" s="237" t="s">
        <v>1107</v>
      </c>
      <c r="HO107" s="237" t="s">
        <v>1107</v>
      </c>
      <c r="HP107" s="237" t="s">
        <v>1107</v>
      </c>
      <c r="HQ107" s="237" t="s">
        <v>1107</v>
      </c>
      <c r="HR107" s="237" t="s">
        <v>1107</v>
      </c>
      <c r="HS107" s="237" t="s">
        <v>1107</v>
      </c>
      <c r="HT107" s="237" t="s">
        <v>231</v>
      </c>
      <c r="HU107" s="237" t="s">
        <v>231</v>
      </c>
      <c r="HV107" s="237" t="s">
        <v>231</v>
      </c>
      <c r="HW107" s="237" t="s">
        <v>231</v>
      </c>
      <c r="HX107" s="237" t="s">
        <v>220</v>
      </c>
      <c r="HY107" s="237" t="s">
        <v>493</v>
      </c>
      <c r="HZ107" s="237" t="s">
        <v>219</v>
      </c>
      <c r="IA107" s="237" t="s">
        <v>490</v>
      </c>
      <c r="IB107" s="237" t="s">
        <v>492</v>
      </c>
      <c r="IC107" s="237" t="s">
        <v>492</v>
      </c>
    </row>
    <row r="108" spans="1:237" ht="15" x14ac:dyDescent="0.25">
      <c r="A108" s="244" t="str">
        <f>HYPERLINK("http://www.ofsted.gov.uk/inspection-reports/find-inspection-report/provider/ELS/106965 ","Ofsted School Webpage")</f>
        <v>Ofsted School Webpage</v>
      </c>
      <c r="B108" s="240">
        <v>106965</v>
      </c>
      <c r="C108" s="240">
        <v>3706004</v>
      </c>
      <c r="D108" s="240" t="s">
        <v>1317</v>
      </c>
      <c r="E108" s="240" t="s">
        <v>248</v>
      </c>
      <c r="F108" s="240" t="s">
        <v>523</v>
      </c>
      <c r="G108" s="240" t="s">
        <v>524</v>
      </c>
      <c r="H108" s="240" t="s">
        <v>1083</v>
      </c>
      <c r="I108" s="240" t="s">
        <v>1318</v>
      </c>
      <c r="J108" s="240" t="s">
        <v>93</v>
      </c>
      <c r="K108" s="240" t="s">
        <v>93</v>
      </c>
      <c r="L108" s="240" t="s">
        <v>93</v>
      </c>
      <c r="M108" s="240" t="s">
        <v>90</v>
      </c>
      <c r="N108" s="240" t="s">
        <v>486</v>
      </c>
      <c r="O108" s="240" t="s">
        <v>487</v>
      </c>
      <c r="P108" s="240">
        <v>10085710</v>
      </c>
      <c r="Q108" s="242">
        <v>43481</v>
      </c>
      <c r="R108" s="242">
        <v>43481</v>
      </c>
      <c r="S108" s="242">
        <v>43528</v>
      </c>
      <c r="T108" s="240" t="s">
        <v>1124</v>
      </c>
      <c r="U108" s="240" t="s">
        <v>1105</v>
      </c>
      <c r="V108" s="240" t="s">
        <v>490</v>
      </c>
      <c r="W108" s="240" t="s">
        <v>486</v>
      </c>
      <c r="X108" s="240" t="s">
        <v>486</v>
      </c>
      <c r="Y108" s="240" t="s">
        <v>486</v>
      </c>
      <c r="Z108" s="240" t="s">
        <v>486</v>
      </c>
      <c r="AA108" s="240" t="s">
        <v>486</v>
      </c>
      <c r="AB108" s="240" t="s">
        <v>486</v>
      </c>
      <c r="AC108" s="240" t="s">
        <v>486</v>
      </c>
      <c r="AD108" s="240" t="s">
        <v>1110</v>
      </c>
      <c r="AE108" s="240" t="s">
        <v>1107</v>
      </c>
      <c r="AF108" s="240" t="s">
        <v>1107</v>
      </c>
      <c r="AG108" s="240" t="s">
        <v>492</v>
      </c>
      <c r="AH108" s="240" t="s">
        <v>1107</v>
      </c>
      <c r="AI108" s="240" t="s">
        <v>1107</v>
      </c>
      <c r="AJ108" s="240" t="s">
        <v>1107</v>
      </c>
      <c r="AK108" s="240" t="s">
        <v>1107</v>
      </c>
      <c r="AL108" s="240" t="s">
        <v>1107</v>
      </c>
      <c r="AM108" s="240" t="s">
        <v>1107</v>
      </c>
      <c r="AN108" s="240" t="s">
        <v>1107</v>
      </c>
      <c r="AO108" s="240" t="s">
        <v>1107</v>
      </c>
      <c r="AP108" s="240" t="s">
        <v>1107</v>
      </c>
      <c r="AQ108" s="240" t="s">
        <v>492</v>
      </c>
      <c r="AR108" s="240" t="s">
        <v>1107</v>
      </c>
      <c r="AS108" s="240" t="s">
        <v>1107</v>
      </c>
      <c r="AT108" s="240" t="s">
        <v>1107</v>
      </c>
      <c r="AU108" s="240" t="s">
        <v>1107</v>
      </c>
      <c r="AV108" s="240" t="s">
        <v>492</v>
      </c>
      <c r="AW108" s="240" t="s">
        <v>1107</v>
      </c>
      <c r="AX108" s="240" t="s">
        <v>1107</v>
      </c>
      <c r="AY108" s="240" t="s">
        <v>1107</v>
      </c>
      <c r="AZ108" s="240" t="s">
        <v>1107</v>
      </c>
      <c r="BA108" s="240" t="s">
        <v>1107</v>
      </c>
      <c r="BB108" s="240" t="s">
        <v>1107</v>
      </c>
      <c r="BC108" s="240" t="s">
        <v>1107</v>
      </c>
      <c r="BD108" s="240" t="s">
        <v>1107</v>
      </c>
      <c r="BE108" s="240" t="s">
        <v>1107</v>
      </c>
      <c r="BF108" s="240" t="s">
        <v>1107</v>
      </c>
      <c r="BG108" s="240" t="s">
        <v>1107</v>
      </c>
      <c r="BH108" s="240" t="s">
        <v>1107</v>
      </c>
      <c r="BI108" s="240" t="s">
        <v>1107</v>
      </c>
      <c r="BJ108" s="240" t="s">
        <v>1107</v>
      </c>
      <c r="BK108" s="240" t="s">
        <v>1107</v>
      </c>
      <c r="BL108" s="240" t="s">
        <v>1107</v>
      </c>
      <c r="BM108" s="240" t="s">
        <v>1107</v>
      </c>
      <c r="BN108" s="240" t="s">
        <v>1107</v>
      </c>
      <c r="BO108" s="240" t="s">
        <v>1107</v>
      </c>
      <c r="BP108" s="240" t="s">
        <v>1107</v>
      </c>
      <c r="BQ108" s="240" t="s">
        <v>1107</v>
      </c>
      <c r="BR108" s="240" t="s">
        <v>1107</v>
      </c>
      <c r="BS108" s="240" t="s">
        <v>1107</v>
      </c>
      <c r="BT108" s="240" t="s">
        <v>1107</v>
      </c>
      <c r="BU108" s="240" t="s">
        <v>1107</v>
      </c>
      <c r="BV108" s="240" t="s">
        <v>1107</v>
      </c>
      <c r="BW108" s="240" t="s">
        <v>1107</v>
      </c>
      <c r="BX108" s="240" t="s">
        <v>1107</v>
      </c>
      <c r="BY108" s="240" t="s">
        <v>1107</v>
      </c>
      <c r="BZ108" s="240" t="s">
        <v>231</v>
      </c>
      <c r="CA108" s="240" t="s">
        <v>231</v>
      </c>
      <c r="CB108" s="240" t="s">
        <v>231</v>
      </c>
      <c r="CC108" s="240" t="s">
        <v>492</v>
      </c>
      <c r="CD108" s="240" t="s">
        <v>492</v>
      </c>
      <c r="CE108" s="240" t="s">
        <v>492</v>
      </c>
      <c r="CF108" s="240" t="s">
        <v>231</v>
      </c>
      <c r="CG108" s="240" t="s">
        <v>231</v>
      </c>
      <c r="CH108" s="240" t="s">
        <v>231</v>
      </c>
      <c r="CI108" s="240" t="s">
        <v>231</v>
      </c>
      <c r="CJ108" s="240" t="s">
        <v>1107</v>
      </c>
      <c r="CK108" s="240" t="s">
        <v>231</v>
      </c>
      <c r="CL108" s="240" t="s">
        <v>1107</v>
      </c>
      <c r="CM108" s="240" t="s">
        <v>1107</v>
      </c>
      <c r="CN108" s="240" t="s">
        <v>231</v>
      </c>
      <c r="CO108" s="240" t="s">
        <v>1107</v>
      </c>
      <c r="CP108" s="240" t="s">
        <v>231</v>
      </c>
      <c r="CQ108" s="240" t="s">
        <v>231</v>
      </c>
      <c r="CR108" s="240" t="s">
        <v>231</v>
      </c>
      <c r="CS108" s="240" t="s">
        <v>1107</v>
      </c>
      <c r="CT108" s="240" t="s">
        <v>1107</v>
      </c>
      <c r="CU108" s="240" t="s">
        <v>1107</v>
      </c>
      <c r="CV108" s="240" t="s">
        <v>1107</v>
      </c>
      <c r="CW108" s="240" t="s">
        <v>1107</v>
      </c>
      <c r="CX108" s="240" t="s">
        <v>1107</v>
      </c>
      <c r="CY108" s="240" t="s">
        <v>1107</v>
      </c>
      <c r="CZ108" s="240" t="s">
        <v>1107</v>
      </c>
      <c r="DA108" s="240" t="s">
        <v>1107</v>
      </c>
      <c r="DB108" s="240" t="s">
        <v>1107</v>
      </c>
      <c r="DC108" s="240" t="s">
        <v>1107</v>
      </c>
      <c r="DD108" s="240" t="s">
        <v>1107</v>
      </c>
      <c r="DE108" s="240" t="s">
        <v>1107</v>
      </c>
      <c r="DF108" s="240" t="s">
        <v>1107</v>
      </c>
      <c r="DG108" s="240" t="s">
        <v>1107</v>
      </c>
      <c r="DH108" s="240" t="s">
        <v>1107</v>
      </c>
      <c r="DI108" s="240" t="s">
        <v>1107</v>
      </c>
      <c r="DJ108" s="240" t="s">
        <v>1107</v>
      </c>
      <c r="DK108" s="240" t="s">
        <v>1107</v>
      </c>
      <c r="DL108" s="240" t="s">
        <v>1107</v>
      </c>
      <c r="DM108" s="240" t="s">
        <v>1107</v>
      </c>
      <c r="DN108" s="240" t="s">
        <v>1107</v>
      </c>
      <c r="DO108" s="240" t="s">
        <v>1107</v>
      </c>
      <c r="DP108" s="240" t="s">
        <v>1107</v>
      </c>
      <c r="DQ108" s="240" t="s">
        <v>1107</v>
      </c>
      <c r="DR108" s="240" t="s">
        <v>1107</v>
      </c>
      <c r="DS108" s="240" t="s">
        <v>1107</v>
      </c>
      <c r="DT108" s="240" t="s">
        <v>1107</v>
      </c>
      <c r="DU108" s="240" t="s">
        <v>1107</v>
      </c>
      <c r="DV108" s="240" t="s">
        <v>1107</v>
      </c>
      <c r="DW108" s="240" t="s">
        <v>1107</v>
      </c>
      <c r="DX108" s="240" t="s">
        <v>1107</v>
      </c>
      <c r="DY108" s="240" t="s">
        <v>1107</v>
      </c>
      <c r="DZ108" s="240" t="s">
        <v>1107</v>
      </c>
      <c r="EA108" s="240" t="s">
        <v>1107</v>
      </c>
      <c r="EB108" s="240" t="s">
        <v>1107</v>
      </c>
      <c r="EC108" s="240" t="s">
        <v>1107</v>
      </c>
      <c r="ED108" s="240" t="s">
        <v>1107</v>
      </c>
      <c r="EE108" s="240" t="s">
        <v>1107</v>
      </c>
      <c r="EF108" s="240" t="s">
        <v>1107</v>
      </c>
      <c r="EG108" s="240" t="s">
        <v>1107</v>
      </c>
      <c r="EH108" s="240" t="s">
        <v>1107</v>
      </c>
      <c r="EI108" s="240" t="s">
        <v>1107</v>
      </c>
      <c r="EJ108" s="240" t="s">
        <v>1107</v>
      </c>
      <c r="EK108" s="240" t="s">
        <v>1107</v>
      </c>
      <c r="EL108" s="240" t="s">
        <v>1107</v>
      </c>
      <c r="EM108" s="240" t="s">
        <v>1107</v>
      </c>
      <c r="EN108" s="240" t="s">
        <v>1107</v>
      </c>
      <c r="EO108" s="240" t="s">
        <v>1107</v>
      </c>
      <c r="EP108" s="240" t="s">
        <v>1107</v>
      </c>
      <c r="EQ108" s="240" t="s">
        <v>1107</v>
      </c>
      <c r="ER108" s="240" t="s">
        <v>1107</v>
      </c>
      <c r="ES108" s="240" t="s">
        <v>1107</v>
      </c>
      <c r="ET108" s="240" t="s">
        <v>1107</v>
      </c>
      <c r="EU108" s="240" t="s">
        <v>1107</v>
      </c>
      <c r="EV108" s="240" t="s">
        <v>1107</v>
      </c>
      <c r="EW108" s="240" t="s">
        <v>1107</v>
      </c>
      <c r="EX108" s="240" t="s">
        <v>1107</v>
      </c>
      <c r="EY108" s="240" t="s">
        <v>1107</v>
      </c>
      <c r="EZ108" s="240" t="s">
        <v>1107</v>
      </c>
      <c r="FA108" s="240" t="s">
        <v>1107</v>
      </c>
      <c r="FB108" s="240" t="s">
        <v>1107</v>
      </c>
      <c r="FC108" s="240" t="s">
        <v>1107</v>
      </c>
      <c r="FD108" s="240" t="s">
        <v>1107</v>
      </c>
      <c r="FE108" s="240" t="s">
        <v>1107</v>
      </c>
      <c r="FF108" s="240" t="s">
        <v>1107</v>
      </c>
      <c r="FG108" s="240" t="s">
        <v>1107</v>
      </c>
      <c r="FH108" s="240" t="s">
        <v>1107</v>
      </c>
      <c r="FI108" s="240" t="s">
        <v>1107</v>
      </c>
      <c r="FJ108" s="240" t="s">
        <v>1107</v>
      </c>
      <c r="FK108" s="240" t="s">
        <v>1107</v>
      </c>
      <c r="FL108" s="240" t="s">
        <v>1107</v>
      </c>
      <c r="FM108" s="240" t="s">
        <v>1107</v>
      </c>
      <c r="FN108" s="240" t="s">
        <v>1107</v>
      </c>
      <c r="FO108" s="240" t="s">
        <v>1107</v>
      </c>
      <c r="FP108" s="240" t="s">
        <v>1107</v>
      </c>
      <c r="FQ108" s="240" t="s">
        <v>1107</v>
      </c>
      <c r="FR108" s="240" t="s">
        <v>1107</v>
      </c>
      <c r="FS108" s="240" t="s">
        <v>1107</v>
      </c>
      <c r="FT108" s="240" t="s">
        <v>1107</v>
      </c>
      <c r="FU108" s="240" t="s">
        <v>1107</v>
      </c>
      <c r="FV108" s="240" t="s">
        <v>1107</v>
      </c>
      <c r="FW108" s="240" t="s">
        <v>1107</v>
      </c>
      <c r="FX108" s="240" t="s">
        <v>1107</v>
      </c>
      <c r="FY108" s="240" t="s">
        <v>1107</v>
      </c>
      <c r="FZ108" s="240" t="s">
        <v>1107</v>
      </c>
      <c r="GA108" s="240" t="s">
        <v>1107</v>
      </c>
      <c r="GB108" s="240" t="s">
        <v>1107</v>
      </c>
      <c r="GC108" s="240" t="s">
        <v>1107</v>
      </c>
      <c r="GD108" s="240" t="s">
        <v>1107</v>
      </c>
      <c r="GE108" s="240" t="s">
        <v>231</v>
      </c>
      <c r="GF108" s="240" t="s">
        <v>1107</v>
      </c>
      <c r="GG108" s="240" t="s">
        <v>1107</v>
      </c>
      <c r="GH108" s="240" t="s">
        <v>1107</v>
      </c>
      <c r="GI108" s="240" t="s">
        <v>1107</v>
      </c>
      <c r="GJ108" s="240" t="s">
        <v>1107</v>
      </c>
      <c r="GK108" s="240" t="s">
        <v>1107</v>
      </c>
      <c r="GL108" s="240" t="s">
        <v>1107</v>
      </c>
      <c r="GM108" s="240" t="s">
        <v>1107</v>
      </c>
      <c r="GN108" s="240" t="s">
        <v>1107</v>
      </c>
      <c r="GO108" s="240" t="s">
        <v>1107</v>
      </c>
      <c r="GP108" s="240" t="s">
        <v>1107</v>
      </c>
      <c r="GQ108" s="240" t="s">
        <v>1107</v>
      </c>
      <c r="GR108" s="240" t="s">
        <v>661</v>
      </c>
      <c r="GS108" s="240" t="s">
        <v>1107</v>
      </c>
      <c r="GT108" s="240" t="s">
        <v>1107</v>
      </c>
      <c r="GU108" s="240" t="s">
        <v>1107</v>
      </c>
      <c r="GV108" s="240" t="s">
        <v>1107</v>
      </c>
      <c r="GW108" s="240" t="s">
        <v>1107</v>
      </c>
      <c r="GX108" s="240" t="s">
        <v>1107</v>
      </c>
      <c r="GY108" s="240" t="s">
        <v>1107</v>
      </c>
      <c r="GZ108" s="240" t="s">
        <v>1107</v>
      </c>
      <c r="HA108" s="240" t="s">
        <v>1107</v>
      </c>
      <c r="HB108" s="240" t="s">
        <v>1107</v>
      </c>
      <c r="HC108" s="240" t="s">
        <v>1107</v>
      </c>
      <c r="HD108" s="240" t="s">
        <v>1107</v>
      </c>
      <c r="HE108" s="240" t="s">
        <v>1107</v>
      </c>
      <c r="HF108" s="240" t="s">
        <v>1107</v>
      </c>
      <c r="HG108" s="240" t="s">
        <v>1107</v>
      </c>
      <c r="HH108" s="240" t="s">
        <v>1107</v>
      </c>
      <c r="HI108" s="240" t="s">
        <v>1107</v>
      </c>
      <c r="HJ108" s="240" t="s">
        <v>1107</v>
      </c>
      <c r="HK108" s="240" t="s">
        <v>1107</v>
      </c>
      <c r="HL108" s="240" t="s">
        <v>1107</v>
      </c>
      <c r="HM108" s="240" t="s">
        <v>1107</v>
      </c>
      <c r="HN108" s="240" t="s">
        <v>1107</v>
      </c>
      <c r="HO108" s="240" t="s">
        <v>1107</v>
      </c>
      <c r="HP108" s="240" t="s">
        <v>1107</v>
      </c>
      <c r="HQ108" s="240" t="s">
        <v>1107</v>
      </c>
      <c r="HR108" s="240" t="s">
        <v>1107</v>
      </c>
      <c r="HS108" s="240" t="s">
        <v>1107</v>
      </c>
      <c r="HT108" s="240" t="s">
        <v>231</v>
      </c>
      <c r="HU108" s="240" t="s">
        <v>231</v>
      </c>
      <c r="HV108" s="240" t="s">
        <v>231</v>
      </c>
      <c r="HW108" s="240" t="s">
        <v>231</v>
      </c>
      <c r="HX108" s="240" t="s">
        <v>597</v>
      </c>
      <c r="HY108" s="240" t="s">
        <v>597</v>
      </c>
      <c r="HZ108" s="240" t="s">
        <v>597</v>
      </c>
      <c r="IA108" s="240" t="s">
        <v>490</v>
      </c>
      <c r="IB108" s="240" t="s">
        <v>1107</v>
      </c>
      <c r="IC108" s="240" t="s">
        <v>1107</v>
      </c>
    </row>
    <row r="109" spans="1:237" ht="15" x14ac:dyDescent="0.25">
      <c r="A109" s="243" t="str">
        <f>HYPERLINK("http://www.ofsted.gov.uk/inspection-reports/find-inspection-report/provider/ELS/114656 ","Ofsted School Webpage")</f>
        <v>Ofsted School Webpage</v>
      </c>
      <c r="B109" s="237">
        <v>114656</v>
      </c>
      <c r="C109" s="237">
        <v>8456031</v>
      </c>
      <c r="D109" s="237" t="s">
        <v>1319</v>
      </c>
      <c r="E109" s="237" t="s">
        <v>247</v>
      </c>
      <c r="F109" s="237" t="s">
        <v>581</v>
      </c>
      <c r="G109" s="237" t="s">
        <v>581</v>
      </c>
      <c r="H109" s="237" t="s">
        <v>761</v>
      </c>
      <c r="I109" s="237" t="s">
        <v>1320</v>
      </c>
      <c r="J109" s="237" t="s">
        <v>93</v>
      </c>
      <c r="K109" s="237" t="s">
        <v>93</v>
      </c>
      <c r="L109" s="237" t="s">
        <v>93</v>
      </c>
      <c r="M109" s="237" t="s">
        <v>90</v>
      </c>
      <c r="N109" s="237" t="s">
        <v>486</v>
      </c>
      <c r="O109" s="237" t="s">
        <v>660</v>
      </c>
      <c r="P109" s="237">
        <v>10089295</v>
      </c>
      <c r="Q109" s="239">
        <v>43480</v>
      </c>
      <c r="R109" s="239">
        <v>43481</v>
      </c>
      <c r="S109" s="239">
        <v>43520</v>
      </c>
      <c r="T109" s="237" t="s">
        <v>1202</v>
      </c>
      <c r="U109" s="237" t="s">
        <v>1105</v>
      </c>
      <c r="V109" s="237" t="s">
        <v>490</v>
      </c>
      <c r="W109" s="237" t="s">
        <v>486</v>
      </c>
      <c r="X109" s="237" t="s">
        <v>486</v>
      </c>
      <c r="Y109" s="237" t="s">
        <v>486</v>
      </c>
      <c r="Z109" s="237" t="s">
        <v>486</v>
      </c>
      <c r="AA109" s="237" t="s">
        <v>486</v>
      </c>
      <c r="AB109" s="237" t="s">
        <v>486</v>
      </c>
      <c r="AC109" s="237" t="s">
        <v>486</v>
      </c>
      <c r="AD109" s="237" t="s">
        <v>1110</v>
      </c>
      <c r="AE109" s="237" t="s">
        <v>1107</v>
      </c>
      <c r="AF109" s="237" t="s">
        <v>1107</v>
      </c>
      <c r="AG109" s="237" t="s">
        <v>1107</v>
      </c>
      <c r="AH109" s="237" t="s">
        <v>1107</v>
      </c>
      <c r="AI109" s="237" t="s">
        <v>1107</v>
      </c>
      <c r="AJ109" s="237" t="s">
        <v>1107</v>
      </c>
      <c r="AK109" s="237" t="s">
        <v>1107</v>
      </c>
      <c r="AL109" s="237" t="s">
        <v>1107</v>
      </c>
      <c r="AM109" s="237" t="s">
        <v>1107</v>
      </c>
      <c r="AN109" s="237" t="s">
        <v>1107</v>
      </c>
      <c r="AO109" s="237" t="s">
        <v>1107</v>
      </c>
      <c r="AP109" s="237" t="s">
        <v>1107</v>
      </c>
      <c r="AQ109" s="237" t="s">
        <v>1107</v>
      </c>
      <c r="AR109" s="237" t="s">
        <v>1107</v>
      </c>
      <c r="AS109" s="237" t="s">
        <v>1107</v>
      </c>
      <c r="AT109" s="237" t="s">
        <v>1107</v>
      </c>
      <c r="AU109" s="237" t="s">
        <v>1107</v>
      </c>
      <c r="AV109" s="237" t="s">
        <v>1107</v>
      </c>
      <c r="AW109" s="237" t="s">
        <v>1107</v>
      </c>
      <c r="AX109" s="237" t="s">
        <v>1107</v>
      </c>
      <c r="AY109" s="237" t="s">
        <v>231</v>
      </c>
      <c r="AZ109" s="237" t="s">
        <v>231</v>
      </c>
      <c r="BA109" s="237" t="s">
        <v>1107</v>
      </c>
      <c r="BB109" s="237" t="s">
        <v>1107</v>
      </c>
      <c r="BC109" s="237" t="s">
        <v>231</v>
      </c>
      <c r="BD109" s="237" t="s">
        <v>1107</v>
      </c>
      <c r="BE109" s="237" t="s">
        <v>1107</v>
      </c>
      <c r="BF109" s="237" t="s">
        <v>1107</v>
      </c>
      <c r="BG109" s="237" t="s">
        <v>1107</v>
      </c>
      <c r="BH109" s="237" t="s">
        <v>1107</v>
      </c>
      <c r="BI109" s="237" t="s">
        <v>1107</v>
      </c>
      <c r="BJ109" s="237" t="s">
        <v>1107</v>
      </c>
      <c r="BK109" s="237" t="s">
        <v>1107</v>
      </c>
      <c r="BL109" s="237" t="s">
        <v>1107</v>
      </c>
      <c r="BM109" s="237" t="s">
        <v>1107</v>
      </c>
      <c r="BN109" s="237" t="s">
        <v>1107</v>
      </c>
      <c r="BO109" s="237" t="s">
        <v>1107</v>
      </c>
      <c r="BP109" s="237" t="s">
        <v>1107</v>
      </c>
      <c r="BQ109" s="237" t="s">
        <v>1107</v>
      </c>
      <c r="BR109" s="237" t="s">
        <v>1107</v>
      </c>
      <c r="BS109" s="237" t="s">
        <v>1107</v>
      </c>
      <c r="BT109" s="237" t="s">
        <v>1107</v>
      </c>
      <c r="BU109" s="237" t="s">
        <v>1107</v>
      </c>
      <c r="BV109" s="237" t="s">
        <v>1107</v>
      </c>
      <c r="BW109" s="237" t="s">
        <v>1107</v>
      </c>
      <c r="BX109" s="237" t="s">
        <v>1107</v>
      </c>
      <c r="BY109" s="237" t="s">
        <v>1107</v>
      </c>
      <c r="BZ109" s="237" t="s">
        <v>231</v>
      </c>
      <c r="CA109" s="237" t="s">
        <v>231</v>
      </c>
      <c r="CB109" s="237" t="s">
        <v>231</v>
      </c>
      <c r="CC109" s="237" t="s">
        <v>1107</v>
      </c>
      <c r="CD109" s="237" t="s">
        <v>1107</v>
      </c>
      <c r="CE109" s="237" t="s">
        <v>1107</v>
      </c>
      <c r="CF109" s="237" t="s">
        <v>231</v>
      </c>
      <c r="CG109" s="237" t="s">
        <v>1107</v>
      </c>
      <c r="CH109" s="237" t="s">
        <v>1107</v>
      </c>
      <c r="CI109" s="237" t="s">
        <v>1107</v>
      </c>
      <c r="CJ109" s="237" t="s">
        <v>1107</v>
      </c>
      <c r="CK109" s="237" t="s">
        <v>1107</v>
      </c>
      <c r="CL109" s="237" t="s">
        <v>1107</v>
      </c>
      <c r="CM109" s="237" t="s">
        <v>1107</v>
      </c>
      <c r="CN109" s="237" t="s">
        <v>1107</v>
      </c>
      <c r="CO109" s="237" t="s">
        <v>231</v>
      </c>
      <c r="CP109" s="237" t="s">
        <v>1107</v>
      </c>
      <c r="CQ109" s="237" t="s">
        <v>1107</v>
      </c>
      <c r="CR109" s="237" t="s">
        <v>1107</v>
      </c>
      <c r="CS109" s="237" t="s">
        <v>1107</v>
      </c>
      <c r="CT109" s="237" t="s">
        <v>1107</v>
      </c>
      <c r="CU109" s="237" t="s">
        <v>1107</v>
      </c>
      <c r="CV109" s="237" t="s">
        <v>1107</v>
      </c>
      <c r="CW109" s="237" t="s">
        <v>1107</v>
      </c>
      <c r="CX109" s="237" t="s">
        <v>1107</v>
      </c>
      <c r="CY109" s="237" t="s">
        <v>1107</v>
      </c>
      <c r="CZ109" s="237" t="s">
        <v>1107</v>
      </c>
      <c r="DA109" s="237" t="s">
        <v>1107</v>
      </c>
      <c r="DB109" s="237" t="s">
        <v>1107</v>
      </c>
      <c r="DC109" s="237" t="s">
        <v>1107</v>
      </c>
      <c r="DD109" s="237" t="s">
        <v>1107</v>
      </c>
      <c r="DE109" s="237" t="s">
        <v>1107</v>
      </c>
      <c r="DF109" s="237" t="s">
        <v>1107</v>
      </c>
      <c r="DG109" s="237" t="s">
        <v>1107</v>
      </c>
      <c r="DH109" s="237" t="s">
        <v>1107</v>
      </c>
      <c r="DI109" s="237" t="s">
        <v>1107</v>
      </c>
      <c r="DJ109" s="237" t="s">
        <v>1107</v>
      </c>
      <c r="DK109" s="237" t="s">
        <v>1107</v>
      </c>
      <c r="DL109" s="237" t="s">
        <v>1107</v>
      </c>
      <c r="DM109" s="237" t="s">
        <v>1107</v>
      </c>
      <c r="DN109" s="237" t="s">
        <v>1107</v>
      </c>
      <c r="DO109" s="237" t="s">
        <v>1107</v>
      </c>
      <c r="DP109" s="237" t="s">
        <v>1107</v>
      </c>
      <c r="DQ109" s="237" t="s">
        <v>1107</v>
      </c>
      <c r="DR109" s="237" t="s">
        <v>1107</v>
      </c>
      <c r="DS109" s="237" t="s">
        <v>1107</v>
      </c>
      <c r="DT109" s="237" t="s">
        <v>1107</v>
      </c>
      <c r="DU109" s="237" t="s">
        <v>1107</v>
      </c>
      <c r="DV109" s="237" t="s">
        <v>1107</v>
      </c>
      <c r="DW109" s="237" t="s">
        <v>1107</v>
      </c>
      <c r="DX109" s="237" t="s">
        <v>1107</v>
      </c>
      <c r="DY109" s="237" t="s">
        <v>1107</v>
      </c>
      <c r="DZ109" s="237" t="s">
        <v>1107</v>
      </c>
      <c r="EA109" s="237" t="s">
        <v>1107</v>
      </c>
      <c r="EB109" s="237" t="s">
        <v>1107</v>
      </c>
      <c r="EC109" s="237" t="s">
        <v>1107</v>
      </c>
      <c r="ED109" s="237" t="s">
        <v>1107</v>
      </c>
      <c r="EE109" s="237" t="s">
        <v>1107</v>
      </c>
      <c r="EF109" s="237" t="s">
        <v>1107</v>
      </c>
      <c r="EG109" s="237" t="s">
        <v>1107</v>
      </c>
      <c r="EH109" s="237" t="s">
        <v>1107</v>
      </c>
      <c r="EI109" s="237" t="s">
        <v>1107</v>
      </c>
      <c r="EJ109" s="237" t="s">
        <v>1107</v>
      </c>
      <c r="EK109" s="237" t="s">
        <v>1107</v>
      </c>
      <c r="EL109" s="237" t="s">
        <v>1107</v>
      </c>
      <c r="EM109" s="237" t="s">
        <v>1107</v>
      </c>
      <c r="EN109" s="237" t="s">
        <v>1107</v>
      </c>
      <c r="EO109" s="237" t="s">
        <v>1107</v>
      </c>
      <c r="EP109" s="237" t="s">
        <v>1107</v>
      </c>
      <c r="EQ109" s="237" t="s">
        <v>1107</v>
      </c>
      <c r="ER109" s="237" t="s">
        <v>1107</v>
      </c>
      <c r="ES109" s="237" t="s">
        <v>1107</v>
      </c>
      <c r="ET109" s="237" t="s">
        <v>1107</v>
      </c>
      <c r="EU109" s="237" t="s">
        <v>1107</v>
      </c>
      <c r="EV109" s="237" t="s">
        <v>1107</v>
      </c>
      <c r="EW109" s="237" t="s">
        <v>1107</v>
      </c>
      <c r="EX109" s="237" t="s">
        <v>1107</v>
      </c>
      <c r="EY109" s="237" t="s">
        <v>1107</v>
      </c>
      <c r="EZ109" s="237" t="s">
        <v>1107</v>
      </c>
      <c r="FA109" s="237" t="s">
        <v>1107</v>
      </c>
      <c r="FB109" s="237" t="s">
        <v>1107</v>
      </c>
      <c r="FC109" s="237" t="s">
        <v>1107</v>
      </c>
      <c r="FD109" s="237" t="s">
        <v>1107</v>
      </c>
      <c r="FE109" s="237" t="s">
        <v>1107</v>
      </c>
      <c r="FF109" s="237" t="s">
        <v>1107</v>
      </c>
      <c r="FG109" s="237" t="s">
        <v>1107</v>
      </c>
      <c r="FH109" s="237" t="s">
        <v>1107</v>
      </c>
      <c r="FI109" s="237" t="s">
        <v>1107</v>
      </c>
      <c r="FJ109" s="237" t="s">
        <v>1107</v>
      </c>
      <c r="FK109" s="237" t="s">
        <v>1107</v>
      </c>
      <c r="FL109" s="237" t="s">
        <v>1107</v>
      </c>
      <c r="FM109" s="237" t="s">
        <v>1107</v>
      </c>
      <c r="FN109" s="237" t="s">
        <v>1107</v>
      </c>
      <c r="FO109" s="237" t="s">
        <v>1107</v>
      </c>
      <c r="FP109" s="237" t="s">
        <v>1107</v>
      </c>
      <c r="FQ109" s="237" t="s">
        <v>1107</v>
      </c>
      <c r="FR109" s="237" t="s">
        <v>1107</v>
      </c>
      <c r="FS109" s="237" t="s">
        <v>1107</v>
      </c>
      <c r="FT109" s="237" t="s">
        <v>1107</v>
      </c>
      <c r="FU109" s="237" t="s">
        <v>1107</v>
      </c>
      <c r="FV109" s="237" t="s">
        <v>1107</v>
      </c>
      <c r="FW109" s="237" t="s">
        <v>1107</v>
      </c>
      <c r="FX109" s="237" t="s">
        <v>1107</v>
      </c>
      <c r="FY109" s="237" t="s">
        <v>231</v>
      </c>
      <c r="FZ109" s="237" t="s">
        <v>231</v>
      </c>
      <c r="GA109" s="237" t="s">
        <v>1107</v>
      </c>
      <c r="GB109" s="237" t="s">
        <v>1107</v>
      </c>
      <c r="GC109" s="237" t="s">
        <v>231</v>
      </c>
      <c r="GD109" s="237" t="s">
        <v>1107</v>
      </c>
      <c r="GE109" s="237" t="s">
        <v>1107</v>
      </c>
      <c r="GF109" s="237" t="s">
        <v>1107</v>
      </c>
      <c r="GG109" s="237" t="s">
        <v>1107</v>
      </c>
      <c r="GH109" s="237" t="s">
        <v>1107</v>
      </c>
      <c r="GI109" s="237" t="s">
        <v>1107</v>
      </c>
      <c r="GJ109" s="237" t="s">
        <v>1107</v>
      </c>
      <c r="GK109" s="237" t="s">
        <v>1107</v>
      </c>
      <c r="GL109" s="237" t="s">
        <v>1107</v>
      </c>
      <c r="GM109" s="237" t="s">
        <v>1107</v>
      </c>
      <c r="GN109" s="237" t="s">
        <v>1107</v>
      </c>
      <c r="GO109" s="237" t="s">
        <v>1107</v>
      </c>
      <c r="GP109" s="237" t="s">
        <v>1107</v>
      </c>
      <c r="GQ109" s="237" t="s">
        <v>1107</v>
      </c>
      <c r="GR109" s="237" t="s">
        <v>1107</v>
      </c>
      <c r="GS109" s="237" t="s">
        <v>1107</v>
      </c>
      <c r="GT109" s="237" t="s">
        <v>1107</v>
      </c>
      <c r="GU109" s="237" t="s">
        <v>1107</v>
      </c>
      <c r="GV109" s="237" t="s">
        <v>1107</v>
      </c>
      <c r="GW109" s="237" t="s">
        <v>1107</v>
      </c>
      <c r="GX109" s="237" t="s">
        <v>1107</v>
      </c>
      <c r="GY109" s="237" t="s">
        <v>1107</v>
      </c>
      <c r="GZ109" s="237" t="s">
        <v>1107</v>
      </c>
      <c r="HA109" s="237" t="s">
        <v>1107</v>
      </c>
      <c r="HB109" s="237" t="s">
        <v>1107</v>
      </c>
      <c r="HC109" s="237" t="s">
        <v>1107</v>
      </c>
      <c r="HD109" s="237" t="s">
        <v>1107</v>
      </c>
      <c r="HE109" s="237" t="s">
        <v>1107</v>
      </c>
      <c r="HF109" s="237" t="s">
        <v>1107</v>
      </c>
      <c r="HG109" s="237" t="s">
        <v>1107</v>
      </c>
      <c r="HH109" s="237" t="s">
        <v>1107</v>
      </c>
      <c r="HI109" s="237" t="s">
        <v>1107</v>
      </c>
      <c r="HJ109" s="237" t="s">
        <v>1107</v>
      </c>
      <c r="HK109" s="237" t="s">
        <v>1107</v>
      </c>
      <c r="HL109" s="237" t="s">
        <v>1107</v>
      </c>
      <c r="HM109" s="237" t="s">
        <v>1107</v>
      </c>
      <c r="HN109" s="237" t="s">
        <v>1107</v>
      </c>
      <c r="HO109" s="237" t="s">
        <v>1107</v>
      </c>
      <c r="HP109" s="237" t="s">
        <v>1107</v>
      </c>
      <c r="HQ109" s="237" t="s">
        <v>1107</v>
      </c>
      <c r="HR109" s="237" t="s">
        <v>1107</v>
      </c>
      <c r="HS109" s="237" t="s">
        <v>1107</v>
      </c>
      <c r="HT109" s="237" t="s">
        <v>231</v>
      </c>
      <c r="HU109" s="237" t="s">
        <v>231</v>
      </c>
      <c r="HV109" s="237" t="s">
        <v>231</v>
      </c>
      <c r="HW109" s="237" t="s">
        <v>1107</v>
      </c>
      <c r="HX109" s="237" t="s">
        <v>219</v>
      </c>
      <c r="HY109" s="237" t="s">
        <v>219</v>
      </c>
      <c r="HZ109" s="237" t="s">
        <v>219</v>
      </c>
      <c r="IA109" s="237" t="s">
        <v>490</v>
      </c>
      <c r="IB109" s="237" t="s">
        <v>492</v>
      </c>
      <c r="IC109" s="237" t="s">
        <v>492</v>
      </c>
    </row>
    <row r="110" spans="1:237" ht="15" x14ac:dyDescent="0.25">
      <c r="A110" s="244" t="str">
        <f>HYPERLINK("http://www.ofsted.gov.uk/inspection-reports/find-inspection-report/provider/ELS/108416 ","Ofsted School Webpage")</f>
        <v>Ofsted School Webpage</v>
      </c>
      <c r="B110" s="240">
        <v>108416</v>
      </c>
      <c r="C110" s="240">
        <v>3906004</v>
      </c>
      <c r="D110" s="240" t="s">
        <v>1321</v>
      </c>
      <c r="E110" s="240" t="s">
        <v>247</v>
      </c>
      <c r="F110" s="240" t="s">
        <v>523</v>
      </c>
      <c r="G110" s="240" t="s">
        <v>539</v>
      </c>
      <c r="H110" s="240" t="s">
        <v>883</v>
      </c>
      <c r="I110" s="240" t="s">
        <v>1322</v>
      </c>
      <c r="J110" s="240" t="s">
        <v>93</v>
      </c>
      <c r="K110" s="240" t="s">
        <v>93</v>
      </c>
      <c r="L110" s="240" t="s">
        <v>93</v>
      </c>
      <c r="M110" s="240" t="s">
        <v>90</v>
      </c>
      <c r="N110" s="240" t="s">
        <v>486</v>
      </c>
      <c r="O110" s="240" t="s">
        <v>487</v>
      </c>
      <c r="P110" s="240">
        <v>10092674</v>
      </c>
      <c r="Q110" s="242">
        <v>43487</v>
      </c>
      <c r="R110" s="242">
        <v>43487</v>
      </c>
      <c r="S110" s="242">
        <v>43544</v>
      </c>
      <c r="T110" s="240" t="s">
        <v>1283</v>
      </c>
      <c r="U110" s="240" t="s">
        <v>1105</v>
      </c>
      <c r="V110" s="240" t="s">
        <v>512</v>
      </c>
      <c r="W110" s="240" t="s">
        <v>486</v>
      </c>
      <c r="X110" s="240" t="s">
        <v>486</v>
      </c>
      <c r="Y110" s="240" t="s">
        <v>486</v>
      </c>
      <c r="Z110" s="240" t="s">
        <v>486</v>
      </c>
      <c r="AA110" s="240" t="s">
        <v>490</v>
      </c>
      <c r="AB110" s="240" t="s">
        <v>486</v>
      </c>
      <c r="AC110" s="240" t="s">
        <v>486</v>
      </c>
      <c r="AD110" s="240" t="s">
        <v>1163</v>
      </c>
      <c r="AE110" s="240" t="s">
        <v>1107</v>
      </c>
      <c r="AF110" s="240" t="s">
        <v>1107</v>
      </c>
      <c r="AG110" s="240" t="s">
        <v>1107</v>
      </c>
      <c r="AH110" s="240" t="s">
        <v>1107</v>
      </c>
      <c r="AI110" s="240" t="s">
        <v>1107</v>
      </c>
      <c r="AJ110" s="240" t="s">
        <v>1107</v>
      </c>
      <c r="AK110" s="240" t="s">
        <v>1107</v>
      </c>
      <c r="AL110" s="240" t="s">
        <v>1107</v>
      </c>
      <c r="AM110" s="240" t="s">
        <v>1107</v>
      </c>
      <c r="AN110" s="240" t="s">
        <v>1107</v>
      </c>
      <c r="AO110" s="240" t="s">
        <v>1107</v>
      </c>
      <c r="AP110" s="240" t="s">
        <v>1107</v>
      </c>
      <c r="AQ110" s="240" t="s">
        <v>1107</v>
      </c>
      <c r="AR110" s="240" t="s">
        <v>1107</v>
      </c>
      <c r="AS110" s="240" t="s">
        <v>1107</v>
      </c>
      <c r="AT110" s="240" t="s">
        <v>1107</v>
      </c>
      <c r="AU110" s="240" t="s">
        <v>1107</v>
      </c>
      <c r="AV110" s="240" t="s">
        <v>1107</v>
      </c>
      <c r="AW110" s="240" t="s">
        <v>1107</v>
      </c>
      <c r="AX110" s="240" t="s">
        <v>1107</v>
      </c>
      <c r="AY110" s="240" t="s">
        <v>232</v>
      </c>
      <c r="AZ110" s="240" t="s">
        <v>1107</v>
      </c>
      <c r="BA110" s="240" t="s">
        <v>1107</v>
      </c>
      <c r="BB110" s="240" t="s">
        <v>1107</v>
      </c>
      <c r="BC110" s="240" t="s">
        <v>1107</v>
      </c>
      <c r="BD110" s="240" t="s">
        <v>1107</v>
      </c>
      <c r="BE110" s="240" t="s">
        <v>1107</v>
      </c>
      <c r="BF110" s="240" t="s">
        <v>492</v>
      </c>
      <c r="BG110" s="240" t="s">
        <v>1107</v>
      </c>
      <c r="BH110" s="240" t="s">
        <v>1107</v>
      </c>
      <c r="BI110" s="240" t="s">
        <v>232</v>
      </c>
      <c r="BJ110" s="240" t="s">
        <v>1107</v>
      </c>
      <c r="BK110" s="240" t="s">
        <v>231</v>
      </c>
      <c r="BL110" s="240" t="s">
        <v>231</v>
      </c>
      <c r="BM110" s="240" t="s">
        <v>232</v>
      </c>
      <c r="BN110" s="240" t="s">
        <v>231</v>
      </c>
      <c r="BO110" s="240" t="s">
        <v>231</v>
      </c>
      <c r="BP110" s="240" t="s">
        <v>231</v>
      </c>
      <c r="BQ110" s="240" t="s">
        <v>231</v>
      </c>
      <c r="BR110" s="240" t="s">
        <v>231</v>
      </c>
      <c r="BS110" s="240" t="s">
        <v>232</v>
      </c>
      <c r="BT110" s="240" t="s">
        <v>231</v>
      </c>
      <c r="BU110" s="240" t="s">
        <v>231</v>
      </c>
      <c r="BV110" s="240" t="s">
        <v>231</v>
      </c>
      <c r="BW110" s="240" t="s">
        <v>231</v>
      </c>
      <c r="BX110" s="240" t="s">
        <v>231</v>
      </c>
      <c r="BY110" s="240" t="s">
        <v>231</v>
      </c>
      <c r="BZ110" s="240" t="s">
        <v>231</v>
      </c>
      <c r="CA110" s="240" t="s">
        <v>231</v>
      </c>
      <c r="CB110" s="240" t="s">
        <v>231</v>
      </c>
      <c r="CC110" s="240" t="s">
        <v>492</v>
      </c>
      <c r="CD110" s="240" t="s">
        <v>492</v>
      </c>
      <c r="CE110" s="240" t="s">
        <v>492</v>
      </c>
      <c r="CF110" s="240" t="s">
        <v>231</v>
      </c>
      <c r="CG110" s="240" t="s">
        <v>231</v>
      </c>
      <c r="CH110" s="240" t="s">
        <v>231</v>
      </c>
      <c r="CI110" s="240" t="s">
        <v>232</v>
      </c>
      <c r="CJ110" s="240" t="s">
        <v>231</v>
      </c>
      <c r="CK110" s="240" t="s">
        <v>231</v>
      </c>
      <c r="CL110" s="240" t="s">
        <v>231</v>
      </c>
      <c r="CM110" s="240" t="s">
        <v>231</v>
      </c>
      <c r="CN110" s="240" t="s">
        <v>231</v>
      </c>
      <c r="CO110" s="240" t="s">
        <v>231</v>
      </c>
      <c r="CP110" s="240" t="s">
        <v>232</v>
      </c>
      <c r="CQ110" s="240" t="s">
        <v>232</v>
      </c>
      <c r="CR110" s="240" t="s">
        <v>231</v>
      </c>
      <c r="CS110" s="240" t="s">
        <v>1107</v>
      </c>
      <c r="CT110" s="240" t="s">
        <v>1107</v>
      </c>
      <c r="CU110" s="240" t="s">
        <v>1107</v>
      </c>
      <c r="CV110" s="240" t="s">
        <v>1107</v>
      </c>
      <c r="CW110" s="240" t="s">
        <v>1107</v>
      </c>
      <c r="CX110" s="240" t="s">
        <v>1107</v>
      </c>
      <c r="CY110" s="240" t="s">
        <v>1107</v>
      </c>
      <c r="CZ110" s="240" t="s">
        <v>1107</v>
      </c>
      <c r="DA110" s="240" t="s">
        <v>1107</v>
      </c>
      <c r="DB110" s="240" t="s">
        <v>1107</v>
      </c>
      <c r="DC110" s="240" t="s">
        <v>1107</v>
      </c>
      <c r="DD110" s="240" t="s">
        <v>1107</v>
      </c>
      <c r="DE110" s="240" t="s">
        <v>1107</v>
      </c>
      <c r="DF110" s="240" t="s">
        <v>1107</v>
      </c>
      <c r="DG110" s="240" t="s">
        <v>1107</v>
      </c>
      <c r="DH110" s="240" t="s">
        <v>1107</v>
      </c>
      <c r="DI110" s="240" t="s">
        <v>1107</v>
      </c>
      <c r="DJ110" s="240" t="s">
        <v>1107</v>
      </c>
      <c r="DK110" s="240" t="s">
        <v>1107</v>
      </c>
      <c r="DL110" s="240" t="s">
        <v>1107</v>
      </c>
      <c r="DM110" s="240" t="s">
        <v>1107</v>
      </c>
      <c r="DN110" s="240" t="s">
        <v>1107</v>
      </c>
      <c r="DO110" s="240" t="s">
        <v>1107</v>
      </c>
      <c r="DP110" s="240" t="s">
        <v>1107</v>
      </c>
      <c r="DQ110" s="240" t="s">
        <v>1107</v>
      </c>
      <c r="DR110" s="240" t="s">
        <v>1107</v>
      </c>
      <c r="DS110" s="240" t="s">
        <v>1107</v>
      </c>
      <c r="DT110" s="240" t="s">
        <v>1107</v>
      </c>
      <c r="DU110" s="240" t="s">
        <v>1107</v>
      </c>
      <c r="DV110" s="240" t="s">
        <v>1107</v>
      </c>
      <c r="DW110" s="240" t="s">
        <v>1107</v>
      </c>
      <c r="DX110" s="240" t="s">
        <v>1107</v>
      </c>
      <c r="DY110" s="240" t="s">
        <v>1107</v>
      </c>
      <c r="DZ110" s="240" t="s">
        <v>1107</v>
      </c>
      <c r="EA110" s="240" t="s">
        <v>1107</v>
      </c>
      <c r="EB110" s="240" t="s">
        <v>1107</v>
      </c>
      <c r="EC110" s="240" t="s">
        <v>1107</v>
      </c>
      <c r="ED110" s="240" t="s">
        <v>1107</v>
      </c>
      <c r="EE110" s="240" t="s">
        <v>1107</v>
      </c>
      <c r="EF110" s="240" t="s">
        <v>1107</v>
      </c>
      <c r="EG110" s="240" t="s">
        <v>1107</v>
      </c>
      <c r="EH110" s="240" t="s">
        <v>1107</v>
      </c>
      <c r="EI110" s="240" t="s">
        <v>1107</v>
      </c>
      <c r="EJ110" s="240" t="s">
        <v>1107</v>
      </c>
      <c r="EK110" s="240" t="s">
        <v>1107</v>
      </c>
      <c r="EL110" s="240" t="s">
        <v>1107</v>
      </c>
      <c r="EM110" s="240" t="s">
        <v>1107</v>
      </c>
      <c r="EN110" s="240" t="s">
        <v>1107</v>
      </c>
      <c r="EO110" s="240" t="s">
        <v>1107</v>
      </c>
      <c r="EP110" s="240" t="s">
        <v>1107</v>
      </c>
      <c r="EQ110" s="240" t="s">
        <v>1107</v>
      </c>
      <c r="ER110" s="240" t="s">
        <v>1107</v>
      </c>
      <c r="ES110" s="240" t="s">
        <v>1107</v>
      </c>
      <c r="ET110" s="240" t="s">
        <v>1107</v>
      </c>
      <c r="EU110" s="240" t="s">
        <v>1107</v>
      </c>
      <c r="EV110" s="240" t="s">
        <v>1107</v>
      </c>
      <c r="EW110" s="240" t="s">
        <v>1107</v>
      </c>
      <c r="EX110" s="240" t="s">
        <v>1107</v>
      </c>
      <c r="EY110" s="240" t="s">
        <v>1107</v>
      </c>
      <c r="EZ110" s="240" t="s">
        <v>231</v>
      </c>
      <c r="FA110" s="240" t="s">
        <v>231</v>
      </c>
      <c r="FB110" s="240" t="s">
        <v>231</v>
      </c>
      <c r="FC110" s="240" t="s">
        <v>231</v>
      </c>
      <c r="FD110" s="240" t="s">
        <v>231</v>
      </c>
      <c r="FE110" s="240" t="s">
        <v>231</v>
      </c>
      <c r="FF110" s="240" t="s">
        <v>231</v>
      </c>
      <c r="FG110" s="240" t="s">
        <v>231</v>
      </c>
      <c r="FH110" s="240" t="s">
        <v>231</v>
      </c>
      <c r="FI110" s="240" t="s">
        <v>231</v>
      </c>
      <c r="FJ110" s="240" t="s">
        <v>231</v>
      </c>
      <c r="FK110" s="240" t="s">
        <v>231</v>
      </c>
      <c r="FL110" s="240" t="s">
        <v>231</v>
      </c>
      <c r="FM110" s="240" t="s">
        <v>231</v>
      </c>
      <c r="FN110" s="240" t="s">
        <v>231</v>
      </c>
      <c r="FO110" s="240" t="s">
        <v>231</v>
      </c>
      <c r="FP110" s="240" t="s">
        <v>231</v>
      </c>
      <c r="FQ110" s="240" t="s">
        <v>231</v>
      </c>
      <c r="FR110" s="240" t="s">
        <v>231</v>
      </c>
      <c r="FS110" s="240" t="s">
        <v>231</v>
      </c>
      <c r="FT110" s="240" t="s">
        <v>231</v>
      </c>
      <c r="FU110" s="240" t="s">
        <v>231</v>
      </c>
      <c r="FV110" s="240" t="s">
        <v>231</v>
      </c>
      <c r="FW110" s="240" t="s">
        <v>231</v>
      </c>
      <c r="FX110" s="240" t="s">
        <v>231</v>
      </c>
      <c r="FY110" s="240" t="s">
        <v>231</v>
      </c>
      <c r="FZ110" s="240" t="s">
        <v>231</v>
      </c>
      <c r="GA110" s="240" t="s">
        <v>231</v>
      </c>
      <c r="GB110" s="240" t="s">
        <v>231</v>
      </c>
      <c r="GC110" s="240" t="s">
        <v>231</v>
      </c>
      <c r="GD110" s="240" t="s">
        <v>1107</v>
      </c>
      <c r="GE110" s="240" t="s">
        <v>1107</v>
      </c>
      <c r="GF110" s="240" t="s">
        <v>1107</v>
      </c>
      <c r="GG110" s="240" t="s">
        <v>1107</v>
      </c>
      <c r="GH110" s="240" t="s">
        <v>1107</v>
      </c>
      <c r="GI110" s="240" t="s">
        <v>1107</v>
      </c>
      <c r="GJ110" s="240" t="s">
        <v>1107</v>
      </c>
      <c r="GK110" s="240" t="s">
        <v>1107</v>
      </c>
      <c r="GL110" s="240" t="s">
        <v>1107</v>
      </c>
      <c r="GM110" s="240" t="s">
        <v>1107</v>
      </c>
      <c r="GN110" s="240" t="s">
        <v>1107</v>
      </c>
      <c r="GO110" s="240" t="s">
        <v>1107</v>
      </c>
      <c r="GP110" s="240" t="s">
        <v>1107</v>
      </c>
      <c r="GQ110" s="240" t="s">
        <v>1107</v>
      </c>
      <c r="GR110" s="240" t="s">
        <v>1107</v>
      </c>
      <c r="GS110" s="240" t="s">
        <v>1107</v>
      </c>
      <c r="GT110" s="240" t="s">
        <v>1107</v>
      </c>
      <c r="GU110" s="240" t="s">
        <v>1107</v>
      </c>
      <c r="GV110" s="240" t="s">
        <v>1107</v>
      </c>
      <c r="GW110" s="240" t="s">
        <v>1107</v>
      </c>
      <c r="GX110" s="240" t="s">
        <v>1107</v>
      </c>
      <c r="GY110" s="240" t="s">
        <v>1107</v>
      </c>
      <c r="GZ110" s="240" t="s">
        <v>1107</v>
      </c>
      <c r="HA110" s="240" t="s">
        <v>1107</v>
      </c>
      <c r="HB110" s="240" t="s">
        <v>1107</v>
      </c>
      <c r="HC110" s="240" t="s">
        <v>1107</v>
      </c>
      <c r="HD110" s="240" t="s">
        <v>1107</v>
      </c>
      <c r="HE110" s="240" t="s">
        <v>1107</v>
      </c>
      <c r="HF110" s="240" t="s">
        <v>1107</v>
      </c>
      <c r="HG110" s="240" t="s">
        <v>1107</v>
      </c>
      <c r="HH110" s="240" t="s">
        <v>1107</v>
      </c>
      <c r="HI110" s="240" t="s">
        <v>1107</v>
      </c>
      <c r="HJ110" s="240" t="s">
        <v>1107</v>
      </c>
      <c r="HK110" s="240" t="s">
        <v>1107</v>
      </c>
      <c r="HL110" s="240" t="s">
        <v>1107</v>
      </c>
      <c r="HM110" s="240" t="s">
        <v>1107</v>
      </c>
      <c r="HN110" s="240" t="s">
        <v>1107</v>
      </c>
      <c r="HO110" s="240" t="s">
        <v>1107</v>
      </c>
      <c r="HP110" s="240" t="s">
        <v>1107</v>
      </c>
      <c r="HQ110" s="240" t="s">
        <v>1107</v>
      </c>
      <c r="HR110" s="240" t="s">
        <v>1107</v>
      </c>
      <c r="HS110" s="240" t="s">
        <v>1107</v>
      </c>
      <c r="HT110" s="240" t="s">
        <v>232</v>
      </c>
      <c r="HU110" s="240" t="s">
        <v>232</v>
      </c>
      <c r="HV110" s="240" t="s">
        <v>232</v>
      </c>
      <c r="HW110" s="240" t="s">
        <v>232</v>
      </c>
      <c r="HX110" s="240" t="s">
        <v>597</v>
      </c>
      <c r="HY110" s="240" t="s">
        <v>597</v>
      </c>
      <c r="HZ110" s="240" t="s">
        <v>597</v>
      </c>
      <c r="IA110" s="240" t="s">
        <v>512</v>
      </c>
      <c r="IB110" s="240" t="s">
        <v>492</v>
      </c>
      <c r="IC110" s="240" t="s">
        <v>492</v>
      </c>
    </row>
    <row r="111" spans="1:237" ht="15" x14ac:dyDescent="0.25">
      <c r="A111" s="243" t="str">
        <f>HYPERLINK("http://www.ofsted.gov.uk/inspection-reports/find-inspection-report/provider/ELS/143040 ","Ofsted School Webpage")</f>
        <v>Ofsted School Webpage</v>
      </c>
      <c r="B111" s="237">
        <v>143040</v>
      </c>
      <c r="C111" s="237">
        <v>3306030</v>
      </c>
      <c r="D111" s="237" t="s">
        <v>1323</v>
      </c>
      <c r="E111" s="237" t="s">
        <v>247</v>
      </c>
      <c r="F111" s="237" t="s">
        <v>502</v>
      </c>
      <c r="G111" s="237" t="s">
        <v>502</v>
      </c>
      <c r="H111" s="237" t="s">
        <v>909</v>
      </c>
      <c r="I111" s="237" t="s">
        <v>1324</v>
      </c>
      <c r="J111" s="237" t="s">
        <v>93</v>
      </c>
      <c r="K111" s="237" t="s">
        <v>93</v>
      </c>
      <c r="L111" s="237" t="s">
        <v>93</v>
      </c>
      <c r="M111" s="237" t="s">
        <v>90</v>
      </c>
      <c r="N111" s="237" t="s">
        <v>486</v>
      </c>
      <c r="O111" s="237" t="s">
        <v>487</v>
      </c>
      <c r="P111" s="237">
        <v>10085969</v>
      </c>
      <c r="Q111" s="239">
        <v>43488</v>
      </c>
      <c r="R111" s="239">
        <v>43488</v>
      </c>
      <c r="S111" s="239">
        <v>43528</v>
      </c>
      <c r="T111" s="237" t="s">
        <v>1109</v>
      </c>
      <c r="U111" s="237" t="s">
        <v>1105</v>
      </c>
      <c r="V111" s="237" t="s">
        <v>490</v>
      </c>
      <c r="W111" s="237" t="s">
        <v>486</v>
      </c>
      <c r="X111" s="237" t="s">
        <v>486</v>
      </c>
      <c r="Y111" s="237" t="s">
        <v>486</v>
      </c>
      <c r="Z111" s="237" t="s">
        <v>486</v>
      </c>
      <c r="AA111" s="237" t="s">
        <v>486</v>
      </c>
      <c r="AB111" s="237" t="s">
        <v>486</v>
      </c>
      <c r="AC111" s="237" t="s">
        <v>486</v>
      </c>
      <c r="AD111" s="237" t="s">
        <v>1110</v>
      </c>
      <c r="AE111" s="237" t="s">
        <v>1107</v>
      </c>
      <c r="AF111" s="237" t="s">
        <v>1107</v>
      </c>
      <c r="AG111" s="237" t="s">
        <v>1107</v>
      </c>
      <c r="AH111" s="237" t="s">
        <v>1107</v>
      </c>
      <c r="AI111" s="237" t="s">
        <v>1107</v>
      </c>
      <c r="AJ111" s="237" t="s">
        <v>1107</v>
      </c>
      <c r="AK111" s="237" t="s">
        <v>1107</v>
      </c>
      <c r="AL111" s="237" t="s">
        <v>1107</v>
      </c>
      <c r="AM111" s="237" t="s">
        <v>1107</v>
      </c>
      <c r="AN111" s="237" t="s">
        <v>1107</v>
      </c>
      <c r="AO111" s="237" t="s">
        <v>1107</v>
      </c>
      <c r="AP111" s="237" t="s">
        <v>1107</v>
      </c>
      <c r="AQ111" s="237" t="s">
        <v>1107</v>
      </c>
      <c r="AR111" s="237" t="s">
        <v>1107</v>
      </c>
      <c r="AS111" s="237" t="s">
        <v>1107</v>
      </c>
      <c r="AT111" s="237" t="s">
        <v>1107</v>
      </c>
      <c r="AU111" s="237" t="s">
        <v>1107</v>
      </c>
      <c r="AV111" s="237" t="s">
        <v>1107</v>
      </c>
      <c r="AW111" s="237" t="s">
        <v>1107</v>
      </c>
      <c r="AX111" s="237" t="s">
        <v>1107</v>
      </c>
      <c r="AY111" s="237" t="s">
        <v>231</v>
      </c>
      <c r="AZ111" s="237" t="s">
        <v>231</v>
      </c>
      <c r="BA111" s="237" t="s">
        <v>1107</v>
      </c>
      <c r="BB111" s="237" t="s">
        <v>231</v>
      </c>
      <c r="BC111" s="237" t="s">
        <v>231</v>
      </c>
      <c r="BD111" s="237" t="s">
        <v>1107</v>
      </c>
      <c r="BE111" s="237" t="s">
        <v>1107</v>
      </c>
      <c r="BF111" s="237" t="s">
        <v>231</v>
      </c>
      <c r="BG111" s="237" t="s">
        <v>1107</v>
      </c>
      <c r="BH111" s="237" t="s">
        <v>1107</v>
      </c>
      <c r="BI111" s="237" t="s">
        <v>1107</v>
      </c>
      <c r="BJ111" s="237" t="s">
        <v>1107</v>
      </c>
      <c r="BK111" s="237" t="s">
        <v>1107</v>
      </c>
      <c r="BL111" s="237" t="s">
        <v>1107</v>
      </c>
      <c r="BM111" s="237" t="s">
        <v>1107</v>
      </c>
      <c r="BN111" s="237" t="s">
        <v>1107</v>
      </c>
      <c r="BO111" s="237" t="s">
        <v>1107</v>
      </c>
      <c r="BP111" s="237" t="s">
        <v>1107</v>
      </c>
      <c r="BQ111" s="237" t="s">
        <v>1107</v>
      </c>
      <c r="BR111" s="237" t="s">
        <v>1107</v>
      </c>
      <c r="BS111" s="237" t="s">
        <v>1107</v>
      </c>
      <c r="BT111" s="237" t="s">
        <v>1107</v>
      </c>
      <c r="BU111" s="237" t="s">
        <v>1107</v>
      </c>
      <c r="BV111" s="237" t="s">
        <v>1107</v>
      </c>
      <c r="BW111" s="237" t="s">
        <v>1107</v>
      </c>
      <c r="BX111" s="237" t="s">
        <v>1107</v>
      </c>
      <c r="BY111" s="237" t="s">
        <v>1107</v>
      </c>
      <c r="BZ111" s="237" t="s">
        <v>231</v>
      </c>
      <c r="CA111" s="237" t="s">
        <v>231</v>
      </c>
      <c r="CB111" s="237" t="s">
        <v>231</v>
      </c>
      <c r="CC111" s="237" t="s">
        <v>1107</v>
      </c>
      <c r="CD111" s="237" t="s">
        <v>1107</v>
      </c>
      <c r="CE111" s="237" t="s">
        <v>1107</v>
      </c>
      <c r="CF111" s="237" t="s">
        <v>1107</v>
      </c>
      <c r="CG111" s="237" t="s">
        <v>1107</v>
      </c>
      <c r="CH111" s="237" t="s">
        <v>1107</v>
      </c>
      <c r="CI111" s="237" t="s">
        <v>1107</v>
      </c>
      <c r="CJ111" s="237" t="s">
        <v>1107</v>
      </c>
      <c r="CK111" s="237" t="s">
        <v>1107</v>
      </c>
      <c r="CL111" s="237" t="s">
        <v>1107</v>
      </c>
      <c r="CM111" s="237" t="s">
        <v>1107</v>
      </c>
      <c r="CN111" s="237" t="s">
        <v>1107</v>
      </c>
      <c r="CO111" s="237" t="s">
        <v>1107</v>
      </c>
      <c r="CP111" s="237" t="s">
        <v>1107</v>
      </c>
      <c r="CQ111" s="237" t="s">
        <v>1107</v>
      </c>
      <c r="CR111" s="237" t="s">
        <v>1107</v>
      </c>
      <c r="CS111" s="237" t="s">
        <v>1107</v>
      </c>
      <c r="CT111" s="237" t="s">
        <v>1107</v>
      </c>
      <c r="CU111" s="237" t="s">
        <v>1107</v>
      </c>
      <c r="CV111" s="237" t="s">
        <v>1107</v>
      </c>
      <c r="CW111" s="237" t="s">
        <v>1107</v>
      </c>
      <c r="CX111" s="237" t="s">
        <v>1107</v>
      </c>
      <c r="CY111" s="237" t="s">
        <v>1107</v>
      </c>
      <c r="CZ111" s="237" t="s">
        <v>1107</v>
      </c>
      <c r="DA111" s="237" t="s">
        <v>1107</v>
      </c>
      <c r="DB111" s="237" t="s">
        <v>1107</v>
      </c>
      <c r="DC111" s="237" t="s">
        <v>1107</v>
      </c>
      <c r="DD111" s="237" t="s">
        <v>1107</v>
      </c>
      <c r="DE111" s="237" t="s">
        <v>1107</v>
      </c>
      <c r="DF111" s="237" t="s">
        <v>1107</v>
      </c>
      <c r="DG111" s="237" t="s">
        <v>1107</v>
      </c>
      <c r="DH111" s="237" t="s">
        <v>1107</v>
      </c>
      <c r="DI111" s="237" t="s">
        <v>1107</v>
      </c>
      <c r="DJ111" s="237" t="s">
        <v>1107</v>
      </c>
      <c r="DK111" s="237" t="s">
        <v>1107</v>
      </c>
      <c r="DL111" s="237" t="s">
        <v>1107</v>
      </c>
      <c r="DM111" s="237" t="s">
        <v>1107</v>
      </c>
      <c r="DN111" s="237" t="s">
        <v>1107</v>
      </c>
      <c r="DO111" s="237" t="s">
        <v>1107</v>
      </c>
      <c r="DP111" s="237" t="s">
        <v>1107</v>
      </c>
      <c r="DQ111" s="237" t="s">
        <v>1107</v>
      </c>
      <c r="DR111" s="237" t="s">
        <v>1107</v>
      </c>
      <c r="DS111" s="237" t="s">
        <v>1107</v>
      </c>
      <c r="DT111" s="237" t="s">
        <v>1107</v>
      </c>
      <c r="DU111" s="237" t="s">
        <v>1107</v>
      </c>
      <c r="DV111" s="237" t="s">
        <v>1107</v>
      </c>
      <c r="DW111" s="237" t="s">
        <v>1107</v>
      </c>
      <c r="DX111" s="237" t="s">
        <v>1107</v>
      </c>
      <c r="DY111" s="237" t="s">
        <v>1107</v>
      </c>
      <c r="DZ111" s="237" t="s">
        <v>1107</v>
      </c>
      <c r="EA111" s="237" t="s">
        <v>1107</v>
      </c>
      <c r="EB111" s="237" t="s">
        <v>1107</v>
      </c>
      <c r="EC111" s="237" t="s">
        <v>1107</v>
      </c>
      <c r="ED111" s="237" t="s">
        <v>1107</v>
      </c>
      <c r="EE111" s="237" t="s">
        <v>1107</v>
      </c>
      <c r="EF111" s="237" t="s">
        <v>1107</v>
      </c>
      <c r="EG111" s="237" t="s">
        <v>1107</v>
      </c>
      <c r="EH111" s="237" t="s">
        <v>1107</v>
      </c>
      <c r="EI111" s="237" t="s">
        <v>1107</v>
      </c>
      <c r="EJ111" s="237" t="s">
        <v>1107</v>
      </c>
      <c r="EK111" s="237" t="s">
        <v>1107</v>
      </c>
      <c r="EL111" s="237" t="s">
        <v>1107</v>
      </c>
      <c r="EM111" s="237" t="s">
        <v>1107</v>
      </c>
      <c r="EN111" s="237" t="s">
        <v>1107</v>
      </c>
      <c r="EO111" s="237" t="s">
        <v>1107</v>
      </c>
      <c r="EP111" s="237" t="s">
        <v>1107</v>
      </c>
      <c r="EQ111" s="237" t="s">
        <v>1107</v>
      </c>
      <c r="ER111" s="237" t="s">
        <v>1107</v>
      </c>
      <c r="ES111" s="237" t="s">
        <v>492</v>
      </c>
      <c r="ET111" s="237" t="s">
        <v>1107</v>
      </c>
      <c r="EU111" s="237" t="s">
        <v>1107</v>
      </c>
      <c r="EV111" s="237" t="s">
        <v>1107</v>
      </c>
      <c r="EW111" s="237" t="s">
        <v>1107</v>
      </c>
      <c r="EX111" s="237" t="s">
        <v>1107</v>
      </c>
      <c r="EY111" s="237" t="s">
        <v>1107</v>
      </c>
      <c r="EZ111" s="237" t="s">
        <v>1107</v>
      </c>
      <c r="FA111" s="237" t="s">
        <v>1107</v>
      </c>
      <c r="FB111" s="237" t="s">
        <v>1107</v>
      </c>
      <c r="FC111" s="237" t="s">
        <v>1107</v>
      </c>
      <c r="FD111" s="237" t="s">
        <v>1107</v>
      </c>
      <c r="FE111" s="237" t="s">
        <v>1107</v>
      </c>
      <c r="FF111" s="237" t="s">
        <v>1107</v>
      </c>
      <c r="FG111" s="237" t="s">
        <v>1107</v>
      </c>
      <c r="FH111" s="237" t="s">
        <v>1107</v>
      </c>
      <c r="FI111" s="237" t="s">
        <v>1107</v>
      </c>
      <c r="FJ111" s="237" t="s">
        <v>1107</v>
      </c>
      <c r="FK111" s="237" t="s">
        <v>1107</v>
      </c>
      <c r="FL111" s="237" t="s">
        <v>1107</v>
      </c>
      <c r="FM111" s="237" t="s">
        <v>1107</v>
      </c>
      <c r="FN111" s="237" t="s">
        <v>1107</v>
      </c>
      <c r="FO111" s="237" t="s">
        <v>1107</v>
      </c>
      <c r="FP111" s="237" t="s">
        <v>1107</v>
      </c>
      <c r="FQ111" s="237" t="s">
        <v>1107</v>
      </c>
      <c r="FR111" s="237" t="s">
        <v>1107</v>
      </c>
      <c r="FS111" s="237" t="s">
        <v>1107</v>
      </c>
      <c r="FT111" s="237" t="s">
        <v>1107</v>
      </c>
      <c r="FU111" s="237" t="s">
        <v>1107</v>
      </c>
      <c r="FV111" s="237" t="s">
        <v>1107</v>
      </c>
      <c r="FW111" s="237" t="s">
        <v>1107</v>
      </c>
      <c r="FX111" s="237" t="s">
        <v>1107</v>
      </c>
      <c r="FY111" s="237" t="s">
        <v>1107</v>
      </c>
      <c r="FZ111" s="237" t="s">
        <v>231</v>
      </c>
      <c r="GA111" s="237" t="s">
        <v>1107</v>
      </c>
      <c r="GB111" s="237" t="s">
        <v>1107</v>
      </c>
      <c r="GC111" s="237" t="s">
        <v>231</v>
      </c>
      <c r="GD111" s="237" t="s">
        <v>1107</v>
      </c>
      <c r="GE111" s="237" t="s">
        <v>1107</v>
      </c>
      <c r="GF111" s="237" t="s">
        <v>1107</v>
      </c>
      <c r="GG111" s="237" t="s">
        <v>1107</v>
      </c>
      <c r="GH111" s="237" t="s">
        <v>1107</v>
      </c>
      <c r="GI111" s="237" t="s">
        <v>1107</v>
      </c>
      <c r="GJ111" s="237" t="s">
        <v>1107</v>
      </c>
      <c r="GK111" s="237" t="s">
        <v>1107</v>
      </c>
      <c r="GL111" s="237" t="s">
        <v>1107</v>
      </c>
      <c r="GM111" s="237" t="s">
        <v>1107</v>
      </c>
      <c r="GN111" s="237" t="s">
        <v>1107</v>
      </c>
      <c r="GO111" s="237" t="s">
        <v>1107</v>
      </c>
      <c r="GP111" s="237" t="s">
        <v>1107</v>
      </c>
      <c r="GQ111" s="237" t="s">
        <v>1107</v>
      </c>
      <c r="GR111" s="237" t="s">
        <v>1107</v>
      </c>
      <c r="GS111" s="237" t="s">
        <v>1107</v>
      </c>
      <c r="GT111" s="237" t="s">
        <v>1107</v>
      </c>
      <c r="GU111" s="237" t="s">
        <v>1107</v>
      </c>
      <c r="GV111" s="237" t="s">
        <v>1107</v>
      </c>
      <c r="GW111" s="237" t="s">
        <v>1107</v>
      </c>
      <c r="GX111" s="237" t="s">
        <v>1107</v>
      </c>
      <c r="GY111" s="237" t="s">
        <v>1107</v>
      </c>
      <c r="GZ111" s="237" t="s">
        <v>1107</v>
      </c>
      <c r="HA111" s="237" t="s">
        <v>1107</v>
      </c>
      <c r="HB111" s="237" t="s">
        <v>1107</v>
      </c>
      <c r="HC111" s="237" t="s">
        <v>1107</v>
      </c>
      <c r="HD111" s="237" t="s">
        <v>1107</v>
      </c>
      <c r="HE111" s="237" t="s">
        <v>1107</v>
      </c>
      <c r="HF111" s="237" t="s">
        <v>1107</v>
      </c>
      <c r="HG111" s="237" t="s">
        <v>1107</v>
      </c>
      <c r="HH111" s="237" t="s">
        <v>1107</v>
      </c>
      <c r="HI111" s="237" t="s">
        <v>1107</v>
      </c>
      <c r="HJ111" s="237" t="s">
        <v>1107</v>
      </c>
      <c r="HK111" s="237" t="s">
        <v>1107</v>
      </c>
      <c r="HL111" s="237" t="s">
        <v>1107</v>
      </c>
      <c r="HM111" s="237" t="s">
        <v>1107</v>
      </c>
      <c r="HN111" s="237" t="s">
        <v>1107</v>
      </c>
      <c r="HO111" s="237" t="s">
        <v>1107</v>
      </c>
      <c r="HP111" s="237" t="s">
        <v>1107</v>
      </c>
      <c r="HQ111" s="237" t="s">
        <v>1107</v>
      </c>
      <c r="HR111" s="237" t="s">
        <v>1107</v>
      </c>
      <c r="HS111" s="237" t="s">
        <v>1107</v>
      </c>
      <c r="HT111" s="237" t="s">
        <v>231</v>
      </c>
      <c r="HU111" s="237" t="s">
        <v>231</v>
      </c>
      <c r="HV111" s="237" t="s">
        <v>231</v>
      </c>
      <c r="HW111" s="237" t="s">
        <v>1107</v>
      </c>
      <c r="HX111" s="237" t="s">
        <v>220</v>
      </c>
      <c r="HY111" s="237" t="s">
        <v>493</v>
      </c>
      <c r="HZ111" s="237" t="s">
        <v>219</v>
      </c>
      <c r="IA111" s="237" t="s">
        <v>490</v>
      </c>
      <c r="IB111" s="237" t="s">
        <v>1107</v>
      </c>
      <c r="IC111" s="237" t="s">
        <v>1107</v>
      </c>
    </row>
    <row r="112" spans="1:237" ht="15" x14ac:dyDescent="0.25">
      <c r="A112" s="244" t="str">
        <f>HYPERLINK("http://www.ofsted.gov.uk/inspection-reports/find-inspection-report/provider/ELS/137809 ","Ofsted School Webpage")</f>
        <v>Ofsted School Webpage</v>
      </c>
      <c r="B112" s="240">
        <v>137809</v>
      </c>
      <c r="C112" s="240">
        <v>2046004</v>
      </c>
      <c r="D112" s="240" t="s">
        <v>1325</v>
      </c>
      <c r="E112" s="240" t="s">
        <v>247</v>
      </c>
      <c r="F112" s="240" t="s">
        <v>506</v>
      </c>
      <c r="G112" s="240" t="s">
        <v>506</v>
      </c>
      <c r="H112" s="240" t="s">
        <v>617</v>
      </c>
      <c r="I112" s="240" t="s">
        <v>1326</v>
      </c>
      <c r="J112" s="240" t="s">
        <v>93</v>
      </c>
      <c r="K112" s="240" t="s">
        <v>81</v>
      </c>
      <c r="L112" s="240" t="s">
        <v>81</v>
      </c>
      <c r="M112" s="240" t="s">
        <v>81</v>
      </c>
      <c r="N112" s="240" t="s">
        <v>486</v>
      </c>
      <c r="O112" s="240" t="s">
        <v>487</v>
      </c>
      <c r="P112" s="240">
        <v>10089310</v>
      </c>
      <c r="Q112" s="242">
        <v>43489</v>
      </c>
      <c r="R112" s="242">
        <v>43489</v>
      </c>
      <c r="S112" s="242">
        <v>43529</v>
      </c>
      <c r="T112" s="240" t="s">
        <v>1124</v>
      </c>
      <c r="U112" s="240" t="s">
        <v>1105</v>
      </c>
      <c r="V112" s="240" t="s">
        <v>490</v>
      </c>
      <c r="W112" s="240" t="s">
        <v>486</v>
      </c>
      <c r="X112" s="240" t="s">
        <v>486</v>
      </c>
      <c r="Y112" s="240" t="s">
        <v>486</v>
      </c>
      <c r="Z112" s="240" t="s">
        <v>486</v>
      </c>
      <c r="AA112" s="240" t="s">
        <v>486</v>
      </c>
      <c r="AB112" s="240" t="s">
        <v>486</v>
      </c>
      <c r="AC112" s="240" t="s">
        <v>486</v>
      </c>
      <c r="AD112" s="240" t="s">
        <v>1136</v>
      </c>
      <c r="AE112" s="240" t="s">
        <v>1107</v>
      </c>
      <c r="AF112" s="240" t="s">
        <v>1107</v>
      </c>
      <c r="AG112" s="240" t="s">
        <v>1107</v>
      </c>
      <c r="AH112" s="240" t="s">
        <v>1107</v>
      </c>
      <c r="AI112" s="240" t="s">
        <v>1107</v>
      </c>
      <c r="AJ112" s="240" t="s">
        <v>1107</v>
      </c>
      <c r="AK112" s="240" t="s">
        <v>1107</v>
      </c>
      <c r="AL112" s="240" t="s">
        <v>1107</v>
      </c>
      <c r="AM112" s="240" t="s">
        <v>1107</v>
      </c>
      <c r="AN112" s="240" t="s">
        <v>1107</v>
      </c>
      <c r="AO112" s="240" t="s">
        <v>1107</v>
      </c>
      <c r="AP112" s="240" t="s">
        <v>1107</v>
      </c>
      <c r="AQ112" s="240" t="s">
        <v>1107</v>
      </c>
      <c r="AR112" s="240" t="s">
        <v>1107</v>
      </c>
      <c r="AS112" s="240" t="s">
        <v>1107</v>
      </c>
      <c r="AT112" s="240" t="s">
        <v>1107</v>
      </c>
      <c r="AU112" s="240" t="s">
        <v>1107</v>
      </c>
      <c r="AV112" s="240" t="s">
        <v>1107</v>
      </c>
      <c r="AW112" s="240" t="s">
        <v>1107</v>
      </c>
      <c r="AX112" s="240" t="s">
        <v>1107</v>
      </c>
      <c r="AY112" s="240" t="s">
        <v>1107</v>
      </c>
      <c r="AZ112" s="240" t="s">
        <v>1107</v>
      </c>
      <c r="BA112" s="240" t="s">
        <v>1107</v>
      </c>
      <c r="BB112" s="240" t="s">
        <v>1107</v>
      </c>
      <c r="BC112" s="240" t="s">
        <v>1107</v>
      </c>
      <c r="BD112" s="240" t="s">
        <v>1107</v>
      </c>
      <c r="BE112" s="240" t="s">
        <v>1107</v>
      </c>
      <c r="BF112" s="240" t="s">
        <v>1107</v>
      </c>
      <c r="BG112" s="240" t="s">
        <v>1107</v>
      </c>
      <c r="BH112" s="240" t="s">
        <v>1107</v>
      </c>
      <c r="BI112" s="240" t="s">
        <v>1107</v>
      </c>
      <c r="BJ112" s="240" t="s">
        <v>1107</v>
      </c>
      <c r="BK112" s="240" t="s">
        <v>1107</v>
      </c>
      <c r="BL112" s="240" t="s">
        <v>1107</v>
      </c>
      <c r="BM112" s="240" t="s">
        <v>1107</v>
      </c>
      <c r="BN112" s="240" t="s">
        <v>1107</v>
      </c>
      <c r="BO112" s="240" t="s">
        <v>1107</v>
      </c>
      <c r="BP112" s="240" t="s">
        <v>1107</v>
      </c>
      <c r="BQ112" s="240" t="s">
        <v>1107</v>
      </c>
      <c r="BR112" s="240" t="s">
        <v>1107</v>
      </c>
      <c r="BS112" s="240" t="s">
        <v>1107</v>
      </c>
      <c r="BT112" s="240" t="s">
        <v>1107</v>
      </c>
      <c r="BU112" s="240" t="s">
        <v>1107</v>
      </c>
      <c r="BV112" s="240" t="s">
        <v>1107</v>
      </c>
      <c r="BW112" s="240" t="s">
        <v>1107</v>
      </c>
      <c r="BX112" s="240" t="s">
        <v>1107</v>
      </c>
      <c r="BY112" s="240" t="s">
        <v>1107</v>
      </c>
      <c r="BZ112" s="240" t="s">
        <v>231</v>
      </c>
      <c r="CA112" s="240" t="s">
        <v>231</v>
      </c>
      <c r="CB112" s="240" t="s">
        <v>231</v>
      </c>
      <c r="CC112" s="240" t="s">
        <v>1107</v>
      </c>
      <c r="CD112" s="240" t="s">
        <v>1107</v>
      </c>
      <c r="CE112" s="240" t="s">
        <v>1107</v>
      </c>
      <c r="CF112" s="240" t="s">
        <v>231</v>
      </c>
      <c r="CG112" s="240" t="s">
        <v>231</v>
      </c>
      <c r="CH112" s="240" t="s">
        <v>231</v>
      </c>
      <c r="CI112" s="240" t="s">
        <v>231</v>
      </c>
      <c r="CJ112" s="240" t="s">
        <v>1107</v>
      </c>
      <c r="CK112" s="240" t="s">
        <v>1107</v>
      </c>
      <c r="CL112" s="240" t="s">
        <v>1107</v>
      </c>
      <c r="CM112" s="240" t="s">
        <v>1107</v>
      </c>
      <c r="CN112" s="240" t="s">
        <v>231</v>
      </c>
      <c r="CO112" s="240" t="s">
        <v>1107</v>
      </c>
      <c r="CP112" s="240" t="s">
        <v>1107</v>
      </c>
      <c r="CQ112" s="240" t="s">
        <v>1107</v>
      </c>
      <c r="CR112" s="240" t="s">
        <v>1107</v>
      </c>
      <c r="CS112" s="240" t="s">
        <v>1107</v>
      </c>
      <c r="CT112" s="240" t="s">
        <v>1107</v>
      </c>
      <c r="CU112" s="240" t="s">
        <v>1107</v>
      </c>
      <c r="CV112" s="240" t="s">
        <v>1107</v>
      </c>
      <c r="CW112" s="240" t="s">
        <v>1107</v>
      </c>
      <c r="CX112" s="240" t="s">
        <v>1107</v>
      </c>
      <c r="CY112" s="240" t="s">
        <v>1107</v>
      </c>
      <c r="CZ112" s="240" t="s">
        <v>1107</v>
      </c>
      <c r="DA112" s="240" t="s">
        <v>1107</v>
      </c>
      <c r="DB112" s="240" t="s">
        <v>1107</v>
      </c>
      <c r="DC112" s="240" t="s">
        <v>1107</v>
      </c>
      <c r="DD112" s="240" t="s">
        <v>1107</v>
      </c>
      <c r="DE112" s="240" t="s">
        <v>1107</v>
      </c>
      <c r="DF112" s="240" t="s">
        <v>1107</v>
      </c>
      <c r="DG112" s="240" t="s">
        <v>1107</v>
      </c>
      <c r="DH112" s="240" t="s">
        <v>1107</v>
      </c>
      <c r="DI112" s="240" t="s">
        <v>1107</v>
      </c>
      <c r="DJ112" s="240" t="s">
        <v>1107</v>
      </c>
      <c r="DK112" s="240" t="s">
        <v>1107</v>
      </c>
      <c r="DL112" s="240" t="s">
        <v>1107</v>
      </c>
      <c r="DM112" s="240" t="s">
        <v>1107</v>
      </c>
      <c r="DN112" s="240" t="s">
        <v>1107</v>
      </c>
      <c r="DO112" s="240" t="s">
        <v>1107</v>
      </c>
      <c r="DP112" s="240" t="s">
        <v>1107</v>
      </c>
      <c r="DQ112" s="240" t="s">
        <v>1107</v>
      </c>
      <c r="DR112" s="240" t="s">
        <v>1107</v>
      </c>
      <c r="DS112" s="240" t="s">
        <v>1107</v>
      </c>
      <c r="DT112" s="240" t="s">
        <v>1107</v>
      </c>
      <c r="DU112" s="240" t="s">
        <v>1107</v>
      </c>
      <c r="DV112" s="240" t="s">
        <v>1107</v>
      </c>
      <c r="DW112" s="240" t="s">
        <v>1107</v>
      </c>
      <c r="DX112" s="240" t="s">
        <v>1107</v>
      </c>
      <c r="DY112" s="240" t="s">
        <v>1107</v>
      </c>
      <c r="DZ112" s="240" t="s">
        <v>1107</v>
      </c>
      <c r="EA112" s="240" t="s">
        <v>1107</v>
      </c>
      <c r="EB112" s="240" t="s">
        <v>1107</v>
      </c>
      <c r="EC112" s="240" t="s">
        <v>1107</v>
      </c>
      <c r="ED112" s="240" t="s">
        <v>1107</v>
      </c>
      <c r="EE112" s="240" t="s">
        <v>1107</v>
      </c>
      <c r="EF112" s="240" t="s">
        <v>1107</v>
      </c>
      <c r="EG112" s="240" t="s">
        <v>1107</v>
      </c>
      <c r="EH112" s="240" t="s">
        <v>1107</v>
      </c>
      <c r="EI112" s="240" t="s">
        <v>1107</v>
      </c>
      <c r="EJ112" s="240" t="s">
        <v>1107</v>
      </c>
      <c r="EK112" s="240" t="s">
        <v>1107</v>
      </c>
      <c r="EL112" s="240" t="s">
        <v>1107</v>
      </c>
      <c r="EM112" s="240" t="s">
        <v>1107</v>
      </c>
      <c r="EN112" s="240" t="s">
        <v>1107</v>
      </c>
      <c r="EO112" s="240" t="s">
        <v>1107</v>
      </c>
      <c r="EP112" s="240" t="s">
        <v>1107</v>
      </c>
      <c r="EQ112" s="240" t="s">
        <v>1107</v>
      </c>
      <c r="ER112" s="240" t="s">
        <v>1107</v>
      </c>
      <c r="ES112" s="240" t="s">
        <v>1107</v>
      </c>
      <c r="ET112" s="240" t="s">
        <v>1107</v>
      </c>
      <c r="EU112" s="240" t="s">
        <v>1107</v>
      </c>
      <c r="EV112" s="240" t="s">
        <v>1107</v>
      </c>
      <c r="EW112" s="240" t="s">
        <v>1107</v>
      </c>
      <c r="EX112" s="240" t="s">
        <v>1107</v>
      </c>
      <c r="EY112" s="240" t="s">
        <v>1107</v>
      </c>
      <c r="EZ112" s="240" t="s">
        <v>1107</v>
      </c>
      <c r="FA112" s="240" t="s">
        <v>1107</v>
      </c>
      <c r="FB112" s="240" t="s">
        <v>1107</v>
      </c>
      <c r="FC112" s="240" t="s">
        <v>1107</v>
      </c>
      <c r="FD112" s="240" t="s">
        <v>1107</v>
      </c>
      <c r="FE112" s="240" t="s">
        <v>1107</v>
      </c>
      <c r="FF112" s="240" t="s">
        <v>1107</v>
      </c>
      <c r="FG112" s="240" t="s">
        <v>1107</v>
      </c>
      <c r="FH112" s="240" t="s">
        <v>1107</v>
      </c>
      <c r="FI112" s="240" t="s">
        <v>1107</v>
      </c>
      <c r="FJ112" s="240" t="s">
        <v>1107</v>
      </c>
      <c r="FK112" s="240" t="s">
        <v>1107</v>
      </c>
      <c r="FL112" s="240" t="s">
        <v>1107</v>
      </c>
      <c r="FM112" s="240" t="s">
        <v>1107</v>
      </c>
      <c r="FN112" s="240" t="s">
        <v>1107</v>
      </c>
      <c r="FO112" s="240" t="s">
        <v>1107</v>
      </c>
      <c r="FP112" s="240" t="s">
        <v>1107</v>
      </c>
      <c r="FQ112" s="240" t="s">
        <v>1107</v>
      </c>
      <c r="FR112" s="240" t="s">
        <v>1107</v>
      </c>
      <c r="FS112" s="240" t="s">
        <v>1107</v>
      </c>
      <c r="FT112" s="240" t="s">
        <v>1107</v>
      </c>
      <c r="FU112" s="240" t="s">
        <v>1107</v>
      </c>
      <c r="FV112" s="240" t="s">
        <v>1107</v>
      </c>
      <c r="FW112" s="240" t="s">
        <v>1107</v>
      </c>
      <c r="FX112" s="240" t="s">
        <v>1107</v>
      </c>
      <c r="FY112" s="240" t="s">
        <v>1107</v>
      </c>
      <c r="FZ112" s="240" t="s">
        <v>1107</v>
      </c>
      <c r="GA112" s="240" t="s">
        <v>1107</v>
      </c>
      <c r="GB112" s="240" t="s">
        <v>1107</v>
      </c>
      <c r="GC112" s="240" t="s">
        <v>1107</v>
      </c>
      <c r="GD112" s="240" t="s">
        <v>1107</v>
      </c>
      <c r="GE112" s="240" t="s">
        <v>1107</v>
      </c>
      <c r="GF112" s="240" t="s">
        <v>1107</v>
      </c>
      <c r="GG112" s="240" t="s">
        <v>1107</v>
      </c>
      <c r="GH112" s="240" t="s">
        <v>1107</v>
      </c>
      <c r="GI112" s="240" t="s">
        <v>1107</v>
      </c>
      <c r="GJ112" s="240" t="s">
        <v>1107</v>
      </c>
      <c r="GK112" s="240" t="s">
        <v>1107</v>
      </c>
      <c r="GL112" s="240" t="s">
        <v>1107</v>
      </c>
      <c r="GM112" s="240" t="s">
        <v>1107</v>
      </c>
      <c r="GN112" s="240" t="s">
        <v>1107</v>
      </c>
      <c r="GO112" s="240" t="s">
        <v>1107</v>
      </c>
      <c r="GP112" s="240" t="s">
        <v>1107</v>
      </c>
      <c r="GQ112" s="240" t="s">
        <v>1107</v>
      </c>
      <c r="GR112" s="240" t="s">
        <v>1107</v>
      </c>
      <c r="GS112" s="240" t="s">
        <v>1107</v>
      </c>
      <c r="GT112" s="240" t="s">
        <v>1107</v>
      </c>
      <c r="GU112" s="240" t="s">
        <v>1107</v>
      </c>
      <c r="GV112" s="240" t="s">
        <v>1107</v>
      </c>
      <c r="GW112" s="240" t="s">
        <v>1107</v>
      </c>
      <c r="GX112" s="240" t="s">
        <v>1107</v>
      </c>
      <c r="GY112" s="240" t="s">
        <v>1107</v>
      </c>
      <c r="GZ112" s="240" t="s">
        <v>1107</v>
      </c>
      <c r="HA112" s="240" t="s">
        <v>1107</v>
      </c>
      <c r="HB112" s="240" t="s">
        <v>1107</v>
      </c>
      <c r="HC112" s="240" t="s">
        <v>1107</v>
      </c>
      <c r="HD112" s="240" t="s">
        <v>1107</v>
      </c>
      <c r="HE112" s="240" t="s">
        <v>1107</v>
      </c>
      <c r="HF112" s="240" t="s">
        <v>1107</v>
      </c>
      <c r="HG112" s="240" t="s">
        <v>1107</v>
      </c>
      <c r="HH112" s="240" t="s">
        <v>1107</v>
      </c>
      <c r="HI112" s="240" t="s">
        <v>1107</v>
      </c>
      <c r="HJ112" s="240" t="s">
        <v>1107</v>
      </c>
      <c r="HK112" s="240" t="s">
        <v>1107</v>
      </c>
      <c r="HL112" s="240" t="s">
        <v>1107</v>
      </c>
      <c r="HM112" s="240" t="s">
        <v>1107</v>
      </c>
      <c r="HN112" s="240" t="s">
        <v>1107</v>
      </c>
      <c r="HO112" s="240" t="s">
        <v>1107</v>
      </c>
      <c r="HP112" s="240" t="s">
        <v>1107</v>
      </c>
      <c r="HQ112" s="240" t="s">
        <v>1107</v>
      </c>
      <c r="HR112" s="240" t="s">
        <v>1107</v>
      </c>
      <c r="HS112" s="240" t="s">
        <v>1107</v>
      </c>
      <c r="HT112" s="240" t="s">
        <v>232</v>
      </c>
      <c r="HU112" s="240" t="s">
        <v>232</v>
      </c>
      <c r="HV112" s="240" t="s">
        <v>232</v>
      </c>
      <c r="HW112" s="240" t="s">
        <v>1107</v>
      </c>
      <c r="HX112" s="240" t="s">
        <v>220</v>
      </c>
      <c r="HY112" s="240" t="s">
        <v>493</v>
      </c>
      <c r="HZ112" s="240" t="s">
        <v>219</v>
      </c>
      <c r="IA112" s="240" t="s">
        <v>486</v>
      </c>
      <c r="IB112" s="240" t="s">
        <v>1107</v>
      </c>
      <c r="IC112" s="240" t="s">
        <v>1107</v>
      </c>
    </row>
    <row r="113" spans="1:237" ht="15" x14ac:dyDescent="0.25">
      <c r="A113" s="243" t="str">
        <f>HYPERLINK("http://www.ofsted.gov.uk/inspection-reports/find-inspection-report/provider/ELS/131940 ","Ofsted School Webpage")</f>
        <v>Ofsted School Webpage</v>
      </c>
      <c r="B113" s="237">
        <v>131940</v>
      </c>
      <c r="C113" s="237">
        <v>3126063</v>
      </c>
      <c r="D113" s="237" t="s">
        <v>1327</v>
      </c>
      <c r="E113" s="237" t="s">
        <v>248</v>
      </c>
      <c r="F113" s="237" t="s">
        <v>506</v>
      </c>
      <c r="G113" s="237" t="s">
        <v>506</v>
      </c>
      <c r="H113" s="237" t="s">
        <v>1174</v>
      </c>
      <c r="I113" s="237" t="s">
        <v>1328</v>
      </c>
      <c r="J113" s="237" t="s">
        <v>93</v>
      </c>
      <c r="K113" s="237" t="s">
        <v>93</v>
      </c>
      <c r="L113" s="237" t="s">
        <v>93</v>
      </c>
      <c r="M113" s="237" t="s">
        <v>90</v>
      </c>
      <c r="N113" s="237" t="s">
        <v>486</v>
      </c>
      <c r="O113" s="237" t="s">
        <v>487</v>
      </c>
      <c r="P113" s="237">
        <v>10086511</v>
      </c>
      <c r="Q113" s="239">
        <v>43490</v>
      </c>
      <c r="R113" s="239">
        <v>43490</v>
      </c>
      <c r="S113" s="239">
        <v>43521</v>
      </c>
      <c r="T113" s="237" t="s">
        <v>1124</v>
      </c>
      <c r="U113" s="237" t="s">
        <v>1105</v>
      </c>
      <c r="V113" s="237" t="s">
        <v>490</v>
      </c>
      <c r="W113" s="237" t="s">
        <v>486</v>
      </c>
      <c r="X113" s="237" t="s">
        <v>486</v>
      </c>
      <c r="Y113" s="237" t="s">
        <v>486</v>
      </c>
      <c r="Z113" s="237" t="s">
        <v>486</v>
      </c>
      <c r="AA113" s="237" t="s">
        <v>486</v>
      </c>
      <c r="AB113" s="237" t="s">
        <v>486</v>
      </c>
      <c r="AC113" s="237" t="s">
        <v>486</v>
      </c>
      <c r="AD113" s="237" t="s">
        <v>1110</v>
      </c>
      <c r="AE113" s="237" t="s">
        <v>1107</v>
      </c>
      <c r="AF113" s="237" t="s">
        <v>1107</v>
      </c>
      <c r="AG113" s="237" t="s">
        <v>1107</v>
      </c>
      <c r="AH113" s="237" t="s">
        <v>1107</v>
      </c>
      <c r="AI113" s="237" t="s">
        <v>1107</v>
      </c>
      <c r="AJ113" s="237" t="s">
        <v>1107</v>
      </c>
      <c r="AK113" s="237" t="s">
        <v>1107</v>
      </c>
      <c r="AL113" s="237" t="s">
        <v>1107</v>
      </c>
      <c r="AM113" s="237" t="s">
        <v>1107</v>
      </c>
      <c r="AN113" s="237" t="s">
        <v>1107</v>
      </c>
      <c r="AO113" s="237" t="s">
        <v>1107</v>
      </c>
      <c r="AP113" s="237" t="s">
        <v>1107</v>
      </c>
      <c r="AQ113" s="237" t="s">
        <v>1107</v>
      </c>
      <c r="AR113" s="237" t="s">
        <v>1107</v>
      </c>
      <c r="AS113" s="237" t="s">
        <v>1107</v>
      </c>
      <c r="AT113" s="237" t="s">
        <v>1107</v>
      </c>
      <c r="AU113" s="237" t="s">
        <v>1107</v>
      </c>
      <c r="AV113" s="237" t="s">
        <v>1107</v>
      </c>
      <c r="AW113" s="237" t="s">
        <v>1107</v>
      </c>
      <c r="AX113" s="237" t="s">
        <v>1107</v>
      </c>
      <c r="AY113" s="237" t="s">
        <v>1107</v>
      </c>
      <c r="AZ113" s="237" t="s">
        <v>1107</v>
      </c>
      <c r="BA113" s="237" t="s">
        <v>1107</v>
      </c>
      <c r="BB113" s="237" t="s">
        <v>1107</v>
      </c>
      <c r="BC113" s="237" t="s">
        <v>1107</v>
      </c>
      <c r="BD113" s="237" t="s">
        <v>1107</v>
      </c>
      <c r="BE113" s="237" t="s">
        <v>1107</v>
      </c>
      <c r="BF113" s="237" t="s">
        <v>1107</v>
      </c>
      <c r="BG113" s="237" t="s">
        <v>1107</v>
      </c>
      <c r="BH113" s="237" t="s">
        <v>1107</v>
      </c>
      <c r="BI113" s="237" t="s">
        <v>1107</v>
      </c>
      <c r="BJ113" s="237" t="s">
        <v>1107</v>
      </c>
      <c r="BK113" s="237" t="s">
        <v>1107</v>
      </c>
      <c r="BL113" s="237" t="s">
        <v>1107</v>
      </c>
      <c r="BM113" s="237" t="s">
        <v>1107</v>
      </c>
      <c r="BN113" s="237" t="s">
        <v>1107</v>
      </c>
      <c r="BO113" s="237" t="s">
        <v>1107</v>
      </c>
      <c r="BP113" s="237" t="s">
        <v>1107</v>
      </c>
      <c r="BQ113" s="237" t="s">
        <v>1107</v>
      </c>
      <c r="BR113" s="237" t="s">
        <v>1107</v>
      </c>
      <c r="BS113" s="237" t="s">
        <v>1107</v>
      </c>
      <c r="BT113" s="237" t="s">
        <v>1107</v>
      </c>
      <c r="BU113" s="237" t="s">
        <v>1107</v>
      </c>
      <c r="BV113" s="237" t="s">
        <v>1107</v>
      </c>
      <c r="BW113" s="237" t="s">
        <v>1107</v>
      </c>
      <c r="BX113" s="237" t="s">
        <v>1107</v>
      </c>
      <c r="BY113" s="237" t="s">
        <v>1107</v>
      </c>
      <c r="BZ113" s="237" t="s">
        <v>231</v>
      </c>
      <c r="CA113" s="237" t="s">
        <v>231</v>
      </c>
      <c r="CB113" s="237" t="s">
        <v>231</v>
      </c>
      <c r="CC113" s="237" t="s">
        <v>492</v>
      </c>
      <c r="CD113" s="237" t="s">
        <v>492</v>
      </c>
      <c r="CE113" s="237" t="s">
        <v>492</v>
      </c>
      <c r="CF113" s="237" t="s">
        <v>231</v>
      </c>
      <c r="CG113" s="237" t="s">
        <v>231</v>
      </c>
      <c r="CH113" s="237" t="s">
        <v>231</v>
      </c>
      <c r="CI113" s="237" t="s">
        <v>231</v>
      </c>
      <c r="CJ113" s="237" t="s">
        <v>1107</v>
      </c>
      <c r="CK113" s="237" t="s">
        <v>231</v>
      </c>
      <c r="CL113" s="237" t="s">
        <v>1107</v>
      </c>
      <c r="CM113" s="237" t="s">
        <v>1107</v>
      </c>
      <c r="CN113" s="237" t="s">
        <v>231</v>
      </c>
      <c r="CO113" s="237" t="s">
        <v>231</v>
      </c>
      <c r="CP113" s="237" t="s">
        <v>231</v>
      </c>
      <c r="CQ113" s="237" t="s">
        <v>231</v>
      </c>
      <c r="CR113" s="237" t="s">
        <v>231</v>
      </c>
      <c r="CS113" s="237" t="s">
        <v>1107</v>
      </c>
      <c r="CT113" s="237" t="s">
        <v>1107</v>
      </c>
      <c r="CU113" s="237" t="s">
        <v>1107</v>
      </c>
      <c r="CV113" s="237" t="s">
        <v>1107</v>
      </c>
      <c r="CW113" s="237" t="s">
        <v>1107</v>
      </c>
      <c r="CX113" s="237" t="s">
        <v>1107</v>
      </c>
      <c r="CY113" s="237" t="s">
        <v>1107</v>
      </c>
      <c r="CZ113" s="237" t="s">
        <v>1107</v>
      </c>
      <c r="DA113" s="237" t="s">
        <v>1107</v>
      </c>
      <c r="DB113" s="237" t="s">
        <v>1107</v>
      </c>
      <c r="DC113" s="237" t="s">
        <v>1107</v>
      </c>
      <c r="DD113" s="237" t="s">
        <v>1107</v>
      </c>
      <c r="DE113" s="237" t="s">
        <v>1107</v>
      </c>
      <c r="DF113" s="237" t="s">
        <v>1107</v>
      </c>
      <c r="DG113" s="237" t="s">
        <v>1107</v>
      </c>
      <c r="DH113" s="237" t="s">
        <v>1107</v>
      </c>
      <c r="DI113" s="237" t="s">
        <v>1107</v>
      </c>
      <c r="DJ113" s="237" t="s">
        <v>1107</v>
      </c>
      <c r="DK113" s="237" t="s">
        <v>1107</v>
      </c>
      <c r="DL113" s="237" t="s">
        <v>1107</v>
      </c>
      <c r="DM113" s="237" t="s">
        <v>1107</v>
      </c>
      <c r="DN113" s="237" t="s">
        <v>1107</v>
      </c>
      <c r="DO113" s="237" t="s">
        <v>1107</v>
      </c>
      <c r="DP113" s="237" t="s">
        <v>1107</v>
      </c>
      <c r="DQ113" s="237" t="s">
        <v>1107</v>
      </c>
      <c r="DR113" s="237" t="s">
        <v>1107</v>
      </c>
      <c r="DS113" s="237" t="s">
        <v>1107</v>
      </c>
      <c r="DT113" s="237" t="s">
        <v>1107</v>
      </c>
      <c r="DU113" s="237" t="s">
        <v>1107</v>
      </c>
      <c r="DV113" s="237" t="s">
        <v>1107</v>
      </c>
      <c r="DW113" s="237" t="s">
        <v>1107</v>
      </c>
      <c r="DX113" s="237" t="s">
        <v>1107</v>
      </c>
      <c r="DY113" s="237" t="s">
        <v>1107</v>
      </c>
      <c r="DZ113" s="237" t="s">
        <v>1107</v>
      </c>
      <c r="EA113" s="237" t="s">
        <v>1107</v>
      </c>
      <c r="EB113" s="237" t="s">
        <v>1107</v>
      </c>
      <c r="EC113" s="237" t="s">
        <v>1107</v>
      </c>
      <c r="ED113" s="237" t="s">
        <v>1107</v>
      </c>
      <c r="EE113" s="237" t="s">
        <v>1107</v>
      </c>
      <c r="EF113" s="237" t="s">
        <v>1107</v>
      </c>
      <c r="EG113" s="237" t="s">
        <v>1107</v>
      </c>
      <c r="EH113" s="237" t="s">
        <v>1107</v>
      </c>
      <c r="EI113" s="237" t="s">
        <v>1107</v>
      </c>
      <c r="EJ113" s="237" t="s">
        <v>1107</v>
      </c>
      <c r="EK113" s="237" t="s">
        <v>1107</v>
      </c>
      <c r="EL113" s="237" t="s">
        <v>1107</v>
      </c>
      <c r="EM113" s="237" t="s">
        <v>1107</v>
      </c>
      <c r="EN113" s="237" t="s">
        <v>1107</v>
      </c>
      <c r="EO113" s="237" t="s">
        <v>1107</v>
      </c>
      <c r="EP113" s="237" t="s">
        <v>1107</v>
      </c>
      <c r="EQ113" s="237" t="s">
        <v>1107</v>
      </c>
      <c r="ER113" s="237" t="s">
        <v>1107</v>
      </c>
      <c r="ES113" s="237" t="s">
        <v>1107</v>
      </c>
      <c r="ET113" s="237" t="s">
        <v>1107</v>
      </c>
      <c r="EU113" s="237" t="s">
        <v>1107</v>
      </c>
      <c r="EV113" s="237" t="s">
        <v>1107</v>
      </c>
      <c r="EW113" s="237" t="s">
        <v>1107</v>
      </c>
      <c r="EX113" s="237" t="s">
        <v>1107</v>
      </c>
      <c r="EY113" s="237" t="s">
        <v>1107</v>
      </c>
      <c r="EZ113" s="237" t="s">
        <v>1107</v>
      </c>
      <c r="FA113" s="237" t="s">
        <v>1107</v>
      </c>
      <c r="FB113" s="237" t="s">
        <v>1107</v>
      </c>
      <c r="FC113" s="237" t="s">
        <v>1107</v>
      </c>
      <c r="FD113" s="237" t="s">
        <v>1107</v>
      </c>
      <c r="FE113" s="237" t="s">
        <v>1107</v>
      </c>
      <c r="FF113" s="237" t="s">
        <v>1107</v>
      </c>
      <c r="FG113" s="237" t="s">
        <v>1107</v>
      </c>
      <c r="FH113" s="237" t="s">
        <v>1107</v>
      </c>
      <c r="FI113" s="237" t="s">
        <v>1107</v>
      </c>
      <c r="FJ113" s="237" t="s">
        <v>1107</v>
      </c>
      <c r="FK113" s="237" t="s">
        <v>1107</v>
      </c>
      <c r="FL113" s="237" t="s">
        <v>1107</v>
      </c>
      <c r="FM113" s="237" t="s">
        <v>1107</v>
      </c>
      <c r="FN113" s="237" t="s">
        <v>1107</v>
      </c>
      <c r="FO113" s="237" t="s">
        <v>1107</v>
      </c>
      <c r="FP113" s="237" t="s">
        <v>1107</v>
      </c>
      <c r="FQ113" s="237" t="s">
        <v>1107</v>
      </c>
      <c r="FR113" s="237" t="s">
        <v>1107</v>
      </c>
      <c r="FS113" s="237" t="s">
        <v>1107</v>
      </c>
      <c r="FT113" s="237" t="s">
        <v>1107</v>
      </c>
      <c r="FU113" s="237" t="s">
        <v>1107</v>
      </c>
      <c r="FV113" s="237" t="s">
        <v>1107</v>
      </c>
      <c r="FW113" s="237" t="s">
        <v>1107</v>
      </c>
      <c r="FX113" s="237" t="s">
        <v>1107</v>
      </c>
      <c r="FY113" s="237" t="s">
        <v>492</v>
      </c>
      <c r="FZ113" s="237" t="s">
        <v>231</v>
      </c>
      <c r="GA113" s="237" t="s">
        <v>1107</v>
      </c>
      <c r="GB113" s="237" t="s">
        <v>1107</v>
      </c>
      <c r="GC113" s="237" t="s">
        <v>231</v>
      </c>
      <c r="GD113" s="237" t="s">
        <v>1107</v>
      </c>
      <c r="GE113" s="237" t="s">
        <v>492</v>
      </c>
      <c r="GF113" s="237" t="s">
        <v>1107</v>
      </c>
      <c r="GG113" s="237" t="s">
        <v>1107</v>
      </c>
      <c r="GH113" s="237" t="s">
        <v>1107</v>
      </c>
      <c r="GI113" s="237" t="s">
        <v>1107</v>
      </c>
      <c r="GJ113" s="237" t="s">
        <v>1107</v>
      </c>
      <c r="GK113" s="237" t="s">
        <v>1107</v>
      </c>
      <c r="GL113" s="237" t="s">
        <v>1107</v>
      </c>
      <c r="GM113" s="237" t="s">
        <v>1107</v>
      </c>
      <c r="GN113" s="237" t="s">
        <v>1107</v>
      </c>
      <c r="GO113" s="237" t="s">
        <v>1107</v>
      </c>
      <c r="GP113" s="237" t="s">
        <v>1107</v>
      </c>
      <c r="GQ113" s="237" t="s">
        <v>1107</v>
      </c>
      <c r="GR113" s="237" t="s">
        <v>1107</v>
      </c>
      <c r="GS113" s="237" t="s">
        <v>1107</v>
      </c>
      <c r="GT113" s="237" t="s">
        <v>1107</v>
      </c>
      <c r="GU113" s="237" t="s">
        <v>1107</v>
      </c>
      <c r="GV113" s="237" t="s">
        <v>1107</v>
      </c>
      <c r="GW113" s="237" t="s">
        <v>1107</v>
      </c>
      <c r="GX113" s="237" t="s">
        <v>1107</v>
      </c>
      <c r="GY113" s="237" t="s">
        <v>1107</v>
      </c>
      <c r="GZ113" s="237" t="s">
        <v>1107</v>
      </c>
      <c r="HA113" s="237" t="s">
        <v>1107</v>
      </c>
      <c r="HB113" s="237" t="s">
        <v>1107</v>
      </c>
      <c r="HC113" s="237" t="s">
        <v>1107</v>
      </c>
      <c r="HD113" s="237" t="s">
        <v>1107</v>
      </c>
      <c r="HE113" s="237" t="s">
        <v>1107</v>
      </c>
      <c r="HF113" s="237" t="s">
        <v>1107</v>
      </c>
      <c r="HG113" s="237" t="s">
        <v>1107</v>
      </c>
      <c r="HH113" s="237" t="s">
        <v>1107</v>
      </c>
      <c r="HI113" s="237" t="s">
        <v>1107</v>
      </c>
      <c r="HJ113" s="237" t="s">
        <v>1107</v>
      </c>
      <c r="HK113" s="237" t="s">
        <v>1107</v>
      </c>
      <c r="HL113" s="237" t="s">
        <v>1107</v>
      </c>
      <c r="HM113" s="237" t="s">
        <v>1107</v>
      </c>
      <c r="HN113" s="237" t="s">
        <v>1107</v>
      </c>
      <c r="HO113" s="237" t="s">
        <v>1107</v>
      </c>
      <c r="HP113" s="237" t="s">
        <v>1107</v>
      </c>
      <c r="HQ113" s="237" t="s">
        <v>1107</v>
      </c>
      <c r="HR113" s="237" t="s">
        <v>1107</v>
      </c>
      <c r="HS113" s="237" t="s">
        <v>1107</v>
      </c>
      <c r="HT113" s="237" t="s">
        <v>231</v>
      </c>
      <c r="HU113" s="237" t="s">
        <v>231</v>
      </c>
      <c r="HV113" s="237" t="s">
        <v>231</v>
      </c>
      <c r="HW113" s="237" t="s">
        <v>231</v>
      </c>
      <c r="HX113" s="237" t="s">
        <v>219</v>
      </c>
      <c r="HY113" s="237" t="s">
        <v>220</v>
      </c>
      <c r="HZ113" s="237" t="s">
        <v>219</v>
      </c>
      <c r="IA113" s="237" t="s">
        <v>490</v>
      </c>
      <c r="IB113" s="237" t="s">
        <v>1107</v>
      </c>
      <c r="IC113" s="237" t="s">
        <v>1107</v>
      </c>
    </row>
    <row r="114" spans="1:237" ht="15" x14ac:dyDescent="0.25">
      <c r="A114" s="244" t="str">
        <f>HYPERLINK("http://www.ofsted.gov.uk/inspection-reports/find-inspection-report/provider/ELS/140039 ","Ofsted School Webpage")</f>
        <v>Ofsted School Webpage</v>
      </c>
      <c r="B114" s="240">
        <v>140039</v>
      </c>
      <c r="C114" s="240">
        <v>3036001</v>
      </c>
      <c r="D114" s="240" t="s">
        <v>1329</v>
      </c>
      <c r="E114" s="240" t="s">
        <v>247</v>
      </c>
      <c r="F114" s="240" t="s">
        <v>506</v>
      </c>
      <c r="G114" s="240" t="s">
        <v>506</v>
      </c>
      <c r="H114" s="240" t="s">
        <v>1330</v>
      </c>
      <c r="I114" s="240" t="s">
        <v>1331</v>
      </c>
      <c r="J114" s="240" t="s">
        <v>93</v>
      </c>
      <c r="K114" s="240" t="s">
        <v>93</v>
      </c>
      <c r="L114" s="240" t="s">
        <v>93</v>
      </c>
      <c r="M114" s="240" t="s">
        <v>90</v>
      </c>
      <c r="N114" s="240" t="s">
        <v>486</v>
      </c>
      <c r="O114" s="240" t="s">
        <v>487</v>
      </c>
      <c r="P114" s="240">
        <v>10086398</v>
      </c>
      <c r="Q114" s="242">
        <v>43494</v>
      </c>
      <c r="R114" s="242">
        <v>43494</v>
      </c>
      <c r="S114" s="242">
        <v>43530</v>
      </c>
      <c r="T114" s="240" t="s">
        <v>1104</v>
      </c>
      <c r="U114" s="240" t="s">
        <v>1105</v>
      </c>
      <c r="V114" s="240" t="s">
        <v>490</v>
      </c>
      <c r="W114" s="240" t="s">
        <v>486</v>
      </c>
      <c r="X114" s="240" t="s">
        <v>486</v>
      </c>
      <c r="Y114" s="240" t="s">
        <v>486</v>
      </c>
      <c r="Z114" s="240" t="s">
        <v>486</v>
      </c>
      <c r="AA114" s="240" t="s">
        <v>486</v>
      </c>
      <c r="AB114" s="240" t="s">
        <v>486</v>
      </c>
      <c r="AC114" s="240" t="s">
        <v>486</v>
      </c>
      <c r="AD114" s="240" t="s">
        <v>1163</v>
      </c>
      <c r="AE114" s="240" t="s">
        <v>1107</v>
      </c>
      <c r="AF114" s="240" t="s">
        <v>1107</v>
      </c>
      <c r="AG114" s="240" t="s">
        <v>1107</v>
      </c>
      <c r="AH114" s="240" t="s">
        <v>1107</v>
      </c>
      <c r="AI114" s="240" t="s">
        <v>1107</v>
      </c>
      <c r="AJ114" s="240" t="s">
        <v>1107</v>
      </c>
      <c r="AK114" s="240" t="s">
        <v>1107</v>
      </c>
      <c r="AL114" s="240" t="s">
        <v>1107</v>
      </c>
      <c r="AM114" s="240" t="s">
        <v>1107</v>
      </c>
      <c r="AN114" s="240" t="s">
        <v>1107</v>
      </c>
      <c r="AO114" s="240" t="s">
        <v>1107</v>
      </c>
      <c r="AP114" s="240" t="s">
        <v>1107</v>
      </c>
      <c r="AQ114" s="240" t="s">
        <v>1107</v>
      </c>
      <c r="AR114" s="240" t="s">
        <v>1107</v>
      </c>
      <c r="AS114" s="240" t="s">
        <v>1107</v>
      </c>
      <c r="AT114" s="240" t="s">
        <v>1107</v>
      </c>
      <c r="AU114" s="240" t="s">
        <v>1107</v>
      </c>
      <c r="AV114" s="240" t="s">
        <v>1107</v>
      </c>
      <c r="AW114" s="240" t="s">
        <v>1107</v>
      </c>
      <c r="AX114" s="240" t="s">
        <v>1107</v>
      </c>
      <c r="AY114" s="240" t="s">
        <v>1107</v>
      </c>
      <c r="AZ114" s="240" t="s">
        <v>1107</v>
      </c>
      <c r="BA114" s="240" t="s">
        <v>1107</v>
      </c>
      <c r="BB114" s="240" t="s">
        <v>1107</v>
      </c>
      <c r="BC114" s="240" t="s">
        <v>1107</v>
      </c>
      <c r="BD114" s="240" t="s">
        <v>1107</v>
      </c>
      <c r="BE114" s="240" t="s">
        <v>1107</v>
      </c>
      <c r="BF114" s="240" t="s">
        <v>1107</v>
      </c>
      <c r="BG114" s="240" t="s">
        <v>1107</v>
      </c>
      <c r="BH114" s="240" t="s">
        <v>1107</v>
      </c>
      <c r="BI114" s="240" t="s">
        <v>1107</v>
      </c>
      <c r="BJ114" s="240" t="s">
        <v>1107</v>
      </c>
      <c r="BK114" s="240" t="s">
        <v>1107</v>
      </c>
      <c r="BL114" s="240" t="s">
        <v>1107</v>
      </c>
      <c r="BM114" s="240" t="s">
        <v>1107</v>
      </c>
      <c r="BN114" s="240" t="s">
        <v>1107</v>
      </c>
      <c r="BO114" s="240" t="s">
        <v>1107</v>
      </c>
      <c r="BP114" s="240" t="s">
        <v>1107</v>
      </c>
      <c r="BQ114" s="240" t="s">
        <v>1107</v>
      </c>
      <c r="BR114" s="240" t="s">
        <v>1107</v>
      </c>
      <c r="BS114" s="240" t="s">
        <v>1107</v>
      </c>
      <c r="BT114" s="240" t="s">
        <v>1107</v>
      </c>
      <c r="BU114" s="240" t="s">
        <v>1107</v>
      </c>
      <c r="BV114" s="240" t="s">
        <v>1107</v>
      </c>
      <c r="BW114" s="240" t="s">
        <v>1107</v>
      </c>
      <c r="BX114" s="240" t="s">
        <v>1107</v>
      </c>
      <c r="BY114" s="240" t="s">
        <v>1107</v>
      </c>
      <c r="BZ114" s="240" t="s">
        <v>232</v>
      </c>
      <c r="CA114" s="240" t="s">
        <v>232</v>
      </c>
      <c r="CB114" s="240" t="s">
        <v>232</v>
      </c>
      <c r="CC114" s="240" t="s">
        <v>492</v>
      </c>
      <c r="CD114" s="240" t="s">
        <v>492</v>
      </c>
      <c r="CE114" s="240" t="s">
        <v>492</v>
      </c>
      <c r="CF114" s="240" t="s">
        <v>1107</v>
      </c>
      <c r="CG114" s="240" t="s">
        <v>1107</v>
      </c>
      <c r="CH114" s="240" t="s">
        <v>1107</v>
      </c>
      <c r="CI114" s="240" t="s">
        <v>1107</v>
      </c>
      <c r="CJ114" s="240" t="s">
        <v>1107</v>
      </c>
      <c r="CK114" s="240" t="s">
        <v>231</v>
      </c>
      <c r="CL114" s="240" t="s">
        <v>232</v>
      </c>
      <c r="CM114" s="240" t="s">
        <v>1107</v>
      </c>
      <c r="CN114" s="240" t="s">
        <v>231</v>
      </c>
      <c r="CO114" s="240" t="s">
        <v>1107</v>
      </c>
      <c r="CP114" s="240" t="s">
        <v>232</v>
      </c>
      <c r="CQ114" s="240" t="s">
        <v>232</v>
      </c>
      <c r="CR114" s="240" t="s">
        <v>232</v>
      </c>
      <c r="CS114" s="240" t="s">
        <v>232</v>
      </c>
      <c r="CT114" s="240" t="s">
        <v>231</v>
      </c>
      <c r="CU114" s="240" t="s">
        <v>232</v>
      </c>
      <c r="CV114" s="240" t="s">
        <v>231</v>
      </c>
      <c r="CW114" s="240" t="s">
        <v>231</v>
      </c>
      <c r="CX114" s="240" t="s">
        <v>231</v>
      </c>
      <c r="CY114" s="240" t="s">
        <v>231</v>
      </c>
      <c r="CZ114" s="240" t="s">
        <v>231</v>
      </c>
      <c r="DA114" s="240" t="s">
        <v>231</v>
      </c>
      <c r="DB114" s="240" t="s">
        <v>231</v>
      </c>
      <c r="DC114" s="240" t="s">
        <v>492</v>
      </c>
      <c r="DD114" s="240" t="s">
        <v>231</v>
      </c>
      <c r="DE114" s="240" t="s">
        <v>231</v>
      </c>
      <c r="DF114" s="240" t="s">
        <v>231</v>
      </c>
      <c r="DG114" s="240" t="s">
        <v>231</v>
      </c>
      <c r="DH114" s="240" t="s">
        <v>231</v>
      </c>
      <c r="DI114" s="240" t="s">
        <v>231</v>
      </c>
      <c r="DJ114" s="240" t="s">
        <v>231</v>
      </c>
      <c r="DK114" s="240" t="s">
        <v>231</v>
      </c>
      <c r="DL114" s="240" t="s">
        <v>231</v>
      </c>
      <c r="DM114" s="240" t="s">
        <v>231</v>
      </c>
      <c r="DN114" s="240" t="s">
        <v>231</v>
      </c>
      <c r="DO114" s="240" t="s">
        <v>231</v>
      </c>
      <c r="DP114" s="240" t="s">
        <v>231</v>
      </c>
      <c r="DQ114" s="240" t="s">
        <v>492</v>
      </c>
      <c r="DR114" s="240" t="s">
        <v>231</v>
      </c>
      <c r="DS114" s="240" t="s">
        <v>231</v>
      </c>
      <c r="DT114" s="240" t="s">
        <v>231</v>
      </c>
      <c r="DU114" s="240" t="s">
        <v>231</v>
      </c>
      <c r="DV114" s="240" t="s">
        <v>231</v>
      </c>
      <c r="DW114" s="240" t="s">
        <v>231</v>
      </c>
      <c r="DX114" s="240" t="s">
        <v>231</v>
      </c>
      <c r="DY114" s="240" t="s">
        <v>231</v>
      </c>
      <c r="DZ114" s="240" t="s">
        <v>231</v>
      </c>
      <c r="EA114" s="240" t="s">
        <v>231</v>
      </c>
      <c r="EB114" s="240" t="s">
        <v>232</v>
      </c>
      <c r="EC114" s="240" t="s">
        <v>231</v>
      </c>
      <c r="ED114" s="240" t="s">
        <v>232</v>
      </c>
      <c r="EE114" s="240" t="s">
        <v>232</v>
      </c>
      <c r="EF114" s="240" t="s">
        <v>231</v>
      </c>
      <c r="EG114" s="240" t="s">
        <v>232</v>
      </c>
      <c r="EH114" s="240" t="s">
        <v>232</v>
      </c>
      <c r="EI114" s="240" t="s">
        <v>231</v>
      </c>
      <c r="EJ114" s="240" t="s">
        <v>231</v>
      </c>
      <c r="EK114" s="240" t="s">
        <v>231</v>
      </c>
      <c r="EL114" s="240" t="s">
        <v>231</v>
      </c>
      <c r="EM114" s="240" t="s">
        <v>231</v>
      </c>
      <c r="EN114" s="240" t="s">
        <v>232</v>
      </c>
      <c r="EO114" s="240" t="s">
        <v>492</v>
      </c>
      <c r="EP114" s="240" t="s">
        <v>492</v>
      </c>
      <c r="EQ114" s="240" t="s">
        <v>492</v>
      </c>
      <c r="ER114" s="240" t="s">
        <v>492</v>
      </c>
      <c r="ES114" s="240" t="s">
        <v>492</v>
      </c>
      <c r="ET114" s="240" t="s">
        <v>492</v>
      </c>
      <c r="EU114" s="240" t="s">
        <v>492</v>
      </c>
      <c r="EV114" s="240" t="s">
        <v>231</v>
      </c>
      <c r="EW114" s="240" t="s">
        <v>492</v>
      </c>
      <c r="EX114" s="240" t="s">
        <v>492</v>
      </c>
      <c r="EY114" s="240" t="s">
        <v>492</v>
      </c>
      <c r="EZ114" s="240" t="s">
        <v>231</v>
      </c>
      <c r="FA114" s="240" t="s">
        <v>231</v>
      </c>
      <c r="FB114" s="240" t="s">
        <v>231</v>
      </c>
      <c r="FC114" s="240" t="s">
        <v>231</v>
      </c>
      <c r="FD114" s="240" t="s">
        <v>231</v>
      </c>
      <c r="FE114" s="240" t="s">
        <v>231</v>
      </c>
      <c r="FF114" s="240" t="s">
        <v>231</v>
      </c>
      <c r="FG114" s="240" t="s">
        <v>492</v>
      </c>
      <c r="FH114" s="240" t="s">
        <v>231</v>
      </c>
      <c r="FI114" s="240" t="s">
        <v>232</v>
      </c>
      <c r="FJ114" s="240" t="s">
        <v>231</v>
      </c>
      <c r="FK114" s="240" t="s">
        <v>231</v>
      </c>
      <c r="FL114" s="240" t="s">
        <v>231</v>
      </c>
      <c r="FM114" s="240" t="s">
        <v>231</v>
      </c>
      <c r="FN114" s="240" t="s">
        <v>231</v>
      </c>
      <c r="FO114" s="240" t="s">
        <v>231</v>
      </c>
      <c r="FP114" s="240" t="s">
        <v>231</v>
      </c>
      <c r="FQ114" s="240" t="s">
        <v>231</v>
      </c>
      <c r="FR114" s="240" t="s">
        <v>231</v>
      </c>
      <c r="FS114" s="240" t="s">
        <v>231</v>
      </c>
      <c r="FT114" s="240" t="s">
        <v>231</v>
      </c>
      <c r="FU114" s="240" t="s">
        <v>231</v>
      </c>
      <c r="FV114" s="240" t="s">
        <v>231</v>
      </c>
      <c r="FW114" s="240" t="s">
        <v>231</v>
      </c>
      <c r="FX114" s="240" t="s">
        <v>231</v>
      </c>
      <c r="FY114" s="240" t="s">
        <v>492</v>
      </c>
      <c r="FZ114" s="240" t="s">
        <v>231</v>
      </c>
      <c r="GA114" s="240" t="s">
        <v>1107</v>
      </c>
      <c r="GB114" s="240" t="s">
        <v>1107</v>
      </c>
      <c r="GC114" s="240" t="s">
        <v>231</v>
      </c>
      <c r="GD114" s="240" t="s">
        <v>1107</v>
      </c>
      <c r="GE114" s="240" t="s">
        <v>492</v>
      </c>
      <c r="GF114" s="240" t="s">
        <v>1107</v>
      </c>
      <c r="GG114" s="240" t="s">
        <v>1107</v>
      </c>
      <c r="GH114" s="240" t="s">
        <v>1107</v>
      </c>
      <c r="GI114" s="240" t="s">
        <v>1107</v>
      </c>
      <c r="GJ114" s="240" t="s">
        <v>1107</v>
      </c>
      <c r="GK114" s="240" t="s">
        <v>1107</v>
      </c>
      <c r="GL114" s="240" t="s">
        <v>1107</v>
      </c>
      <c r="GM114" s="240" t="s">
        <v>1107</v>
      </c>
      <c r="GN114" s="240" t="s">
        <v>1107</v>
      </c>
      <c r="GO114" s="240" t="s">
        <v>1107</v>
      </c>
      <c r="GP114" s="240" t="s">
        <v>1107</v>
      </c>
      <c r="GQ114" s="240" t="s">
        <v>1107</v>
      </c>
      <c r="GR114" s="240" t="s">
        <v>1107</v>
      </c>
      <c r="GS114" s="240" t="s">
        <v>1107</v>
      </c>
      <c r="GT114" s="240" t="s">
        <v>1107</v>
      </c>
      <c r="GU114" s="240" t="s">
        <v>1107</v>
      </c>
      <c r="GV114" s="240" t="s">
        <v>1107</v>
      </c>
      <c r="GW114" s="240" t="s">
        <v>1107</v>
      </c>
      <c r="GX114" s="240" t="s">
        <v>1107</v>
      </c>
      <c r="GY114" s="240" t="s">
        <v>1107</v>
      </c>
      <c r="GZ114" s="240" t="s">
        <v>1107</v>
      </c>
      <c r="HA114" s="240" t="s">
        <v>1107</v>
      </c>
      <c r="HB114" s="240" t="s">
        <v>1107</v>
      </c>
      <c r="HC114" s="240" t="s">
        <v>1107</v>
      </c>
      <c r="HD114" s="240" t="s">
        <v>1107</v>
      </c>
      <c r="HE114" s="240" t="s">
        <v>1107</v>
      </c>
      <c r="HF114" s="240" t="s">
        <v>1107</v>
      </c>
      <c r="HG114" s="240" t="s">
        <v>1107</v>
      </c>
      <c r="HH114" s="240" t="s">
        <v>1107</v>
      </c>
      <c r="HI114" s="240" t="s">
        <v>1107</v>
      </c>
      <c r="HJ114" s="240" t="s">
        <v>1107</v>
      </c>
      <c r="HK114" s="240" t="s">
        <v>1107</v>
      </c>
      <c r="HL114" s="240" t="s">
        <v>1107</v>
      </c>
      <c r="HM114" s="240" t="s">
        <v>1107</v>
      </c>
      <c r="HN114" s="240" t="s">
        <v>1107</v>
      </c>
      <c r="HO114" s="240" t="s">
        <v>1107</v>
      </c>
      <c r="HP114" s="240" t="s">
        <v>1107</v>
      </c>
      <c r="HQ114" s="240" t="s">
        <v>1107</v>
      </c>
      <c r="HR114" s="240" t="s">
        <v>1107</v>
      </c>
      <c r="HS114" s="240" t="s">
        <v>1107</v>
      </c>
      <c r="HT114" s="240" t="s">
        <v>232</v>
      </c>
      <c r="HU114" s="240" t="s">
        <v>232</v>
      </c>
      <c r="HV114" s="240" t="s">
        <v>232</v>
      </c>
      <c r="HW114" s="240" t="s">
        <v>232</v>
      </c>
      <c r="HX114" s="240" t="s">
        <v>220</v>
      </c>
      <c r="HY114" s="240" t="s">
        <v>493</v>
      </c>
      <c r="HZ114" s="240" t="s">
        <v>219</v>
      </c>
      <c r="IA114" s="240" t="s">
        <v>490</v>
      </c>
      <c r="IB114" s="240" t="s">
        <v>492</v>
      </c>
      <c r="IC114" s="240" t="s">
        <v>492</v>
      </c>
    </row>
    <row r="115" spans="1:237" ht="15" x14ac:dyDescent="0.25">
      <c r="A115" s="243" t="str">
        <f>HYPERLINK("http://www.ofsted.gov.uk/inspection-reports/find-inspection-report/provider/ELS/135561 ","Ofsted School Webpage")</f>
        <v>Ofsted School Webpage</v>
      </c>
      <c r="B115" s="237">
        <v>135561</v>
      </c>
      <c r="C115" s="237">
        <v>3306128</v>
      </c>
      <c r="D115" s="237" t="s">
        <v>1332</v>
      </c>
      <c r="E115" s="237" t="s">
        <v>247</v>
      </c>
      <c r="F115" s="237" t="s">
        <v>502</v>
      </c>
      <c r="G115" s="237" t="s">
        <v>502</v>
      </c>
      <c r="H115" s="237" t="s">
        <v>909</v>
      </c>
      <c r="I115" s="237" t="s">
        <v>1333</v>
      </c>
      <c r="J115" s="237" t="s">
        <v>93</v>
      </c>
      <c r="K115" s="237" t="s">
        <v>93</v>
      </c>
      <c r="L115" s="237" t="s">
        <v>93</v>
      </c>
      <c r="M115" s="237" t="s">
        <v>90</v>
      </c>
      <c r="N115" s="237" t="s">
        <v>486</v>
      </c>
      <c r="O115" s="237" t="s">
        <v>487</v>
      </c>
      <c r="P115" s="237">
        <v>10092364</v>
      </c>
      <c r="Q115" s="239">
        <v>43495</v>
      </c>
      <c r="R115" s="239">
        <v>43495</v>
      </c>
      <c r="S115" s="239">
        <v>43553</v>
      </c>
      <c r="T115" s="237" t="s">
        <v>1124</v>
      </c>
      <c r="U115" s="237" t="s">
        <v>1105</v>
      </c>
      <c r="V115" s="237" t="s">
        <v>512</v>
      </c>
      <c r="W115" s="237" t="s">
        <v>486</v>
      </c>
      <c r="X115" s="237" t="s">
        <v>490</v>
      </c>
      <c r="Y115" s="237" t="s">
        <v>490</v>
      </c>
      <c r="Z115" s="237" t="s">
        <v>486</v>
      </c>
      <c r="AA115" s="237" t="s">
        <v>486</v>
      </c>
      <c r="AB115" s="237" t="s">
        <v>486</v>
      </c>
      <c r="AC115" s="237" t="s">
        <v>486</v>
      </c>
      <c r="AD115" s="237" t="s">
        <v>1136</v>
      </c>
      <c r="AE115" s="237" t="s">
        <v>1107</v>
      </c>
      <c r="AF115" s="237" t="s">
        <v>1107</v>
      </c>
      <c r="AG115" s="237" t="s">
        <v>1107</v>
      </c>
      <c r="AH115" s="237" t="s">
        <v>1107</v>
      </c>
      <c r="AI115" s="237" t="s">
        <v>1107</v>
      </c>
      <c r="AJ115" s="237" t="s">
        <v>1107</v>
      </c>
      <c r="AK115" s="237" t="s">
        <v>1107</v>
      </c>
      <c r="AL115" s="237" t="s">
        <v>1107</v>
      </c>
      <c r="AM115" s="237" t="s">
        <v>1107</v>
      </c>
      <c r="AN115" s="237" t="s">
        <v>1107</v>
      </c>
      <c r="AO115" s="237" t="s">
        <v>1107</v>
      </c>
      <c r="AP115" s="237" t="s">
        <v>1107</v>
      </c>
      <c r="AQ115" s="237" t="s">
        <v>1107</v>
      </c>
      <c r="AR115" s="237" t="s">
        <v>1107</v>
      </c>
      <c r="AS115" s="237" t="s">
        <v>1107</v>
      </c>
      <c r="AT115" s="237" t="s">
        <v>1107</v>
      </c>
      <c r="AU115" s="237" t="s">
        <v>1107</v>
      </c>
      <c r="AV115" s="237" t="s">
        <v>1107</v>
      </c>
      <c r="AW115" s="237" t="s">
        <v>1107</v>
      </c>
      <c r="AX115" s="237" t="s">
        <v>1107</v>
      </c>
      <c r="AY115" s="237" t="s">
        <v>1107</v>
      </c>
      <c r="AZ115" s="237" t="s">
        <v>1107</v>
      </c>
      <c r="BA115" s="237" t="s">
        <v>1107</v>
      </c>
      <c r="BB115" s="237" t="s">
        <v>1107</v>
      </c>
      <c r="BC115" s="237" t="s">
        <v>1107</v>
      </c>
      <c r="BD115" s="237" t="s">
        <v>1107</v>
      </c>
      <c r="BE115" s="237" t="s">
        <v>1107</v>
      </c>
      <c r="BF115" s="237" t="s">
        <v>1107</v>
      </c>
      <c r="BG115" s="237" t="s">
        <v>1107</v>
      </c>
      <c r="BH115" s="237" t="s">
        <v>1107</v>
      </c>
      <c r="BI115" s="237" t="s">
        <v>1107</v>
      </c>
      <c r="BJ115" s="237" t="s">
        <v>1107</v>
      </c>
      <c r="BK115" s="237" t="s">
        <v>1107</v>
      </c>
      <c r="BL115" s="237" t="s">
        <v>1107</v>
      </c>
      <c r="BM115" s="237" t="s">
        <v>1107</v>
      </c>
      <c r="BN115" s="237" t="s">
        <v>1107</v>
      </c>
      <c r="BO115" s="237" t="s">
        <v>1107</v>
      </c>
      <c r="BP115" s="237" t="s">
        <v>1107</v>
      </c>
      <c r="BQ115" s="237" t="s">
        <v>1107</v>
      </c>
      <c r="BR115" s="237" t="s">
        <v>1107</v>
      </c>
      <c r="BS115" s="237" t="s">
        <v>1107</v>
      </c>
      <c r="BT115" s="237" t="s">
        <v>1107</v>
      </c>
      <c r="BU115" s="237" t="s">
        <v>1107</v>
      </c>
      <c r="BV115" s="237" t="s">
        <v>1107</v>
      </c>
      <c r="BW115" s="237" t="s">
        <v>1107</v>
      </c>
      <c r="BX115" s="237" t="s">
        <v>1107</v>
      </c>
      <c r="BY115" s="237" t="s">
        <v>1107</v>
      </c>
      <c r="BZ115" s="237" t="s">
        <v>232</v>
      </c>
      <c r="CA115" s="237" t="s">
        <v>232</v>
      </c>
      <c r="CB115" s="237" t="s">
        <v>232</v>
      </c>
      <c r="CC115" s="237" t="s">
        <v>492</v>
      </c>
      <c r="CD115" s="237" t="s">
        <v>492</v>
      </c>
      <c r="CE115" s="237" t="s">
        <v>492</v>
      </c>
      <c r="CF115" s="237" t="s">
        <v>231</v>
      </c>
      <c r="CG115" s="237" t="s">
        <v>231</v>
      </c>
      <c r="CH115" s="237" t="s">
        <v>231</v>
      </c>
      <c r="CI115" s="237" t="s">
        <v>231</v>
      </c>
      <c r="CJ115" s="237" t="s">
        <v>231</v>
      </c>
      <c r="CK115" s="237" t="s">
        <v>231</v>
      </c>
      <c r="CL115" s="237" t="s">
        <v>231</v>
      </c>
      <c r="CM115" s="237" t="s">
        <v>231</v>
      </c>
      <c r="CN115" s="237" t="s">
        <v>231</v>
      </c>
      <c r="CO115" s="237" t="s">
        <v>231</v>
      </c>
      <c r="CP115" s="237" t="s">
        <v>231</v>
      </c>
      <c r="CQ115" s="237" t="s">
        <v>231</v>
      </c>
      <c r="CR115" s="237" t="s">
        <v>231</v>
      </c>
      <c r="CS115" s="237" t="s">
        <v>232</v>
      </c>
      <c r="CT115" s="237" t="s">
        <v>232</v>
      </c>
      <c r="CU115" s="237" t="s">
        <v>232</v>
      </c>
      <c r="CV115" s="237" t="s">
        <v>232</v>
      </c>
      <c r="CW115" s="237" t="s">
        <v>232</v>
      </c>
      <c r="CX115" s="237" t="s">
        <v>232</v>
      </c>
      <c r="CY115" s="237" t="s">
        <v>232</v>
      </c>
      <c r="CZ115" s="237" t="s">
        <v>232</v>
      </c>
      <c r="DA115" s="237" t="s">
        <v>232</v>
      </c>
      <c r="DB115" s="237" t="s">
        <v>232</v>
      </c>
      <c r="DC115" s="237" t="s">
        <v>492</v>
      </c>
      <c r="DD115" s="237" t="s">
        <v>232</v>
      </c>
      <c r="DE115" s="237" t="s">
        <v>232</v>
      </c>
      <c r="DF115" s="237" t="s">
        <v>232</v>
      </c>
      <c r="DG115" s="237" t="s">
        <v>232</v>
      </c>
      <c r="DH115" s="237" t="s">
        <v>232</v>
      </c>
      <c r="DI115" s="237" t="s">
        <v>232</v>
      </c>
      <c r="DJ115" s="237" t="s">
        <v>232</v>
      </c>
      <c r="DK115" s="237" t="s">
        <v>232</v>
      </c>
      <c r="DL115" s="237" t="s">
        <v>232</v>
      </c>
      <c r="DM115" s="237" t="s">
        <v>232</v>
      </c>
      <c r="DN115" s="237" t="s">
        <v>232</v>
      </c>
      <c r="DO115" s="237" t="s">
        <v>232</v>
      </c>
      <c r="DP115" s="237" t="s">
        <v>232</v>
      </c>
      <c r="DQ115" s="237" t="s">
        <v>492</v>
      </c>
      <c r="DR115" s="237" t="s">
        <v>232</v>
      </c>
      <c r="DS115" s="237" t="s">
        <v>492</v>
      </c>
      <c r="DT115" s="237" t="s">
        <v>492</v>
      </c>
      <c r="DU115" s="237" t="s">
        <v>492</v>
      </c>
      <c r="DV115" s="237" t="s">
        <v>492</v>
      </c>
      <c r="DW115" s="237" t="s">
        <v>492</v>
      </c>
      <c r="DX115" s="237" t="s">
        <v>492</v>
      </c>
      <c r="DY115" s="237" t="s">
        <v>492</v>
      </c>
      <c r="DZ115" s="237" t="s">
        <v>492</v>
      </c>
      <c r="EA115" s="237" t="s">
        <v>492</v>
      </c>
      <c r="EB115" s="237" t="s">
        <v>232</v>
      </c>
      <c r="EC115" s="237" t="s">
        <v>232</v>
      </c>
      <c r="ED115" s="237" t="s">
        <v>232</v>
      </c>
      <c r="EE115" s="237" t="s">
        <v>232</v>
      </c>
      <c r="EF115" s="237" t="s">
        <v>232</v>
      </c>
      <c r="EG115" s="237" t="s">
        <v>232</v>
      </c>
      <c r="EH115" s="237" t="s">
        <v>232</v>
      </c>
      <c r="EI115" s="237" t="s">
        <v>232</v>
      </c>
      <c r="EJ115" s="237" t="s">
        <v>232</v>
      </c>
      <c r="EK115" s="237" t="s">
        <v>232</v>
      </c>
      <c r="EL115" s="237" t="s">
        <v>232</v>
      </c>
      <c r="EM115" s="237" t="s">
        <v>232</v>
      </c>
      <c r="EN115" s="237" t="s">
        <v>232</v>
      </c>
      <c r="EO115" s="237" t="s">
        <v>232</v>
      </c>
      <c r="EP115" s="237" t="s">
        <v>232</v>
      </c>
      <c r="EQ115" s="237" t="s">
        <v>232</v>
      </c>
      <c r="ER115" s="237" t="s">
        <v>232</v>
      </c>
      <c r="ES115" s="237" t="s">
        <v>232</v>
      </c>
      <c r="ET115" s="237" t="s">
        <v>232</v>
      </c>
      <c r="EU115" s="237" t="s">
        <v>232</v>
      </c>
      <c r="EV115" s="237" t="s">
        <v>232</v>
      </c>
      <c r="EW115" s="237" t="s">
        <v>232</v>
      </c>
      <c r="EX115" s="237" t="s">
        <v>232</v>
      </c>
      <c r="EY115" s="237" t="s">
        <v>232</v>
      </c>
      <c r="EZ115" s="237" t="s">
        <v>1107</v>
      </c>
      <c r="FA115" s="237" t="s">
        <v>1107</v>
      </c>
      <c r="FB115" s="237" t="s">
        <v>1107</v>
      </c>
      <c r="FC115" s="237" t="s">
        <v>1107</v>
      </c>
      <c r="FD115" s="237" t="s">
        <v>1107</v>
      </c>
      <c r="FE115" s="237" t="s">
        <v>1107</v>
      </c>
      <c r="FF115" s="237" t="s">
        <v>1107</v>
      </c>
      <c r="FG115" s="237" t="s">
        <v>1107</v>
      </c>
      <c r="FH115" s="237" t="s">
        <v>1107</v>
      </c>
      <c r="FI115" s="237" t="s">
        <v>1107</v>
      </c>
      <c r="FJ115" s="237" t="s">
        <v>1107</v>
      </c>
      <c r="FK115" s="237" t="s">
        <v>1107</v>
      </c>
      <c r="FL115" s="237" t="s">
        <v>1107</v>
      </c>
      <c r="FM115" s="237" t="s">
        <v>1107</v>
      </c>
      <c r="FN115" s="237" t="s">
        <v>1107</v>
      </c>
      <c r="FO115" s="237" t="s">
        <v>1107</v>
      </c>
      <c r="FP115" s="237" t="s">
        <v>1107</v>
      </c>
      <c r="FQ115" s="237" t="s">
        <v>1107</v>
      </c>
      <c r="FR115" s="237" t="s">
        <v>1107</v>
      </c>
      <c r="FS115" s="237" t="s">
        <v>1107</v>
      </c>
      <c r="FT115" s="237" t="s">
        <v>1107</v>
      </c>
      <c r="FU115" s="237" t="s">
        <v>1107</v>
      </c>
      <c r="FV115" s="237" t="s">
        <v>1107</v>
      </c>
      <c r="FW115" s="237" t="s">
        <v>1107</v>
      </c>
      <c r="FX115" s="237" t="s">
        <v>1107</v>
      </c>
      <c r="FY115" s="237" t="s">
        <v>1107</v>
      </c>
      <c r="FZ115" s="237" t="s">
        <v>232</v>
      </c>
      <c r="GA115" s="237" t="s">
        <v>1107</v>
      </c>
      <c r="GB115" s="237" t="s">
        <v>1107</v>
      </c>
      <c r="GC115" s="237" t="s">
        <v>232</v>
      </c>
      <c r="GD115" s="237" t="s">
        <v>1107</v>
      </c>
      <c r="GE115" s="237" t="s">
        <v>1107</v>
      </c>
      <c r="GF115" s="237" t="s">
        <v>1107</v>
      </c>
      <c r="GG115" s="237" t="s">
        <v>1107</v>
      </c>
      <c r="GH115" s="237" t="s">
        <v>1107</v>
      </c>
      <c r="GI115" s="237" t="s">
        <v>1107</v>
      </c>
      <c r="GJ115" s="237" t="s">
        <v>1107</v>
      </c>
      <c r="GK115" s="237" t="s">
        <v>1107</v>
      </c>
      <c r="GL115" s="237" t="s">
        <v>1107</v>
      </c>
      <c r="GM115" s="237" t="s">
        <v>1107</v>
      </c>
      <c r="GN115" s="237" t="s">
        <v>1107</v>
      </c>
      <c r="GO115" s="237" t="s">
        <v>1107</v>
      </c>
      <c r="GP115" s="237" t="s">
        <v>1107</v>
      </c>
      <c r="GQ115" s="237" t="s">
        <v>1107</v>
      </c>
      <c r="GR115" s="237" t="s">
        <v>1107</v>
      </c>
      <c r="GS115" s="237" t="s">
        <v>1107</v>
      </c>
      <c r="GT115" s="237" t="s">
        <v>1107</v>
      </c>
      <c r="GU115" s="237" t="s">
        <v>1107</v>
      </c>
      <c r="GV115" s="237" t="s">
        <v>1107</v>
      </c>
      <c r="GW115" s="237" t="s">
        <v>1107</v>
      </c>
      <c r="GX115" s="237" t="s">
        <v>1107</v>
      </c>
      <c r="GY115" s="237" t="s">
        <v>1107</v>
      </c>
      <c r="GZ115" s="237" t="s">
        <v>1107</v>
      </c>
      <c r="HA115" s="237" t="s">
        <v>1107</v>
      </c>
      <c r="HB115" s="237" t="s">
        <v>1107</v>
      </c>
      <c r="HC115" s="237" t="s">
        <v>1107</v>
      </c>
      <c r="HD115" s="237" t="s">
        <v>1107</v>
      </c>
      <c r="HE115" s="237" t="s">
        <v>1107</v>
      </c>
      <c r="HF115" s="237" t="s">
        <v>1107</v>
      </c>
      <c r="HG115" s="237" t="s">
        <v>1107</v>
      </c>
      <c r="HH115" s="237" t="s">
        <v>1107</v>
      </c>
      <c r="HI115" s="237" t="s">
        <v>1107</v>
      </c>
      <c r="HJ115" s="237" t="s">
        <v>1107</v>
      </c>
      <c r="HK115" s="237" t="s">
        <v>1107</v>
      </c>
      <c r="HL115" s="237" t="s">
        <v>1107</v>
      </c>
      <c r="HM115" s="237" t="s">
        <v>1107</v>
      </c>
      <c r="HN115" s="237" t="s">
        <v>1107</v>
      </c>
      <c r="HO115" s="237" t="s">
        <v>1107</v>
      </c>
      <c r="HP115" s="237" t="s">
        <v>1107</v>
      </c>
      <c r="HQ115" s="237" t="s">
        <v>1107</v>
      </c>
      <c r="HR115" s="237" t="s">
        <v>1107</v>
      </c>
      <c r="HS115" s="237" t="s">
        <v>1107</v>
      </c>
      <c r="HT115" s="237" t="s">
        <v>232</v>
      </c>
      <c r="HU115" s="237" t="s">
        <v>232</v>
      </c>
      <c r="HV115" s="237" t="s">
        <v>232</v>
      </c>
      <c r="HW115" s="237" t="s">
        <v>232</v>
      </c>
      <c r="HX115" s="237" t="s">
        <v>220</v>
      </c>
      <c r="HY115" s="237" t="s">
        <v>220</v>
      </c>
      <c r="HZ115" s="237" t="s">
        <v>219</v>
      </c>
      <c r="IA115" s="237" t="s">
        <v>490</v>
      </c>
      <c r="IB115" s="237" t="s">
        <v>492</v>
      </c>
      <c r="IC115" s="237" t="s">
        <v>492</v>
      </c>
    </row>
    <row r="116" spans="1:237" ht="15" x14ac:dyDescent="0.25">
      <c r="A116" s="244" t="str">
        <f>HYPERLINK("http://www.ofsted.gov.uk/inspection-reports/find-inspection-report/provider/ELS/135185 ","Ofsted School Webpage")</f>
        <v>Ofsted School Webpage</v>
      </c>
      <c r="B116" s="240">
        <v>135185</v>
      </c>
      <c r="C116" s="240">
        <v>8556023</v>
      </c>
      <c r="D116" s="240" t="s">
        <v>1334</v>
      </c>
      <c r="E116" s="240" t="s">
        <v>247</v>
      </c>
      <c r="F116" s="240" t="s">
        <v>572</v>
      </c>
      <c r="G116" s="240" t="s">
        <v>572</v>
      </c>
      <c r="H116" s="240" t="s">
        <v>966</v>
      </c>
      <c r="I116" s="240" t="s">
        <v>1335</v>
      </c>
      <c r="J116" s="240" t="s">
        <v>93</v>
      </c>
      <c r="K116" s="240" t="s">
        <v>93</v>
      </c>
      <c r="L116" s="240" t="s">
        <v>93</v>
      </c>
      <c r="M116" s="240" t="s">
        <v>90</v>
      </c>
      <c r="N116" s="240" t="s">
        <v>486</v>
      </c>
      <c r="O116" s="240" t="s">
        <v>487</v>
      </c>
      <c r="P116" s="240">
        <v>10086038</v>
      </c>
      <c r="Q116" s="242">
        <v>43495</v>
      </c>
      <c r="R116" s="242">
        <v>43495</v>
      </c>
      <c r="S116" s="242">
        <v>43534</v>
      </c>
      <c r="T116" s="240" t="s">
        <v>1124</v>
      </c>
      <c r="U116" s="240" t="s">
        <v>1105</v>
      </c>
      <c r="V116" s="240" t="s">
        <v>490</v>
      </c>
      <c r="W116" s="240" t="s">
        <v>486</v>
      </c>
      <c r="X116" s="240" t="s">
        <v>486</v>
      </c>
      <c r="Y116" s="240" t="s">
        <v>486</v>
      </c>
      <c r="Z116" s="240" t="s">
        <v>486</v>
      </c>
      <c r="AA116" s="240" t="s">
        <v>486</v>
      </c>
      <c r="AB116" s="240" t="s">
        <v>486</v>
      </c>
      <c r="AC116" s="240" t="s">
        <v>486</v>
      </c>
      <c r="AD116" s="240" t="s">
        <v>1110</v>
      </c>
      <c r="AE116" s="240" t="s">
        <v>1107</v>
      </c>
      <c r="AF116" s="240" t="s">
        <v>1107</v>
      </c>
      <c r="AG116" s="240" t="s">
        <v>1107</v>
      </c>
      <c r="AH116" s="240" t="s">
        <v>1107</v>
      </c>
      <c r="AI116" s="240" t="s">
        <v>1107</v>
      </c>
      <c r="AJ116" s="240" t="s">
        <v>1107</v>
      </c>
      <c r="AK116" s="240" t="s">
        <v>1107</v>
      </c>
      <c r="AL116" s="240" t="s">
        <v>1107</v>
      </c>
      <c r="AM116" s="240" t="s">
        <v>1107</v>
      </c>
      <c r="AN116" s="240" t="s">
        <v>1107</v>
      </c>
      <c r="AO116" s="240" t="s">
        <v>1107</v>
      </c>
      <c r="AP116" s="240" t="s">
        <v>1107</v>
      </c>
      <c r="AQ116" s="240" t="s">
        <v>1107</v>
      </c>
      <c r="AR116" s="240" t="s">
        <v>1107</v>
      </c>
      <c r="AS116" s="240" t="s">
        <v>1107</v>
      </c>
      <c r="AT116" s="240" t="s">
        <v>1107</v>
      </c>
      <c r="AU116" s="240" t="s">
        <v>1107</v>
      </c>
      <c r="AV116" s="240" t="s">
        <v>1107</v>
      </c>
      <c r="AW116" s="240" t="s">
        <v>1107</v>
      </c>
      <c r="AX116" s="240" t="s">
        <v>1107</v>
      </c>
      <c r="AY116" s="240" t="s">
        <v>1107</v>
      </c>
      <c r="AZ116" s="240" t="s">
        <v>1107</v>
      </c>
      <c r="BA116" s="240" t="s">
        <v>1107</v>
      </c>
      <c r="BB116" s="240" t="s">
        <v>1107</v>
      </c>
      <c r="BC116" s="240" t="s">
        <v>1107</v>
      </c>
      <c r="BD116" s="240" t="s">
        <v>1107</v>
      </c>
      <c r="BE116" s="240" t="s">
        <v>1107</v>
      </c>
      <c r="BF116" s="240" t="s">
        <v>1107</v>
      </c>
      <c r="BG116" s="240" t="s">
        <v>1107</v>
      </c>
      <c r="BH116" s="240" t="s">
        <v>1107</v>
      </c>
      <c r="BI116" s="240" t="s">
        <v>1107</v>
      </c>
      <c r="BJ116" s="240" t="s">
        <v>1107</v>
      </c>
      <c r="BK116" s="240" t="s">
        <v>1107</v>
      </c>
      <c r="BL116" s="240" t="s">
        <v>1107</v>
      </c>
      <c r="BM116" s="240" t="s">
        <v>1107</v>
      </c>
      <c r="BN116" s="240" t="s">
        <v>1107</v>
      </c>
      <c r="BO116" s="240" t="s">
        <v>1107</v>
      </c>
      <c r="BP116" s="240" t="s">
        <v>1107</v>
      </c>
      <c r="BQ116" s="240" t="s">
        <v>1107</v>
      </c>
      <c r="BR116" s="240" t="s">
        <v>1107</v>
      </c>
      <c r="BS116" s="240" t="s">
        <v>1107</v>
      </c>
      <c r="BT116" s="240" t="s">
        <v>1107</v>
      </c>
      <c r="BU116" s="240" t="s">
        <v>1107</v>
      </c>
      <c r="BV116" s="240" t="s">
        <v>1107</v>
      </c>
      <c r="BW116" s="240" t="s">
        <v>1107</v>
      </c>
      <c r="BX116" s="240" t="s">
        <v>1107</v>
      </c>
      <c r="BY116" s="240" t="s">
        <v>1107</v>
      </c>
      <c r="BZ116" s="240" t="s">
        <v>231</v>
      </c>
      <c r="CA116" s="240" t="s">
        <v>231</v>
      </c>
      <c r="CB116" s="240" t="s">
        <v>231</v>
      </c>
      <c r="CC116" s="240" t="s">
        <v>1107</v>
      </c>
      <c r="CD116" s="240" t="s">
        <v>1107</v>
      </c>
      <c r="CE116" s="240" t="s">
        <v>1107</v>
      </c>
      <c r="CF116" s="240" t="s">
        <v>1107</v>
      </c>
      <c r="CG116" s="240" t="s">
        <v>1107</v>
      </c>
      <c r="CH116" s="240" t="s">
        <v>1107</v>
      </c>
      <c r="CI116" s="240" t="s">
        <v>1107</v>
      </c>
      <c r="CJ116" s="240" t="s">
        <v>1107</v>
      </c>
      <c r="CK116" s="240" t="s">
        <v>1107</v>
      </c>
      <c r="CL116" s="240" t="s">
        <v>231</v>
      </c>
      <c r="CM116" s="240" t="s">
        <v>1107</v>
      </c>
      <c r="CN116" s="240" t="s">
        <v>1107</v>
      </c>
      <c r="CO116" s="240" t="s">
        <v>1107</v>
      </c>
      <c r="CP116" s="240" t="s">
        <v>1107</v>
      </c>
      <c r="CQ116" s="240" t="s">
        <v>1107</v>
      </c>
      <c r="CR116" s="240" t="s">
        <v>1107</v>
      </c>
      <c r="CS116" s="240" t="s">
        <v>1107</v>
      </c>
      <c r="CT116" s="240" t="s">
        <v>1107</v>
      </c>
      <c r="CU116" s="240" t="s">
        <v>1107</v>
      </c>
      <c r="CV116" s="240" t="s">
        <v>1107</v>
      </c>
      <c r="CW116" s="240" t="s">
        <v>1107</v>
      </c>
      <c r="CX116" s="240" t="s">
        <v>1107</v>
      </c>
      <c r="CY116" s="240" t="s">
        <v>1107</v>
      </c>
      <c r="CZ116" s="240" t="s">
        <v>1107</v>
      </c>
      <c r="DA116" s="240" t="s">
        <v>1107</v>
      </c>
      <c r="DB116" s="240" t="s">
        <v>1107</v>
      </c>
      <c r="DC116" s="240" t="s">
        <v>1107</v>
      </c>
      <c r="DD116" s="240" t="s">
        <v>1107</v>
      </c>
      <c r="DE116" s="240" t="s">
        <v>1107</v>
      </c>
      <c r="DF116" s="240" t="s">
        <v>1107</v>
      </c>
      <c r="DG116" s="240" t="s">
        <v>1107</v>
      </c>
      <c r="DH116" s="240" t="s">
        <v>1107</v>
      </c>
      <c r="DI116" s="240" t="s">
        <v>1107</v>
      </c>
      <c r="DJ116" s="240" t="s">
        <v>1107</v>
      </c>
      <c r="DK116" s="240" t="s">
        <v>1107</v>
      </c>
      <c r="DL116" s="240" t="s">
        <v>1107</v>
      </c>
      <c r="DM116" s="240" t="s">
        <v>1107</v>
      </c>
      <c r="DN116" s="240" t="s">
        <v>1107</v>
      </c>
      <c r="DO116" s="240" t="s">
        <v>1107</v>
      </c>
      <c r="DP116" s="240" t="s">
        <v>1107</v>
      </c>
      <c r="DQ116" s="240" t="s">
        <v>1107</v>
      </c>
      <c r="DR116" s="240" t="s">
        <v>1107</v>
      </c>
      <c r="DS116" s="240" t="s">
        <v>1107</v>
      </c>
      <c r="DT116" s="240" t="s">
        <v>1107</v>
      </c>
      <c r="DU116" s="240" t="s">
        <v>1107</v>
      </c>
      <c r="DV116" s="240" t="s">
        <v>1107</v>
      </c>
      <c r="DW116" s="240" t="s">
        <v>1107</v>
      </c>
      <c r="DX116" s="240" t="s">
        <v>1107</v>
      </c>
      <c r="DY116" s="240" t="s">
        <v>1107</v>
      </c>
      <c r="DZ116" s="240" t="s">
        <v>1107</v>
      </c>
      <c r="EA116" s="240" t="s">
        <v>1107</v>
      </c>
      <c r="EB116" s="240" t="s">
        <v>1107</v>
      </c>
      <c r="EC116" s="240" t="s">
        <v>1107</v>
      </c>
      <c r="ED116" s="240" t="s">
        <v>1107</v>
      </c>
      <c r="EE116" s="240" t="s">
        <v>1107</v>
      </c>
      <c r="EF116" s="240" t="s">
        <v>1107</v>
      </c>
      <c r="EG116" s="240" t="s">
        <v>1107</v>
      </c>
      <c r="EH116" s="240" t="s">
        <v>1107</v>
      </c>
      <c r="EI116" s="240" t="s">
        <v>1107</v>
      </c>
      <c r="EJ116" s="240" t="s">
        <v>1107</v>
      </c>
      <c r="EK116" s="240" t="s">
        <v>1107</v>
      </c>
      <c r="EL116" s="240" t="s">
        <v>1107</v>
      </c>
      <c r="EM116" s="240" t="s">
        <v>1107</v>
      </c>
      <c r="EN116" s="240" t="s">
        <v>1107</v>
      </c>
      <c r="EO116" s="240" t="s">
        <v>1107</v>
      </c>
      <c r="EP116" s="240" t="s">
        <v>1107</v>
      </c>
      <c r="EQ116" s="240" t="s">
        <v>1107</v>
      </c>
      <c r="ER116" s="240" t="s">
        <v>1107</v>
      </c>
      <c r="ES116" s="240" t="s">
        <v>1107</v>
      </c>
      <c r="ET116" s="240" t="s">
        <v>1107</v>
      </c>
      <c r="EU116" s="240" t="s">
        <v>1107</v>
      </c>
      <c r="EV116" s="240" t="s">
        <v>1107</v>
      </c>
      <c r="EW116" s="240" t="s">
        <v>1107</v>
      </c>
      <c r="EX116" s="240" t="s">
        <v>1107</v>
      </c>
      <c r="EY116" s="240" t="s">
        <v>1107</v>
      </c>
      <c r="EZ116" s="240" t="s">
        <v>1107</v>
      </c>
      <c r="FA116" s="240" t="s">
        <v>1107</v>
      </c>
      <c r="FB116" s="240" t="s">
        <v>1107</v>
      </c>
      <c r="FC116" s="240" t="s">
        <v>1107</v>
      </c>
      <c r="FD116" s="240" t="s">
        <v>1107</v>
      </c>
      <c r="FE116" s="240" t="s">
        <v>1107</v>
      </c>
      <c r="FF116" s="240" t="s">
        <v>1107</v>
      </c>
      <c r="FG116" s="240" t="s">
        <v>1107</v>
      </c>
      <c r="FH116" s="240" t="s">
        <v>1107</v>
      </c>
      <c r="FI116" s="240" t="s">
        <v>231</v>
      </c>
      <c r="FJ116" s="240" t="s">
        <v>1107</v>
      </c>
      <c r="FK116" s="240" t="s">
        <v>1107</v>
      </c>
      <c r="FL116" s="240" t="s">
        <v>1107</v>
      </c>
      <c r="FM116" s="240" t="s">
        <v>1107</v>
      </c>
      <c r="FN116" s="240" t="s">
        <v>1107</v>
      </c>
      <c r="FO116" s="240" t="s">
        <v>1107</v>
      </c>
      <c r="FP116" s="240" t="s">
        <v>1107</v>
      </c>
      <c r="FQ116" s="240" t="s">
        <v>1107</v>
      </c>
      <c r="FR116" s="240" t="s">
        <v>1107</v>
      </c>
      <c r="FS116" s="240" t="s">
        <v>1107</v>
      </c>
      <c r="FT116" s="240" t="s">
        <v>1107</v>
      </c>
      <c r="FU116" s="240" t="s">
        <v>1107</v>
      </c>
      <c r="FV116" s="240" t="s">
        <v>1107</v>
      </c>
      <c r="FW116" s="240" t="s">
        <v>1107</v>
      </c>
      <c r="FX116" s="240" t="s">
        <v>1107</v>
      </c>
      <c r="FY116" s="240" t="s">
        <v>1107</v>
      </c>
      <c r="FZ116" s="240" t="s">
        <v>1107</v>
      </c>
      <c r="GA116" s="240" t="s">
        <v>1107</v>
      </c>
      <c r="GB116" s="240" t="s">
        <v>1107</v>
      </c>
      <c r="GC116" s="240" t="s">
        <v>231</v>
      </c>
      <c r="GD116" s="240" t="s">
        <v>1107</v>
      </c>
      <c r="GE116" s="240" t="s">
        <v>1107</v>
      </c>
      <c r="GF116" s="240" t="s">
        <v>1107</v>
      </c>
      <c r="GG116" s="240" t="s">
        <v>1107</v>
      </c>
      <c r="GH116" s="240" t="s">
        <v>1107</v>
      </c>
      <c r="GI116" s="240" t="s">
        <v>1107</v>
      </c>
      <c r="GJ116" s="240" t="s">
        <v>1107</v>
      </c>
      <c r="GK116" s="240" t="s">
        <v>1107</v>
      </c>
      <c r="GL116" s="240" t="s">
        <v>1107</v>
      </c>
      <c r="GM116" s="240" t="s">
        <v>1107</v>
      </c>
      <c r="GN116" s="240" t="s">
        <v>1107</v>
      </c>
      <c r="GO116" s="240" t="s">
        <v>1107</v>
      </c>
      <c r="GP116" s="240" t="s">
        <v>1107</v>
      </c>
      <c r="GQ116" s="240" t="s">
        <v>1107</v>
      </c>
      <c r="GR116" s="240" t="s">
        <v>1107</v>
      </c>
      <c r="GS116" s="240" t="s">
        <v>1107</v>
      </c>
      <c r="GT116" s="240" t="s">
        <v>1107</v>
      </c>
      <c r="GU116" s="240" t="s">
        <v>1107</v>
      </c>
      <c r="GV116" s="240" t="s">
        <v>1107</v>
      </c>
      <c r="GW116" s="240" t="s">
        <v>1107</v>
      </c>
      <c r="GX116" s="240" t="s">
        <v>1107</v>
      </c>
      <c r="GY116" s="240" t="s">
        <v>1107</v>
      </c>
      <c r="GZ116" s="240" t="s">
        <v>1107</v>
      </c>
      <c r="HA116" s="240" t="s">
        <v>1107</v>
      </c>
      <c r="HB116" s="240" t="s">
        <v>1107</v>
      </c>
      <c r="HC116" s="240" t="s">
        <v>1107</v>
      </c>
      <c r="HD116" s="240" t="s">
        <v>1107</v>
      </c>
      <c r="HE116" s="240" t="s">
        <v>1107</v>
      </c>
      <c r="HF116" s="240" t="s">
        <v>1107</v>
      </c>
      <c r="HG116" s="240" t="s">
        <v>1107</v>
      </c>
      <c r="HH116" s="240" t="s">
        <v>1107</v>
      </c>
      <c r="HI116" s="240" t="s">
        <v>1107</v>
      </c>
      <c r="HJ116" s="240" t="s">
        <v>1107</v>
      </c>
      <c r="HK116" s="240" t="s">
        <v>1107</v>
      </c>
      <c r="HL116" s="240" t="s">
        <v>1107</v>
      </c>
      <c r="HM116" s="240" t="s">
        <v>1107</v>
      </c>
      <c r="HN116" s="240" t="s">
        <v>1107</v>
      </c>
      <c r="HO116" s="240" t="s">
        <v>1107</v>
      </c>
      <c r="HP116" s="240" t="s">
        <v>1107</v>
      </c>
      <c r="HQ116" s="240" t="s">
        <v>1107</v>
      </c>
      <c r="HR116" s="240" t="s">
        <v>1107</v>
      </c>
      <c r="HS116" s="240" t="s">
        <v>1107</v>
      </c>
      <c r="HT116" s="240" t="s">
        <v>1107</v>
      </c>
      <c r="HU116" s="240" t="s">
        <v>1107</v>
      </c>
      <c r="HV116" s="240" t="s">
        <v>1107</v>
      </c>
      <c r="HW116" s="240" t="s">
        <v>1107</v>
      </c>
      <c r="HX116" s="240" t="s">
        <v>220</v>
      </c>
      <c r="HY116" s="240" t="s">
        <v>493</v>
      </c>
      <c r="HZ116" s="240" t="s">
        <v>219</v>
      </c>
      <c r="IA116" s="240" t="s">
        <v>490</v>
      </c>
      <c r="IB116" s="240" t="s">
        <v>1107</v>
      </c>
      <c r="IC116" s="240" t="s">
        <v>1107</v>
      </c>
    </row>
    <row r="117" spans="1:237" ht="15" x14ac:dyDescent="0.25">
      <c r="A117" s="243" t="str">
        <f>HYPERLINK("http://www.ofsted.gov.uk/inspection-reports/find-inspection-report/provider/ELS/135773 ","Ofsted School Webpage")</f>
        <v>Ofsted School Webpage</v>
      </c>
      <c r="B117" s="237">
        <v>135773</v>
      </c>
      <c r="C117" s="237">
        <v>8786061</v>
      </c>
      <c r="D117" s="237" t="s">
        <v>1336</v>
      </c>
      <c r="E117" s="237" t="s">
        <v>248</v>
      </c>
      <c r="F117" s="237" t="s">
        <v>483</v>
      </c>
      <c r="G117" s="237" t="s">
        <v>483</v>
      </c>
      <c r="H117" s="237" t="s">
        <v>747</v>
      </c>
      <c r="I117" s="237" t="s">
        <v>1337</v>
      </c>
      <c r="J117" s="237" t="s">
        <v>93</v>
      </c>
      <c r="K117" s="237" t="s">
        <v>93</v>
      </c>
      <c r="L117" s="237" t="s">
        <v>93</v>
      </c>
      <c r="M117" s="237" t="s">
        <v>90</v>
      </c>
      <c r="N117" s="237" t="s">
        <v>486</v>
      </c>
      <c r="O117" s="237" t="s">
        <v>487</v>
      </c>
      <c r="P117" s="237">
        <v>10092672</v>
      </c>
      <c r="Q117" s="239">
        <v>43496</v>
      </c>
      <c r="R117" s="239">
        <v>43496</v>
      </c>
      <c r="S117" s="239">
        <v>43524</v>
      </c>
      <c r="T117" s="237" t="s">
        <v>1104</v>
      </c>
      <c r="U117" s="237" t="s">
        <v>1105</v>
      </c>
      <c r="V117" s="237" t="s">
        <v>490</v>
      </c>
      <c r="W117" s="237" t="s">
        <v>486</v>
      </c>
      <c r="X117" s="237" t="s">
        <v>486</v>
      </c>
      <c r="Y117" s="237" t="s">
        <v>486</v>
      </c>
      <c r="Z117" s="237" t="s">
        <v>486</v>
      </c>
      <c r="AA117" s="237" t="s">
        <v>486</v>
      </c>
      <c r="AB117" s="237" t="s">
        <v>486</v>
      </c>
      <c r="AC117" s="237" t="s">
        <v>486</v>
      </c>
      <c r="AD117" s="237" t="s">
        <v>1257</v>
      </c>
      <c r="AE117" s="237" t="s">
        <v>231</v>
      </c>
      <c r="AF117" s="237" t="s">
        <v>231</v>
      </c>
      <c r="AG117" s="237" t="s">
        <v>231</v>
      </c>
      <c r="AH117" s="237" t="s">
        <v>231</v>
      </c>
      <c r="AI117" s="237" t="s">
        <v>231</v>
      </c>
      <c r="AJ117" s="237" t="s">
        <v>231</v>
      </c>
      <c r="AK117" s="237" t="s">
        <v>231</v>
      </c>
      <c r="AL117" s="237" t="s">
        <v>231</v>
      </c>
      <c r="AM117" s="237" t="s">
        <v>231</v>
      </c>
      <c r="AN117" s="237" t="s">
        <v>231</v>
      </c>
      <c r="AO117" s="237" t="s">
        <v>231</v>
      </c>
      <c r="AP117" s="237" t="s">
        <v>231</v>
      </c>
      <c r="AQ117" s="237" t="s">
        <v>231</v>
      </c>
      <c r="AR117" s="237" t="s">
        <v>231</v>
      </c>
      <c r="AS117" s="237" t="s">
        <v>231</v>
      </c>
      <c r="AT117" s="237" t="s">
        <v>231</v>
      </c>
      <c r="AU117" s="237" t="s">
        <v>492</v>
      </c>
      <c r="AV117" s="237" t="s">
        <v>492</v>
      </c>
      <c r="AW117" s="237" t="s">
        <v>231</v>
      </c>
      <c r="AX117" s="237" t="s">
        <v>231</v>
      </c>
      <c r="AY117" s="237" t="s">
        <v>231</v>
      </c>
      <c r="AZ117" s="237" t="s">
        <v>231</v>
      </c>
      <c r="BA117" s="237" t="s">
        <v>231</v>
      </c>
      <c r="BB117" s="237" t="s">
        <v>231</v>
      </c>
      <c r="BC117" s="237" t="s">
        <v>231</v>
      </c>
      <c r="BD117" s="237" t="s">
        <v>231</v>
      </c>
      <c r="BE117" s="237" t="s">
        <v>231</v>
      </c>
      <c r="BF117" s="237" t="s">
        <v>231</v>
      </c>
      <c r="BG117" s="237" t="s">
        <v>231</v>
      </c>
      <c r="BH117" s="237" t="s">
        <v>231</v>
      </c>
      <c r="BI117" s="237" t="s">
        <v>231</v>
      </c>
      <c r="BJ117" s="237" t="s">
        <v>231</v>
      </c>
      <c r="BK117" s="237" t="s">
        <v>231</v>
      </c>
      <c r="BL117" s="237" t="s">
        <v>231</v>
      </c>
      <c r="BM117" s="237" t="s">
        <v>231</v>
      </c>
      <c r="BN117" s="237" t="s">
        <v>231</v>
      </c>
      <c r="BO117" s="237" t="s">
        <v>231</v>
      </c>
      <c r="BP117" s="237" t="s">
        <v>231</v>
      </c>
      <c r="BQ117" s="237" t="s">
        <v>231</v>
      </c>
      <c r="BR117" s="237" t="s">
        <v>231</v>
      </c>
      <c r="BS117" s="237" t="s">
        <v>231</v>
      </c>
      <c r="BT117" s="237" t="s">
        <v>231</v>
      </c>
      <c r="BU117" s="237" t="s">
        <v>231</v>
      </c>
      <c r="BV117" s="237" t="s">
        <v>231</v>
      </c>
      <c r="BW117" s="237" t="s">
        <v>231</v>
      </c>
      <c r="BX117" s="237" t="s">
        <v>231</v>
      </c>
      <c r="BY117" s="237" t="s">
        <v>231</v>
      </c>
      <c r="BZ117" s="237" t="s">
        <v>231</v>
      </c>
      <c r="CA117" s="237" t="s">
        <v>231</v>
      </c>
      <c r="CB117" s="237" t="s">
        <v>231</v>
      </c>
      <c r="CC117" s="237" t="s">
        <v>1107</v>
      </c>
      <c r="CD117" s="237" t="s">
        <v>1107</v>
      </c>
      <c r="CE117" s="237" t="s">
        <v>1107</v>
      </c>
      <c r="CF117" s="237" t="s">
        <v>1107</v>
      </c>
      <c r="CG117" s="237" t="s">
        <v>1107</v>
      </c>
      <c r="CH117" s="237" t="s">
        <v>1107</v>
      </c>
      <c r="CI117" s="237" t="s">
        <v>1107</v>
      </c>
      <c r="CJ117" s="237" t="s">
        <v>1107</v>
      </c>
      <c r="CK117" s="237" t="s">
        <v>231</v>
      </c>
      <c r="CL117" s="237" t="s">
        <v>231</v>
      </c>
      <c r="CM117" s="237" t="s">
        <v>1107</v>
      </c>
      <c r="CN117" s="237" t="s">
        <v>231</v>
      </c>
      <c r="CO117" s="237" t="s">
        <v>1107</v>
      </c>
      <c r="CP117" s="237" t="s">
        <v>231</v>
      </c>
      <c r="CQ117" s="237" t="s">
        <v>231</v>
      </c>
      <c r="CR117" s="237" t="s">
        <v>231</v>
      </c>
      <c r="CS117" s="237" t="s">
        <v>231</v>
      </c>
      <c r="CT117" s="237" t="s">
        <v>231</v>
      </c>
      <c r="CU117" s="237" t="s">
        <v>231</v>
      </c>
      <c r="CV117" s="237" t="s">
        <v>231</v>
      </c>
      <c r="CW117" s="237" t="s">
        <v>231</v>
      </c>
      <c r="CX117" s="237" t="s">
        <v>231</v>
      </c>
      <c r="CY117" s="237" t="s">
        <v>231</v>
      </c>
      <c r="CZ117" s="237" t="s">
        <v>231</v>
      </c>
      <c r="DA117" s="237" t="s">
        <v>231</v>
      </c>
      <c r="DB117" s="237" t="s">
        <v>231</v>
      </c>
      <c r="DC117" s="237" t="s">
        <v>492</v>
      </c>
      <c r="DD117" s="237" t="s">
        <v>231</v>
      </c>
      <c r="DE117" s="237" t="s">
        <v>231</v>
      </c>
      <c r="DF117" s="237" t="s">
        <v>231</v>
      </c>
      <c r="DG117" s="237" t="s">
        <v>231</v>
      </c>
      <c r="DH117" s="237" t="s">
        <v>231</v>
      </c>
      <c r="DI117" s="237" t="s">
        <v>231</v>
      </c>
      <c r="DJ117" s="237" t="s">
        <v>231</v>
      </c>
      <c r="DK117" s="237" t="s">
        <v>231</v>
      </c>
      <c r="DL117" s="237" t="s">
        <v>231</v>
      </c>
      <c r="DM117" s="237" t="s">
        <v>231</v>
      </c>
      <c r="DN117" s="237" t="s">
        <v>231</v>
      </c>
      <c r="DO117" s="237" t="s">
        <v>231</v>
      </c>
      <c r="DP117" s="237" t="s">
        <v>231</v>
      </c>
      <c r="DQ117" s="237" t="s">
        <v>231</v>
      </c>
      <c r="DR117" s="237" t="s">
        <v>231</v>
      </c>
      <c r="DS117" s="237" t="s">
        <v>231</v>
      </c>
      <c r="DT117" s="237" t="s">
        <v>231</v>
      </c>
      <c r="DU117" s="237" t="s">
        <v>231</v>
      </c>
      <c r="DV117" s="237" t="s">
        <v>231</v>
      </c>
      <c r="DW117" s="237" t="s">
        <v>231</v>
      </c>
      <c r="DX117" s="237" t="s">
        <v>231</v>
      </c>
      <c r="DY117" s="237" t="s">
        <v>231</v>
      </c>
      <c r="DZ117" s="237" t="s">
        <v>231</v>
      </c>
      <c r="EA117" s="237" t="s">
        <v>231</v>
      </c>
      <c r="EB117" s="237" t="s">
        <v>231</v>
      </c>
      <c r="EC117" s="237" t="s">
        <v>231</v>
      </c>
      <c r="ED117" s="237" t="s">
        <v>231</v>
      </c>
      <c r="EE117" s="237" t="s">
        <v>231</v>
      </c>
      <c r="EF117" s="237" t="s">
        <v>231</v>
      </c>
      <c r="EG117" s="237" t="s">
        <v>231</v>
      </c>
      <c r="EH117" s="237" t="s">
        <v>231</v>
      </c>
      <c r="EI117" s="237" t="s">
        <v>231</v>
      </c>
      <c r="EJ117" s="237" t="s">
        <v>231</v>
      </c>
      <c r="EK117" s="237" t="s">
        <v>231</v>
      </c>
      <c r="EL117" s="237" t="s">
        <v>231</v>
      </c>
      <c r="EM117" s="237" t="s">
        <v>231</v>
      </c>
      <c r="EN117" s="237" t="s">
        <v>231</v>
      </c>
      <c r="EO117" s="237" t="s">
        <v>231</v>
      </c>
      <c r="EP117" s="237" t="s">
        <v>231</v>
      </c>
      <c r="EQ117" s="237" t="s">
        <v>231</v>
      </c>
      <c r="ER117" s="237" t="s">
        <v>231</v>
      </c>
      <c r="ES117" s="237" t="s">
        <v>231</v>
      </c>
      <c r="ET117" s="237" t="s">
        <v>492</v>
      </c>
      <c r="EU117" s="237" t="s">
        <v>231</v>
      </c>
      <c r="EV117" s="237" t="s">
        <v>231</v>
      </c>
      <c r="EW117" s="237" t="s">
        <v>231</v>
      </c>
      <c r="EX117" s="237" t="s">
        <v>231</v>
      </c>
      <c r="EY117" s="237" t="s">
        <v>231</v>
      </c>
      <c r="EZ117" s="237" t="s">
        <v>231</v>
      </c>
      <c r="FA117" s="237" t="s">
        <v>231</v>
      </c>
      <c r="FB117" s="237" t="s">
        <v>231</v>
      </c>
      <c r="FC117" s="237" t="s">
        <v>231</v>
      </c>
      <c r="FD117" s="237" t="s">
        <v>231</v>
      </c>
      <c r="FE117" s="237" t="s">
        <v>231</v>
      </c>
      <c r="FF117" s="237" t="s">
        <v>231</v>
      </c>
      <c r="FG117" s="237" t="s">
        <v>231</v>
      </c>
      <c r="FH117" s="237" t="s">
        <v>231</v>
      </c>
      <c r="FI117" s="237" t="s">
        <v>231</v>
      </c>
      <c r="FJ117" s="237" t="s">
        <v>231</v>
      </c>
      <c r="FK117" s="237" t="s">
        <v>231</v>
      </c>
      <c r="FL117" s="237" t="s">
        <v>231</v>
      </c>
      <c r="FM117" s="237" t="s">
        <v>231</v>
      </c>
      <c r="FN117" s="237" t="s">
        <v>231</v>
      </c>
      <c r="FO117" s="237" t="s">
        <v>231</v>
      </c>
      <c r="FP117" s="237" t="s">
        <v>231</v>
      </c>
      <c r="FQ117" s="237" t="s">
        <v>231</v>
      </c>
      <c r="FR117" s="237" t="s">
        <v>231</v>
      </c>
      <c r="FS117" s="237" t="s">
        <v>231</v>
      </c>
      <c r="FT117" s="237" t="s">
        <v>231</v>
      </c>
      <c r="FU117" s="237" t="s">
        <v>231</v>
      </c>
      <c r="FV117" s="237" t="s">
        <v>231</v>
      </c>
      <c r="FW117" s="237" t="s">
        <v>231</v>
      </c>
      <c r="FX117" s="237" t="s">
        <v>231</v>
      </c>
      <c r="FY117" s="237" t="s">
        <v>492</v>
      </c>
      <c r="FZ117" s="237" t="s">
        <v>1107</v>
      </c>
      <c r="GA117" s="237" t="s">
        <v>1107</v>
      </c>
      <c r="GB117" s="237" t="s">
        <v>1107</v>
      </c>
      <c r="GC117" s="237" t="s">
        <v>1107</v>
      </c>
      <c r="GD117" s="237" t="s">
        <v>1107</v>
      </c>
      <c r="GE117" s="237" t="s">
        <v>1107</v>
      </c>
      <c r="GF117" s="237" t="s">
        <v>1107</v>
      </c>
      <c r="GG117" s="237" t="s">
        <v>1107</v>
      </c>
      <c r="GH117" s="237" t="s">
        <v>1107</v>
      </c>
      <c r="GI117" s="237" t="s">
        <v>1107</v>
      </c>
      <c r="GJ117" s="237" t="s">
        <v>1107</v>
      </c>
      <c r="GK117" s="237" t="s">
        <v>1107</v>
      </c>
      <c r="GL117" s="237" t="s">
        <v>1107</v>
      </c>
      <c r="GM117" s="237" t="s">
        <v>1107</v>
      </c>
      <c r="GN117" s="237" t="s">
        <v>1107</v>
      </c>
      <c r="GO117" s="237" t="s">
        <v>1107</v>
      </c>
      <c r="GP117" s="237" t="s">
        <v>1107</v>
      </c>
      <c r="GQ117" s="237" t="s">
        <v>1107</v>
      </c>
      <c r="GR117" s="237" t="s">
        <v>1107</v>
      </c>
      <c r="GS117" s="237" t="s">
        <v>1107</v>
      </c>
      <c r="GT117" s="237" t="s">
        <v>1107</v>
      </c>
      <c r="GU117" s="237" t="s">
        <v>1107</v>
      </c>
      <c r="GV117" s="237" t="s">
        <v>1107</v>
      </c>
      <c r="GW117" s="237" t="s">
        <v>1107</v>
      </c>
      <c r="GX117" s="237" t="s">
        <v>1107</v>
      </c>
      <c r="GY117" s="237" t="s">
        <v>1107</v>
      </c>
      <c r="GZ117" s="237" t="s">
        <v>1107</v>
      </c>
      <c r="HA117" s="237" t="s">
        <v>1107</v>
      </c>
      <c r="HB117" s="237" t="s">
        <v>1107</v>
      </c>
      <c r="HC117" s="237" t="s">
        <v>1107</v>
      </c>
      <c r="HD117" s="237" t="s">
        <v>1107</v>
      </c>
      <c r="HE117" s="237" t="s">
        <v>1107</v>
      </c>
      <c r="HF117" s="237" t="s">
        <v>1107</v>
      </c>
      <c r="HG117" s="237" t="s">
        <v>1107</v>
      </c>
      <c r="HH117" s="237" t="s">
        <v>1107</v>
      </c>
      <c r="HI117" s="237" t="s">
        <v>1107</v>
      </c>
      <c r="HJ117" s="237" t="s">
        <v>1107</v>
      </c>
      <c r="HK117" s="237" t="s">
        <v>1107</v>
      </c>
      <c r="HL117" s="237" t="s">
        <v>1107</v>
      </c>
      <c r="HM117" s="237" t="s">
        <v>1107</v>
      </c>
      <c r="HN117" s="237" t="s">
        <v>1107</v>
      </c>
      <c r="HO117" s="237" t="s">
        <v>1107</v>
      </c>
      <c r="HP117" s="237" t="s">
        <v>1107</v>
      </c>
      <c r="HQ117" s="237" t="s">
        <v>1107</v>
      </c>
      <c r="HR117" s="237" t="s">
        <v>1107</v>
      </c>
      <c r="HS117" s="237" t="s">
        <v>1107</v>
      </c>
      <c r="HT117" s="237" t="s">
        <v>231</v>
      </c>
      <c r="HU117" s="237" t="s">
        <v>231</v>
      </c>
      <c r="HV117" s="237" t="s">
        <v>231</v>
      </c>
      <c r="HW117" s="237" t="s">
        <v>231</v>
      </c>
      <c r="HX117" s="237" t="s">
        <v>220</v>
      </c>
      <c r="HY117" s="237" t="s">
        <v>493</v>
      </c>
      <c r="HZ117" s="237" t="s">
        <v>219</v>
      </c>
      <c r="IA117" s="237" t="s">
        <v>490</v>
      </c>
      <c r="IB117" s="237" t="s">
        <v>492</v>
      </c>
      <c r="IC117" s="237" t="s">
        <v>492</v>
      </c>
    </row>
    <row r="118" spans="1:237" ht="15" x14ac:dyDescent="0.25">
      <c r="A118" s="244" t="str">
        <f>HYPERLINK("http://www.ofsted.gov.uk/inspection-reports/find-inspection-report/provider/ELS/115436 ","Ofsted School Webpage")</f>
        <v>Ofsted School Webpage</v>
      </c>
      <c r="B118" s="240">
        <v>115436</v>
      </c>
      <c r="C118" s="240">
        <v>8816041</v>
      </c>
      <c r="D118" s="240" t="s">
        <v>1338</v>
      </c>
      <c r="E118" s="240" t="s">
        <v>247</v>
      </c>
      <c r="F118" s="240" t="s">
        <v>516</v>
      </c>
      <c r="G118" s="240" t="s">
        <v>516</v>
      </c>
      <c r="H118" s="240" t="s">
        <v>764</v>
      </c>
      <c r="I118" s="240" t="s">
        <v>1339</v>
      </c>
      <c r="J118" s="240" t="s">
        <v>71</v>
      </c>
      <c r="K118" s="240" t="s">
        <v>71</v>
      </c>
      <c r="L118" s="240" t="s">
        <v>71</v>
      </c>
      <c r="M118" s="240" t="s">
        <v>71</v>
      </c>
      <c r="N118" s="240" t="s">
        <v>486</v>
      </c>
      <c r="O118" s="240" t="s">
        <v>487</v>
      </c>
      <c r="P118" s="240">
        <v>10090744</v>
      </c>
      <c r="Q118" s="242">
        <v>43497</v>
      </c>
      <c r="R118" s="242">
        <v>43497</v>
      </c>
      <c r="S118" s="242">
        <v>43528</v>
      </c>
      <c r="T118" s="240" t="s">
        <v>1109</v>
      </c>
      <c r="U118" s="240" t="s">
        <v>1105</v>
      </c>
      <c r="V118" s="240" t="s">
        <v>490</v>
      </c>
      <c r="W118" s="240" t="s">
        <v>486</v>
      </c>
      <c r="X118" s="240" t="s">
        <v>486</v>
      </c>
      <c r="Y118" s="240" t="s">
        <v>486</v>
      </c>
      <c r="Z118" s="240" t="s">
        <v>486</v>
      </c>
      <c r="AA118" s="240" t="s">
        <v>486</v>
      </c>
      <c r="AB118" s="240" t="s">
        <v>486</v>
      </c>
      <c r="AC118" s="240" t="s">
        <v>486</v>
      </c>
      <c r="AD118" s="240" t="s">
        <v>1136</v>
      </c>
      <c r="AE118" s="240" t="s">
        <v>1107</v>
      </c>
      <c r="AF118" s="240" t="s">
        <v>1107</v>
      </c>
      <c r="AG118" s="240" t="s">
        <v>1107</v>
      </c>
      <c r="AH118" s="240" t="s">
        <v>1107</v>
      </c>
      <c r="AI118" s="240" t="s">
        <v>1107</v>
      </c>
      <c r="AJ118" s="240" t="s">
        <v>1107</v>
      </c>
      <c r="AK118" s="240" t="s">
        <v>1107</v>
      </c>
      <c r="AL118" s="240" t="s">
        <v>1107</v>
      </c>
      <c r="AM118" s="240" t="s">
        <v>492</v>
      </c>
      <c r="AN118" s="240" t="s">
        <v>1107</v>
      </c>
      <c r="AO118" s="240" t="s">
        <v>1107</v>
      </c>
      <c r="AP118" s="240" t="s">
        <v>1107</v>
      </c>
      <c r="AQ118" s="240" t="s">
        <v>1107</v>
      </c>
      <c r="AR118" s="240" t="s">
        <v>1107</v>
      </c>
      <c r="AS118" s="240" t="s">
        <v>1107</v>
      </c>
      <c r="AT118" s="240" t="s">
        <v>1107</v>
      </c>
      <c r="AU118" s="240" t="s">
        <v>1107</v>
      </c>
      <c r="AV118" s="240" t="s">
        <v>492</v>
      </c>
      <c r="AW118" s="240" t="s">
        <v>1107</v>
      </c>
      <c r="AX118" s="240" t="s">
        <v>1107</v>
      </c>
      <c r="AY118" s="240" t="s">
        <v>1107</v>
      </c>
      <c r="AZ118" s="240" t="s">
        <v>1107</v>
      </c>
      <c r="BA118" s="240" t="s">
        <v>1107</v>
      </c>
      <c r="BB118" s="240" t="s">
        <v>1107</v>
      </c>
      <c r="BC118" s="240" t="s">
        <v>1107</v>
      </c>
      <c r="BD118" s="240" t="s">
        <v>1107</v>
      </c>
      <c r="BE118" s="240" t="s">
        <v>1107</v>
      </c>
      <c r="BF118" s="240" t="s">
        <v>1107</v>
      </c>
      <c r="BG118" s="240" t="s">
        <v>1107</v>
      </c>
      <c r="BH118" s="240" t="s">
        <v>1107</v>
      </c>
      <c r="BI118" s="240" t="s">
        <v>1107</v>
      </c>
      <c r="BJ118" s="240" t="s">
        <v>1107</v>
      </c>
      <c r="BK118" s="240" t="s">
        <v>1107</v>
      </c>
      <c r="BL118" s="240" t="s">
        <v>1107</v>
      </c>
      <c r="BM118" s="240" t="s">
        <v>1107</v>
      </c>
      <c r="BN118" s="240" t="s">
        <v>1107</v>
      </c>
      <c r="BO118" s="240" t="s">
        <v>1107</v>
      </c>
      <c r="BP118" s="240" t="s">
        <v>1107</v>
      </c>
      <c r="BQ118" s="240" t="s">
        <v>1107</v>
      </c>
      <c r="BR118" s="240" t="s">
        <v>1107</v>
      </c>
      <c r="BS118" s="240" t="s">
        <v>1107</v>
      </c>
      <c r="BT118" s="240" t="s">
        <v>1107</v>
      </c>
      <c r="BU118" s="240" t="s">
        <v>1107</v>
      </c>
      <c r="BV118" s="240" t="s">
        <v>1107</v>
      </c>
      <c r="BW118" s="240" t="s">
        <v>1107</v>
      </c>
      <c r="BX118" s="240" t="s">
        <v>1107</v>
      </c>
      <c r="BY118" s="240" t="s">
        <v>1107</v>
      </c>
      <c r="BZ118" s="240" t="s">
        <v>231</v>
      </c>
      <c r="CA118" s="240" t="s">
        <v>231</v>
      </c>
      <c r="CB118" s="240" t="s">
        <v>231</v>
      </c>
      <c r="CC118" s="240" t="s">
        <v>492</v>
      </c>
      <c r="CD118" s="240" t="s">
        <v>492</v>
      </c>
      <c r="CE118" s="240" t="s">
        <v>492</v>
      </c>
      <c r="CF118" s="240" t="s">
        <v>1107</v>
      </c>
      <c r="CG118" s="240" t="s">
        <v>1107</v>
      </c>
      <c r="CH118" s="240" t="s">
        <v>1107</v>
      </c>
      <c r="CI118" s="240" t="s">
        <v>1107</v>
      </c>
      <c r="CJ118" s="240" t="s">
        <v>1107</v>
      </c>
      <c r="CK118" s="240" t="s">
        <v>1107</v>
      </c>
      <c r="CL118" s="240" t="s">
        <v>231</v>
      </c>
      <c r="CM118" s="240" t="s">
        <v>1107</v>
      </c>
      <c r="CN118" s="240" t="s">
        <v>231</v>
      </c>
      <c r="CO118" s="240" t="s">
        <v>1107</v>
      </c>
      <c r="CP118" s="240" t="s">
        <v>231</v>
      </c>
      <c r="CQ118" s="240" t="s">
        <v>231</v>
      </c>
      <c r="CR118" s="240" t="s">
        <v>231</v>
      </c>
      <c r="CS118" s="240" t="s">
        <v>1107</v>
      </c>
      <c r="CT118" s="240" t="s">
        <v>1107</v>
      </c>
      <c r="CU118" s="240" t="s">
        <v>1107</v>
      </c>
      <c r="CV118" s="240" t="s">
        <v>1107</v>
      </c>
      <c r="CW118" s="240" t="s">
        <v>1107</v>
      </c>
      <c r="CX118" s="240" t="s">
        <v>1107</v>
      </c>
      <c r="CY118" s="240" t="s">
        <v>1107</v>
      </c>
      <c r="CZ118" s="240" t="s">
        <v>1107</v>
      </c>
      <c r="DA118" s="240" t="s">
        <v>1107</v>
      </c>
      <c r="DB118" s="240" t="s">
        <v>1107</v>
      </c>
      <c r="DC118" s="240" t="s">
        <v>492</v>
      </c>
      <c r="DD118" s="240" t="s">
        <v>1107</v>
      </c>
      <c r="DE118" s="240" t="s">
        <v>492</v>
      </c>
      <c r="DF118" s="240" t="s">
        <v>492</v>
      </c>
      <c r="DG118" s="240" t="s">
        <v>492</v>
      </c>
      <c r="DH118" s="240" t="s">
        <v>492</v>
      </c>
      <c r="DI118" s="240" t="s">
        <v>492</v>
      </c>
      <c r="DJ118" s="240" t="s">
        <v>492</v>
      </c>
      <c r="DK118" s="240" t="s">
        <v>492</v>
      </c>
      <c r="DL118" s="240" t="s">
        <v>492</v>
      </c>
      <c r="DM118" s="240" t="s">
        <v>492</v>
      </c>
      <c r="DN118" s="240" t="s">
        <v>492</v>
      </c>
      <c r="DO118" s="240" t="s">
        <v>492</v>
      </c>
      <c r="DP118" s="240" t="s">
        <v>492</v>
      </c>
      <c r="DQ118" s="240" t="s">
        <v>492</v>
      </c>
      <c r="DR118" s="240" t="s">
        <v>492</v>
      </c>
      <c r="DS118" s="240" t="s">
        <v>1107</v>
      </c>
      <c r="DT118" s="240" t="s">
        <v>1107</v>
      </c>
      <c r="DU118" s="240" t="s">
        <v>1107</v>
      </c>
      <c r="DV118" s="240" t="s">
        <v>1107</v>
      </c>
      <c r="DW118" s="240" t="s">
        <v>1107</v>
      </c>
      <c r="DX118" s="240" t="s">
        <v>1107</v>
      </c>
      <c r="DY118" s="240" t="s">
        <v>1107</v>
      </c>
      <c r="DZ118" s="240" t="s">
        <v>1107</v>
      </c>
      <c r="EA118" s="240" t="s">
        <v>1107</v>
      </c>
      <c r="EB118" s="240" t="s">
        <v>1107</v>
      </c>
      <c r="EC118" s="240" t="s">
        <v>1107</v>
      </c>
      <c r="ED118" s="240" t="s">
        <v>1107</v>
      </c>
      <c r="EE118" s="240" t="s">
        <v>1107</v>
      </c>
      <c r="EF118" s="240" t="s">
        <v>1107</v>
      </c>
      <c r="EG118" s="240" t="s">
        <v>1107</v>
      </c>
      <c r="EH118" s="240" t="s">
        <v>1107</v>
      </c>
      <c r="EI118" s="240" t="s">
        <v>1107</v>
      </c>
      <c r="EJ118" s="240" t="s">
        <v>1107</v>
      </c>
      <c r="EK118" s="240" t="s">
        <v>1107</v>
      </c>
      <c r="EL118" s="240" t="s">
        <v>1107</v>
      </c>
      <c r="EM118" s="240" t="s">
        <v>1107</v>
      </c>
      <c r="EN118" s="240" t="s">
        <v>1107</v>
      </c>
      <c r="EO118" s="240" t="s">
        <v>1107</v>
      </c>
      <c r="EP118" s="240" t="s">
        <v>492</v>
      </c>
      <c r="EQ118" s="240" t="s">
        <v>492</v>
      </c>
      <c r="ER118" s="240" t="s">
        <v>492</v>
      </c>
      <c r="ES118" s="240" t="s">
        <v>492</v>
      </c>
      <c r="ET118" s="240" t="s">
        <v>492</v>
      </c>
      <c r="EU118" s="240" t="s">
        <v>492</v>
      </c>
      <c r="EV118" s="240" t="s">
        <v>1107</v>
      </c>
      <c r="EW118" s="240" t="s">
        <v>1107</v>
      </c>
      <c r="EX118" s="240" t="s">
        <v>1107</v>
      </c>
      <c r="EY118" s="240" t="s">
        <v>1107</v>
      </c>
      <c r="EZ118" s="240" t="s">
        <v>1107</v>
      </c>
      <c r="FA118" s="240" t="s">
        <v>1107</v>
      </c>
      <c r="FB118" s="240" t="s">
        <v>1107</v>
      </c>
      <c r="FC118" s="240" t="s">
        <v>1107</v>
      </c>
      <c r="FD118" s="240" t="s">
        <v>1107</v>
      </c>
      <c r="FE118" s="240" t="s">
        <v>1107</v>
      </c>
      <c r="FF118" s="240" t="s">
        <v>1107</v>
      </c>
      <c r="FG118" s="240" t="s">
        <v>1107</v>
      </c>
      <c r="FH118" s="240" t="s">
        <v>1107</v>
      </c>
      <c r="FI118" s="240" t="s">
        <v>231</v>
      </c>
      <c r="FJ118" s="240" t="s">
        <v>1107</v>
      </c>
      <c r="FK118" s="240" t="s">
        <v>1107</v>
      </c>
      <c r="FL118" s="240" t="s">
        <v>1107</v>
      </c>
      <c r="FM118" s="240" t="s">
        <v>1107</v>
      </c>
      <c r="FN118" s="240" t="s">
        <v>1107</v>
      </c>
      <c r="FO118" s="240" t="s">
        <v>1107</v>
      </c>
      <c r="FP118" s="240" t="s">
        <v>1107</v>
      </c>
      <c r="FQ118" s="240" t="s">
        <v>1107</v>
      </c>
      <c r="FR118" s="240" t="s">
        <v>1107</v>
      </c>
      <c r="FS118" s="240" t="s">
        <v>1107</v>
      </c>
      <c r="FT118" s="240" t="s">
        <v>1107</v>
      </c>
      <c r="FU118" s="240" t="s">
        <v>1107</v>
      </c>
      <c r="FV118" s="240" t="s">
        <v>1107</v>
      </c>
      <c r="FW118" s="240" t="s">
        <v>1107</v>
      </c>
      <c r="FX118" s="240" t="s">
        <v>1107</v>
      </c>
      <c r="FY118" s="240" t="s">
        <v>492</v>
      </c>
      <c r="FZ118" s="240" t="s">
        <v>1107</v>
      </c>
      <c r="GA118" s="240" t="s">
        <v>1107</v>
      </c>
      <c r="GB118" s="240" t="s">
        <v>1107</v>
      </c>
      <c r="GC118" s="240" t="s">
        <v>1107</v>
      </c>
      <c r="GD118" s="240" t="s">
        <v>1107</v>
      </c>
      <c r="GE118" s="240" t="s">
        <v>1107</v>
      </c>
      <c r="GF118" s="240" t="s">
        <v>1107</v>
      </c>
      <c r="GG118" s="240" t="s">
        <v>1107</v>
      </c>
      <c r="GH118" s="240" t="s">
        <v>492</v>
      </c>
      <c r="GI118" s="240" t="s">
        <v>492</v>
      </c>
      <c r="GJ118" s="240" t="s">
        <v>1107</v>
      </c>
      <c r="GK118" s="240" t="s">
        <v>1107</v>
      </c>
      <c r="GL118" s="240" t="s">
        <v>1107</v>
      </c>
      <c r="GM118" s="240" t="s">
        <v>1107</v>
      </c>
      <c r="GN118" s="240" t="s">
        <v>492</v>
      </c>
      <c r="GO118" s="240" t="s">
        <v>1107</v>
      </c>
      <c r="GP118" s="240" t="s">
        <v>1107</v>
      </c>
      <c r="GQ118" s="240" t="s">
        <v>1107</v>
      </c>
      <c r="GR118" s="240" t="s">
        <v>1107</v>
      </c>
      <c r="GS118" s="240" t="s">
        <v>1107</v>
      </c>
      <c r="GT118" s="240" t="s">
        <v>1107</v>
      </c>
      <c r="GU118" s="240" t="s">
        <v>1107</v>
      </c>
      <c r="GV118" s="240" t="s">
        <v>1107</v>
      </c>
      <c r="GW118" s="240" t="s">
        <v>1107</v>
      </c>
      <c r="GX118" s="240" t="s">
        <v>1107</v>
      </c>
      <c r="GY118" s="240" t="s">
        <v>1107</v>
      </c>
      <c r="GZ118" s="240" t="s">
        <v>1107</v>
      </c>
      <c r="HA118" s="240" t="s">
        <v>1107</v>
      </c>
      <c r="HB118" s="240" t="s">
        <v>1107</v>
      </c>
      <c r="HC118" s="240" t="s">
        <v>1107</v>
      </c>
      <c r="HD118" s="240" t="s">
        <v>1107</v>
      </c>
      <c r="HE118" s="240" t="s">
        <v>1107</v>
      </c>
      <c r="HF118" s="240" t="s">
        <v>1107</v>
      </c>
      <c r="HG118" s="240" t="s">
        <v>1107</v>
      </c>
      <c r="HH118" s="240" t="s">
        <v>1107</v>
      </c>
      <c r="HI118" s="240" t="s">
        <v>1107</v>
      </c>
      <c r="HJ118" s="240" t="s">
        <v>1107</v>
      </c>
      <c r="HK118" s="240" t="s">
        <v>1107</v>
      </c>
      <c r="HL118" s="240" t="s">
        <v>1107</v>
      </c>
      <c r="HM118" s="240" t="s">
        <v>1107</v>
      </c>
      <c r="HN118" s="240" t="s">
        <v>1107</v>
      </c>
      <c r="HO118" s="240" t="s">
        <v>1107</v>
      </c>
      <c r="HP118" s="240" t="s">
        <v>1107</v>
      </c>
      <c r="HQ118" s="240" t="s">
        <v>1107</v>
      </c>
      <c r="HR118" s="240" t="s">
        <v>1107</v>
      </c>
      <c r="HS118" s="240" t="s">
        <v>1107</v>
      </c>
      <c r="HT118" s="240" t="s">
        <v>232</v>
      </c>
      <c r="HU118" s="240" t="s">
        <v>232</v>
      </c>
      <c r="HV118" s="240" t="s">
        <v>232</v>
      </c>
      <c r="HW118" s="240" t="s">
        <v>231</v>
      </c>
      <c r="HX118" s="240" t="s">
        <v>220</v>
      </c>
      <c r="HY118" s="240" t="s">
        <v>493</v>
      </c>
      <c r="HZ118" s="240" t="s">
        <v>219</v>
      </c>
      <c r="IA118" s="240" t="s">
        <v>490</v>
      </c>
      <c r="IB118" s="240" t="s">
        <v>231</v>
      </c>
      <c r="IC118" s="240" t="s">
        <v>1107</v>
      </c>
    </row>
    <row r="119" spans="1:237" ht="15" x14ac:dyDescent="0.25">
      <c r="A119" s="243" t="str">
        <f>HYPERLINK("http://www.ofsted.gov.uk/inspection-reports/find-inspection-report/provider/ELS/109726 ","Ofsted School Webpage")</f>
        <v>Ofsted School Webpage</v>
      </c>
      <c r="B119" s="237">
        <v>109726</v>
      </c>
      <c r="C119" s="237">
        <v>8216000</v>
      </c>
      <c r="D119" s="237" t="s">
        <v>1340</v>
      </c>
      <c r="E119" s="237" t="s">
        <v>247</v>
      </c>
      <c r="F119" s="237" t="s">
        <v>516</v>
      </c>
      <c r="G119" s="237" t="s">
        <v>516</v>
      </c>
      <c r="H119" s="237" t="s">
        <v>517</v>
      </c>
      <c r="I119" s="237" t="s">
        <v>1341</v>
      </c>
      <c r="J119" s="237" t="s">
        <v>93</v>
      </c>
      <c r="K119" s="237" t="s">
        <v>93</v>
      </c>
      <c r="L119" s="237" t="s">
        <v>93</v>
      </c>
      <c r="M119" s="237" t="s">
        <v>90</v>
      </c>
      <c r="N119" s="237" t="s">
        <v>486</v>
      </c>
      <c r="O119" s="237" t="s">
        <v>660</v>
      </c>
      <c r="P119" s="237">
        <v>10086195</v>
      </c>
      <c r="Q119" s="239">
        <v>43500</v>
      </c>
      <c r="R119" s="239">
        <v>43500</v>
      </c>
      <c r="S119" s="239">
        <v>43535</v>
      </c>
      <c r="T119" s="237" t="s">
        <v>1109</v>
      </c>
      <c r="U119" s="237" t="s">
        <v>1105</v>
      </c>
      <c r="V119" s="237" t="s">
        <v>490</v>
      </c>
      <c r="W119" s="237" t="s">
        <v>486</v>
      </c>
      <c r="X119" s="237" t="s">
        <v>486</v>
      </c>
      <c r="Y119" s="237" t="s">
        <v>486</v>
      </c>
      <c r="Z119" s="237" t="s">
        <v>486</v>
      </c>
      <c r="AA119" s="237" t="s">
        <v>486</v>
      </c>
      <c r="AB119" s="237" t="s">
        <v>486</v>
      </c>
      <c r="AC119" s="237" t="s">
        <v>486</v>
      </c>
      <c r="AD119" s="237" t="s">
        <v>1110</v>
      </c>
      <c r="AE119" s="237" t="s">
        <v>1107</v>
      </c>
      <c r="AF119" s="237" t="s">
        <v>1107</v>
      </c>
      <c r="AG119" s="237" t="s">
        <v>1107</v>
      </c>
      <c r="AH119" s="237" t="s">
        <v>1107</v>
      </c>
      <c r="AI119" s="237" t="s">
        <v>1107</v>
      </c>
      <c r="AJ119" s="237" t="s">
        <v>1107</v>
      </c>
      <c r="AK119" s="237" t="s">
        <v>1107</v>
      </c>
      <c r="AL119" s="237" t="s">
        <v>1107</v>
      </c>
      <c r="AM119" s="237" t="s">
        <v>1107</v>
      </c>
      <c r="AN119" s="237" t="s">
        <v>1107</v>
      </c>
      <c r="AO119" s="237" t="s">
        <v>1107</v>
      </c>
      <c r="AP119" s="237" t="s">
        <v>1107</v>
      </c>
      <c r="AQ119" s="237" t="s">
        <v>1107</v>
      </c>
      <c r="AR119" s="237" t="s">
        <v>1107</v>
      </c>
      <c r="AS119" s="237" t="s">
        <v>1107</v>
      </c>
      <c r="AT119" s="237" t="s">
        <v>1107</v>
      </c>
      <c r="AU119" s="237" t="s">
        <v>1107</v>
      </c>
      <c r="AV119" s="237" t="s">
        <v>1107</v>
      </c>
      <c r="AW119" s="237" t="s">
        <v>1107</v>
      </c>
      <c r="AX119" s="237" t="s">
        <v>1107</v>
      </c>
      <c r="AY119" s="237" t="s">
        <v>1107</v>
      </c>
      <c r="AZ119" s="237" t="s">
        <v>1107</v>
      </c>
      <c r="BA119" s="237" t="s">
        <v>1107</v>
      </c>
      <c r="BB119" s="237" t="s">
        <v>1107</v>
      </c>
      <c r="BC119" s="237" t="s">
        <v>1107</v>
      </c>
      <c r="BD119" s="237" t="s">
        <v>1107</v>
      </c>
      <c r="BE119" s="237" t="s">
        <v>1107</v>
      </c>
      <c r="BF119" s="237" t="s">
        <v>1107</v>
      </c>
      <c r="BG119" s="237" t="s">
        <v>1107</v>
      </c>
      <c r="BH119" s="237" t="s">
        <v>1107</v>
      </c>
      <c r="BI119" s="237" t="s">
        <v>1107</v>
      </c>
      <c r="BJ119" s="237" t="s">
        <v>1107</v>
      </c>
      <c r="BK119" s="237" t="s">
        <v>1107</v>
      </c>
      <c r="BL119" s="237" t="s">
        <v>1107</v>
      </c>
      <c r="BM119" s="237" t="s">
        <v>1107</v>
      </c>
      <c r="BN119" s="237" t="s">
        <v>1107</v>
      </c>
      <c r="BO119" s="237" t="s">
        <v>1107</v>
      </c>
      <c r="BP119" s="237" t="s">
        <v>1107</v>
      </c>
      <c r="BQ119" s="237" t="s">
        <v>1107</v>
      </c>
      <c r="BR119" s="237" t="s">
        <v>1107</v>
      </c>
      <c r="BS119" s="237" t="s">
        <v>1107</v>
      </c>
      <c r="BT119" s="237" t="s">
        <v>1107</v>
      </c>
      <c r="BU119" s="237" t="s">
        <v>1107</v>
      </c>
      <c r="BV119" s="237" t="s">
        <v>1107</v>
      </c>
      <c r="BW119" s="237" t="s">
        <v>1107</v>
      </c>
      <c r="BX119" s="237" t="s">
        <v>1107</v>
      </c>
      <c r="BY119" s="237" t="s">
        <v>1107</v>
      </c>
      <c r="BZ119" s="237" t="s">
        <v>231</v>
      </c>
      <c r="CA119" s="237" t="s">
        <v>231</v>
      </c>
      <c r="CB119" s="237" t="s">
        <v>231</v>
      </c>
      <c r="CC119" s="237" t="s">
        <v>1107</v>
      </c>
      <c r="CD119" s="237" t="s">
        <v>492</v>
      </c>
      <c r="CE119" s="237" t="s">
        <v>492</v>
      </c>
      <c r="CF119" s="237" t="s">
        <v>1107</v>
      </c>
      <c r="CG119" s="237" t="s">
        <v>1107</v>
      </c>
      <c r="CH119" s="237" t="s">
        <v>1107</v>
      </c>
      <c r="CI119" s="237" t="s">
        <v>1107</v>
      </c>
      <c r="CJ119" s="237" t="s">
        <v>231</v>
      </c>
      <c r="CK119" s="237" t="s">
        <v>1107</v>
      </c>
      <c r="CL119" s="237" t="s">
        <v>1107</v>
      </c>
      <c r="CM119" s="237" t="s">
        <v>1107</v>
      </c>
      <c r="CN119" s="237" t="s">
        <v>1107</v>
      </c>
      <c r="CO119" s="237" t="s">
        <v>231</v>
      </c>
      <c r="CP119" s="237" t="s">
        <v>231</v>
      </c>
      <c r="CQ119" s="237" t="s">
        <v>231</v>
      </c>
      <c r="CR119" s="237" t="s">
        <v>231</v>
      </c>
      <c r="CS119" s="237" t="s">
        <v>231</v>
      </c>
      <c r="CT119" s="237" t="s">
        <v>231</v>
      </c>
      <c r="CU119" s="237" t="s">
        <v>231</v>
      </c>
      <c r="CV119" s="237" t="s">
        <v>231</v>
      </c>
      <c r="CW119" s="237" t="s">
        <v>231</v>
      </c>
      <c r="CX119" s="237" t="s">
        <v>1107</v>
      </c>
      <c r="CY119" s="237" t="s">
        <v>231</v>
      </c>
      <c r="CZ119" s="237" t="s">
        <v>231</v>
      </c>
      <c r="DA119" s="237" t="s">
        <v>231</v>
      </c>
      <c r="DB119" s="237" t="s">
        <v>231</v>
      </c>
      <c r="DC119" s="237" t="s">
        <v>492</v>
      </c>
      <c r="DD119" s="237" t="s">
        <v>231</v>
      </c>
      <c r="DE119" s="237" t="s">
        <v>1107</v>
      </c>
      <c r="DF119" s="237" t="s">
        <v>1107</v>
      </c>
      <c r="DG119" s="237" t="s">
        <v>1107</v>
      </c>
      <c r="DH119" s="237" t="s">
        <v>1107</v>
      </c>
      <c r="DI119" s="237" t="s">
        <v>1107</v>
      </c>
      <c r="DJ119" s="237" t="s">
        <v>1107</v>
      </c>
      <c r="DK119" s="237" t="s">
        <v>1107</v>
      </c>
      <c r="DL119" s="237" t="s">
        <v>1107</v>
      </c>
      <c r="DM119" s="237" t="s">
        <v>1107</v>
      </c>
      <c r="DN119" s="237" t="s">
        <v>1107</v>
      </c>
      <c r="DO119" s="237" t="s">
        <v>1107</v>
      </c>
      <c r="DP119" s="237" t="s">
        <v>1107</v>
      </c>
      <c r="DQ119" s="237" t="s">
        <v>492</v>
      </c>
      <c r="DR119" s="237" t="s">
        <v>1107</v>
      </c>
      <c r="DS119" s="237" t="s">
        <v>231</v>
      </c>
      <c r="DT119" s="237" t="s">
        <v>231</v>
      </c>
      <c r="DU119" s="237" t="s">
        <v>231</v>
      </c>
      <c r="DV119" s="237" t="s">
        <v>231</v>
      </c>
      <c r="DW119" s="237" t="s">
        <v>231</v>
      </c>
      <c r="DX119" s="237" t="s">
        <v>231</v>
      </c>
      <c r="DY119" s="237" t="s">
        <v>231</v>
      </c>
      <c r="DZ119" s="237" t="s">
        <v>231</v>
      </c>
      <c r="EA119" s="237" t="s">
        <v>492</v>
      </c>
      <c r="EB119" s="237" t="s">
        <v>231</v>
      </c>
      <c r="EC119" s="237" t="s">
        <v>231</v>
      </c>
      <c r="ED119" s="237" t="s">
        <v>231</v>
      </c>
      <c r="EE119" s="237" t="s">
        <v>231</v>
      </c>
      <c r="EF119" s="237" t="s">
        <v>231</v>
      </c>
      <c r="EG119" s="237" t="s">
        <v>231</v>
      </c>
      <c r="EH119" s="237" t="s">
        <v>231</v>
      </c>
      <c r="EI119" s="237" t="s">
        <v>231</v>
      </c>
      <c r="EJ119" s="237" t="s">
        <v>231</v>
      </c>
      <c r="EK119" s="237" t="s">
        <v>231</v>
      </c>
      <c r="EL119" s="237" t="s">
        <v>231</v>
      </c>
      <c r="EM119" s="237" t="s">
        <v>231</v>
      </c>
      <c r="EN119" s="237" t="s">
        <v>231</v>
      </c>
      <c r="EO119" s="237" t="s">
        <v>231</v>
      </c>
      <c r="EP119" s="237" t="s">
        <v>1107</v>
      </c>
      <c r="EQ119" s="237" t="s">
        <v>1107</v>
      </c>
      <c r="ER119" s="237" t="s">
        <v>1107</v>
      </c>
      <c r="ES119" s="237" t="s">
        <v>1107</v>
      </c>
      <c r="ET119" s="237" t="s">
        <v>1107</v>
      </c>
      <c r="EU119" s="237" t="s">
        <v>1107</v>
      </c>
      <c r="EV119" s="237" t="s">
        <v>231</v>
      </c>
      <c r="EW119" s="237" t="s">
        <v>231</v>
      </c>
      <c r="EX119" s="237" t="s">
        <v>231</v>
      </c>
      <c r="EY119" s="237" t="s">
        <v>231</v>
      </c>
      <c r="EZ119" s="237" t="s">
        <v>231</v>
      </c>
      <c r="FA119" s="237" t="s">
        <v>231</v>
      </c>
      <c r="FB119" s="237" t="s">
        <v>1107</v>
      </c>
      <c r="FC119" s="237" t="s">
        <v>492</v>
      </c>
      <c r="FD119" s="237" t="s">
        <v>1107</v>
      </c>
      <c r="FE119" s="237" t="s">
        <v>1107</v>
      </c>
      <c r="FF119" s="237" t="s">
        <v>1107</v>
      </c>
      <c r="FG119" s="237" t="s">
        <v>492</v>
      </c>
      <c r="FH119" s="237" t="s">
        <v>1107</v>
      </c>
      <c r="FI119" s="237" t="s">
        <v>1107</v>
      </c>
      <c r="FJ119" s="237" t="s">
        <v>1107</v>
      </c>
      <c r="FK119" s="237" t="s">
        <v>1107</v>
      </c>
      <c r="FL119" s="237" t="s">
        <v>1107</v>
      </c>
      <c r="FM119" s="237" t="s">
        <v>1107</v>
      </c>
      <c r="FN119" s="237" t="s">
        <v>231</v>
      </c>
      <c r="FO119" s="237" t="s">
        <v>231</v>
      </c>
      <c r="FP119" s="237" t="s">
        <v>231</v>
      </c>
      <c r="FQ119" s="237" t="s">
        <v>231</v>
      </c>
      <c r="FR119" s="237" t="s">
        <v>231</v>
      </c>
      <c r="FS119" s="237" t="s">
        <v>231</v>
      </c>
      <c r="FT119" s="237" t="s">
        <v>231</v>
      </c>
      <c r="FU119" s="237" t="s">
        <v>231</v>
      </c>
      <c r="FV119" s="237" t="s">
        <v>1107</v>
      </c>
      <c r="FW119" s="237" t="s">
        <v>1107</v>
      </c>
      <c r="FX119" s="237" t="s">
        <v>1107</v>
      </c>
      <c r="FY119" s="237" t="s">
        <v>492</v>
      </c>
      <c r="FZ119" s="237" t="s">
        <v>231</v>
      </c>
      <c r="GA119" s="237" t="s">
        <v>1107</v>
      </c>
      <c r="GB119" s="237" t="s">
        <v>1107</v>
      </c>
      <c r="GC119" s="237" t="s">
        <v>231</v>
      </c>
      <c r="GD119" s="237" t="s">
        <v>1107</v>
      </c>
      <c r="GE119" s="237" t="s">
        <v>1107</v>
      </c>
      <c r="GF119" s="237" t="s">
        <v>1107</v>
      </c>
      <c r="GG119" s="237" t="s">
        <v>1107</v>
      </c>
      <c r="GH119" s="237" t="s">
        <v>1107</v>
      </c>
      <c r="GI119" s="237" t="s">
        <v>1107</v>
      </c>
      <c r="GJ119" s="237" t="s">
        <v>1107</v>
      </c>
      <c r="GK119" s="237" t="s">
        <v>1107</v>
      </c>
      <c r="GL119" s="237" t="s">
        <v>1107</v>
      </c>
      <c r="GM119" s="237" t="s">
        <v>1107</v>
      </c>
      <c r="GN119" s="237" t="s">
        <v>1107</v>
      </c>
      <c r="GO119" s="237" t="s">
        <v>1107</v>
      </c>
      <c r="GP119" s="237" t="s">
        <v>492</v>
      </c>
      <c r="GQ119" s="237" t="s">
        <v>1107</v>
      </c>
      <c r="GR119" s="237" t="s">
        <v>1107</v>
      </c>
      <c r="GS119" s="237" t="s">
        <v>231</v>
      </c>
      <c r="GT119" s="237" t="s">
        <v>1107</v>
      </c>
      <c r="GU119" s="237" t="s">
        <v>1107</v>
      </c>
      <c r="GV119" s="237" t="s">
        <v>1107</v>
      </c>
      <c r="GW119" s="237" t="s">
        <v>1107</v>
      </c>
      <c r="GX119" s="237" t="s">
        <v>1107</v>
      </c>
      <c r="GY119" s="237" t="s">
        <v>1107</v>
      </c>
      <c r="GZ119" s="237" t="s">
        <v>1107</v>
      </c>
      <c r="HA119" s="237" t="s">
        <v>492</v>
      </c>
      <c r="HB119" s="237" t="s">
        <v>492</v>
      </c>
      <c r="HC119" s="237" t="s">
        <v>492</v>
      </c>
      <c r="HD119" s="237" t="s">
        <v>1107</v>
      </c>
      <c r="HE119" s="237" t="s">
        <v>1107</v>
      </c>
      <c r="HF119" s="237" t="s">
        <v>1107</v>
      </c>
      <c r="HG119" s="237" t="s">
        <v>1107</v>
      </c>
      <c r="HH119" s="237" t="s">
        <v>1107</v>
      </c>
      <c r="HI119" s="237" t="s">
        <v>1107</v>
      </c>
      <c r="HJ119" s="237" t="s">
        <v>1107</v>
      </c>
      <c r="HK119" s="237" t="s">
        <v>1107</v>
      </c>
      <c r="HL119" s="237" t="s">
        <v>1107</v>
      </c>
      <c r="HM119" s="237" t="s">
        <v>1107</v>
      </c>
      <c r="HN119" s="237" t="s">
        <v>1107</v>
      </c>
      <c r="HO119" s="237" t="s">
        <v>1107</v>
      </c>
      <c r="HP119" s="237" t="s">
        <v>1107</v>
      </c>
      <c r="HQ119" s="237" t="s">
        <v>1107</v>
      </c>
      <c r="HR119" s="237" t="s">
        <v>1107</v>
      </c>
      <c r="HS119" s="237" t="s">
        <v>1107</v>
      </c>
      <c r="HT119" s="237" t="s">
        <v>231</v>
      </c>
      <c r="HU119" s="237" t="s">
        <v>231</v>
      </c>
      <c r="HV119" s="237" t="s">
        <v>231</v>
      </c>
      <c r="HW119" s="237" t="s">
        <v>231</v>
      </c>
      <c r="HX119" s="237" t="s">
        <v>220</v>
      </c>
      <c r="HY119" s="237" t="s">
        <v>493</v>
      </c>
      <c r="HZ119" s="237" t="s">
        <v>219</v>
      </c>
      <c r="IA119" s="237" t="s">
        <v>490</v>
      </c>
      <c r="IB119" s="237" t="s">
        <v>1107</v>
      </c>
      <c r="IC119" s="237" t="s">
        <v>1107</v>
      </c>
    </row>
    <row r="120" spans="1:237" ht="15" x14ac:dyDescent="0.25">
      <c r="A120" s="244" t="str">
        <f>HYPERLINK("http://www.ofsted.gov.uk/inspection-reports/find-inspection-report/provider/ELS/142859 ","Ofsted School Webpage")</f>
        <v>Ofsted School Webpage</v>
      </c>
      <c r="B120" s="240">
        <v>142859</v>
      </c>
      <c r="C120" s="240">
        <v>8866143</v>
      </c>
      <c r="D120" s="240" t="s">
        <v>1342</v>
      </c>
      <c r="E120" s="240" t="s">
        <v>248</v>
      </c>
      <c r="F120" s="240" t="s">
        <v>581</v>
      </c>
      <c r="G120" s="240" t="s">
        <v>581</v>
      </c>
      <c r="H120" s="240" t="s">
        <v>694</v>
      </c>
      <c r="I120" s="240" t="s">
        <v>1343</v>
      </c>
      <c r="J120" s="240" t="s">
        <v>93</v>
      </c>
      <c r="K120" s="240" t="s">
        <v>93</v>
      </c>
      <c r="L120" s="240" t="s">
        <v>93</v>
      </c>
      <c r="M120" s="240" t="s">
        <v>90</v>
      </c>
      <c r="N120" s="240" t="s">
        <v>486</v>
      </c>
      <c r="O120" s="240" t="s">
        <v>487</v>
      </c>
      <c r="P120" s="240">
        <v>10091446</v>
      </c>
      <c r="Q120" s="242">
        <v>43500</v>
      </c>
      <c r="R120" s="242">
        <v>43500</v>
      </c>
      <c r="S120" s="242">
        <v>43520</v>
      </c>
      <c r="T120" s="240" t="s">
        <v>1104</v>
      </c>
      <c r="U120" s="240" t="s">
        <v>1105</v>
      </c>
      <c r="V120" s="240" t="s">
        <v>490</v>
      </c>
      <c r="W120" s="240" t="s">
        <v>486</v>
      </c>
      <c r="X120" s="240" t="s">
        <v>486</v>
      </c>
      <c r="Y120" s="240" t="s">
        <v>486</v>
      </c>
      <c r="Z120" s="240" t="s">
        <v>486</v>
      </c>
      <c r="AA120" s="240" t="s">
        <v>486</v>
      </c>
      <c r="AB120" s="240" t="s">
        <v>486</v>
      </c>
      <c r="AC120" s="240" t="s">
        <v>486</v>
      </c>
      <c r="AD120" s="240" t="s">
        <v>1106</v>
      </c>
      <c r="AE120" s="240" t="s">
        <v>231</v>
      </c>
      <c r="AF120" s="240" t="s">
        <v>231</v>
      </c>
      <c r="AG120" s="240" t="s">
        <v>231</v>
      </c>
      <c r="AH120" s="240" t="s">
        <v>231</v>
      </c>
      <c r="AI120" s="240" t="s">
        <v>231</v>
      </c>
      <c r="AJ120" s="240" t="s">
        <v>231</v>
      </c>
      <c r="AK120" s="240" t="s">
        <v>231</v>
      </c>
      <c r="AL120" s="240" t="s">
        <v>231</v>
      </c>
      <c r="AM120" s="240" t="s">
        <v>492</v>
      </c>
      <c r="AN120" s="240" t="s">
        <v>231</v>
      </c>
      <c r="AO120" s="240" t="s">
        <v>231</v>
      </c>
      <c r="AP120" s="240" t="s">
        <v>231</v>
      </c>
      <c r="AQ120" s="240" t="s">
        <v>231</v>
      </c>
      <c r="AR120" s="240" t="s">
        <v>231</v>
      </c>
      <c r="AS120" s="240" t="s">
        <v>231</v>
      </c>
      <c r="AT120" s="240" t="s">
        <v>231</v>
      </c>
      <c r="AU120" s="240" t="s">
        <v>231</v>
      </c>
      <c r="AV120" s="240" t="s">
        <v>492</v>
      </c>
      <c r="AW120" s="240" t="s">
        <v>231</v>
      </c>
      <c r="AX120" s="240" t="s">
        <v>231</v>
      </c>
      <c r="AY120" s="240" t="s">
        <v>231</v>
      </c>
      <c r="AZ120" s="240" t="s">
        <v>231</v>
      </c>
      <c r="BA120" s="240" t="s">
        <v>231</v>
      </c>
      <c r="BB120" s="240" t="s">
        <v>231</v>
      </c>
      <c r="BC120" s="240" t="s">
        <v>231</v>
      </c>
      <c r="BD120" s="240" t="s">
        <v>231</v>
      </c>
      <c r="BE120" s="240" t="s">
        <v>231</v>
      </c>
      <c r="BF120" s="240" t="s">
        <v>231</v>
      </c>
      <c r="BG120" s="240" t="s">
        <v>231</v>
      </c>
      <c r="BH120" s="240" t="s">
        <v>231</v>
      </c>
      <c r="BI120" s="240" t="s">
        <v>231</v>
      </c>
      <c r="BJ120" s="240" t="s">
        <v>231</v>
      </c>
      <c r="BK120" s="240" t="s">
        <v>231</v>
      </c>
      <c r="BL120" s="240" t="s">
        <v>231</v>
      </c>
      <c r="BM120" s="240" t="s">
        <v>231</v>
      </c>
      <c r="BN120" s="240" t="s">
        <v>231</v>
      </c>
      <c r="BO120" s="240" t="s">
        <v>231</v>
      </c>
      <c r="BP120" s="240" t="s">
        <v>231</v>
      </c>
      <c r="BQ120" s="240" t="s">
        <v>231</v>
      </c>
      <c r="BR120" s="240" t="s">
        <v>231</v>
      </c>
      <c r="BS120" s="240" t="s">
        <v>231</v>
      </c>
      <c r="BT120" s="240" t="s">
        <v>231</v>
      </c>
      <c r="BU120" s="240" t="s">
        <v>231</v>
      </c>
      <c r="BV120" s="240" t="s">
        <v>231</v>
      </c>
      <c r="BW120" s="240" t="s">
        <v>231</v>
      </c>
      <c r="BX120" s="240" t="s">
        <v>231</v>
      </c>
      <c r="BY120" s="240" t="s">
        <v>231</v>
      </c>
      <c r="BZ120" s="240" t="s">
        <v>231</v>
      </c>
      <c r="CA120" s="240" t="s">
        <v>231</v>
      </c>
      <c r="CB120" s="240" t="s">
        <v>231</v>
      </c>
      <c r="CC120" s="240" t="s">
        <v>492</v>
      </c>
      <c r="CD120" s="240" t="s">
        <v>492</v>
      </c>
      <c r="CE120" s="240" t="s">
        <v>492</v>
      </c>
      <c r="CF120" s="240" t="s">
        <v>1107</v>
      </c>
      <c r="CG120" s="240" t="s">
        <v>1107</v>
      </c>
      <c r="CH120" s="240" t="s">
        <v>1107</v>
      </c>
      <c r="CI120" s="240" t="s">
        <v>1107</v>
      </c>
      <c r="CJ120" s="240" t="s">
        <v>1107</v>
      </c>
      <c r="CK120" s="240" t="s">
        <v>1107</v>
      </c>
      <c r="CL120" s="240" t="s">
        <v>1107</v>
      </c>
      <c r="CM120" s="240" t="s">
        <v>1107</v>
      </c>
      <c r="CN120" s="240" t="s">
        <v>1107</v>
      </c>
      <c r="CO120" s="240" t="s">
        <v>1107</v>
      </c>
      <c r="CP120" s="240" t="s">
        <v>1107</v>
      </c>
      <c r="CQ120" s="240" t="s">
        <v>1107</v>
      </c>
      <c r="CR120" s="240" t="s">
        <v>1107</v>
      </c>
      <c r="CS120" s="240" t="s">
        <v>1107</v>
      </c>
      <c r="CT120" s="240" t="s">
        <v>1107</v>
      </c>
      <c r="CU120" s="240" t="s">
        <v>1107</v>
      </c>
      <c r="CV120" s="240" t="s">
        <v>1107</v>
      </c>
      <c r="CW120" s="240" t="s">
        <v>1107</v>
      </c>
      <c r="CX120" s="240" t="s">
        <v>1107</v>
      </c>
      <c r="CY120" s="240" t="s">
        <v>1107</v>
      </c>
      <c r="CZ120" s="240" t="s">
        <v>1107</v>
      </c>
      <c r="DA120" s="240" t="s">
        <v>1107</v>
      </c>
      <c r="DB120" s="240" t="s">
        <v>1107</v>
      </c>
      <c r="DC120" s="240" t="s">
        <v>1107</v>
      </c>
      <c r="DD120" s="240" t="s">
        <v>1107</v>
      </c>
      <c r="DE120" s="240" t="s">
        <v>1107</v>
      </c>
      <c r="DF120" s="240" t="s">
        <v>1107</v>
      </c>
      <c r="DG120" s="240" t="s">
        <v>1107</v>
      </c>
      <c r="DH120" s="240" t="s">
        <v>1107</v>
      </c>
      <c r="DI120" s="240" t="s">
        <v>1107</v>
      </c>
      <c r="DJ120" s="240" t="s">
        <v>1107</v>
      </c>
      <c r="DK120" s="240" t="s">
        <v>1107</v>
      </c>
      <c r="DL120" s="240" t="s">
        <v>1107</v>
      </c>
      <c r="DM120" s="240" t="s">
        <v>1107</v>
      </c>
      <c r="DN120" s="240" t="s">
        <v>1107</v>
      </c>
      <c r="DO120" s="240" t="s">
        <v>1107</v>
      </c>
      <c r="DP120" s="240" t="s">
        <v>1107</v>
      </c>
      <c r="DQ120" s="240" t="s">
        <v>1107</v>
      </c>
      <c r="DR120" s="240" t="s">
        <v>1107</v>
      </c>
      <c r="DS120" s="240" t="s">
        <v>1107</v>
      </c>
      <c r="DT120" s="240" t="s">
        <v>1107</v>
      </c>
      <c r="DU120" s="240" t="s">
        <v>1107</v>
      </c>
      <c r="DV120" s="240" t="s">
        <v>1107</v>
      </c>
      <c r="DW120" s="240" t="s">
        <v>1107</v>
      </c>
      <c r="DX120" s="240" t="s">
        <v>1107</v>
      </c>
      <c r="DY120" s="240" t="s">
        <v>1107</v>
      </c>
      <c r="DZ120" s="240" t="s">
        <v>1107</v>
      </c>
      <c r="EA120" s="240" t="s">
        <v>1107</v>
      </c>
      <c r="EB120" s="240" t="s">
        <v>1107</v>
      </c>
      <c r="EC120" s="240" t="s">
        <v>1107</v>
      </c>
      <c r="ED120" s="240" t="s">
        <v>1107</v>
      </c>
      <c r="EE120" s="240" t="s">
        <v>1107</v>
      </c>
      <c r="EF120" s="240" t="s">
        <v>1107</v>
      </c>
      <c r="EG120" s="240" t="s">
        <v>1107</v>
      </c>
      <c r="EH120" s="240" t="s">
        <v>1107</v>
      </c>
      <c r="EI120" s="240" t="s">
        <v>1107</v>
      </c>
      <c r="EJ120" s="240" t="s">
        <v>1107</v>
      </c>
      <c r="EK120" s="240" t="s">
        <v>1107</v>
      </c>
      <c r="EL120" s="240" t="s">
        <v>1107</v>
      </c>
      <c r="EM120" s="240" t="s">
        <v>1107</v>
      </c>
      <c r="EN120" s="240" t="s">
        <v>1107</v>
      </c>
      <c r="EO120" s="240" t="s">
        <v>1107</v>
      </c>
      <c r="EP120" s="240" t="s">
        <v>1107</v>
      </c>
      <c r="EQ120" s="240" t="s">
        <v>1107</v>
      </c>
      <c r="ER120" s="240" t="s">
        <v>1107</v>
      </c>
      <c r="ES120" s="240" t="s">
        <v>1107</v>
      </c>
      <c r="ET120" s="240" t="s">
        <v>1107</v>
      </c>
      <c r="EU120" s="240" t="s">
        <v>1107</v>
      </c>
      <c r="EV120" s="240" t="s">
        <v>1107</v>
      </c>
      <c r="EW120" s="240" t="s">
        <v>1107</v>
      </c>
      <c r="EX120" s="240" t="s">
        <v>1107</v>
      </c>
      <c r="EY120" s="240" t="s">
        <v>1107</v>
      </c>
      <c r="EZ120" s="240" t="s">
        <v>1107</v>
      </c>
      <c r="FA120" s="240" t="s">
        <v>1107</v>
      </c>
      <c r="FB120" s="240" t="s">
        <v>1107</v>
      </c>
      <c r="FC120" s="240" t="s">
        <v>1107</v>
      </c>
      <c r="FD120" s="240" t="s">
        <v>1107</v>
      </c>
      <c r="FE120" s="240" t="s">
        <v>1107</v>
      </c>
      <c r="FF120" s="240" t="s">
        <v>1107</v>
      </c>
      <c r="FG120" s="240" t="s">
        <v>1107</v>
      </c>
      <c r="FH120" s="240" t="s">
        <v>1107</v>
      </c>
      <c r="FI120" s="240" t="s">
        <v>1107</v>
      </c>
      <c r="FJ120" s="240" t="s">
        <v>1107</v>
      </c>
      <c r="FK120" s="240" t="s">
        <v>1107</v>
      </c>
      <c r="FL120" s="240" t="s">
        <v>1107</v>
      </c>
      <c r="FM120" s="240" t="s">
        <v>1107</v>
      </c>
      <c r="FN120" s="240" t="s">
        <v>1107</v>
      </c>
      <c r="FO120" s="240" t="s">
        <v>1107</v>
      </c>
      <c r="FP120" s="240" t="s">
        <v>1107</v>
      </c>
      <c r="FQ120" s="240" t="s">
        <v>1107</v>
      </c>
      <c r="FR120" s="240" t="s">
        <v>1107</v>
      </c>
      <c r="FS120" s="240" t="s">
        <v>1107</v>
      </c>
      <c r="FT120" s="240" t="s">
        <v>1107</v>
      </c>
      <c r="FU120" s="240" t="s">
        <v>1107</v>
      </c>
      <c r="FV120" s="240" t="s">
        <v>1107</v>
      </c>
      <c r="FW120" s="240" t="s">
        <v>1107</v>
      </c>
      <c r="FX120" s="240" t="s">
        <v>1107</v>
      </c>
      <c r="FY120" s="240" t="s">
        <v>1107</v>
      </c>
      <c r="FZ120" s="240" t="s">
        <v>231</v>
      </c>
      <c r="GA120" s="240" t="s">
        <v>1107</v>
      </c>
      <c r="GB120" s="240" t="s">
        <v>1107</v>
      </c>
      <c r="GC120" s="240" t="s">
        <v>231</v>
      </c>
      <c r="GD120" s="240" t="s">
        <v>1107</v>
      </c>
      <c r="GE120" s="240" t="s">
        <v>1107</v>
      </c>
      <c r="GF120" s="240" t="s">
        <v>1107</v>
      </c>
      <c r="GG120" s="240" t="s">
        <v>1107</v>
      </c>
      <c r="GH120" s="240" t="s">
        <v>1107</v>
      </c>
      <c r="GI120" s="240" t="s">
        <v>1107</v>
      </c>
      <c r="GJ120" s="240" t="s">
        <v>1107</v>
      </c>
      <c r="GK120" s="240" t="s">
        <v>1107</v>
      </c>
      <c r="GL120" s="240" t="s">
        <v>1107</v>
      </c>
      <c r="GM120" s="240" t="s">
        <v>1107</v>
      </c>
      <c r="GN120" s="240" t="s">
        <v>1107</v>
      </c>
      <c r="GO120" s="240" t="s">
        <v>1107</v>
      </c>
      <c r="GP120" s="240" t="s">
        <v>1107</v>
      </c>
      <c r="GQ120" s="240" t="s">
        <v>1107</v>
      </c>
      <c r="GR120" s="240" t="s">
        <v>1107</v>
      </c>
      <c r="GS120" s="240" t="s">
        <v>1107</v>
      </c>
      <c r="GT120" s="240" t="s">
        <v>1107</v>
      </c>
      <c r="GU120" s="240" t="s">
        <v>1107</v>
      </c>
      <c r="GV120" s="240" t="s">
        <v>1107</v>
      </c>
      <c r="GW120" s="240" t="s">
        <v>1107</v>
      </c>
      <c r="GX120" s="240" t="s">
        <v>1107</v>
      </c>
      <c r="GY120" s="240" t="s">
        <v>1107</v>
      </c>
      <c r="GZ120" s="240" t="s">
        <v>1107</v>
      </c>
      <c r="HA120" s="240" t="s">
        <v>1107</v>
      </c>
      <c r="HB120" s="240" t="s">
        <v>1107</v>
      </c>
      <c r="HC120" s="240" t="s">
        <v>1107</v>
      </c>
      <c r="HD120" s="240" t="s">
        <v>1107</v>
      </c>
      <c r="HE120" s="240" t="s">
        <v>1107</v>
      </c>
      <c r="HF120" s="240" t="s">
        <v>1107</v>
      </c>
      <c r="HG120" s="240" t="s">
        <v>1107</v>
      </c>
      <c r="HH120" s="240" t="s">
        <v>1107</v>
      </c>
      <c r="HI120" s="240" t="s">
        <v>1107</v>
      </c>
      <c r="HJ120" s="240" t="s">
        <v>1107</v>
      </c>
      <c r="HK120" s="240" t="s">
        <v>1107</v>
      </c>
      <c r="HL120" s="240" t="s">
        <v>1107</v>
      </c>
      <c r="HM120" s="240" t="s">
        <v>1107</v>
      </c>
      <c r="HN120" s="240" t="s">
        <v>1107</v>
      </c>
      <c r="HO120" s="240" t="s">
        <v>1107</v>
      </c>
      <c r="HP120" s="240" t="s">
        <v>1107</v>
      </c>
      <c r="HQ120" s="240" t="s">
        <v>1107</v>
      </c>
      <c r="HR120" s="240" t="s">
        <v>1107</v>
      </c>
      <c r="HS120" s="240" t="s">
        <v>1107</v>
      </c>
      <c r="HT120" s="240" t="s">
        <v>231</v>
      </c>
      <c r="HU120" s="240" t="s">
        <v>231</v>
      </c>
      <c r="HV120" s="240" t="s">
        <v>231</v>
      </c>
      <c r="HW120" s="240" t="s">
        <v>231</v>
      </c>
      <c r="HX120" s="240" t="s">
        <v>220</v>
      </c>
      <c r="HY120" s="240" t="s">
        <v>493</v>
      </c>
      <c r="HZ120" s="240" t="s">
        <v>219</v>
      </c>
      <c r="IA120" s="240" t="s">
        <v>490</v>
      </c>
      <c r="IB120" s="240" t="s">
        <v>1107</v>
      </c>
      <c r="IC120" s="240" t="s">
        <v>1107</v>
      </c>
    </row>
    <row r="121" spans="1:237" ht="15" x14ac:dyDescent="0.25">
      <c r="A121" s="243" t="str">
        <f>HYPERLINK("http://www.ofsted.gov.uk/inspection-reports/find-inspection-report/provider/ELS/100532 ","Ofsted School Webpage")</f>
        <v>Ofsted School Webpage</v>
      </c>
      <c r="B121" s="237">
        <v>100532</v>
      </c>
      <c r="C121" s="237">
        <v>2076305</v>
      </c>
      <c r="D121" s="237" t="s">
        <v>1344</v>
      </c>
      <c r="E121" s="237" t="s">
        <v>247</v>
      </c>
      <c r="F121" s="237" t="s">
        <v>506</v>
      </c>
      <c r="G121" s="237" t="s">
        <v>506</v>
      </c>
      <c r="H121" s="237" t="s">
        <v>640</v>
      </c>
      <c r="I121" s="237" t="s">
        <v>1345</v>
      </c>
      <c r="J121" s="237" t="s">
        <v>93</v>
      </c>
      <c r="K121" s="237" t="s">
        <v>93</v>
      </c>
      <c r="L121" s="237" t="s">
        <v>93</v>
      </c>
      <c r="M121" s="237" t="s">
        <v>90</v>
      </c>
      <c r="N121" s="237" t="s">
        <v>486</v>
      </c>
      <c r="O121" s="237" t="s">
        <v>660</v>
      </c>
      <c r="P121" s="237">
        <v>10092848</v>
      </c>
      <c r="Q121" s="239">
        <v>43501</v>
      </c>
      <c r="R121" s="239">
        <v>43501</v>
      </c>
      <c r="S121" s="239">
        <v>43530</v>
      </c>
      <c r="T121" s="237" t="s">
        <v>1109</v>
      </c>
      <c r="U121" s="237" t="s">
        <v>1105</v>
      </c>
      <c r="V121" s="237" t="s">
        <v>512</v>
      </c>
      <c r="W121" s="237" t="s">
        <v>486</v>
      </c>
      <c r="X121" s="237" t="s">
        <v>486</v>
      </c>
      <c r="Y121" s="237" t="s">
        <v>490</v>
      </c>
      <c r="Z121" s="237" t="s">
        <v>486</v>
      </c>
      <c r="AA121" s="237" t="s">
        <v>486</v>
      </c>
      <c r="AB121" s="237" t="s">
        <v>486</v>
      </c>
      <c r="AC121" s="237" t="s">
        <v>486</v>
      </c>
      <c r="AD121" s="237" t="s">
        <v>1110</v>
      </c>
      <c r="AE121" s="237" t="s">
        <v>1107</v>
      </c>
      <c r="AF121" s="237" t="s">
        <v>1107</v>
      </c>
      <c r="AG121" s="237" t="s">
        <v>1107</v>
      </c>
      <c r="AH121" s="237" t="s">
        <v>1107</v>
      </c>
      <c r="AI121" s="237" t="s">
        <v>1107</v>
      </c>
      <c r="AJ121" s="237" t="s">
        <v>1107</v>
      </c>
      <c r="AK121" s="237" t="s">
        <v>1107</v>
      </c>
      <c r="AL121" s="237" t="s">
        <v>1107</v>
      </c>
      <c r="AM121" s="237" t="s">
        <v>1107</v>
      </c>
      <c r="AN121" s="237" t="s">
        <v>1107</v>
      </c>
      <c r="AO121" s="237" t="s">
        <v>1107</v>
      </c>
      <c r="AP121" s="237" t="s">
        <v>1107</v>
      </c>
      <c r="AQ121" s="237" t="s">
        <v>1107</v>
      </c>
      <c r="AR121" s="237" t="s">
        <v>1107</v>
      </c>
      <c r="AS121" s="237" t="s">
        <v>1107</v>
      </c>
      <c r="AT121" s="237" t="s">
        <v>1107</v>
      </c>
      <c r="AU121" s="237" t="s">
        <v>1107</v>
      </c>
      <c r="AV121" s="237" t="s">
        <v>1107</v>
      </c>
      <c r="AW121" s="237" t="s">
        <v>1107</v>
      </c>
      <c r="AX121" s="237" t="s">
        <v>1107</v>
      </c>
      <c r="AY121" s="237" t="s">
        <v>1107</v>
      </c>
      <c r="AZ121" s="237" t="s">
        <v>1107</v>
      </c>
      <c r="BA121" s="237" t="s">
        <v>1107</v>
      </c>
      <c r="BB121" s="237" t="s">
        <v>1107</v>
      </c>
      <c r="BC121" s="237" t="s">
        <v>1107</v>
      </c>
      <c r="BD121" s="237" t="s">
        <v>1107</v>
      </c>
      <c r="BE121" s="237" t="s">
        <v>1107</v>
      </c>
      <c r="BF121" s="237" t="s">
        <v>1107</v>
      </c>
      <c r="BG121" s="237" t="s">
        <v>1107</v>
      </c>
      <c r="BH121" s="237" t="s">
        <v>1107</v>
      </c>
      <c r="BI121" s="237" t="s">
        <v>1107</v>
      </c>
      <c r="BJ121" s="237" t="s">
        <v>1107</v>
      </c>
      <c r="BK121" s="237" t="s">
        <v>1107</v>
      </c>
      <c r="BL121" s="237" t="s">
        <v>1107</v>
      </c>
      <c r="BM121" s="237" t="s">
        <v>1107</v>
      </c>
      <c r="BN121" s="237" t="s">
        <v>1107</v>
      </c>
      <c r="BO121" s="237" t="s">
        <v>1107</v>
      </c>
      <c r="BP121" s="237" t="s">
        <v>1107</v>
      </c>
      <c r="BQ121" s="237" t="s">
        <v>1107</v>
      </c>
      <c r="BR121" s="237" t="s">
        <v>1107</v>
      </c>
      <c r="BS121" s="237" t="s">
        <v>1107</v>
      </c>
      <c r="BT121" s="237" t="s">
        <v>1107</v>
      </c>
      <c r="BU121" s="237" t="s">
        <v>1107</v>
      </c>
      <c r="BV121" s="237" t="s">
        <v>1107</v>
      </c>
      <c r="BW121" s="237" t="s">
        <v>1107</v>
      </c>
      <c r="BX121" s="237" t="s">
        <v>1107</v>
      </c>
      <c r="BY121" s="237" t="s">
        <v>1107</v>
      </c>
      <c r="BZ121" s="237" t="s">
        <v>231</v>
      </c>
      <c r="CA121" s="237" t="s">
        <v>231</v>
      </c>
      <c r="CB121" s="237" t="s">
        <v>231</v>
      </c>
      <c r="CC121" s="237" t="s">
        <v>492</v>
      </c>
      <c r="CD121" s="237" t="s">
        <v>492</v>
      </c>
      <c r="CE121" s="237" t="s">
        <v>492</v>
      </c>
      <c r="CF121" s="237" t="s">
        <v>1107</v>
      </c>
      <c r="CG121" s="237" t="s">
        <v>1107</v>
      </c>
      <c r="CH121" s="237" t="s">
        <v>1107</v>
      </c>
      <c r="CI121" s="237" t="s">
        <v>1107</v>
      </c>
      <c r="CJ121" s="237" t="s">
        <v>1107</v>
      </c>
      <c r="CK121" s="237" t="s">
        <v>1107</v>
      </c>
      <c r="CL121" s="237" t="s">
        <v>1107</v>
      </c>
      <c r="CM121" s="237" t="s">
        <v>1107</v>
      </c>
      <c r="CN121" s="237" t="s">
        <v>1107</v>
      </c>
      <c r="CO121" s="237" t="s">
        <v>1107</v>
      </c>
      <c r="CP121" s="237" t="s">
        <v>1107</v>
      </c>
      <c r="CQ121" s="237" t="s">
        <v>1107</v>
      </c>
      <c r="CR121" s="237" t="s">
        <v>1107</v>
      </c>
      <c r="CS121" s="237" t="s">
        <v>1107</v>
      </c>
      <c r="CT121" s="237" t="s">
        <v>1107</v>
      </c>
      <c r="CU121" s="237" t="s">
        <v>1107</v>
      </c>
      <c r="CV121" s="237" t="s">
        <v>1107</v>
      </c>
      <c r="CW121" s="237" t="s">
        <v>1107</v>
      </c>
      <c r="CX121" s="237" t="s">
        <v>1107</v>
      </c>
      <c r="CY121" s="237" t="s">
        <v>1107</v>
      </c>
      <c r="CZ121" s="237" t="s">
        <v>1107</v>
      </c>
      <c r="DA121" s="237" t="s">
        <v>1107</v>
      </c>
      <c r="DB121" s="237" t="s">
        <v>1107</v>
      </c>
      <c r="DC121" s="237" t="s">
        <v>1107</v>
      </c>
      <c r="DD121" s="237" t="s">
        <v>1107</v>
      </c>
      <c r="DE121" s="237" t="s">
        <v>1107</v>
      </c>
      <c r="DF121" s="237" t="s">
        <v>1107</v>
      </c>
      <c r="DG121" s="237" t="s">
        <v>1107</v>
      </c>
      <c r="DH121" s="237" t="s">
        <v>1107</v>
      </c>
      <c r="DI121" s="237" t="s">
        <v>1107</v>
      </c>
      <c r="DJ121" s="237" t="s">
        <v>1107</v>
      </c>
      <c r="DK121" s="237" t="s">
        <v>1107</v>
      </c>
      <c r="DL121" s="237" t="s">
        <v>1107</v>
      </c>
      <c r="DM121" s="237" t="s">
        <v>1107</v>
      </c>
      <c r="DN121" s="237" t="s">
        <v>1107</v>
      </c>
      <c r="DO121" s="237" t="s">
        <v>1107</v>
      </c>
      <c r="DP121" s="237" t="s">
        <v>1107</v>
      </c>
      <c r="DQ121" s="237" t="s">
        <v>1107</v>
      </c>
      <c r="DR121" s="237" t="s">
        <v>1107</v>
      </c>
      <c r="DS121" s="237" t="s">
        <v>1107</v>
      </c>
      <c r="DT121" s="237" t="s">
        <v>1107</v>
      </c>
      <c r="DU121" s="237" t="s">
        <v>1107</v>
      </c>
      <c r="DV121" s="237" t="s">
        <v>1107</v>
      </c>
      <c r="DW121" s="237" t="s">
        <v>1107</v>
      </c>
      <c r="DX121" s="237" t="s">
        <v>1107</v>
      </c>
      <c r="DY121" s="237" t="s">
        <v>1107</v>
      </c>
      <c r="DZ121" s="237" t="s">
        <v>1107</v>
      </c>
      <c r="EA121" s="237" t="s">
        <v>1107</v>
      </c>
      <c r="EB121" s="237" t="s">
        <v>1107</v>
      </c>
      <c r="EC121" s="237" t="s">
        <v>1107</v>
      </c>
      <c r="ED121" s="237" t="s">
        <v>1107</v>
      </c>
      <c r="EE121" s="237" t="s">
        <v>1107</v>
      </c>
      <c r="EF121" s="237" t="s">
        <v>1107</v>
      </c>
      <c r="EG121" s="237" t="s">
        <v>1107</v>
      </c>
      <c r="EH121" s="237" t="s">
        <v>1107</v>
      </c>
      <c r="EI121" s="237" t="s">
        <v>1107</v>
      </c>
      <c r="EJ121" s="237" t="s">
        <v>1107</v>
      </c>
      <c r="EK121" s="237" t="s">
        <v>1107</v>
      </c>
      <c r="EL121" s="237" t="s">
        <v>1107</v>
      </c>
      <c r="EM121" s="237" t="s">
        <v>1107</v>
      </c>
      <c r="EN121" s="237" t="s">
        <v>1107</v>
      </c>
      <c r="EO121" s="237" t="s">
        <v>1107</v>
      </c>
      <c r="EP121" s="237" t="s">
        <v>1107</v>
      </c>
      <c r="EQ121" s="237" t="s">
        <v>1107</v>
      </c>
      <c r="ER121" s="237" t="s">
        <v>1107</v>
      </c>
      <c r="ES121" s="237" t="s">
        <v>1107</v>
      </c>
      <c r="ET121" s="237" t="s">
        <v>1107</v>
      </c>
      <c r="EU121" s="237" t="s">
        <v>1107</v>
      </c>
      <c r="EV121" s="237" t="s">
        <v>1107</v>
      </c>
      <c r="EW121" s="237" t="s">
        <v>1107</v>
      </c>
      <c r="EX121" s="237" t="s">
        <v>1107</v>
      </c>
      <c r="EY121" s="237" t="s">
        <v>1107</v>
      </c>
      <c r="EZ121" s="237" t="s">
        <v>1107</v>
      </c>
      <c r="FA121" s="237" t="s">
        <v>1107</v>
      </c>
      <c r="FB121" s="237" t="s">
        <v>1107</v>
      </c>
      <c r="FC121" s="237" t="s">
        <v>1107</v>
      </c>
      <c r="FD121" s="237" t="s">
        <v>1107</v>
      </c>
      <c r="FE121" s="237" t="s">
        <v>1107</v>
      </c>
      <c r="FF121" s="237" t="s">
        <v>1107</v>
      </c>
      <c r="FG121" s="237" t="s">
        <v>1107</v>
      </c>
      <c r="FH121" s="237" t="s">
        <v>1107</v>
      </c>
      <c r="FI121" s="237" t="s">
        <v>1107</v>
      </c>
      <c r="FJ121" s="237" t="s">
        <v>1107</v>
      </c>
      <c r="FK121" s="237" t="s">
        <v>1107</v>
      </c>
      <c r="FL121" s="237" t="s">
        <v>1107</v>
      </c>
      <c r="FM121" s="237" t="s">
        <v>1107</v>
      </c>
      <c r="FN121" s="237" t="s">
        <v>1107</v>
      </c>
      <c r="FO121" s="237" t="s">
        <v>1107</v>
      </c>
      <c r="FP121" s="237" t="s">
        <v>1107</v>
      </c>
      <c r="FQ121" s="237" t="s">
        <v>1107</v>
      </c>
      <c r="FR121" s="237" t="s">
        <v>1107</v>
      </c>
      <c r="FS121" s="237" t="s">
        <v>1107</v>
      </c>
      <c r="FT121" s="237" t="s">
        <v>1107</v>
      </c>
      <c r="FU121" s="237" t="s">
        <v>1107</v>
      </c>
      <c r="FV121" s="237" t="s">
        <v>1107</v>
      </c>
      <c r="FW121" s="237" t="s">
        <v>1107</v>
      </c>
      <c r="FX121" s="237" t="s">
        <v>1107</v>
      </c>
      <c r="FY121" s="237" t="s">
        <v>492</v>
      </c>
      <c r="FZ121" s="237" t="s">
        <v>231</v>
      </c>
      <c r="GA121" s="237" t="s">
        <v>1107</v>
      </c>
      <c r="GB121" s="237" t="s">
        <v>1107</v>
      </c>
      <c r="GC121" s="237" t="s">
        <v>231</v>
      </c>
      <c r="GD121" s="237" t="s">
        <v>1107</v>
      </c>
      <c r="GE121" s="237" t="s">
        <v>492</v>
      </c>
      <c r="GF121" s="237" t="s">
        <v>1107</v>
      </c>
      <c r="GG121" s="237" t="s">
        <v>1107</v>
      </c>
      <c r="GH121" s="237" t="s">
        <v>1107</v>
      </c>
      <c r="GI121" s="237" t="s">
        <v>1107</v>
      </c>
      <c r="GJ121" s="237" t="s">
        <v>1107</v>
      </c>
      <c r="GK121" s="237" t="s">
        <v>1107</v>
      </c>
      <c r="GL121" s="237" t="s">
        <v>1107</v>
      </c>
      <c r="GM121" s="237" t="s">
        <v>1107</v>
      </c>
      <c r="GN121" s="237" t="s">
        <v>1107</v>
      </c>
      <c r="GO121" s="237" t="s">
        <v>1107</v>
      </c>
      <c r="GP121" s="237" t="s">
        <v>1107</v>
      </c>
      <c r="GQ121" s="237" t="s">
        <v>1107</v>
      </c>
      <c r="GR121" s="237" t="s">
        <v>1107</v>
      </c>
      <c r="GS121" s="237" t="s">
        <v>1107</v>
      </c>
      <c r="GT121" s="237" t="s">
        <v>1107</v>
      </c>
      <c r="GU121" s="237" t="s">
        <v>1107</v>
      </c>
      <c r="GV121" s="237" t="s">
        <v>1107</v>
      </c>
      <c r="GW121" s="237" t="s">
        <v>1107</v>
      </c>
      <c r="GX121" s="237" t="s">
        <v>1107</v>
      </c>
      <c r="GY121" s="237" t="s">
        <v>1107</v>
      </c>
      <c r="GZ121" s="237" t="s">
        <v>1107</v>
      </c>
      <c r="HA121" s="237" t="s">
        <v>1107</v>
      </c>
      <c r="HB121" s="237" t="s">
        <v>1107</v>
      </c>
      <c r="HC121" s="237" t="s">
        <v>1107</v>
      </c>
      <c r="HD121" s="237" t="s">
        <v>1107</v>
      </c>
      <c r="HE121" s="237" t="s">
        <v>1107</v>
      </c>
      <c r="HF121" s="237" t="s">
        <v>1107</v>
      </c>
      <c r="HG121" s="237" t="s">
        <v>1107</v>
      </c>
      <c r="HH121" s="237" t="s">
        <v>1107</v>
      </c>
      <c r="HI121" s="237" t="s">
        <v>1107</v>
      </c>
      <c r="HJ121" s="237" t="s">
        <v>1107</v>
      </c>
      <c r="HK121" s="237" t="s">
        <v>1107</v>
      </c>
      <c r="HL121" s="237" t="s">
        <v>1107</v>
      </c>
      <c r="HM121" s="237" t="s">
        <v>1107</v>
      </c>
      <c r="HN121" s="237" t="s">
        <v>1107</v>
      </c>
      <c r="HO121" s="237" t="s">
        <v>1107</v>
      </c>
      <c r="HP121" s="237" t="s">
        <v>1107</v>
      </c>
      <c r="HQ121" s="237" t="s">
        <v>1107</v>
      </c>
      <c r="HR121" s="237" t="s">
        <v>1107</v>
      </c>
      <c r="HS121" s="237" t="s">
        <v>1107</v>
      </c>
      <c r="HT121" s="237" t="s">
        <v>231</v>
      </c>
      <c r="HU121" s="237" t="s">
        <v>231</v>
      </c>
      <c r="HV121" s="237" t="s">
        <v>231</v>
      </c>
      <c r="HW121" s="237" t="s">
        <v>231</v>
      </c>
      <c r="HX121" s="237" t="s">
        <v>220</v>
      </c>
      <c r="HY121" s="237" t="s">
        <v>493</v>
      </c>
      <c r="HZ121" s="237" t="s">
        <v>219</v>
      </c>
      <c r="IA121" s="237" t="s">
        <v>486</v>
      </c>
      <c r="IB121" s="237" t="s">
        <v>231</v>
      </c>
      <c r="IC121" s="237" t="s">
        <v>1107</v>
      </c>
    </row>
    <row r="122" spans="1:237" ht="15" x14ac:dyDescent="0.25">
      <c r="A122" s="244" t="str">
        <f>HYPERLINK("http://www.ofsted.gov.uk/inspection-reports/find-inspection-report/provider/ELS/136823 ","Ofsted School Webpage")</f>
        <v>Ofsted School Webpage</v>
      </c>
      <c r="B122" s="240">
        <v>136823</v>
      </c>
      <c r="C122" s="240">
        <v>8566006</v>
      </c>
      <c r="D122" s="240" t="s">
        <v>1346</v>
      </c>
      <c r="E122" s="240" t="s">
        <v>247</v>
      </c>
      <c r="F122" s="240" t="s">
        <v>572</v>
      </c>
      <c r="G122" s="240" t="s">
        <v>572</v>
      </c>
      <c r="H122" s="240" t="s">
        <v>589</v>
      </c>
      <c r="I122" s="240" t="s">
        <v>1347</v>
      </c>
      <c r="J122" s="240" t="s">
        <v>93</v>
      </c>
      <c r="K122" s="240" t="s">
        <v>84</v>
      </c>
      <c r="L122" s="240" t="s">
        <v>84</v>
      </c>
      <c r="M122" s="240" t="s">
        <v>84</v>
      </c>
      <c r="N122" s="240" t="s">
        <v>486</v>
      </c>
      <c r="O122" s="240" t="s">
        <v>487</v>
      </c>
      <c r="P122" s="240">
        <v>10086010</v>
      </c>
      <c r="Q122" s="242">
        <v>43500</v>
      </c>
      <c r="R122" s="242">
        <v>43501</v>
      </c>
      <c r="S122" s="242">
        <v>43534</v>
      </c>
      <c r="T122" s="240" t="s">
        <v>1109</v>
      </c>
      <c r="U122" s="240" t="s">
        <v>1105</v>
      </c>
      <c r="V122" s="240" t="s">
        <v>490</v>
      </c>
      <c r="W122" s="240" t="s">
        <v>486</v>
      </c>
      <c r="X122" s="240" t="s">
        <v>486</v>
      </c>
      <c r="Y122" s="240" t="s">
        <v>486</v>
      </c>
      <c r="Z122" s="240" t="s">
        <v>486</v>
      </c>
      <c r="AA122" s="240" t="s">
        <v>486</v>
      </c>
      <c r="AB122" s="240" t="s">
        <v>486</v>
      </c>
      <c r="AC122" s="240" t="s">
        <v>486</v>
      </c>
      <c r="AD122" s="240" t="s">
        <v>1136</v>
      </c>
      <c r="AE122" s="240" t="s">
        <v>231</v>
      </c>
      <c r="AF122" s="240" t="s">
        <v>1107</v>
      </c>
      <c r="AG122" s="240" t="s">
        <v>1107</v>
      </c>
      <c r="AH122" s="240" t="s">
        <v>1107</v>
      </c>
      <c r="AI122" s="240" t="s">
        <v>231</v>
      </c>
      <c r="AJ122" s="240" t="s">
        <v>231</v>
      </c>
      <c r="AK122" s="240" t="s">
        <v>231</v>
      </c>
      <c r="AL122" s="240" t="s">
        <v>1107</v>
      </c>
      <c r="AM122" s="240" t="s">
        <v>1107</v>
      </c>
      <c r="AN122" s="240" t="s">
        <v>1107</v>
      </c>
      <c r="AO122" s="240" t="s">
        <v>1107</v>
      </c>
      <c r="AP122" s="240" t="s">
        <v>1107</v>
      </c>
      <c r="AQ122" s="240" t="s">
        <v>231</v>
      </c>
      <c r="AR122" s="240" t="s">
        <v>231</v>
      </c>
      <c r="AS122" s="240" t="s">
        <v>231</v>
      </c>
      <c r="AT122" s="240" t="s">
        <v>231</v>
      </c>
      <c r="AU122" s="240" t="s">
        <v>1107</v>
      </c>
      <c r="AV122" s="240" t="s">
        <v>1107</v>
      </c>
      <c r="AW122" s="240" t="s">
        <v>1107</v>
      </c>
      <c r="AX122" s="240" t="s">
        <v>1107</v>
      </c>
      <c r="AY122" s="240" t="s">
        <v>232</v>
      </c>
      <c r="AZ122" s="240" t="s">
        <v>232</v>
      </c>
      <c r="BA122" s="240" t="s">
        <v>1107</v>
      </c>
      <c r="BB122" s="240" t="s">
        <v>232</v>
      </c>
      <c r="BC122" s="240" t="s">
        <v>232</v>
      </c>
      <c r="BD122" s="240" t="s">
        <v>232</v>
      </c>
      <c r="BE122" s="240" t="s">
        <v>1107</v>
      </c>
      <c r="BF122" s="240" t="s">
        <v>232</v>
      </c>
      <c r="BG122" s="240" t="s">
        <v>232</v>
      </c>
      <c r="BH122" s="240" t="s">
        <v>231</v>
      </c>
      <c r="BI122" s="240" t="s">
        <v>1107</v>
      </c>
      <c r="BJ122" s="240" t="s">
        <v>1107</v>
      </c>
      <c r="BK122" s="240" t="s">
        <v>231</v>
      </c>
      <c r="BL122" s="240" t="s">
        <v>231</v>
      </c>
      <c r="BM122" s="240" t="s">
        <v>231</v>
      </c>
      <c r="BN122" s="240" t="s">
        <v>231</v>
      </c>
      <c r="BO122" s="240" t="s">
        <v>231</v>
      </c>
      <c r="BP122" s="240" t="s">
        <v>231</v>
      </c>
      <c r="BQ122" s="240" t="s">
        <v>231</v>
      </c>
      <c r="BR122" s="240" t="s">
        <v>231</v>
      </c>
      <c r="BS122" s="240" t="s">
        <v>231</v>
      </c>
      <c r="BT122" s="240" t="s">
        <v>231</v>
      </c>
      <c r="BU122" s="240" t="s">
        <v>231</v>
      </c>
      <c r="BV122" s="240" t="s">
        <v>231</v>
      </c>
      <c r="BW122" s="240" t="s">
        <v>231</v>
      </c>
      <c r="BX122" s="240" t="s">
        <v>231</v>
      </c>
      <c r="BY122" s="240" t="s">
        <v>231</v>
      </c>
      <c r="BZ122" s="240" t="s">
        <v>232</v>
      </c>
      <c r="CA122" s="240" t="s">
        <v>232</v>
      </c>
      <c r="CB122" s="240" t="s">
        <v>232</v>
      </c>
      <c r="CC122" s="240" t="s">
        <v>1107</v>
      </c>
      <c r="CD122" s="240" t="s">
        <v>1107</v>
      </c>
      <c r="CE122" s="240" t="s">
        <v>1107</v>
      </c>
      <c r="CF122" s="240" t="s">
        <v>232</v>
      </c>
      <c r="CG122" s="240" t="s">
        <v>1107</v>
      </c>
      <c r="CH122" s="240" t="s">
        <v>232</v>
      </c>
      <c r="CI122" s="240" t="s">
        <v>1107</v>
      </c>
      <c r="CJ122" s="240" t="s">
        <v>1107</v>
      </c>
      <c r="CK122" s="240" t="s">
        <v>1107</v>
      </c>
      <c r="CL122" s="240" t="s">
        <v>1107</v>
      </c>
      <c r="CM122" s="240" t="s">
        <v>1107</v>
      </c>
      <c r="CN122" s="240" t="s">
        <v>231</v>
      </c>
      <c r="CO122" s="240" t="s">
        <v>231</v>
      </c>
      <c r="CP122" s="240" t="s">
        <v>1107</v>
      </c>
      <c r="CQ122" s="240" t="s">
        <v>1107</v>
      </c>
      <c r="CR122" s="240" t="s">
        <v>1107</v>
      </c>
      <c r="CS122" s="240" t="s">
        <v>232</v>
      </c>
      <c r="CT122" s="240" t="s">
        <v>1107</v>
      </c>
      <c r="CU122" s="240" t="s">
        <v>231</v>
      </c>
      <c r="CV122" s="240" t="s">
        <v>1107</v>
      </c>
      <c r="CW122" s="240" t="s">
        <v>1107</v>
      </c>
      <c r="CX122" s="240" t="s">
        <v>1107</v>
      </c>
      <c r="CY122" s="240" t="s">
        <v>1107</v>
      </c>
      <c r="CZ122" s="240" t="s">
        <v>1107</v>
      </c>
      <c r="DA122" s="240" t="s">
        <v>232</v>
      </c>
      <c r="DB122" s="240" t="s">
        <v>232</v>
      </c>
      <c r="DC122" s="240" t="s">
        <v>1107</v>
      </c>
      <c r="DD122" s="240" t="s">
        <v>232</v>
      </c>
      <c r="DE122" s="240" t="s">
        <v>1107</v>
      </c>
      <c r="DF122" s="240" t="s">
        <v>1107</v>
      </c>
      <c r="DG122" s="240" t="s">
        <v>1107</v>
      </c>
      <c r="DH122" s="240" t="s">
        <v>1107</v>
      </c>
      <c r="DI122" s="240" t="s">
        <v>1107</v>
      </c>
      <c r="DJ122" s="240" t="s">
        <v>1107</v>
      </c>
      <c r="DK122" s="240" t="s">
        <v>1107</v>
      </c>
      <c r="DL122" s="240" t="s">
        <v>1107</v>
      </c>
      <c r="DM122" s="240" t="s">
        <v>1107</v>
      </c>
      <c r="DN122" s="240" t="s">
        <v>1107</v>
      </c>
      <c r="DO122" s="240" t="s">
        <v>1107</v>
      </c>
      <c r="DP122" s="240" t="s">
        <v>1107</v>
      </c>
      <c r="DQ122" s="240" t="s">
        <v>1107</v>
      </c>
      <c r="DR122" s="240" t="s">
        <v>1107</v>
      </c>
      <c r="DS122" s="240" t="s">
        <v>1107</v>
      </c>
      <c r="DT122" s="240" t="s">
        <v>1107</v>
      </c>
      <c r="DU122" s="240" t="s">
        <v>1107</v>
      </c>
      <c r="DV122" s="240" t="s">
        <v>1107</v>
      </c>
      <c r="DW122" s="240" t="s">
        <v>1107</v>
      </c>
      <c r="DX122" s="240" t="s">
        <v>1107</v>
      </c>
      <c r="DY122" s="240" t="s">
        <v>1107</v>
      </c>
      <c r="DZ122" s="240" t="s">
        <v>1107</v>
      </c>
      <c r="EA122" s="240" t="s">
        <v>1107</v>
      </c>
      <c r="EB122" s="240" t="s">
        <v>232</v>
      </c>
      <c r="EC122" s="240" t="s">
        <v>1107</v>
      </c>
      <c r="ED122" s="240" t="s">
        <v>232</v>
      </c>
      <c r="EE122" s="240" t="s">
        <v>232</v>
      </c>
      <c r="EF122" s="240" t="s">
        <v>1107</v>
      </c>
      <c r="EG122" s="240" t="s">
        <v>1107</v>
      </c>
      <c r="EH122" s="240" t="s">
        <v>1107</v>
      </c>
      <c r="EI122" s="240" t="s">
        <v>1107</v>
      </c>
      <c r="EJ122" s="240" t="s">
        <v>232</v>
      </c>
      <c r="EK122" s="240" t="s">
        <v>232</v>
      </c>
      <c r="EL122" s="240" t="s">
        <v>1107</v>
      </c>
      <c r="EM122" s="240" t="s">
        <v>232</v>
      </c>
      <c r="EN122" s="240" t="s">
        <v>1107</v>
      </c>
      <c r="EO122" s="240" t="s">
        <v>1107</v>
      </c>
      <c r="EP122" s="240" t="s">
        <v>1107</v>
      </c>
      <c r="EQ122" s="240" t="s">
        <v>1107</v>
      </c>
      <c r="ER122" s="240" t="s">
        <v>1107</v>
      </c>
      <c r="ES122" s="240" t="s">
        <v>1107</v>
      </c>
      <c r="ET122" s="240" t="s">
        <v>1107</v>
      </c>
      <c r="EU122" s="240" t="s">
        <v>1107</v>
      </c>
      <c r="EV122" s="240" t="s">
        <v>1107</v>
      </c>
      <c r="EW122" s="240" t="s">
        <v>1107</v>
      </c>
      <c r="EX122" s="240" t="s">
        <v>1107</v>
      </c>
      <c r="EY122" s="240" t="s">
        <v>1107</v>
      </c>
      <c r="EZ122" s="240" t="s">
        <v>231</v>
      </c>
      <c r="FA122" s="240" t="s">
        <v>231</v>
      </c>
      <c r="FB122" s="240" t="s">
        <v>1107</v>
      </c>
      <c r="FC122" s="240" t="s">
        <v>1107</v>
      </c>
      <c r="FD122" s="240" t="s">
        <v>1107</v>
      </c>
      <c r="FE122" s="240" t="s">
        <v>1107</v>
      </c>
      <c r="FF122" s="240" t="s">
        <v>1107</v>
      </c>
      <c r="FG122" s="240" t="s">
        <v>1107</v>
      </c>
      <c r="FH122" s="240" t="s">
        <v>1107</v>
      </c>
      <c r="FI122" s="240" t="s">
        <v>231</v>
      </c>
      <c r="FJ122" s="240" t="s">
        <v>1107</v>
      </c>
      <c r="FK122" s="240" t="s">
        <v>1107</v>
      </c>
      <c r="FL122" s="240" t="s">
        <v>1107</v>
      </c>
      <c r="FM122" s="240" t="s">
        <v>1107</v>
      </c>
      <c r="FN122" s="240" t="s">
        <v>1107</v>
      </c>
      <c r="FO122" s="240" t="s">
        <v>1107</v>
      </c>
      <c r="FP122" s="240" t="s">
        <v>1107</v>
      </c>
      <c r="FQ122" s="240" t="s">
        <v>1107</v>
      </c>
      <c r="FR122" s="240" t="s">
        <v>1107</v>
      </c>
      <c r="FS122" s="240" t="s">
        <v>1107</v>
      </c>
      <c r="FT122" s="240" t="s">
        <v>1107</v>
      </c>
      <c r="FU122" s="240" t="s">
        <v>1107</v>
      </c>
      <c r="FV122" s="240" t="s">
        <v>231</v>
      </c>
      <c r="FW122" s="240" t="s">
        <v>231</v>
      </c>
      <c r="FX122" s="240" t="s">
        <v>231</v>
      </c>
      <c r="FY122" s="240" t="s">
        <v>1107</v>
      </c>
      <c r="FZ122" s="240" t="s">
        <v>231</v>
      </c>
      <c r="GA122" s="240" t="s">
        <v>231</v>
      </c>
      <c r="GB122" s="240" t="s">
        <v>231</v>
      </c>
      <c r="GC122" s="240" t="s">
        <v>231</v>
      </c>
      <c r="GD122" s="240" t="s">
        <v>231</v>
      </c>
      <c r="GE122" s="240" t="s">
        <v>1107</v>
      </c>
      <c r="GF122" s="240" t="s">
        <v>1107</v>
      </c>
      <c r="GG122" s="240" t="s">
        <v>1107</v>
      </c>
      <c r="GH122" s="240" t="s">
        <v>1107</v>
      </c>
      <c r="GI122" s="240" t="s">
        <v>1107</v>
      </c>
      <c r="GJ122" s="240" t="s">
        <v>1107</v>
      </c>
      <c r="GK122" s="240" t="s">
        <v>231</v>
      </c>
      <c r="GL122" s="240" t="s">
        <v>231</v>
      </c>
      <c r="GM122" s="240" t="s">
        <v>1107</v>
      </c>
      <c r="GN122" s="240" t="s">
        <v>1107</v>
      </c>
      <c r="GO122" s="240" t="s">
        <v>1107</v>
      </c>
      <c r="GP122" s="240" t="s">
        <v>1107</v>
      </c>
      <c r="GQ122" s="240" t="s">
        <v>1107</v>
      </c>
      <c r="GR122" s="240" t="s">
        <v>231</v>
      </c>
      <c r="GS122" s="240" t="s">
        <v>1107</v>
      </c>
      <c r="GT122" s="240" t="s">
        <v>1107</v>
      </c>
      <c r="GU122" s="240" t="s">
        <v>1107</v>
      </c>
      <c r="GV122" s="240" t="s">
        <v>1107</v>
      </c>
      <c r="GW122" s="240" t="s">
        <v>231</v>
      </c>
      <c r="GX122" s="240" t="s">
        <v>1107</v>
      </c>
      <c r="GY122" s="240" t="s">
        <v>1107</v>
      </c>
      <c r="GZ122" s="240" t="s">
        <v>1107</v>
      </c>
      <c r="HA122" s="240" t="s">
        <v>1107</v>
      </c>
      <c r="HB122" s="240" t="s">
        <v>1107</v>
      </c>
      <c r="HC122" s="240" t="s">
        <v>1107</v>
      </c>
      <c r="HD122" s="240" t="s">
        <v>1107</v>
      </c>
      <c r="HE122" s="240" t="s">
        <v>1107</v>
      </c>
      <c r="HF122" s="240" t="s">
        <v>1107</v>
      </c>
      <c r="HG122" s="240" t="s">
        <v>1107</v>
      </c>
      <c r="HH122" s="240" t="s">
        <v>1107</v>
      </c>
      <c r="HI122" s="240" t="s">
        <v>1107</v>
      </c>
      <c r="HJ122" s="240" t="s">
        <v>1107</v>
      </c>
      <c r="HK122" s="240" t="s">
        <v>1107</v>
      </c>
      <c r="HL122" s="240" t="s">
        <v>1107</v>
      </c>
      <c r="HM122" s="240" t="s">
        <v>1107</v>
      </c>
      <c r="HN122" s="240" t="s">
        <v>1107</v>
      </c>
      <c r="HO122" s="240" t="s">
        <v>1107</v>
      </c>
      <c r="HP122" s="240" t="s">
        <v>1107</v>
      </c>
      <c r="HQ122" s="240" t="s">
        <v>1107</v>
      </c>
      <c r="HR122" s="240" t="s">
        <v>1107</v>
      </c>
      <c r="HS122" s="240" t="s">
        <v>1107</v>
      </c>
      <c r="HT122" s="240" t="s">
        <v>232</v>
      </c>
      <c r="HU122" s="240" t="s">
        <v>232</v>
      </c>
      <c r="HV122" s="240" t="s">
        <v>232</v>
      </c>
      <c r="HW122" s="240" t="s">
        <v>232</v>
      </c>
      <c r="HX122" s="240" t="s">
        <v>220</v>
      </c>
      <c r="HY122" s="240" t="s">
        <v>493</v>
      </c>
      <c r="HZ122" s="240" t="s">
        <v>219</v>
      </c>
      <c r="IA122" s="240" t="s">
        <v>490</v>
      </c>
      <c r="IB122" s="240" t="s">
        <v>1107</v>
      </c>
      <c r="IC122" s="240" t="s">
        <v>1107</v>
      </c>
    </row>
    <row r="123" spans="1:237" ht="15" x14ac:dyDescent="0.25">
      <c r="A123" s="243" t="str">
        <f>HYPERLINK("http://www.ofsted.gov.uk/inspection-reports/find-inspection-report/provider/ELS/142828 ","Ofsted School Webpage")</f>
        <v>Ofsted School Webpage</v>
      </c>
      <c r="B123" s="237">
        <v>142828</v>
      </c>
      <c r="C123" s="237">
        <v>8126004</v>
      </c>
      <c r="D123" s="237" t="s">
        <v>1348</v>
      </c>
      <c r="E123" s="237" t="s">
        <v>248</v>
      </c>
      <c r="F123" s="237" t="s">
        <v>523</v>
      </c>
      <c r="G123" s="237" t="s">
        <v>524</v>
      </c>
      <c r="H123" s="237" t="s">
        <v>1220</v>
      </c>
      <c r="I123" s="237" t="s">
        <v>1349</v>
      </c>
      <c r="J123" s="237" t="s">
        <v>93</v>
      </c>
      <c r="K123" s="237" t="s">
        <v>93</v>
      </c>
      <c r="L123" s="237" t="s">
        <v>93</v>
      </c>
      <c r="M123" s="237" t="s">
        <v>90</v>
      </c>
      <c r="N123" s="237" t="s">
        <v>486</v>
      </c>
      <c r="O123" s="237" t="s">
        <v>487</v>
      </c>
      <c r="P123" s="237">
        <v>10091015</v>
      </c>
      <c r="Q123" s="239">
        <v>43502</v>
      </c>
      <c r="R123" s="239">
        <v>43502</v>
      </c>
      <c r="S123" s="239">
        <v>43548</v>
      </c>
      <c r="T123" s="237" t="s">
        <v>1124</v>
      </c>
      <c r="U123" s="237" t="s">
        <v>1105</v>
      </c>
      <c r="V123" s="237" t="s">
        <v>490</v>
      </c>
      <c r="W123" s="237" t="s">
        <v>486</v>
      </c>
      <c r="X123" s="237" t="s">
        <v>486</v>
      </c>
      <c r="Y123" s="237" t="s">
        <v>486</v>
      </c>
      <c r="Z123" s="237" t="s">
        <v>486</v>
      </c>
      <c r="AA123" s="237" t="s">
        <v>486</v>
      </c>
      <c r="AB123" s="237" t="s">
        <v>486</v>
      </c>
      <c r="AC123" s="237" t="s">
        <v>486</v>
      </c>
      <c r="AD123" s="237" t="s">
        <v>1136</v>
      </c>
      <c r="AE123" s="237" t="s">
        <v>231</v>
      </c>
      <c r="AF123" s="237" t="s">
        <v>231</v>
      </c>
      <c r="AG123" s="237" t="s">
        <v>231</v>
      </c>
      <c r="AH123" s="237" t="s">
        <v>231</v>
      </c>
      <c r="AI123" s="237" t="s">
        <v>231</v>
      </c>
      <c r="AJ123" s="237" t="s">
        <v>231</v>
      </c>
      <c r="AK123" s="237" t="s">
        <v>231</v>
      </c>
      <c r="AL123" s="237" t="s">
        <v>231</v>
      </c>
      <c r="AM123" s="237" t="s">
        <v>492</v>
      </c>
      <c r="AN123" s="237" t="s">
        <v>231</v>
      </c>
      <c r="AO123" s="237" t="s">
        <v>231</v>
      </c>
      <c r="AP123" s="237" t="s">
        <v>231</v>
      </c>
      <c r="AQ123" s="237" t="s">
        <v>492</v>
      </c>
      <c r="AR123" s="237" t="s">
        <v>492</v>
      </c>
      <c r="AS123" s="237" t="s">
        <v>492</v>
      </c>
      <c r="AT123" s="237" t="s">
        <v>492</v>
      </c>
      <c r="AU123" s="237" t="s">
        <v>492</v>
      </c>
      <c r="AV123" s="237" t="s">
        <v>492</v>
      </c>
      <c r="AW123" s="237" t="s">
        <v>231</v>
      </c>
      <c r="AX123" s="237" t="s">
        <v>231</v>
      </c>
      <c r="AY123" s="237" t="s">
        <v>232</v>
      </c>
      <c r="AZ123" s="237" t="s">
        <v>232</v>
      </c>
      <c r="BA123" s="237" t="s">
        <v>231</v>
      </c>
      <c r="BB123" s="237" t="s">
        <v>232</v>
      </c>
      <c r="BC123" s="237" t="s">
        <v>232</v>
      </c>
      <c r="BD123" s="237" t="s">
        <v>231</v>
      </c>
      <c r="BE123" s="237" t="s">
        <v>231</v>
      </c>
      <c r="BF123" s="237" t="s">
        <v>231</v>
      </c>
      <c r="BG123" s="237" t="s">
        <v>231</v>
      </c>
      <c r="BH123" s="237" t="s">
        <v>231</v>
      </c>
      <c r="BI123" s="237" t="s">
        <v>231</v>
      </c>
      <c r="BJ123" s="237" t="s">
        <v>1107</v>
      </c>
      <c r="BK123" s="237" t="s">
        <v>231</v>
      </c>
      <c r="BL123" s="237" t="s">
        <v>231</v>
      </c>
      <c r="BM123" s="237" t="s">
        <v>231</v>
      </c>
      <c r="BN123" s="237" t="s">
        <v>231</v>
      </c>
      <c r="BO123" s="237" t="s">
        <v>231</v>
      </c>
      <c r="BP123" s="237" t="s">
        <v>231</v>
      </c>
      <c r="BQ123" s="237" t="s">
        <v>231</v>
      </c>
      <c r="BR123" s="237" t="s">
        <v>231</v>
      </c>
      <c r="BS123" s="237" t="s">
        <v>231</v>
      </c>
      <c r="BT123" s="237" t="s">
        <v>231</v>
      </c>
      <c r="BU123" s="237" t="s">
        <v>231</v>
      </c>
      <c r="BV123" s="237" t="s">
        <v>231</v>
      </c>
      <c r="BW123" s="237" t="s">
        <v>231</v>
      </c>
      <c r="BX123" s="237" t="s">
        <v>231</v>
      </c>
      <c r="BY123" s="237" t="s">
        <v>231</v>
      </c>
      <c r="BZ123" s="237" t="s">
        <v>232</v>
      </c>
      <c r="CA123" s="237" t="s">
        <v>232</v>
      </c>
      <c r="CB123" s="237" t="s">
        <v>232</v>
      </c>
      <c r="CC123" s="237" t="s">
        <v>492</v>
      </c>
      <c r="CD123" s="237" t="s">
        <v>492</v>
      </c>
      <c r="CE123" s="237" t="s">
        <v>492</v>
      </c>
      <c r="CF123" s="237" t="s">
        <v>231</v>
      </c>
      <c r="CG123" s="237" t="s">
        <v>231</v>
      </c>
      <c r="CH123" s="237" t="s">
        <v>231</v>
      </c>
      <c r="CI123" s="237" t="s">
        <v>231</v>
      </c>
      <c r="CJ123" s="237" t="s">
        <v>1107</v>
      </c>
      <c r="CK123" s="237" t="s">
        <v>231</v>
      </c>
      <c r="CL123" s="237" t="s">
        <v>1107</v>
      </c>
      <c r="CM123" s="237" t="s">
        <v>1107</v>
      </c>
      <c r="CN123" s="237" t="s">
        <v>231</v>
      </c>
      <c r="CO123" s="237" t="s">
        <v>1107</v>
      </c>
      <c r="CP123" s="237" t="s">
        <v>231</v>
      </c>
      <c r="CQ123" s="237" t="s">
        <v>231</v>
      </c>
      <c r="CR123" s="237" t="s">
        <v>231</v>
      </c>
      <c r="CS123" s="237" t="s">
        <v>1107</v>
      </c>
      <c r="CT123" s="237" t="s">
        <v>1107</v>
      </c>
      <c r="CU123" s="237" t="s">
        <v>1107</v>
      </c>
      <c r="CV123" s="237" t="s">
        <v>1107</v>
      </c>
      <c r="CW123" s="237" t="s">
        <v>1107</v>
      </c>
      <c r="CX123" s="237" t="s">
        <v>1107</v>
      </c>
      <c r="CY123" s="237" t="s">
        <v>1107</v>
      </c>
      <c r="CZ123" s="237" t="s">
        <v>1107</v>
      </c>
      <c r="DA123" s="237" t="s">
        <v>1107</v>
      </c>
      <c r="DB123" s="237" t="s">
        <v>1107</v>
      </c>
      <c r="DC123" s="237" t="s">
        <v>1107</v>
      </c>
      <c r="DD123" s="237" t="s">
        <v>1107</v>
      </c>
      <c r="DE123" s="237" t="s">
        <v>492</v>
      </c>
      <c r="DF123" s="237" t="s">
        <v>492</v>
      </c>
      <c r="DG123" s="237" t="s">
        <v>492</v>
      </c>
      <c r="DH123" s="237" t="s">
        <v>492</v>
      </c>
      <c r="DI123" s="237" t="s">
        <v>492</v>
      </c>
      <c r="DJ123" s="237" t="s">
        <v>492</v>
      </c>
      <c r="DK123" s="237" t="s">
        <v>492</v>
      </c>
      <c r="DL123" s="237" t="s">
        <v>492</v>
      </c>
      <c r="DM123" s="237" t="s">
        <v>492</v>
      </c>
      <c r="DN123" s="237" t="s">
        <v>492</v>
      </c>
      <c r="DO123" s="237" t="s">
        <v>492</v>
      </c>
      <c r="DP123" s="237" t="s">
        <v>492</v>
      </c>
      <c r="DQ123" s="237" t="s">
        <v>492</v>
      </c>
      <c r="DR123" s="237" t="s">
        <v>1107</v>
      </c>
      <c r="DS123" s="237" t="s">
        <v>1107</v>
      </c>
      <c r="DT123" s="237" t="s">
        <v>1107</v>
      </c>
      <c r="DU123" s="237" t="s">
        <v>1107</v>
      </c>
      <c r="DV123" s="237" t="s">
        <v>1107</v>
      </c>
      <c r="DW123" s="237" t="s">
        <v>1107</v>
      </c>
      <c r="DX123" s="237" t="s">
        <v>1107</v>
      </c>
      <c r="DY123" s="237" t="s">
        <v>1107</v>
      </c>
      <c r="DZ123" s="237" t="s">
        <v>1107</v>
      </c>
      <c r="EA123" s="237" t="s">
        <v>1107</v>
      </c>
      <c r="EB123" s="237" t="s">
        <v>1107</v>
      </c>
      <c r="EC123" s="237" t="s">
        <v>1107</v>
      </c>
      <c r="ED123" s="237" t="s">
        <v>1107</v>
      </c>
      <c r="EE123" s="237" t="s">
        <v>1107</v>
      </c>
      <c r="EF123" s="237" t="s">
        <v>1107</v>
      </c>
      <c r="EG123" s="237" t="s">
        <v>1107</v>
      </c>
      <c r="EH123" s="237" t="s">
        <v>1107</v>
      </c>
      <c r="EI123" s="237" t="s">
        <v>1107</v>
      </c>
      <c r="EJ123" s="237" t="s">
        <v>1107</v>
      </c>
      <c r="EK123" s="237" t="s">
        <v>1107</v>
      </c>
      <c r="EL123" s="237" t="s">
        <v>1107</v>
      </c>
      <c r="EM123" s="237" t="s">
        <v>1107</v>
      </c>
      <c r="EN123" s="237" t="s">
        <v>1107</v>
      </c>
      <c r="EO123" s="237" t="s">
        <v>1107</v>
      </c>
      <c r="EP123" s="237" t="s">
        <v>492</v>
      </c>
      <c r="EQ123" s="237" t="s">
        <v>492</v>
      </c>
      <c r="ER123" s="237" t="s">
        <v>492</v>
      </c>
      <c r="ES123" s="237" t="s">
        <v>492</v>
      </c>
      <c r="ET123" s="237" t="s">
        <v>492</v>
      </c>
      <c r="EU123" s="237" t="s">
        <v>492</v>
      </c>
      <c r="EV123" s="237" t="s">
        <v>1107</v>
      </c>
      <c r="EW123" s="237" t="s">
        <v>1107</v>
      </c>
      <c r="EX123" s="237" t="s">
        <v>1107</v>
      </c>
      <c r="EY123" s="237" t="s">
        <v>1107</v>
      </c>
      <c r="EZ123" s="237" t="s">
        <v>1107</v>
      </c>
      <c r="FA123" s="237" t="s">
        <v>1107</v>
      </c>
      <c r="FB123" s="237" t="s">
        <v>1107</v>
      </c>
      <c r="FC123" s="237" t="s">
        <v>1107</v>
      </c>
      <c r="FD123" s="237" t="s">
        <v>1107</v>
      </c>
      <c r="FE123" s="237" t="s">
        <v>1107</v>
      </c>
      <c r="FF123" s="237" t="s">
        <v>1107</v>
      </c>
      <c r="FG123" s="237" t="s">
        <v>492</v>
      </c>
      <c r="FH123" s="237" t="s">
        <v>1107</v>
      </c>
      <c r="FI123" s="237" t="s">
        <v>1107</v>
      </c>
      <c r="FJ123" s="237" t="s">
        <v>1107</v>
      </c>
      <c r="FK123" s="237" t="s">
        <v>1107</v>
      </c>
      <c r="FL123" s="237" t="s">
        <v>1107</v>
      </c>
      <c r="FM123" s="237" t="s">
        <v>1107</v>
      </c>
      <c r="FN123" s="237" t="s">
        <v>1107</v>
      </c>
      <c r="FO123" s="237" t="s">
        <v>1107</v>
      </c>
      <c r="FP123" s="237" t="s">
        <v>1107</v>
      </c>
      <c r="FQ123" s="237" t="s">
        <v>1107</v>
      </c>
      <c r="FR123" s="237" t="s">
        <v>1107</v>
      </c>
      <c r="FS123" s="237" t="s">
        <v>1107</v>
      </c>
      <c r="FT123" s="237" t="s">
        <v>1107</v>
      </c>
      <c r="FU123" s="237" t="s">
        <v>1107</v>
      </c>
      <c r="FV123" s="237" t="s">
        <v>1107</v>
      </c>
      <c r="FW123" s="237" t="s">
        <v>1107</v>
      </c>
      <c r="FX123" s="237" t="s">
        <v>1107</v>
      </c>
      <c r="FY123" s="237" t="s">
        <v>492</v>
      </c>
      <c r="FZ123" s="237" t="s">
        <v>231</v>
      </c>
      <c r="GA123" s="237" t="s">
        <v>1107</v>
      </c>
      <c r="GB123" s="237" t="s">
        <v>1107</v>
      </c>
      <c r="GC123" s="237" t="s">
        <v>231</v>
      </c>
      <c r="GD123" s="237" t="s">
        <v>1107</v>
      </c>
      <c r="GE123" s="237" t="s">
        <v>1107</v>
      </c>
      <c r="GF123" s="237" t="s">
        <v>1107</v>
      </c>
      <c r="GG123" s="237" t="s">
        <v>1107</v>
      </c>
      <c r="GH123" s="237" t="s">
        <v>1107</v>
      </c>
      <c r="GI123" s="237" t="s">
        <v>1107</v>
      </c>
      <c r="GJ123" s="237" t="s">
        <v>1107</v>
      </c>
      <c r="GK123" s="237" t="s">
        <v>1107</v>
      </c>
      <c r="GL123" s="237" t="s">
        <v>1107</v>
      </c>
      <c r="GM123" s="237" t="s">
        <v>1107</v>
      </c>
      <c r="GN123" s="237" t="s">
        <v>1107</v>
      </c>
      <c r="GO123" s="237" t="s">
        <v>1107</v>
      </c>
      <c r="GP123" s="237" t="s">
        <v>1107</v>
      </c>
      <c r="GQ123" s="237" t="s">
        <v>1107</v>
      </c>
      <c r="GR123" s="237" t="s">
        <v>1107</v>
      </c>
      <c r="GS123" s="237" t="s">
        <v>1107</v>
      </c>
      <c r="GT123" s="237" t="s">
        <v>1107</v>
      </c>
      <c r="GU123" s="237" t="s">
        <v>1107</v>
      </c>
      <c r="GV123" s="237" t="s">
        <v>1107</v>
      </c>
      <c r="GW123" s="237" t="s">
        <v>1107</v>
      </c>
      <c r="GX123" s="237" t="s">
        <v>1107</v>
      </c>
      <c r="GY123" s="237" t="s">
        <v>1107</v>
      </c>
      <c r="GZ123" s="237" t="s">
        <v>1107</v>
      </c>
      <c r="HA123" s="237" t="s">
        <v>1107</v>
      </c>
      <c r="HB123" s="237" t="s">
        <v>1107</v>
      </c>
      <c r="HC123" s="237" t="s">
        <v>1107</v>
      </c>
      <c r="HD123" s="237" t="s">
        <v>231</v>
      </c>
      <c r="HE123" s="237" t="s">
        <v>231</v>
      </c>
      <c r="HF123" s="237" t="s">
        <v>231</v>
      </c>
      <c r="HG123" s="237" t="s">
        <v>231</v>
      </c>
      <c r="HH123" s="237" t="s">
        <v>231</v>
      </c>
      <c r="HI123" s="237" t="s">
        <v>231</v>
      </c>
      <c r="HJ123" s="237" t="s">
        <v>231</v>
      </c>
      <c r="HK123" s="237" t="s">
        <v>231</v>
      </c>
      <c r="HL123" s="237" t="s">
        <v>231</v>
      </c>
      <c r="HM123" s="237" t="s">
        <v>231</v>
      </c>
      <c r="HN123" s="237" t="s">
        <v>231</v>
      </c>
      <c r="HO123" s="237" t="s">
        <v>231</v>
      </c>
      <c r="HP123" s="237" t="s">
        <v>231</v>
      </c>
      <c r="HQ123" s="237" t="s">
        <v>231</v>
      </c>
      <c r="HR123" s="237" t="s">
        <v>231</v>
      </c>
      <c r="HS123" s="237" t="s">
        <v>231</v>
      </c>
      <c r="HT123" s="237" t="s">
        <v>232</v>
      </c>
      <c r="HU123" s="237" t="s">
        <v>232</v>
      </c>
      <c r="HV123" s="237" t="s">
        <v>232</v>
      </c>
      <c r="HW123" s="237" t="s">
        <v>232</v>
      </c>
      <c r="HX123" s="237" t="s">
        <v>220</v>
      </c>
      <c r="HY123" s="237" t="s">
        <v>493</v>
      </c>
      <c r="HZ123" s="237" t="s">
        <v>219</v>
      </c>
      <c r="IA123" s="237" t="s">
        <v>490</v>
      </c>
      <c r="IB123" s="237" t="s">
        <v>492</v>
      </c>
      <c r="IC123" s="237" t="s">
        <v>492</v>
      </c>
    </row>
    <row r="124" spans="1:237" ht="15" x14ac:dyDescent="0.25">
      <c r="A124" s="244" t="str">
        <f>HYPERLINK("http://www.ofsted.gov.uk/inspection-reports/find-inspection-report/provider/ELS/140272 ","Ofsted School Webpage")</f>
        <v>Ofsted School Webpage</v>
      </c>
      <c r="B124" s="240">
        <v>140272</v>
      </c>
      <c r="C124" s="240">
        <v>8086004</v>
      </c>
      <c r="D124" s="240" t="s">
        <v>1350</v>
      </c>
      <c r="E124" s="240" t="s">
        <v>248</v>
      </c>
      <c r="F124" s="240" t="s">
        <v>523</v>
      </c>
      <c r="G124" s="240" t="s">
        <v>539</v>
      </c>
      <c r="H124" s="240" t="s">
        <v>1351</v>
      </c>
      <c r="I124" s="240" t="s">
        <v>1352</v>
      </c>
      <c r="J124" s="240" t="s">
        <v>93</v>
      </c>
      <c r="K124" s="240" t="s">
        <v>93</v>
      </c>
      <c r="L124" s="240" t="s">
        <v>93</v>
      </c>
      <c r="M124" s="240" t="s">
        <v>90</v>
      </c>
      <c r="N124" s="240" t="s">
        <v>486</v>
      </c>
      <c r="O124" s="240" t="s">
        <v>487</v>
      </c>
      <c r="P124" s="240">
        <v>10085697</v>
      </c>
      <c r="Q124" s="242">
        <v>43502</v>
      </c>
      <c r="R124" s="242">
        <v>43502</v>
      </c>
      <c r="S124" s="242">
        <v>43549</v>
      </c>
      <c r="T124" s="240" t="s">
        <v>1124</v>
      </c>
      <c r="U124" s="240" t="s">
        <v>1105</v>
      </c>
      <c r="V124" s="240" t="s">
        <v>490</v>
      </c>
      <c r="W124" s="240" t="s">
        <v>486</v>
      </c>
      <c r="X124" s="240" t="s">
        <v>486</v>
      </c>
      <c r="Y124" s="240" t="s">
        <v>486</v>
      </c>
      <c r="Z124" s="240" t="s">
        <v>486</v>
      </c>
      <c r="AA124" s="240" t="s">
        <v>486</v>
      </c>
      <c r="AB124" s="240" t="s">
        <v>486</v>
      </c>
      <c r="AC124" s="240" t="s">
        <v>486</v>
      </c>
      <c r="AD124" s="240" t="s">
        <v>1110</v>
      </c>
      <c r="AE124" s="240" t="s">
        <v>1107</v>
      </c>
      <c r="AF124" s="240" t="s">
        <v>1107</v>
      </c>
      <c r="AG124" s="240" t="s">
        <v>1107</v>
      </c>
      <c r="AH124" s="240" t="s">
        <v>1107</v>
      </c>
      <c r="AI124" s="240" t="s">
        <v>1107</v>
      </c>
      <c r="AJ124" s="240" t="s">
        <v>1107</v>
      </c>
      <c r="AK124" s="240" t="s">
        <v>1107</v>
      </c>
      <c r="AL124" s="240" t="s">
        <v>1107</v>
      </c>
      <c r="AM124" s="240" t="s">
        <v>1107</v>
      </c>
      <c r="AN124" s="240" t="s">
        <v>1107</v>
      </c>
      <c r="AO124" s="240" t="s">
        <v>1107</v>
      </c>
      <c r="AP124" s="240" t="s">
        <v>1107</v>
      </c>
      <c r="AQ124" s="240" t="s">
        <v>1107</v>
      </c>
      <c r="AR124" s="240" t="s">
        <v>1107</v>
      </c>
      <c r="AS124" s="240" t="s">
        <v>1107</v>
      </c>
      <c r="AT124" s="240" t="s">
        <v>1107</v>
      </c>
      <c r="AU124" s="240" t="s">
        <v>1107</v>
      </c>
      <c r="AV124" s="240" t="s">
        <v>1107</v>
      </c>
      <c r="AW124" s="240" t="s">
        <v>1107</v>
      </c>
      <c r="AX124" s="240" t="s">
        <v>1107</v>
      </c>
      <c r="AY124" s="240" t="s">
        <v>1107</v>
      </c>
      <c r="AZ124" s="240" t="s">
        <v>1107</v>
      </c>
      <c r="BA124" s="240" t="s">
        <v>1107</v>
      </c>
      <c r="BB124" s="240" t="s">
        <v>1107</v>
      </c>
      <c r="BC124" s="240" t="s">
        <v>1107</v>
      </c>
      <c r="BD124" s="240" t="s">
        <v>1107</v>
      </c>
      <c r="BE124" s="240" t="s">
        <v>1107</v>
      </c>
      <c r="BF124" s="240" t="s">
        <v>1107</v>
      </c>
      <c r="BG124" s="240" t="s">
        <v>1107</v>
      </c>
      <c r="BH124" s="240" t="s">
        <v>1107</v>
      </c>
      <c r="BI124" s="240" t="s">
        <v>1107</v>
      </c>
      <c r="BJ124" s="240" t="s">
        <v>1107</v>
      </c>
      <c r="BK124" s="240" t="s">
        <v>1107</v>
      </c>
      <c r="BL124" s="240" t="s">
        <v>1107</v>
      </c>
      <c r="BM124" s="240" t="s">
        <v>1107</v>
      </c>
      <c r="BN124" s="240" t="s">
        <v>1107</v>
      </c>
      <c r="BO124" s="240" t="s">
        <v>1107</v>
      </c>
      <c r="BP124" s="240" t="s">
        <v>1107</v>
      </c>
      <c r="BQ124" s="240" t="s">
        <v>1107</v>
      </c>
      <c r="BR124" s="240" t="s">
        <v>1107</v>
      </c>
      <c r="BS124" s="240" t="s">
        <v>1107</v>
      </c>
      <c r="BT124" s="240" t="s">
        <v>1107</v>
      </c>
      <c r="BU124" s="240" t="s">
        <v>1107</v>
      </c>
      <c r="BV124" s="240" t="s">
        <v>1107</v>
      </c>
      <c r="BW124" s="240" t="s">
        <v>1107</v>
      </c>
      <c r="BX124" s="240" t="s">
        <v>1107</v>
      </c>
      <c r="BY124" s="240" t="s">
        <v>1107</v>
      </c>
      <c r="BZ124" s="240" t="s">
        <v>231</v>
      </c>
      <c r="CA124" s="240" t="s">
        <v>231</v>
      </c>
      <c r="CB124" s="240" t="s">
        <v>231</v>
      </c>
      <c r="CC124" s="240" t="s">
        <v>492</v>
      </c>
      <c r="CD124" s="240" t="s">
        <v>492</v>
      </c>
      <c r="CE124" s="240" t="s">
        <v>492</v>
      </c>
      <c r="CF124" s="240" t="s">
        <v>231</v>
      </c>
      <c r="CG124" s="240" t="s">
        <v>231</v>
      </c>
      <c r="CH124" s="240" t="s">
        <v>231</v>
      </c>
      <c r="CI124" s="240" t="s">
        <v>231</v>
      </c>
      <c r="CJ124" s="240" t="s">
        <v>1107</v>
      </c>
      <c r="CK124" s="240" t="s">
        <v>231</v>
      </c>
      <c r="CL124" s="240" t="s">
        <v>1107</v>
      </c>
      <c r="CM124" s="240" t="s">
        <v>1107</v>
      </c>
      <c r="CN124" s="240" t="s">
        <v>231</v>
      </c>
      <c r="CO124" s="240" t="s">
        <v>1107</v>
      </c>
      <c r="CP124" s="240" t="s">
        <v>231</v>
      </c>
      <c r="CQ124" s="240" t="s">
        <v>231</v>
      </c>
      <c r="CR124" s="240" t="s">
        <v>231</v>
      </c>
      <c r="CS124" s="240" t="s">
        <v>231</v>
      </c>
      <c r="CT124" s="240" t="s">
        <v>231</v>
      </c>
      <c r="CU124" s="240" t="s">
        <v>231</v>
      </c>
      <c r="CV124" s="240" t="s">
        <v>231</v>
      </c>
      <c r="CW124" s="240" t="s">
        <v>231</v>
      </c>
      <c r="CX124" s="240" t="s">
        <v>231</v>
      </c>
      <c r="CY124" s="240" t="s">
        <v>231</v>
      </c>
      <c r="CZ124" s="240" t="s">
        <v>231</v>
      </c>
      <c r="DA124" s="240" t="s">
        <v>231</v>
      </c>
      <c r="DB124" s="240" t="s">
        <v>231</v>
      </c>
      <c r="DC124" s="240" t="s">
        <v>492</v>
      </c>
      <c r="DD124" s="240" t="s">
        <v>231</v>
      </c>
      <c r="DE124" s="240" t="s">
        <v>492</v>
      </c>
      <c r="DF124" s="240" t="s">
        <v>492</v>
      </c>
      <c r="DG124" s="240" t="s">
        <v>492</v>
      </c>
      <c r="DH124" s="240" t="s">
        <v>492</v>
      </c>
      <c r="DI124" s="240" t="s">
        <v>492</v>
      </c>
      <c r="DJ124" s="240" t="s">
        <v>492</v>
      </c>
      <c r="DK124" s="240" t="s">
        <v>492</v>
      </c>
      <c r="DL124" s="240" t="s">
        <v>492</v>
      </c>
      <c r="DM124" s="240" t="s">
        <v>492</v>
      </c>
      <c r="DN124" s="240" t="s">
        <v>492</v>
      </c>
      <c r="DO124" s="240" t="s">
        <v>492</v>
      </c>
      <c r="DP124" s="240" t="s">
        <v>492</v>
      </c>
      <c r="DQ124" s="240" t="s">
        <v>492</v>
      </c>
      <c r="DR124" s="240" t="s">
        <v>492</v>
      </c>
      <c r="DS124" s="240" t="s">
        <v>231</v>
      </c>
      <c r="DT124" s="240" t="s">
        <v>231</v>
      </c>
      <c r="DU124" s="240" t="s">
        <v>231</v>
      </c>
      <c r="DV124" s="240" t="s">
        <v>231</v>
      </c>
      <c r="DW124" s="240" t="s">
        <v>231</v>
      </c>
      <c r="DX124" s="240" t="s">
        <v>231</v>
      </c>
      <c r="DY124" s="240" t="s">
        <v>231</v>
      </c>
      <c r="DZ124" s="240" t="s">
        <v>231</v>
      </c>
      <c r="EA124" s="240" t="s">
        <v>231</v>
      </c>
      <c r="EB124" s="240" t="s">
        <v>231</v>
      </c>
      <c r="EC124" s="240" t="s">
        <v>231</v>
      </c>
      <c r="ED124" s="240" t="s">
        <v>231</v>
      </c>
      <c r="EE124" s="240" t="s">
        <v>231</v>
      </c>
      <c r="EF124" s="240" t="s">
        <v>231</v>
      </c>
      <c r="EG124" s="240" t="s">
        <v>231</v>
      </c>
      <c r="EH124" s="240" t="s">
        <v>231</v>
      </c>
      <c r="EI124" s="240" t="s">
        <v>231</v>
      </c>
      <c r="EJ124" s="240" t="s">
        <v>231</v>
      </c>
      <c r="EK124" s="240" t="s">
        <v>231</v>
      </c>
      <c r="EL124" s="240" t="s">
        <v>231</v>
      </c>
      <c r="EM124" s="240" t="s">
        <v>231</v>
      </c>
      <c r="EN124" s="240" t="s">
        <v>231</v>
      </c>
      <c r="EO124" s="240" t="s">
        <v>231</v>
      </c>
      <c r="EP124" s="240" t="s">
        <v>492</v>
      </c>
      <c r="EQ124" s="240" t="s">
        <v>492</v>
      </c>
      <c r="ER124" s="240" t="s">
        <v>492</v>
      </c>
      <c r="ES124" s="240" t="s">
        <v>492</v>
      </c>
      <c r="ET124" s="240" t="s">
        <v>231</v>
      </c>
      <c r="EU124" s="240" t="s">
        <v>231</v>
      </c>
      <c r="EV124" s="240" t="s">
        <v>231</v>
      </c>
      <c r="EW124" s="240" t="s">
        <v>231</v>
      </c>
      <c r="EX124" s="240" t="s">
        <v>231</v>
      </c>
      <c r="EY124" s="240" t="s">
        <v>231</v>
      </c>
      <c r="EZ124" s="240" t="s">
        <v>1107</v>
      </c>
      <c r="FA124" s="240" t="s">
        <v>1107</v>
      </c>
      <c r="FB124" s="240" t="s">
        <v>1107</v>
      </c>
      <c r="FC124" s="240" t="s">
        <v>1107</v>
      </c>
      <c r="FD124" s="240" t="s">
        <v>1107</v>
      </c>
      <c r="FE124" s="240" t="s">
        <v>1107</v>
      </c>
      <c r="FF124" s="240" t="s">
        <v>1107</v>
      </c>
      <c r="FG124" s="240" t="s">
        <v>1107</v>
      </c>
      <c r="FH124" s="240" t="s">
        <v>1107</v>
      </c>
      <c r="FI124" s="240" t="s">
        <v>1107</v>
      </c>
      <c r="FJ124" s="240" t="s">
        <v>1107</v>
      </c>
      <c r="FK124" s="240" t="s">
        <v>1107</v>
      </c>
      <c r="FL124" s="240" t="s">
        <v>1107</v>
      </c>
      <c r="FM124" s="240" t="s">
        <v>1107</v>
      </c>
      <c r="FN124" s="240" t="s">
        <v>1107</v>
      </c>
      <c r="FO124" s="240" t="s">
        <v>1107</v>
      </c>
      <c r="FP124" s="240" t="s">
        <v>1107</v>
      </c>
      <c r="FQ124" s="240" t="s">
        <v>1107</v>
      </c>
      <c r="FR124" s="240" t="s">
        <v>1107</v>
      </c>
      <c r="FS124" s="240" t="s">
        <v>1107</v>
      </c>
      <c r="FT124" s="240" t="s">
        <v>1107</v>
      </c>
      <c r="FU124" s="240" t="s">
        <v>1107</v>
      </c>
      <c r="FV124" s="240" t="s">
        <v>1107</v>
      </c>
      <c r="FW124" s="240" t="s">
        <v>1107</v>
      </c>
      <c r="FX124" s="240" t="s">
        <v>1107</v>
      </c>
      <c r="FY124" s="240" t="s">
        <v>1107</v>
      </c>
      <c r="FZ124" s="240" t="s">
        <v>231</v>
      </c>
      <c r="GA124" s="240" t="s">
        <v>1107</v>
      </c>
      <c r="GB124" s="240" t="s">
        <v>1107</v>
      </c>
      <c r="GC124" s="240" t="s">
        <v>231</v>
      </c>
      <c r="GD124" s="240" t="s">
        <v>1107</v>
      </c>
      <c r="GE124" s="240" t="s">
        <v>1107</v>
      </c>
      <c r="GF124" s="240" t="s">
        <v>1107</v>
      </c>
      <c r="GG124" s="240" t="s">
        <v>1107</v>
      </c>
      <c r="GH124" s="240" t="s">
        <v>1107</v>
      </c>
      <c r="GI124" s="240" t="s">
        <v>1107</v>
      </c>
      <c r="GJ124" s="240" t="s">
        <v>1107</v>
      </c>
      <c r="GK124" s="240" t="s">
        <v>1107</v>
      </c>
      <c r="GL124" s="240" t="s">
        <v>1107</v>
      </c>
      <c r="GM124" s="240" t="s">
        <v>1107</v>
      </c>
      <c r="GN124" s="240" t="s">
        <v>1107</v>
      </c>
      <c r="GO124" s="240" t="s">
        <v>1107</v>
      </c>
      <c r="GP124" s="240" t="s">
        <v>1107</v>
      </c>
      <c r="GQ124" s="240" t="s">
        <v>1107</v>
      </c>
      <c r="GR124" s="240" t="s">
        <v>1107</v>
      </c>
      <c r="GS124" s="240" t="s">
        <v>1107</v>
      </c>
      <c r="GT124" s="240" t="s">
        <v>1107</v>
      </c>
      <c r="GU124" s="240" t="s">
        <v>1107</v>
      </c>
      <c r="GV124" s="240" t="s">
        <v>1107</v>
      </c>
      <c r="GW124" s="240" t="s">
        <v>1107</v>
      </c>
      <c r="GX124" s="240" t="s">
        <v>1107</v>
      </c>
      <c r="GY124" s="240" t="s">
        <v>1107</v>
      </c>
      <c r="GZ124" s="240" t="s">
        <v>1107</v>
      </c>
      <c r="HA124" s="240" t="s">
        <v>1107</v>
      </c>
      <c r="HB124" s="240" t="s">
        <v>1107</v>
      </c>
      <c r="HC124" s="240" t="s">
        <v>1107</v>
      </c>
      <c r="HD124" s="240" t="s">
        <v>1107</v>
      </c>
      <c r="HE124" s="240" t="s">
        <v>1107</v>
      </c>
      <c r="HF124" s="240" t="s">
        <v>1107</v>
      </c>
      <c r="HG124" s="240" t="s">
        <v>1107</v>
      </c>
      <c r="HH124" s="240" t="s">
        <v>1107</v>
      </c>
      <c r="HI124" s="240" t="s">
        <v>1107</v>
      </c>
      <c r="HJ124" s="240" t="s">
        <v>1107</v>
      </c>
      <c r="HK124" s="240" t="s">
        <v>1107</v>
      </c>
      <c r="HL124" s="240" t="s">
        <v>1107</v>
      </c>
      <c r="HM124" s="240" t="s">
        <v>1107</v>
      </c>
      <c r="HN124" s="240" t="s">
        <v>1107</v>
      </c>
      <c r="HO124" s="240" t="s">
        <v>1107</v>
      </c>
      <c r="HP124" s="240" t="s">
        <v>1107</v>
      </c>
      <c r="HQ124" s="240" t="s">
        <v>1107</v>
      </c>
      <c r="HR124" s="240" t="s">
        <v>1107</v>
      </c>
      <c r="HS124" s="240" t="s">
        <v>1107</v>
      </c>
      <c r="HT124" s="240" t="s">
        <v>231</v>
      </c>
      <c r="HU124" s="240" t="s">
        <v>231</v>
      </c>
      <c r="HV124" s="240" t="s">
        <v>231</v>
      </c>
      <c r="HW124" s="240" t="s">
        <v>231</v>
      </c>
      <c r="HX124" s="240" t="s">
        <v>220</v>
      </c>
      <c r="HY124" s="240" t="s">
        <v>220</v>
      </c>
      <c r="HZ124" s="240" t="s">
        <v>219</v>
      </c>
      <c r="IA124" s="240" t="s">
        <v>490</v>
      </c>
      <c r="IB124" s="240" t="s">
        <v>492</v>
      </c>
      <c r="IC124" s="240" t="s">
        <v>492</v>
      </c>
    </row>
    <row r="125" spans="1:237" ht="15" x14ac:dyDescent="0.25">
      <c r="A125" s="243" t="str">
        <f>HYPERLINK("http://www.ofsted.gov.uk/inspection-reports/find-inspection-report/provider/ELS/131780 ","Ofsted School Webpage")</f>
        <v>Ofsted School Webpage</v>
      </c>
      <c r="B125" s="237">
        <v>131780</v>
      </c>
      <c r="C125" s="237">
        <v>8866084</v>
      </c>
      <c r="D125" s="237" t="s">
        <v>1353</v>
      </c>
      <c r="E125" s="237" t="s">
        <v>248</v>
      </c>
      <c r="F125" s="237" t="s">
        <v>581</v>
      </c>
      <c r="G125" s="237" t="s">
        <v>581</v>
      </c>
      <c r="H125" s="237" t="s">
        <v>694</v>
      </c>
      <c r="I125" s="237" t="s">
        <v>1354</v>
      </c>
      <c r="J125" s="237" t="s">
        <v>93</v>
      </c>
      <c r="K125" s="237" t="s">
        <v>93</v>
      </c>
      <c r="L125" s="237" t="s">
        <v>93</v>
      </c>
      <c r="M125" s="237" t="s">
        <v>90</v>
      </c>
      <c r="N125" s="237" t="s">
        <v>486</v>
      </c>
      <c r="O125" s="237" t="s">
        <v>487</v>
      </c>
      <c r="P125" s="237">
        <v>10091897</v>
      </c>
      <c r="Q125" s="239">
        <v>43502</v>
      </c>
      <c r="R125" s="239">
        <v>43502</v>
      </c>
      <c r="S125" s="239">
        <v>43528</v>
      </c>
      <c r="T125" s="237" t="s">
        <v>1104</v>
      </c>
      <c r="U125" s="237" t="s">
        <v>1105</v>
      </c>
      <c r="V125" s="237" t="s">
        <v>490</v>
      </c>
      <c r="W125" s="237" t="s">
        <v>486</v>
      </c>
      <c r="X125" s="237" t="s">
        <v>486</v>
      </c>
      <c r="Y125" s="237" t="s">
        <v>486</v>
      </c>
      <c r="Z125" s="237" t="s">
        <v>486</v>
      </c>
      <c r="AA125" s="237" t="s">
        <v>486</v>
      </c>
      <c r="AB125" s="237" t="s">
        <v>486</v>
      </c>
      <c r="AC125" s="237" t="s">
        <v>486</v>
      </c>
      <c r="AD125" s="237" t="s">
        <v>1106</v>
      </c>
      <c r="AE125" s="237" t="s">
        <v>231</v>
      </c>
      <c r="AF125" s="237" t="s">
        <v>231</v>
      </c>
      <c r="AG125" s="237" t="s">
        <v>231</v>
      </c>
      <c r="AH125" s="237" t="s">
        <v>231</v>
      </c>
      <c r="AI125" s="237" t="s">
        <v>231</v>
      </c>
      <c r="AJ125" s="237" t="s">
        <v>231</v>
      </c>
      <c r="AK125" s="237" t="s">
        <v>231</v>
      </c>
      <c r="AL125" s="237" t="s">
        <v>231</v>
      </c>
      <c r="AM125" s="237" t="s">
        <v>492</v>
      </c>
      <c r="AN125" s="237" t="s">
        <v>231</v>
      </c>
      <c r="AO125" s="237" t="s">
        <v>231</v>
      </c>
      <c r="AP125" s="237" t="s">
        <v>231</v>
      </c>
      <c r="AQ125" s="237" t="s">
        <v>231</v>
      </c>
      <c r="AR125" s="237" t="s">
        <v>231</v>
      </c>
      <c r="AS125" s="237" t="s">
        <v>231</v>
      </c>
      <c r="AT125" s="237" t="s">
        <v>231</v>
      </c>
      <c r="AU125" s="237" t="s">
        <v>492</v>
      </c>
      <c r="AV125" s="237" t="s">
        <v>231</v>
      </c>
      <c r="AW125" s="237" t="s">
        <v>231</v>
      </c>
      <c r="AX125" s="237" t="s">
        <v>231</v>
      </c>
      <c r="AY125" s="237" t="s">
        <v>231</v>
      </c>
      <c r="AZ125" s="237" t="s">
        <v>231</v>
      </c>
      <c r="BA125" s="237" t="s">
        <v>231</v>
      </c>
      <c r="BB125" s="237" t="s">
        <v>231</v>
      </c>
      <c r="BC125" s="237" t="s">
        <v>231</v>
      </c>
      <c r="BD125" s="237" t="s">
        <v>231</v>
      </c>
      <c r="BE125" s="237" t="s">
        <v>231</v>
      </c>
      <c r="BF125" s="237" t="s">
        <v>231</v>
      </c>
      <c r="BG125" s="237" t="s">
        <v>231</v>
      </c>
      <c r="BH125" s="237" t="s">
        <v>231</v>
      </c>
      <c r="BI125" s="237" t="s">
        <v>231</v>
      </c>
      <c r="BJ125" s="237" t="s">
        <v>231</v>
      </c>
      <c r="BK125" s="237" t="s">
        <v>231</v>
      </c>
      <c r="BL125" s="237" t="s">
        <v>231</v>
      </c>
      <c r="BM125" s="237" t="s">
        <v>231</v>
      </c>
      <c r="BN125" s="237" t="s">
        <v>231</v>
      </c>
      <c r="BO125" s="237" t="s">
        <v>231</v>
      </c>
      <c r="BP125" s="237" t="s">
        <v>231</v>
      </c>
      <c r="BQ125" s="237" t="s">
        <v>231</v>
      </c>
      <c r="BR125" s="237" t="s">
        <v>231</v>
      </c>
      <c r="BS125" s="237" t="s">
        <v>231</v>
      </c>
      <c r="BT125" s="237" t="s">
        <v>231</v>
      </c>
      <c r="BU125" s="237" t="s">
        <v>231</v>
      </c>
      <c r="BV125" s="237" t="s">
        <v>231</v>
      </c>
      <c r="BW125" s="237" t="s">
        <v>231</v>
      </c>
      <c r="BX125" s="237" t="s">
        <v>231</v>
      </c>
      <c r="BY125" s="237" t="s">
        <v>231</v>
      </c>
      <c r="BZ125" s="237" t="s">
        <v>231</v>
      </c>
      <c r="CA125" s="237" t="s">
        <v>231</v>
      </c>
      <c r="CB125" s="237" t="s">
        <v>231</v>
      </c>
      <c r="CC125" s="237" t="s">
        <v>1107</v>
      </c>
      <c r="CD125" s="237" t="s">
        <v>1107</v>
      </c>
      <c r="CE125" s="237" t="s">
        <v>1107</v>
      </c>
      <c r="CF125" s="237" t="s">
        <v>1107</v>
      </c>
      <c r="CG125" s="237" t="s">
        <v>1107</v>
      </c>
      <c r="CH125" s="237" t="s">
        <v>1107</v>
      </c>
      <c r="CI125" s="237" t="s">
        <v>1107</v>
      </c>
      <c r="CJ125" s="237" t="s">
        <v>1107</v>
      </c>
      <c r="CK125" s="237" t="s">
        <v>231</v>
      </c>
      <c r="CL125" s="237" t="s">
        <v>231</v>
      </c>
      <c r="CM125" s="237" t="s">
        <v>1107</v>
      </c>
      <c r="CN125" s="237" t="s">
        <v>231</v>
      </c>
      <c r="CO125" s="237" t="s">
        <v>1107</v>
      </c>
      <c r="CP125" s="237" t="s">
        <v>231</v>
      </c>
      <c r="CQ125" s="237" t="s">
        <v>231</v>
      </c>
      <c r="CR125" s="237" t="s">
        <v>231</v>
      </c>
      <c r="CS125" s="237" t="s">
        <v>231</v>
      </c>
      <c r="CT125" s="237" t="s">
        <v>231</v>
      </c>
      <c r="CU125" s="237" t="s">
        <v>231</v>
      </c>
      <c r="CV125" s="237" t="s">
        <v>231</v>
      </c>
      <c r="CW125" s="237" t="s">
        <v>231</v>
      </c>
      <c r="CX125" s="237" t="s">
        <v>231</v>
      </c>
      <c r="CY125" s="237" t="s">
        <v>231</v>
      </c>
      <c r="CZ125" s="237" t="s">
        <v>231</v>
      </c>
      <c r="DA125" s="237" t="s">
        <v>231</v>
      </c>
      <c r="DB125" s="237" t="s">
        <v>231</v>
      </c>
      <c r="DC125" s="237" t="s">
        <v>1107</v>
      </c>
      <c r="DD125" s="237" t="s">
        <v>231</v>
      </c>
      <c r="DE125" s="237" t="s">
        <v>231</v>
      </c>
      <c r="DF125" s="237" t="s">
        <v>231</v>
      </c>
      <c r="DG125" s="237" t="s">
        <v>231</v>
      </c>
      <c r="DH125" s="237" t="s">
        <v>231</v>
      </c>
      <c r="DI125" s="237" t="s">
        <v>231</v>
      </c>
      <c r="DJ125" s="237" t="s">
        <v>231</v>
      </c>
      <c r="DK125" s="237" t="s">
        <v>231</v>
      </c>
      <c r="DL125" s="237" t="s">
        <v>231</v>
      </c>
      <c r="DM125" s="237" t="s">
        <v>231</v>
      </c>
      <c r="DN125" s="237" t="s">
        <v>231</v>
      </c>
      <c r="DO125" s="237" t="s">
        <v>231</v>
      </c>
      <c r="DP125" s="237" t="s">
        <v>231</v>
      </c>
      <c r="DQ125" s="237" t="s">
        <v>1107</v>
      </c>
      <c r="DR125" s="237" t="s">
        <v>231</v>
      </c>
      <c r="DS125" s="237" t="s">
        <v>231</v>
      </c>
      <c r="DT125" s="237" t="s">
        <v>231</v>
      </c>
      <c r="DU125" s="237" t="s">
        <v>231</v>
      </c>
      <c r="DV125" s="237" t="s">
        <v>231</v>
      </c>
      <c r="DW125" s="237" t="s">
        <v>231</v>
      </c>
      <c r="DX125" s="237" t="s">
        <v>231</v>
      </c>
      <c r="DY125" s="237" t="s">
        <v>231</v>
      </c>
      <c r="DZ125" s="237" t="s">
        <v>231</v>
      </c>
      <c r="EA125" s="237" t="s">
        <v>231</v>
      </c>
      <c r="EB125" s="237" t="s">
        <v>231</v>
      </c>
      <c r="EC125" s="237" t="s">
        <v>231</v>
      </c>
      <c r="ED125" s="237" t="s">
        <v>231</v>
      </c>
      <c r="EE125" s="237" t="s">
        <v>231</v>
      </c>
      <c r="EF125" s="237" t="s">
        <v>231</v>
      </c>
      <c r="EG125" s="237" t="s">
        <v>231</v>
      </c>
      <c r="EH125" s="237" t="s">
        <v>231</v>
      </c>
      <c r="EI125" s="237" t="s">
        <v>231</v>
      </c>
      <c r="EJ125" s="237" t="s">
        <v>231</v>
      </c>
      <c r="EK125" s="237" t="s">
        <v>231</v>
      </c>
      <c r="EL125" s="237" t="s">
        <v>231</v>
      </c>
      <c r="EM125" s="237" t="s">
        <v>231</v>
      </c>
      <c r="EN125" s="237" t="s">
        <v>231</v>
      </c>
      <c r="EO125" s="237" t="s">
        <v>231</v>
      </c>
      <c r="EP125" s="237" t="s">
        <v>231</v>
      </c>
      <c r="EQ125" s="237" t="s">
        <v>231</v>
      </c>
      <c r="ER125" s="237" t="s">
        <v>231</v>
      </c>
      <c r="ES125" s="237" t="s">
        <v>231</v>
      </c>
      <c r="ET125" s="237" t="s">
        <v>231</v>
      </c>
      <c r="EU125" s="237" t="s">
        <v>231</v>
      </c>
      <c r="EV125" s="237" t="s">
        <v>231</v>
      </c>
      <c r="EW125" s="237" t="s">
        <v>231</v>
      </c>
      <c r="EX125" s="237" t="s">
        <v>231</v>
      </c>
      <c r="EY125" s="237" t="s">
        <v>231</v>
      </c>
      <c r="EZ125" s="237" t="s">
        <v>231</v>
      </c>
      <c r="FA125" s="237" t="s">
        <v>231</v>
      </c>
      <c r="FB125" s="237" t="s">
        <v>231</v>
      </c>
      <c r="FC125" s="237" t="s">
        <v>231</v>
      </c>
      <c r="FD125" s="237" t="s">
        <v>231</v>
      </c>
      <c r="FE125" s="237" t="s">
        <v>231</v>
      </c>
      <c r="FF125" s="237" t="s">
        <v>231</v>
      </c>
      <c r="FG125" s="237" t="s">
        <v>492</v>
      </c>
      <c r="FH125" s="237" t="s">
        <v>231</v>
      </c>
      <c r="FI125" s="237" t="s">
        <v>231</v>
      </c>
      <c r="FJ125" s="237" t="s">
        <v>231</v>
      </c>
      <c r="FK125" s="237" t="s">
        <v>231</v>
      </c>
      <c r="FL125" s="237" t="s">
        <v>231</v>
      </c>
      <c r="FM125" s="237" t="s">
        <v>231</v>
      </c>
      <c r="FN125" s="237" t="s">
        <v>231</v>
      </c>
      <c r="FO125" s="237" t="s">
        <v>231</v>
      </c>
      <c r="FP125" s="237" t="s">
        <v>231</v>
      </c>
      <c r="FQ125" s="237" t="s">
        <v>231</v>
      </c>
      <c r="FR125" s="237" t="s">
        <v>231</v>
      </c>
      <c r="FS125" s="237" t="s">
        <v>231</v>
      </c>
      <c r="FT125" s="237" t="s">
        <v>231</v>
      </c>
      <c r="FU125" s="237" t="s">
        <v>231</v>
      </c>
      <c r="FV125" s="237" t="s">
        <v>231</v>
      </c>
      <c r="FW125" s="237" t="s">
        <v>231</v>
      </c>
      <c r="FX125" s="237" t="s">
        <v>231</v>
      </c>
      <c r="FY125" s="237" t="s">
        <v>1107</v>
      </c>
      <c r="FZ125" s="237" t="s">
        <v>231</v>
      </c>
      <c r="GA125" s="237" t="s">
        <v>1107</v>
      </c>
      <c r="GB125" s="237" t="s">
        <v>1107</v>
      </c>
      <c r="GC125" s="237" t="s">
        <v>231</v>
      </c>
      <c r="GD125" s="237" t="s">
        <v>1107</v>
      </c>
      <c r="GE125" s="237" t="s">
        <v>1107</v>
      </c>
      <c r="GF125" s="237" t="s">
        <v>1107</v>
      </c>
      <c r="GG125" s="237" t="s">
        <v>1107</v>
      </c>
      <c r="GH125" s="237" t="s">
        <v>1107</v>
      </c>
      <c r="GI125" s="237" t="s">
        <v>1107</v>
      </c>
      <c r="GJ125" s="237" t="s">
        <v>1107</v>
      </c>
      <c r="GK125" s="237" t="s">
        <v>1107</v>
      </c>
      <c r="GL125" s="237" t="s">
        <v>1107</v>
      </c>
      <c r="GM125" s="237" t="s">
        <v>1107</v>
      </c>
      <c r="GN125" s="237" t="s">
        <v>1107</v>
      </c>
      <c r="GO125" s="237" t="s">
        <v>1107</v>
      </c>
      <c r="GP125" s="237" t="s">
        <v>1107</v>
      </c>
      <c r="GQ125" s="237" t="s">
        <v>1107</v>
      </c>
      <c r="GR125" s="237" t="s">
        <v>1107</v>
      </c>
      <c r="GS125" s="237" t="s">
        <v>1107</v>
      </c>
      <c r="GT125" s="237" t="s">
        <v>1107</v>
      </c>
      <c r="GU125" s="237" t="s">
        <v>1107</v>
      </c>
      <c r="GV125" s="237" t="s">
        <v>1107</v>
      </c>
      <c r="GW125" s="237" t="s">
        <v>1107</v>
      </c>
      <c r="GX125" s="237" t="s">
        <v>1107</v>
      </c>
      <c r="GY125" s="237" t="s">
        <v>1107</v>
      </c>
      <c r="GZ125" s="237" t="s">
        <v>1107</v>
      </c>
      <c r="HA125" s="237" t="s">
        <v>1107</v>
      </c>
      <c r="HB125" s="237" t="s">
        <v>1107</v>
      </c>
      <c r="HC125" s="237" t="s">
        <v>1107</v>
      </c>
      <c r="HD125" s="237" t="s">
        <v>1107</v>
      </c>
      <c r="HE125" s="237" t="s">
        <v>1107</v>
      </c>
      <c r="HF125" s="237" t="s">
        <v>1107</v>
      </c>
      <c r="HG125" s="237" t="s">
        <v>1107</v>
      </c>
      <c r="HH125" s="237" t="s">
        <v>1107</v>
      </c>
      <c r="HI125" s="237" t="s">
        <v>1107</v>
      </c>
      <c r="HJ125" s="237" t="s">
        <v>1107</v>
      </c>
      <c r="HK125" s="237" t="s">
        <v>1107</v>
      </c>
      <c r="HL125" s="237" t="s">
        <v>1107</v>
      </c>
      <c r="HM125" s="237" t="s">
        <v>1107</v>
      </c>
      <c r="HN125" s="237" t="s">
        <v>1107</v>
      </c>
      <c r="HO125" s="237" t="s">
        <v>1107</v>
      </c>
      <c r="HP125" s="237" t="s">
        <v>1107</v>
      </c>
      <c r="HQ125" s="237" t="s">
        <v>1107</v>
      </c>
      <c r="HR125" s="237" t="s">
        <v>1107</v>
      </c>
      <c r="HS125" s="237" t="s">
        <v>1107</v>
      </c>
      <c r="HT125" s="237" t="s">
        <v>231</v>
      </c>
      <c r="HU125" s="237" t="s">
        <v>231</v>
      </c>
      <c r="HV125" s="237" t="s">
        <v>231</v>
      </c>
      <c r="HW125" s="237" t="s">
        <v>231</v>
      </c>
      <c r="HX125" s="237" t="s">
        <v>220</v>
      </c>
      <c r="HY125" s="237" t="s">
        <v>493</v>
      </c>
      <c r="HZ125" s="237" t="s">
        <v>219</v>
      </c>
      <c r="IA125" s="237" t="s">
        <v>490</v>
      </c>
      <c r="IB125" s="237" t="s">
        <v>1107</v>
      </c>
      <c r="IC125" s="237" t="s">
        <v>1107</v>
      </c>
    </row>
    <row r="126" spans="1:237" ht="15" x14ac:dyDescent="0.25">
      <c r="A126" s="244" t="str">
        <f>HYPERLINK("http://www.ofsted.gov.uk/inspection-reports/find-inspection-report/provider/ELS/122136 ","Ofsted School Webpage")</f>
        <v>Ofsted School Webpage</v>
      </c>
      <c r="B126" s="240">
        <v>122136</v>
      </c>
      <c r="C126" s="240">
        <v>9286039</v>
      </c>
      <c r="D126" s="240" t="s">
        <v>1355</v>
      </c>
      <c r="E126" s="240" t="s">
        <v>248</v>
      </c>
      <c r="F126" s="240" t="s">
        <v>572</v>
      </c>
      <c r="G126" s="240" t="s">
        <v>572</v>
      </c>
      <c r="H126" s="240" t="s">
        <v>1297</v>
      </c>
      <c r="I126" s="240" t="s">
        <v>1356</v>
      </c>
      <c r="J126" s="240" t="s">
        <v>93</v>
      </c>
      <c r="K126" s="240" t="s">
        <v>93</v>
      </c>
      <c r="L126" s="240" t="s">
        <v>93</v>
      </c>
      <c r="M126" s="240" t="s">
        <v>90</v>
      </c>
      <c r="N126" s="240" t="s">
        <v>486</v>
      </c>
      <c r="O126" s="240" t="s">
        <v>487</v>
      </c>
      <c r="P126" s="240">
        <v>10089324</v>
      </c>
      <c r="Q126" s="242">
        <v>43502</v>
      </c>
      <c r="R126" s="242">
        <v>43502</v>
      </c>
      <c r="S126" s="242">
        <v>43535</v>
      </c>
      <c r="T126" s="240" t="s">
        <v>1202</v>
      </c>
      <c r="U126" s="240" t="s">
        <v>1105</v>
      </c>
      <c r="V126" s="240" t="s">
        <v>490</v>
      </c>
      <c r="W126" s="240" t="s">
        <v>486</v>
      </c>
      <c r="X126" s="240" t="s">
        <v>486</v>
      </c>
      <c r="Y126" s="240" t="s">
        <v>486</v>
      </c>
      <c r="Z126" s="240" t="s">
        <v>486</v>
      </c>
      <c r="AA126" s="240" t="s">
        <v>486</v>
      </c>
      <c r="AB126" s="240" t="s">
        <v>486</v>
      </c>
      <c r="AC126" s="240" t="s">
        <v>486</v>
      </c>
      <c r="AD126" s="240" t="s">
        <v>1136</v>
      </c>
      <c r="AE126" s="240" t="s">
        <v>231</v>
      </c>
      <c r="AF126" s="240" t="s">
        <v>1107</v>
      </c>
      <c r="AG126" s="240" t="s">
        <v>1107</v>
      </c>
      <c r="AH126" s="240" t="s">
        <v>1107</v>
      </c>
      <c r="AI126" s="240" t="s">
        <v>1107</v>
      </c>
      <c r="AJ126" s="240" t="s">
        <v>1107</v>
      </c>
      <c r="AK126" s="240" t="s">
        <v>1107</v>
      </c>
      <c r="AL126" s="240" t="s">
        <v>1107</v>
      </c>
      <c r="AM126" s="240" t="s">
        <v>1107</v>
      </c>
      <c r="AN126" s="240" t="s">
        <v>1107</v>
      </c>
      <c r="AO126" s="240" t="s">
        <v>1107</v>
      </c>
      <c r="AP126" s="240" t="s">
        <v>1107</v>
      </c>
      <c r="AQ126" s="240" t="s">
        <v>231</v>
      </c>
      <c r="AR126" s="240" t="s">
        <v>231</v>
      </c>
      <c r="AS126" s="240" t="s">
        <v>231</v>
      </c>
      <c r="AT126" s="240" t="s">
        <v>231</v>
      </c>
      <c r="AU126" s="240" t="s">
        <v>1107</v>
      </c>
      <c r="AV126" s="240" t="s">
        <v>1107</v>
      </c>
      <c r="AW126" s="240" t="s">
        <v>1107</v>
      </c>
      <c r="AX126" s="240" t="s">
        <v>1107</v>
      </c>
      <c r="AY126" s="240" t="s">
        <v>231</v>
      </c>
      <c r="AZ126" s="240" t="s">
        <v>231</v>
      </c>
      <c r="BA126" s="240" t="s">
        <v>1107</v>
      </c>
      <c r="BB126" s="240" t="s">
        <v>1107</v>
      </c>
      <c r="BC126" s="240" t="s">
        <v>1107</v>
      </c>
      <c r="BD126" s="240" t="s">
        <v>1107</v>
      </c>
      <c r="BE126" s="240" t="s">
        <v>1107</v>
      </c>
      <c r="BF126" s="240" t="s">
        <v>231</v>
      </c>
      <c r="BG126" s="240" t="s">
        <v>232</v>
      </c>
      <c r="BH126" s="240" t="s">
        <v>1107</v>
      </c>
      <c r="BI126" s="240" t="s">
        <v>1107</v>
      </c>
      <c r="BJ126" s="240" t="s">
        <v>1107</v>
      </c>
      <c r="BK126" s="240" t="s">
        <v>231</v>
      </c>
      <c r="BL126" s="240" t="s">
        <v>1107</v>
      </c>
      <c r="BM126" s="240" t="s">
        <v>1107</v>
      </c>
      <c r="BN126" s="240" t="s">
        <v>1107</v>
      </c>
      <c r="BO126" s="240" t="s">
        <v>1107</v>
      </c>
      <c r="BP126" s="240" t="s">
        <v>231</v>
      </c>
      <c r="BQ126" s="240" t="s">
        <v>1107</v>
      </c>
      <c r="BR126" s="240" t="s">
        <v>1107</v>
      </c>
      <c r="BS126" s="240" t="s">
        <v>1107</v>
      </c>
      <c r="BT126" s="240" t="s">
        <v>1107</v>
      </c>
      <c r="BU126" s="240" t="s">
        <v>1107</v>
      </c>
      <c r="BV126" s="240" t="s">
        <v>1107</v>
      </c>
      <c r="BW126" s="240" t="s">
        <v>1107</v>
      </c>
      <c r="BX126" s="240" t="s">
        <v>1107</v>
      </c>
      <c r="BY126" s="240" t="s">
        <v>1107</v>
      </c>
      <c r="BZ126" s="240" t="s">
        <v>231</v>
      </c>
      <c r="CA126" s="240" t="s">
        <v>231</v>
      </c>
      <c r="CB126" s="240" t="s">
        <v>231</v>
      </c>
      <c r="CC126" s="240" t="s">
        <v>232</v>
      </c>
      <c r="CD126" s="240" t="s">
        <v>232</v>
      </c>
      <c r="CE126" s="240" t="s">
        <v>232</v>
      </c>
      <c r="CF126" s="240" t="s">
        <v>232</v>
      </c>
      <c r="CG126" s="240" t="s">
        <v>231</v>
      </c>
      <c r="CH126" s="240" t="s">
        <v>232</v>
      </c>
      <c r="CI126" s="240" t="s">
        <v>1107</v>
      </c>
      <c r="CJ126" s="240" t="s">
        <v>1107</v>
      </c>
      <c r="CK126" s="240" t="s">
        <v>231</v>
      </c>
      <c r="CL126" s="240" t="s">
        <v>231</v>
      </c>
      <c r="CM126" s="240" t="s">
        <v>231</v>
      </c>
      <c r="CN126" s="240" t="s">
        <v>1107</v>
      </c>
      <c r="CO126" s="240" t="s">
        <v>1107</v>
      </c>
      <c r="CP126" s="240" t="s">
        <v>231</v>
      </c>
      <c r="CQ126" s="240" t="s">
        <v>231</v>
      </c>
      <c r="CR126" s="240" t="s">
        <v>231</v>
      </c>
      <c r="CS126" s="240" t="s">
        <v>1107</v>
      </c>
      <c r="CT126" s="240" t="s">
        <v>1107</v>
      </c>
      <c r="CU126" s="240" t="s">
        <v>1107</v>
      </c>
      <c r="CV126" s="240" t="s">
        <v>1107</v>
      </c>
      <c r="CW126" s="240" t="s">
        <v>1107</v>
      </c>
      <c r="CX126" s="240" t="s">
        <v>1107</v>
      </c>
      <c r="CY126" s="240" t="s">
        <v>1107</v>
      </c>
      <c r="CZ126" s="240" t="s">
        <v>1107</v>
      </c>
      <c r="DA126" s="240" t="s">
        <v>1107</v>
      </c>
      <c r="DB126" s="240" t="s">
        <v>1107</v>
      </c>
      <c r="DC126" s="240" t="s">
        <v>1107</v>
      </c>
      <c r="DD126" s="240" t="s">
        <v>1107</v>
      </c>
      <c r="DE126" s="240" t="s">
        <v>1107</v>
      </c>
      <c r="DF126" s="240" t="s">
        <v>1107</v>
      </c>
      <c r="DG126" s="240" t="s">
        <v>1107</v>
      </c>
      <c r="DH126" s="240" t="s">
        <v>1107</v>
      </c>
      <c r="DI126" s="240" t="s">
        <v>1107</v>
      </c>
      <c r="DJ126" s="240" t="s">
        <v>1107</v>
      </c>
      <c r="DK126" s="240" t="s">
        <v>1107</v>
      </c>
      <c r="DL126" s="240" t="s">
        <v>1107</v>
      </c>
      <c r="DM126" s="240" t="s">
        <v>1107</v>
      </c>
      <c r="DN126" s="240" t="s">
        <v>1107</v>
      </c>
      <c r="DO126" s="240" t="s">
        <v>1107</v>
      </c>
      <c r="DP126" s="240" t="s">
        <v>1107</v>
      </c>
      <c r="DQ126" s="240" t="s">
        <v>1107</v>
      </c>
      <c r="DR126" s="240" t="s">
        <v>1107</v>
      </c>
      <c r="DS126" s="240" t="s">
        <v>1107</v>
      </c>
      <c r="DT126" s="240" t="s">
        <v>1107</v>
      </c>
      <c r="DU126" s="240" t="s">
        <v>1107</v>
      </c>
      <c r="DV126" s="240" t="s">
        <v>1107</v>
      </c>
      <c r="DW126" s="240" t="s">
        <v>1107</v>
      </c>
      <c r="DX126" s="240" t="s">
        <v>1107</v>
      </c>
      <c r="DY126" s="240" t="s">
        <v>1107</v>
      </c>
      <c r="DZ126" s="240" t="s">
        <v>1107</v>
      </c>
      <c r="EA126" s="240" t="s">
        <v>1107</v>
      </c>
      <c r="EB126" s="240" t="s">
        <v>1107</v>
      </c>
      <c r="EC126" s="240" t="s">
        <v>1107</v>
      </c>
      <c r="ED126" s="240" t="s">
        <v>1107</v>
      </c>
      <c r="EE126" s="240" t="s">
        <v>1107</v>
      </c>
      <c r="EF126" s="240" t="s">
        <v>1107</v>
      </c>
      <c r="EG126" s="240" t="s">
        <v>1107</v>
      </c>
      <c r="EH126" s="240" t="s">
        <v>1107</v>
      </c>
      <c r="EI126" s="240" t="s">
        <v>1107</v>
      </c>
      <c r="EJ126" s="240" t="s">
        <v>1107</v>
      </c>
      <c r="EK126" s="240" t="s">
        <v>1107</v>
      </c>
      <c r="EL126" s="240" t="s">
        <v>1107</v>
      </c>
      <c r="EM126" s="240" t="s">
        <v>1107</v>
      </c>
      <c r="EN126" s="240" t="s">
        <v>1107</v>
      </c>
      <c r="EO126" s="240" t="s">
        <v>1107</v>
      </c>
      <c r="EP126" s="240" t="s">
        <v>1107</v>
      </c>
      <c r="EQ126" s="240" t="s">
        <v>1107</v>
      </c>
      <c r="ER126" s="240" t="s">
        <v>1107</v>
      </c>
      <c r="ES126" s="240" t="s">
        <v>1107</v>
      </c>
      <c r="ET126" s="240" t="s">
        <v>1107</v>
      </c>
      <c r="EU126" s="240" t="s">
        <v>1107</v>
      </c>
      <c r="EV126" s="240" t="s">
        <v>1107</v>
      </c>
      <c r="EW126" s="240" t="s">
        <v>1107</v>
      </c>
      <c r="EX126" s="240" t="s">
        <v>1107</v>
      </c>
      <c r="EY126" s="240" t="s">
        <v>1107</v>
      </c>
      <c r="EZ126" s="240" t="s">
        <v>1107</v>
      </c>
      <c r="FA126" s="240" t="s">
        <v>1107</v>
      </c>
      <c r="FB126" s="240" t="s">
        <v>1107</v>
      </c>
      <c r="FC126" s="240" t="s">
        <v>1107</v>
      </c>
      <c r="FD126" s="240" t="s">
        <v>1107</v>
      </c>
      <c r="FE126" s="240" t="s">
        <v>1107</v>
      </c>
      <c r="FF126" s="240" t="s">
        <v>1107</v>
      </c>
      <c r="FG126" s="240" t="s">
        <v>1107</v>
      </c>
      <c r="FH126" s="240" t="s">
        <v>1107</v>
      </c>
      <c r="FI126" s="240" t="s">
        <v>231</v>
      </c>
      <c r="FJ126" s="240" t="s">
        <v>1107</v>
      </c>
      <c r="FK126" s="240" t="s">
        <v>1107</v>
      </c>
      <c r="FL126" s="240" t="s">
        <v>1107</v>
      </c>
      <c r="FM126" s="240" t="s">
        <v>1107</v>
      </c>
      <c r="FN126" s="240" t="s">
        <v>1107</v>
      </c>
      <c r="FO126" s="240" t="s">
        <v>1107</v>
      </c>
      <c r="FP126" s="240" t="s">
        <v>1107</v>
      </c>
      <c r="FQ126" s="240" t="s">
        <v>1107</v>
      </c>
      <c r="FR126" s="240" t="s">
        <v>1107</v>
      </c>
      <c r="FS126" s="240" t="s">
        <v>1107</v>
      </c>
      <c r="FT126" s="240" t="s">
        <v>1107</v>
      </c>
      <c r="FU126" s="240" t="s">
        <v>1107</v>
      </c>
      <c r="FV126" s="240" t="s">
        <v>1107</v>
      </c>
      <c r="FW126" s="240" t="s">
        <v>1107</v>
      </c>
      <c r="FX126" s="240" t="s">
        <v>1107</v>
      </c>
      <c r="FY126" s="240" t="s">
        <v>1107</v>
      </c>
      <c r="FZ126" s="240" t="s">
        <v>1107</v>
      </c>
      <c r="GA126" s="240" t="s">
        <v>1107</v>
      </c>
      <c r="GB126" s="240" t="s">
        <v>1107</v>
      </c>
      <c r="GC126" s="240" t="s">
        <v>1107</v>
      </c>
      <c r="GD126" s="240" t="s">
        <v>1107</v>
      </c>
      <c r="GE126" s="240" t="s">
        <v>1107</v>
      </c>
      <c r="GF126" s="240" t="s">
        <v>1107</v>
      </c>
      <c r="GG126" s="240" t="s">
        <v>1107</v>
      </c>
      <c r="GH126" s="240" t="s">
        <v>1107</v>
      </c>
      <c r="GI126" s="240" t="s">
        <v>1107</v>
      </c>
      <c r="GJ126" s="240" t="s">
        <v>1107</v>
      </c>
      <c r="GK126" s="240" t="s">
        <v>1107</v>
      </c>
      <c r="GL126" s="240" t="s">
        <v>1107</v>
      </c>
      <c r="GM126" s="240" t="s">
        <v>1107</v>
      </c>
      <c r="GN126" s="240" t="s">
        <v>1107</v>
      </c>
      <c r="GO126" s="240" t="s">
        <v>1107</v>
      </c>
      <c r="GP126" s="240" t="s">
        <v>1107</v>
      </c>
      <c r="GQ126" s="240" t="s">
        <v>1107</v>
      </c>
      <c r="GR126" s="240" t="s">
        <v>1107</v>
      </c>
      <c r="GS126" s="240" t="s">
        <v>1107</v>
      </c>
      <c r="GT126" s="240" t="s">
        <v>1107</v>
      </c>
      <c r="GU126" s="240" t="s">
        <v>1107</v>
      </c>
      <c r="GV126" s="240" t="s">
        <v>1107</v>
      </c>
      <c r="GW126" s="240" t="s">
        <v>1107</v>
      </c>
      <c r="GX126" s="240" t="s">
        <v>1107</v>
      </c>
      <c r="GY126" s="240" t="s">
        <v>1107</v>
      </c>
      <c r="GZ126" s="240" t="s">
        <v>1107</v>
      </c>
      <c r="HA126" s="240" t="s">
        <v>1107</v>
      </c>
      <c r="HB126" s="240" t="s">
        <v>1107</v>
      </c>
      <c r="HC126" s="240" t="s">
        <v>1107</v>
      </c>
      <c r="HD126" s="240" t="s">
        <v>1107</v>
      </c>
      <c r="HE126" s="240" t="s">
        <v>1107</v>
      </c>
      <c r="HF126" s="240" t="s">
        <v>1107</v>
      </c>
      <c r="HG126" s="240" t="s">
        <v>1107</v>
      </c>
      <c r="HH126" s="240" t="s">
        <v>1107</v>
      </c>
      <c r="HI126" s="240" t="s">
        <v>1107</v>
      </c>
      <c r="HJ126" s="240" t="s">
        <v>1107</v>
      </c>
      <c r="HK126" s="240" t="s">
        <v>1107</v>
      </c>
      <c r="HL126" s="240" t="s">
        <v>1107</v>
      </c>
      <c r="HM126" s="240" t="s">
        <v>1107</v>
      </c>
      <c r="HN126" s="240" t="s">
        <v>1107</v>
      </c>
      <c r="HO126" s="240" t="s">
        <v>1107</v>
      </c>
      <c r="HP126" s="240" t="s">
        <v>1107</v>
      </c>
      <c r="HQ126" s="240" t="s">
        <v>1107</v>
      </c>
      <c r="HR126" s="240" t="s">
        <v>1107</v>
      </c>
      <c r="HS126" s="240" t="s">
        <v>1107</v>
      </c>
      <c r="HT126" s="240" t="s">
        <v>232</v>
      </c>
      <c r="HU126" s="240" t="s">
        <v>232</v>
      </c>
      <c r="HV126" s="240" t="s">
        <v>232</v>
      </c>
      <c r="HW126" s="240" t="s">
        <v>232</v>
      </c>
      <c r="HX126" s="240" t="s">
        <v>220</v>
      </c>
      <c r="HY126" s="240" t="s">
        <v>493</v>
      </c>
      <c r="HZ126" s="240" t="s">
        <v>219</v>
      </c>
      <c r="IA126" s="240" t="s">
        <v>490</v>
      </c>
      <c r="IB126" s="240" t="s">
        <v>492</v>
      </c>
      <c r="IC126" s="240" t="s">
        <v>492</v>
      </c>
    </row>
    <row r="127" spans="1:237" ht="15" x14ac:dyDescent="0.25">
      <c r="A127" s="243" t="str">
        <f>HYPERLINK("http://www.ofsted.gov.uk/inspection-reports/find-inspection-report/provider/ELS/134289 ","Ofsted School Webpage")</f>
        <v>Ofsted School Webpage</v>
      </c>
      <c r="B127" s="237">
        <v>134289</v>
      </c>
      <c r="C127" s="237">
        <v>8216010</v>
      </c>
      <c r="D127" s="237" t="s">
        <v>1357</v>
      </c>
      <c r="E127" s="237" t="s">
        <v>247</v>
      </c>
      <c r="F127" s="237" t="s">
        <v>516</v>
      </c>
      <c r="G127" s="237" t="s">
        <v>516</v>
      </c>
      <c r="H127" s="237" t="s">
        <v>517</v>
      </c>
      <c r="I127" s="237" t="s">
        <v>1358</v>
      </c>
      <c r="J127" s="237" t="s">
        <v>93</v>
      </c>
      <c r="K127" s="237" t="s">
        <v>84</v>
      </c>
      <c r="L127" s="237" t="s">
        <v>84</v>
      </c>
      <c r="M127" s="237" t="s">
        <v>84</v>
      </c>
      <c r="N127" s="237" t="s">
        <v>486</v>
      </c>
      <c r="O127" s="237" t="s">
        <v>487</v>
      </c>
      <c r="P127" s="237">
        <v>10078214</v>
      </c>
      <c r="Q127" s="239">
        <v>43503</v>
      </c>
      <c r="R127" s="239">
        <v>43503</v>
      </c>
      <c r="S127" s="239">
        <v>43535</v>
      </c>
      <c r="T127" s="237" t="s">
        <v>1109</v>
      </c>
      <c r="U127" s="237" t="s">
        <v>1105</v>
      </c>
      <c r="V127" s="237" t="s">
        <v>490</v>
      </c>
      <c r="W127" s="237" t="s">
        <v>486</v>
      </c>
      <c r="X127" s="237" t="s">
        <v>486</v>
      </c>
      <c r="Y127" s="237" t="s">
        <v>486</v>
      </c>
      <c r="Z127" s="237" t="s">
        <v>486</v>
      </c>
      <c r="AA127" s="237" t="s">
        <v>486</v>
      </c>
      <c r="AB127" s="237" t="s">
        <v>486</v>
      </c>
      <c r="AC127" s="237" t="s">
        <v>486</v>
      </c>
      <c r="AD127" s="237" t="s">
        <v>1136</v>
      </c>
      <c r="AE127" s="237" t="s">
        <v>231</v>
      </c>
      <c r="AF127" s="237" t="s">
        <v>1107</v>
      </c>
      <c r="AG127" s="237" t="s">
        <v>231</v>
      </c>
      <c r="AH127" s="237" t="s">
        <v>231</v>
      </c>
      <c r="AI127" s="237" t="s">
        <v>1107</v>
      </c>
      <c r="AJ127" s="237" t="s">
        <v>1107</v>
      </c>
      <c r="AK127" s="237" t="s">
        <v>1107</v>
      </c>
      <c r="AL127" s="237" t="s">
        <v>1107</v>
      </c>
      <c r="AM127" s="237" t="s">
        <v>1107</v>
      </c>
      <c r="AN127" s="237" t="s">
        <v>1107</v>
      </c>
      <c r="AO127" s="237" t="s">
        <v>1107</v>
      </c>
      <c r="AP127" s="237" t="s">
        <v>1107</v>
      </c>
      <c r="AQ127" s="237" t="s">
        <v>1107</v>
      </c>
      <c r="AR127" s="237" t="s">
        <v>1107</v>
      </c>
      <c r="AS127" s="237" t="s">
        <v>1107</v>
      </c>
      <c r="AT127" s="237" t="s">
        <v>1107</v>
      </c>
      <c r="AU127" s="237" t="s">
        <v>492</v>
      </c>
      <c r="AV127" s="237" t="s">
        <v>1107</v>
      </c>
      <c r="AW127" s="237" t="s">
        <v>1107</v>
      </c>
      <c r="AX127" s="237" t="s">
        <v>1107</v>
      </c>
      <c r="AY127" s="237" t="s">
        <v>232</v>
      </c>
      <c r="AZ127" s="237" t="s">
        <v>232</v>
      </c>
      <c r="BA127" s="237" t="s">
        <v>1107</v>
      </c>
      <c r="BB127" s="237" t="s">
        <v>232</v>
      </c>
      <c r="BC127" s="237" t="s">
        <v>232</v>
      </c>
      <c r="BD127" s="237" t="s">
        <v>1107</v>
      </c>
      <c r="BE127" s="237" t="s">
        <v>1107</v>
      </c>
      <c r="BF127" s="237" t="s">
        <v>231</v>
      </c>
      <c r="BG127" s="237" t="s">
        <v>1107</v>
      </c>
      <c r="BH127" s="237" t="s">
        <v>1107</v>
      </c>
      <c r="BI127" s="237" t="s">
        <v>1107</v>
      </c>
      <c r="BJ127" s="237" t="s">
        <v>1107</v>
      </c>
      <c r="BK127" s="237" t="s">
        <v>1107</v>
      </c>
      <c r="BL127" s="237" t="s">
        <v>1107</v>
      </c>
      <c r="BM127" s="237" t="s">
        <v>1107</v>
      </c>
      <c r="BN127" s="237" t="s">
        <v>1107</v>
      </c>
      <c r="BO127" s="237" t="s">
        <v>1107</v>
      </c>
      <c r="BP127" s="237" t="s">
        <v>1107</v>
      </c>
      <c r="BQ127" s="237" t="s">
        <v>1107</v>
      </c>
      <c r="BR127" s="237" t="s">
        <v>1107</v>
      </c>
      <c r="BS127" s="237" t="s">
        <v>1107</v>
      </c>
      <c r="BT127" s="237" t="s">
        <v>1107</v>
      </c>
      <c r="BU127" s="237" t="s">
        <v>1107</v>
      </c>
      <c r="BV127" s="237" t="s">
        <v>1107</v>
      </c>
      <c r="BW127" s="237" t="s">
        <v>1107</v>
      </c>
      <c r="BX127" s="237" t="s">
        <v>1107</v>
      </c>
      <c r="BY127" s="237" t="s">
        <v>1107</v>
      </c>
      <c r="BZ127" s="237" t="s">
        <v>232</v>
      </c>
      <c r="CA127" s="237" t="s">
        <v>232</v>
      </c>
      <c r="CB127" s="237" t="s">
        <v>232</v>
      </c>
      <c r="CC127" s="237" t="s">
        <v>492</v>
      </c>
      <c r="CD127" s="237" t="s">
        <v>492</v>
      </c>
      <c r="CE127" s="237" t="s">
        <v>492</v>
      </c>
      <c r="CF127" s="237" t="s">
        <v>1107</v>
      </c>
      <c r="CG127" s="237" t="s">
        <v>1107</v>
      </c>
      <c r="CH127" s="237" t="s">
        <v>1107</v>
      </c>
      <c r="CI127" s="237" t="s">
        <v>1107</v>
      </c>
      <c r="CJ127" s="237" t="s">
        <v>1107</v>
      </c>
      <c r="CK127" s="237" t="s">
        <v>1107</v>
      </c>
      <c r="CL127" s="237" t="s">
        <v>1107</v>
      </c>
      <c r="CM127" s="237" t="s">
        <v>1107</v>
      </c>
      <c r="CN127" s="237" t="s">
        <v>1107</v>
      </c>
      <c r="CO127" s="237" t="s">
        <v>1107</v>
      </c>
      <c r="CP127" s="237" t="s">
        <v>232</v>
      </c>
      <c r="CQ127" s="237" t="s">
        <v>232</v>
      </c>
      <c r="CR127" s="237" t="s">
        <v>232</v>
      </c>
      <c r="CS127" s="237" t="s">
        <v>232</v>
      </c>
      <c r="CT127" s="237" t="s">
        <v>231</v>
      </c>
      <c r="CU127" s="237" t="s">
        <v>231</v>
      </c>
      <c r="CV127" s="237" t="s">
        <v>231</v>
      </c>
      <c r="CW127" s="237" t="s">
        <v>231</v>
      </c>
      <c r="CX127" s="237" t="s">
        <v>231</v>
      </c>
      <c r="CY127" s="237" t="s">
        <v>231</v>
      </c>
      <c r="CZ127" s="237" t="s">
        <v>231</v>
      </c>
      <c r="DA127" s="237" t="s">
        <v>232</v>
      </c>
      <c r="DB127" s="237" t="s">
        <v>231</v>
      </c>
      <c r="DC127" s="237" t="s">
        <v>492</v>
      </c>
      <c r="DD127" s="237" t="s">
        <v>231</v>
      </c>
      <c r="DE127" s="237" t="s">
        <v>492</v>
      </c>
      <c r="DF127" s="237" t="s">
        <v>492</v>
      </c>
      <c r="DG127" s="237" t="s">
        <v>492</v>
      </c>
      <c r="DH127" s="237" t="s">
        <v>492</v>
      </c>
      <c r="DI127" s="237" t="s">
        <v>492</v>
      </c>
      <c r="DJ127" s="237" t="s">
        <v>492</v>
      </c>
      <c r="DK127" s="237" t="s">
        <v>492</v>
      </c>
      <c r="DL127" s="237" t="s">
        <v>492</v>
      </c>
      <c r="DM127" s="237" t="s">
        <v>492</v>
      </c>
      <c r="DN127" s="237" t="s">
        <v>492</v>
      </c>
      <c r="DO127" s="237" t="s">
        <v>492</v>
      </c>
      <c r="DP127" s="237" t="s">
        <v>492</v>
      </c>
      <c r="DQ127" s="237" t="s">
        <v>492</v>
      </c>
      <c r="DR127" s="237" t="s">
        <v>492</v>
      </c>
      <c r="DS127" s="237" t="s">
        <v>231</v>
      </c>
      <c r="DT127" s="237" t="s">
        <v>231</v>
      </c>
      <c r="DU127" s="237" t="s">
        <v>231</v>
      </c>
      <c r="DV127" s="237" t="s">
        <v>231</v>
      </c>
      <c r="DW127" s="237" t="s">
        <v>231</v>
      </c>
      <c r="DX127" s="237" t="s">
        <v>231</v>
      </c>
      <c r="DY127" s="237" t="s">
        <v>231</v>
      </c>
      <c r="DZ127" s="237" t="s">
        <v>231</v>
      </c>
      <c r="EA127" s="237" t="s">
        <v>231</v>
      </c>
      <c r="EB127" s="237" t="s">
        <v>231</v>
      </c>
      <c r="EC127" s="237" t="s">
        <v>231</v>
      </c>
      <c r="ED127" s="237" t="s">
        <v>232</v>
      </c>
      <c r="EE127" s="237" t="s">
        <v>231</v>
      </c>
      <c r="EF127" s="237" t="s">
        <v>231</v>
      </c>
      <c r="EG127" s="237" t="s">
        <v>232</v>
      </c>
      <c r="EH127" s="237" t="s">
        <v>231</v>
      </c>
      <c r="EI127" s="237" t="s">
        <v>231</v>
      </c>
      <c r="EJ127" s="237" t="s">
        <v>231</v>
      </c>
      <c r="EK127" s="237" t="s">
        <v>232</v>
      </c>
      <c r="EL127" s="237" t="s">
        <v>231</v>
      </c>
      <c r="EM127" s="237" t="s">
        <v>231</v>
      </c>
      <c r="EN127" s="237" t="s">
        <v>231</v>
      </c>
      <c r="EO127" s="237" t="s">
        <v>231</v>
      </c>
      <c r="EP127" s="237" t="s">
        <v>492</v>
      </c>
      <c r="EQ127" s="237" t="s">
        <v>492</v>
      </c>
      <c r="ER127" s="237" t="s">
        <v>492</v>
      </c>
      <c r="ES127" s="237" t="s">
        <v>492</v>
      </c>
      <c r="ET127" s="237" t="s">
        <v>492</v>
      </c>
      <c r="EU127" s="237" t="s">
        <v>492</v>
      </c>
      <c r="EV127" s="237" t="s">
        <v>231</v>
      </c>
      <c r="EW127" s="237" t="s">
        <v>231</v>
      </c>
      <c r="EX127" s="237" t="s">
        <v>231</v>
      </c>
      <c r="EY127" s="237" t="s">
        <v>231</v>
      </c>
      <c r="EZ127" s="237" t="s">
        <v>1107</v>
      </c>
      <c r="FA127" s="237" t="s">
        <v>1107</v>
      </c>
      <c r="FB127" s="237" t="s">
        <v>1107</v>
      </c>
      <c r="FC127" s="237" t="s">
        <v>1107</v>
      </c>
      <c r="FD127" s="237" t="s">
        <v>1107</v>
      </c>
      <c r="FE127" s="237" t="s">
        <v>1107</v>
      </c>
      <c r="FF127" s="237" t="s">
        <v>1107</v>
      </c>
      <c r="FG127" s="237" t="s">
        <v>1107</v>
      </c>
      <c r="FH127" s="237" t="s">
        <v>1107</v>
      </c>
      <c r="FI127" s="237" t="s">
        <v>1107</v>
      </c>
      <c r="FJ127" s="237" t="s">
        <v>1107</v>
      </c>
      <c r="FK127" s="237" t="s">
        <v>1107</v>
      </c>
      <c r="FL127" s="237" t="s">
        <v>1107</v>
      </c>
      <c r="FM127" s="237" t="s">
        <v>1107</v>
      </c>
      <c r="FN127" s="237" t="s">
        <v>1107</v>
      </c>
      <c r="FO127" s="237" t="s">
        <v>1107</v>
      </c>
      <c r="FP127" s="237" t="s">
        <v>1107</v>
      </c>
      <c r="FQ127" s="237" t="s">
        <v>1107</v>
      </c>
      <c r="FR127" s="237" t="s">
        <v>1107</v>
      </c>
      <c r="FS127" s="237" t="s">
        <v>1107</v>
      </c>
      <c r="FT127" s="237" t="s">
        <v>1107</v>
      </c>
      <c r="FU127" s="237" t="s">
        <v>1107</v>
      </c>
      <c r="FV127" s="237" t="s">
        <v>1107</v>
      </c>
      <c r="FW127" s="237" t="s">
        <v>1107</v>
      </c>
      <c r="FX127" s="237" t="s">
        <v>1107</v>
      </c>
      <c r="FY127" s="237" t="s">
        <v>492</v>
      </c>
      <c r="FZ127" s="237" t="s">
        <v>1107</v>
      </c>
      <c r="GA127" s="237" t="s">
        <v>1107</v>
      </c>
      <c r="GB127" s="237" t="s">
        <v>1107</v>
      </c>
      <c r="GC127" s="237" t="s">
        <v>1107</v>
      </c>
      <c r="GD127" s="237" t="s">
        <v>1107</v>
      </c>
      <c r="GE127" s="237" t="s">
        <v>1107</v>
      </c>
      <c r="GF127" s="237" t="s">
        <v>1107</v>
      </c>
      <c r="GG127" s="237" t="s">
        <v>1107</v>
      </c>
      <c r="GH127" s="237" t="s">
        <v>1107</v>
      </c>
      <c r="GI127" s="237" t="s">
        <v>1107</v>
      </c>
      <c r="GJ127" s="237" t="s">
        <v>1107</v>
      </c>
      <c r="GK127" s="237" t="s">
        <v>1107</v>
      </c>
      <c r="GL127" s="237" t="s">
        <v>1107</v>
      </c>
      <c r="GM127" s="237" t="s">
        <v>1107</v>
      </c>
      <c r="GN127" s="237" t="s">
        <v>1107</v>
      </c>
      <c r="GO127" s="237" t="s">
        <v>1107</v>
      </c>
      <c r="GP127" s="237" t="s">
        <v>1107</v>
      </c>
      <c r="GQ127" s="237" t="s">
        <v>1107</v>
      </c>
      <c r="GR127" s="237" t="s">
        <v>1107</v>
      </c>
      <c r="GS127" s="237" t="s">
        <v>1107</v>
      </c>
      <c r="GT127" s="237" t="s">
        <v>1107</v>
      </c>
      <c r="GU127" s="237" t="s">
        <v>1107</v>
      </c>
      <c r="GV127" s="237" t="s">
        <v>1107</v>
      </c>
      <c r="GW127" s="237" t="s">
        <v>1107</v>
      </c>
      <c r="GX127" s="237" t="s">
        <v>1107</v>
      </c>
      <c r="GY127" s="237" t="s">
        <v>1107</v>
      </c>
      <c r="GZ127" s="237" t="s">
        <v>1107</v>
      </c>
      <c r="HA127" s="237" t="s">
        <v>1107</v>
      </c>
      <c r="HB127" s="237" t="s">
        <v>1107</v>
      </c>
      <c r="HC127" s="237" t="s">
        <v>1107</v>
      </c>
      <c r="HD127" s="237" t="s">
        <v>1107</v>
      </c>
      <c r="HE127" s="237" t="s">
        <v>1107</v>
      </c>
      <c r="HF127" s="237" t="s">
        <v>1107</v>
      </c>
      <c r="HG127" s="237" t="s">
        <v>1107</v>
      </c>
      <c r="HH127" s="237" t="s">
        <v>1107</v>
      </c>
      <c r="HI127" s="237" t="s">
        <v>1107</v>
      </c>
      <c r="HJ127" s="237" t="s">
        <v>1107</v>
      </c>
      <c r="HK127" s="237" t="s">
        <v>1107</v>
      </c>
      <c r="HL127" s="237" t="s">
        <v>1107</v>
      </c>
      <c r="HM127" s="237" t="s">
        <v>1107</v>
      </c>
      <c r="HN127" s="237" t="s">
        <v>1107</v>
      </c>
      <c r="HO127" s="237" t="s">
        <v>1107</v>
      </c>
      <c r="HP127" s="237" t="s">
        <v>1107</v>
      </c>
      <c r="HQ127" s="237" t="s">
        <v>1107</v>
      </c>
      <c r="HR127" s="237" t="s">
        <v>1107</v>
      </c>
      <c r="HS127" s="237" t="s">
        <v>1107</v>
      </c>
      <c r="HT127" s="237" t="s">
        <v>232</v>
      </c>
      <c r="HU127" s="237" t="s">
        <v>232</v>
      </c>
      <c r="HV127" s="237" t="s">
        <v>232</v>
      </c>
      <c r="HW127" s="237" t="s">
        <v>231</v>
      </c>
      <c r="HX127" s="237" t="s">
        <v>220</v>
      </c>
      <c r="HY127" s="237" t="s">
        <v>493</v>
      </c>
      <c r="HZ127" s="237" t="s">
        <v>219</v>
      </c>
      <c r="IA127" s="237" t="s">
        <v>512</v>
      </c>
      <c r="IB127" s="237" t="s">
        <v>492</v>
      </c>
      <c r="IC127" s="237" t="s">
        <v>492</v>
      </c>
    </row>
    <row r="128" spans="1:237" ht="15" x14ac:dyDescent="0.25">
      <c r="A128" s="244" t="str">
        <f>HYPERLINK("http://www.ofsted.gov.uk/inspection-reports/find-inspection-report/provider/ELS/108877 ","Ofsted School Webpage")</f>
        <v>Ofsted School Webpage</v>
      </c>
      <c r="B128" s="240">
        <v>108877</v>
      </c>
      <c r="C128" s="240">
        <v>3946015</v>
      </c>
      <c r="D128" s="240" t="s">
        <v>749</v>
      </c>
      <c r="E128" s="240" t="s">
        <v>248</v>
      </c>
      <c r="F128" s="240" t="s">
        <v>523</v>
      </c>
      <c r="G128" s="240" t="s">
        <v>539</v>
      </c>
      <c r="H128" s="240" t="s">
        <v>750</v>
      </c>
      <c r="I128" s="240" t="s">
        <v>751</v>
      </c>
      <c r="J128" s="240" t="s">
        <v>93</v>
      </c>
      <c r="K128" s="240" t="s">
        <v>93</v>
      </c>
      <c r="L128" s="240" t="s">
        <v>93</v>
      </c>
      <c r="M128" s="240" t="s">
        <v>90</v>
      </c>
      <c r="N128" s="240" t="s">
        <v>486</v>
      </c>
      <c r="O128" s="240" t="s">
        <v>487</v>
      </c>
      <c r="P128" s="240">
        <v>10093023</v>
      </c>
      <c r="Q128" s="242">
        <v>43503</v>
      </c>
      <c r="R128" s="242">
        <v>43503</v>
      </c>
      <c r="S128" s="242">
        <v>43538</v>
      </c>
      <c r="T128" s="240" t="s">
        <v>1104</v>
      </c>
      <c r="U128" s="240" t="s">
        <v>1105</v>
      </c>
      <c r="V128" s="240" t="s">
        <v>490</v>
      </c>
      <c r="W128" s="240" t="s">
        <v>486</v>
      </c>
      <c r="X128" s="240" t="s">
        <v>486</v>
      </c>
      <c r="Y128" s="240" t="s">
        <v>486</v>
      </c>
      <c r="Z128" s="240" t="s">
        <v>486</v>
      </c>
      <c r="AA128" s="240" t="s">
        <v>486</v>
      </c>
      <c r="AB128" s="240" t="s">
        <v>486</v>
      </c>
      <c r="AC128" s="240" t="s">
        <v>486</v>
      </c>
      <c r="AD128" s="240" t="s">
        <v>1106</v>
      </c>
      <c r="AE128" s="240" t="s">
        <v>1107</v>
      </c>
      <c r="AF128" s="240" t="s">
        <v>1107</v>
      </c>
      <c r="AG128" s="240" t="s">
        <v>1107</v>
      </c>
      <c r="AH128" s="240" t="s">
        <v>1107</v>
      </c>
      <c r="AI128" s="240" t="s">
        <v>1107</v>
      </c>
      <c r="AJ128" s="240" t="s">
        <v>1107</v>
      </c>
      <c r="AK128" s="240" t="s">
        <v>1107</v>
      </c>
      <c r="AL128" s="240" t="s">
        <v>1107</v>
      </c>
      <c r="AM128" s="240" t="s">
        <v>1107</v>
      </c>
      <c r="AN128" s="240" t="s">
        <v>1107</v>
      </c>
      <c r="AO128" s="240" t="s">
        <v>1107</v>
      </c>
      <c r="AP128" s="240" t="s">
        <v>1107</v>
      </c>
      <c r="AQ128" s="240" t="s">
        <v>1107</v>
      </c>
      <c r="AR128" s="240" t="s">
        <v>1107</v>
      </c>
      <c r="AS128" s="240" t="s">
        <v>1107</v>
      </c>
      <c r="AT128" s="240" t="s">
        <v>1107</v>
      </c>
      <c r="AU128" s="240" t="s">
        <v>1107</v>
      </c>
      <c r="AV128" s="240" t="s">
        <v>1107</v>
      </c>
      <c r="AW128" s="240" t="s">
        <v>1107</v>
      </c>
      <c r="AX128" s="240" t="s">
        <v>1107</v>
      </c>
      <c r="AY128" s="240" t="s">
        <v>1107</v>
      </c>
      <c r="AZ128" s="240" t="s">
        <v>1107</v>
      </c>
      <c r="BA128" s="240" t="s">
        <v>1107</v>
      </c>
      <c r="BB128" s="240" t="s">
        <v>1107</v>
      </c>
      <c r="BC128" s="240" t="s">
        <v>1107</v>
      </c>
      <c r="BD128" s="240" t="s">
        <v>1107</v>
      </c>
      <c r="BE128" s="240" t="s">
        <v>1107</v>
      </c>
      <c r="BF128" s="240" t="s">
        <v>1107</v>
      </c>
      <c r="BG128" s="240" t="s">
        <v>1107</v>
      </c>
      <c r="BH128" s="240" t="s">
        <v>1107</v>
      </c>
      <c r="BI128" s="240" t="s">
        <v>1107</v>
      </c>
      <c r="BJ128" s="240" t="s">
        <v>1107</v>
      </c>
      <c r="BK128" s="240" t="s">
        <v>1107</v>
      </c>
      <c r="BL128" s="240" t="s">
        <v>1107</v>
      </c>
      <c r="BM128" s="240" t="s">
        <v>1107</v>
      </c>
      <c r="BN128" s="240" t="s">
        <v>1107</v>
      </c>
      <c r="BO128" s="240" t="s">
        <v>1107</v>
      </c>
      <c r="BP128" s="240" t="s">
        <v>1107</v>
      </c>
      <c r="BQ128" s="240" t="s">
        <v>1107</v>
      </c>
      <c r="BR128" s="240" t="s">
        <v>1107</v>
      </c>
      <c r="BS128" s="240" t="s">
        <v>1107</v>
      </c>
      <c r="BT128" s="240" t="s">
        <v>1107</v>
      </c>
      <c r="BU128" s="240" t="s">
        <v>1107</v>
      </c>
      <c r="BV128" s="240" t="s">
        <v>1107</v>
      </c>
      <c r="BW128" s="240" t="s">
        <v>1107</v>
      </c>
      <c r="BX128" s="240" t="s">
        <v>1107</v>
      </c>
      <c r="BY128" s="240" t="s">
        <v>1107</v>
      </c>
      <c r="BZ128" s="240" t="s">
        <v>231</v>
      </c>
      <c r="CA128" s="240" t="s">
        <v>231</v>
      </c>
      <c r="CB128" s="240" t="s">
        <v>231</v>
      </c>
      <c r="CC128" s="240" t="s">
        <v>1107</v>
      </c>
      <c r="CD128" s="240" t="s">
        <v>1107</v>
      </c>
      <c r="CE128" s="240" t="s">
        <v>1107</v>
      </c>
      <c r="CF128" s="240" t="s">
        <v>1107</v>
      </c>
      <c r="CG128" s="240" t="s">
        <v>1107</v>
      </c>
      <c r="CH128" s="240" t="s">
        <v>1107</v>
      </c>
      <c r="CI128" s="240" t="s">
        <v>1107</v>
      </c>
      <c r="CJ128" s="240" t="s">
        <v>1107</v>
      </c>
      <c r="CK128" s="240" t="s">
        <v>231</v>
      </c>
      <c r="CL128" s="240" t="s">
        <v>231</v>
      </c>
      <c r="CM128" s="240" t="s">
        <v>1107</v>
      </c>
      <c r="CN128" s="240" t="s">
        <v>231</v>
      </c>
      <c r="CO128" s="240" t="s">
        <v>1107</v>
      </c>
      <c r="CP128" s="240" t="s">
        <v>231</v>
      </c>
      <c r="CQ128" s="240" t="s">
        <v>231</v>
      </c>
      <c r="CR128" s="240" t="s">
        <v>231</v>
      </c>
      <c r="CS128" s="240" t="s">
        <v>1107</v>
      </c>
      <c r="CT128" s="240" t="s">
        <v>1107</v>
      </c>
      <c r="CU128" s="240" t="s">
        <v>1107</v>
      </c>
      <c r="CV128" s="240" t="s">
        <v>1107</v>
      </c>
      <c r="CW128" s="240" t="s">
        <v>1107</v>
      </c>
      <c r="CX128" s="240" t="s">
        <v>1107</v>
      </c>
      <c r="CY128" s="240" t="s">
        <v>1107</v>
      </c>
      <c r="CZ128" s="240" t="s">
        <v>1107</v>
      </c>
      <c r="DA128" s="240" t="s">
        <v>1107</v>
      </c>
      <c r="DB128" s="240" t="s">
        <v>1107</v>
      </c>
      <c r="DC128" s="240" t="s">
        <v>1107</v>
      </c>
      <c r="DD128" s="240" t="s">
        <v>1107</v>
      </c>
      <c r="DE128" s="240" t="s">
        <v>1107</v>
      </c>
      <c r="DF128" s="240" t="s">
        <v>1107</v>
      </c>
      <c r="DG128" s="240" t="s">
        <v>1107</v>
      </c>
      <c r="DH128" s="240" t="s">
        <v>1107</v>
      </c>
      <c r="DI128" s="240" t="s">
        <v>1107</v>
      </c>
      <c r="DJ128" s="240" t="s">
        <v>1107</v>
      </c>
      <c r="DK128" s="240" t="s">
        <v>1107</v>
      </c>
      <c r="DL128" s="240" t="s">
        <v>1107</v>
      </c>
      <c r="DM128" s="240" t="s">
        <v>1107</v>
      </c>
      <c r="DN128" s="240" t="s">
        <v>1107</v>
      </c>
      <c r="DO128" s="240" t="s">
        <v>1107</v>
      </c>
      <c r="DP128" s="240" t="s">
        <v>1107</v>
      </c>
      <c r="DQ128" s="240" t="s">
        <v>1107</v>
      </c>
      <c r="DR128" s="240" t="s">
        <v>1107</v>
      </c>
      <c r="DS128" s="240" t="s">
        <v>1107</v>
      </c>
      <c r="DT128" s="240" t="s">
        <v>1107</v>
      </c>
      <c r="DU128" s="240" t="s">
        <v>1107</v>
      </c>
      <c r="DV128" s="240" t="s">
        <v>1107</v>
      </c>
      <c r="DW128" s="240" t="s">
        <v>1107</v>
      </c>
      <c r="DX128" s="240" t="s">
        <v>1107</v>
      </c>
      <c r="DY128" s="240" t="s">
        <v>1107</v>
      </c>
      <c r="DZ128" s="240" t="s">
        <v>1107</v>
      </c>
      <c r="EA128" s="240" t="s">
        <v>1107</v>
      </c>
      <c r="EB128" s="240" t="s">
        <v>1107</v>
      </c>
      <c r="EC128" s="240" t="s">
        <v>1107</v>
      </c>
      <c r="ED128" s="240" t="s">
        <v>1107</v>
      </c>
      <c r="EE128" s="240" t="s">
        <v>1107</v>
      </c>
      <c r="EF128" s="240" t="s">
        <v>1107</v>
      </c>
      <c r="EG128" s="240" t="s">
        <v>1107</v>
      </c>
      <c r="EH128" s="240" t="s">
        <v>1107</v>
      </c>
      <c r="EI128" s="240" t="s">
        <v>1107</v>
      </c>
      <c r="EJ128" s="240" t="s">
        <v>1107</v>
      </c>
      <c r="EK128" s="240" t="s">
        <v>1107</v>
      </c>
      <c r="EL128" s="240" t="s">
        <v>1107</v>
      </c>
      <c r="EM128" s="240" t="s">
        <v>1107</v>
      </c>
      <c r="EN128" s="240" t="s">
        <v>1107</v>
      </c>
      <c r="EO128" s="240" t="s">
        <v>1107</v>
      </c>
      <c r="EP128" s="240" t="s">
        <v>1107</v>
      </c>
      <c r="EQ128" s="240" t="s">
        <v>1107</v>
      </c>
      <c r="ER128" s="240" t="s">
        <v>1107</v>
      </c>
      <c r="ES128" s="240" t="s">
        <v>1107</v>
      </c>
      <c r="ET128" s="240" t="s">
        <v>1107</v>
      </c>
      <c r="EU128" s="240" t="s">
        <v>1107</v>
      </c>
      <c r="EV128" s="240" t="s">
        <v>1107</v>
      </c>
      <c r="EW128" s="240" t="s">
        <v>1107</v>
      </c>
      <c r="EX128" s="240" t="s">
        <v>1107</v>
      </c>
      <c r="EY128" s="240" t="s">
        <v>1107</v>
      </c>
      <c r="EZ128" s="240" t="s">
        <v>231</v>
      </c>
      <c r="FA128" s="240" t="s">
        <v>231</v>
      </c>
      <c r="FB128" s="240" t="s">
        <v>231</v>
      </c>
      <c r="FC128" s="240" t="s">
        <v>231</v>
      </c>
      <c r="FD128" s="240" t="s">
        <v>231</v>
      </c>
      <c r="FE128" s="240" t="s">
        <v>231</v>
      </c>
      <c r="FF128" s="240" t="s">
        <v>231</v>
      </c>
      <c r="FG128" s="240" t="s">
        <v>492</v>
      </c>
      <c r="FH128" s="240" t="s">
        <v>231</v>
      </c>
      <c r="FI128" s="240" t="s">
        <v>231</v>
      </c>
      <c r="FJ128" s="240" t="s">
        <v>231</v>
      </c>
      <c r="FK128" s="240" t="s">
        <v>231</v>
      </c>
      <c r="FL128" s="240" t="s">
        <v>231</v>
      </c>
      <c r="FM128" s="240" t="s">
        <v>231</v>
      </c>
      <c r="FN128" s="240" t="s">
        <v>231</v>
      </c>
      <c r="FO128" s="240" t="s">
        <v>231</v>
      </c>
      <c r="FP128" s="240" t="s">
        <v>231</v>
      </c>
      <c r="FQ128" s="240" t="s">
        <v>231</v>
      </c>
      <c r="FR128" s="240" t="s">
        <v>231</v>
      </c>
      <c r="FS128" s="240" t="s">
        <v>231</v>
      </c>
      <c r="FT128" s="240" t="s">
        <v>231</v>
      </c>
      <c r="FU128" s="240" t="s">
        <v>231</v>
      </c>
      <c r="FV128" s="240" t="s">
        <v>231</v>
      </c>
      <c r="FW128" s="240" t="s">
        <v>231</v>
      </c>
      <c r="FX128" s="240" t="s">
        <v>231</v>
      </c>
      <c r="FY128" s="240" t="s">
        <v>492</v>
      </c>
      <c r="FZ128" s="240" t="s">
        <v>1107</v>
      </c>
      <c r="GA128" s="240" t="s">
        <v>1107</v>
      </c>
      <c r="GB128" s="240" t="s">
        <v>1107</v>
      </c>
      <c r="GC128" s="240" t="s">
        <v>1107</v>
      </c>
      <c r="GD128" s="240" t="s">
        <v>1107</v>
      </c>
      <c r="GE128" s="240" t="s">
        <v>1107</v>
      </c>
      <c r="GF128" s="240" t="s">
        <v>1107</v>
      </c>
      <c r="GG128" s="240" t="s">
        <v>1107</v>
      </c>
      <c r="GH128" s="240" t="s">
        <v>1107</v>
      </c>
      <c r="GI128" s="240" t="s">
        <v>1107</v>
      </c>
      <c r="GJ128" s="240" t="s">
        <v>1107</v>
      </c>
      <c r="GK128" s="240" t="s">
        <v>1107</v>
      </c>
      <c r="GL128" s="240" t="s">
        <v>1107</v>
      </c>
      <c r="GM128" s="240" t="s">
        <v>1107</v>
      </c>
      <c r="GN128" s="240" t="s">
        <v>1107</v>
      </c>
      <c r="GO128" s="240" t="s">
        <v>1107</v>
      </c>
      <c r="GP128" s="240" t="s">
        <v>1107</v>
      </c>
      <c r="GQ128" s="240" t="s">
        <v>1107</v>
      </c>
      <c r="GR128" s="240" t="s">
        <v>1107</v>
      </c>
      <c r="GS128" s="240" t="s">
        <v>1107</v>
      </c>
      <c r="GT128" s="240" t="s">
        <v>1107</v>
      </c>
      <c r="GU128" s="240" t="s">
        <v>1107</v>
      </c>
      <c r="GV128" s="240" t="s">
        <v>1107</v>
      </c>
      <c r="GW128" s="240" t="s">
        <v>1107</v>
      </c>
      <c r="GX128" s="240" t="s">
        <v>1107</v>
      </c>
      <c r="GY128" s="240" t="s">
        <v>1107</v>
      </c>
      <c r="GZ128" s="240" t="s">
        <v>1107</v>
      </c>
      <c r="HA128" s="240" t="s">
        <v>1107</v>
      </c>
      <c r="HB128" s="240" t="s">
        <v>1107</v>
      </c>
      <c r="HC128" s="240" t="s">
        <v>1107</v>
      </c>
      <c r="HD128" s="240" t="s">
        <v>1107</v>
      </c>
      <c r="HE128" s="240" t="s">
        <v>1107</v>
      </c>
      <c r="HF128" s="240" t="s">
        <v>1107</v>
      </c>
      <c r="HG128" s="240" t="s">
        <v>1107</v>
      </c>
      <c r="HH128" s="240" t="s">
        <v>1107</v>
      </c>
      <c r="HI128" s="240" t="s">
        <v>1107</v>
      </c>
      <c r="HJ128" s="240" t="s">
        <v>1107</v>
      </c>
      <c r="HK128" s="240" t="s">
        <v>1107</v>
      </c>
      <c r="HL128" s="240" t="s">
        <v>1107</v>
      </c>
      <c r="HM128" s="240" t="s">
        <v>1107</v>
      </c>
      <c r="HN128" s="240" t="s">
        <v>1107</v>
      </c>
      <c r="HO128" s="240" t="s">
        <v>1107</v>
      </c>
      <c r="HP128" s="240" t="s">
        <v>1107</v>
      </c>
      <c r="HQ128" s="240" t="s">
        <v>1107</v>
      </c>
      <c r="HR128" s="240" t="s">
        <v>1107</v>
      </c>
      <c r="HS128" s="240" t="s">
        <v>1107</v>
      </c>
      <c r="HT128" s="240" t="s">
        <v>231</v>
      </c>
      <c r="HU128" s="240" t="s">
        <v>231</v>
      </c>
      <c r="HV128" s="240" t="s">
        <v>231</v>
      </c>
      <c r="HW128" s="240" t="s">
        <v>231</v>
      </c>
      <c r="HX128" s="240" t="s">
        <v>220</v>
      </c>
      <c r="HY128" s="240" t="s">
        <v>493</v>
      </c>
      <c r="HZ128" s="240" t="s">
        <v>219</v>
      </c>
      <c r="IA128" s="240" t="s">
        <v>490</v>
      </c>
      <c r="IB128" s="240" t="s">
        <v>1107</v>
      </c>
      <c r="IC128" s="240" t="s">
        <v>1107</v>
      </c>
    </row>
    <row r="129" spans="1:237" ht="15" x14ac:dyDescent="0.25">
      <c r="A129" s="243" t="str">
        <f>HYPERLINK("http://www.ofsted.gov.uk/inspection-reports/find-inspection-report/provider/ELS/145242 ","Ofsted School Webpage")</f>
        <v>Ofsted School Webpage</v>
      </c>
      <c r="B129" s="237">
        <v>145242</v>
      </c>
      <c r="C129" s="237">
        <v>8886075</v>
      </c>
      <c r="D129" s="237" t="s">
        <v>769</v>
      </c>
      <c r="E129" s="237" t="s">
        <v>248</v>
      </c>
      <c r="F129" s="237" t="s">
        <v>495</v>
      </c>
      <c r="G129" s="237" t="s">
        <v>495</v>
      </c>
      <c r="H129" s="237" t="s">
        <v>534</v>
      </c>
      <c r="I129" s="237" t="s">
        <v>770</v>
      </c>
      <c r="J129" s="237" t="s">
        <v>93</v>
      </c>
      <c r="K129" s="237" t="s">
        <v>93</v>
      </c>
      <c r="L129" s="237" t="s">
        <v>93</v>
      </c>
      <c r="M129" s="237" t="s">
        <v>90</v>
      </c>
      <c r="N129" s="237" t="s">
        <v>486</v>
      </c>
      <c r="O129" s="237" t="s">
        <v>487</v>
      </c>
      <c r="P129" s="237">
        <v>10092936</v>
      </c>
      <c r="Q129" s="239">
        <v>43507</v>
      </c>
      <c r="R129" s="239">
        <v>43507</v>
      </c>
      <c r="S129" s="239">
        <v>43534</v>
      </c>
      <c r="T129" s="237" t="s">
        <v>1104</v>
      </c>
      <c r="U129" s="237" t="s">
        <v>1105</v>
      </c>
      <c r="V129" s="237" t="s">
        <v>490</v>
      </c>
      <c r="W129" s="237" t="s">
        <v>486</v>
      </c>
      <c r="X129" s="237" t="s">
        <v>486</v>
      </c>
      <c r="Y129" s="237" t="s">
        <v>486</v>
      </c>
      <c r="Z129" s="237" t="s">
        <v>486</v>
      </c>
      <c r="AA129" s="237" t="s">
        <v>486</v>
      </c>
      <c r="AB129" s="237" t="s">
        <v>486</v>
      </c>
      <c r="AC129" s="237" t="s">
        <v>486</v>
      </c>
      <c r="AD129" s="237" t="s">
        <v>1257</v>
      </c>
      <c r="AE129" s="237" t="s">
        <v>231</v>
      </c>
      <c r="AF129" s="237" t="s">
        <v>231</v>
      </c>
      <c r="AG129" s="237" t="s">
        <v>231</v>
      </c>
      <c r="AH129" s="237" t="s">
        <v>231</v>
      </c>
      <c r="AI129" s="237" t="s">
        <v>231</v>
      </c>
      <c r="AJ129" s="237" t="s">
        <v>231</v>
      </c>
      <c r="AK129" s="237" t="s">
        <v>231</v>
      </c>
      <c r="AL129" s="237" t="s">
        <v>231</v>
      </c>
      <c r="AM129" s="237" t="s">
        <v>492</v>
      </c>
      <c r="AN129" s="237" t="s">
        <v>231</v>
      </c>
      <c r="AO129" s="237" t="s">
        <v>231</v>
      </c>
      <c r="AP129" s="237" t="s">
        <v>231</v>
      </c>
      <c r="AQ129" s="237" t="s">
        <v>1107</v>
      </c>
      <c r="AR129" s="237" t="s">
        <v>1107</v>
      </c>
      <c r="AS129" s="237" t="s">
        <v>1107</v>
      </c>
      <c r="AT129" s="237" t="s">
        <v>1107</v>
      </c>
      <c r="AU129" s="237" t="s">
        <v>492</v>
      </c>
      <c r="AV129" s="237" t="s">
        <v>492</v>
      </c>
      <c r="AW129" s="237" t="s">
        <v>231</v>
      </c>
      <c r="AX129" s="237" t="s">
        <v>231</v>
      </c>
      <c r="AY129" s="237" t="s">
        <v>231</v>
      </c>
      <c r="AZ129" s="237" t="s">
        <v>231</v>
      </c>
      <c r="BA129" s="237" t="s">
        <v>231</v>
      </c>
      <c r="BB129" s="237" t="s">
        <v>231</v>
      </c>
      <c r="BC129" s="237" t="s">
        <v>231</v>
      </c>
      <c r="BD129" s="237" t="s">
        <v>231</v>
      </c>
      <c r="BE129" s="237" t="s">
        <v>231</v>
      </c>
      <c r="BF129" s="237" t="s">
        <v>231</v>
      </c>
      <c r="BG129" s="237" t="s">
        <v>231</v>
      </c>
      <c r="BH129" s="237" t="s">
        <v>231</v>
      </c>
      <c r="BI129" s="237" t="s">
        <v>231</v>
      </c>
      <c r="BJ129" s="237" t="s">
        <v>231</v>
      </c>
      <c r="BK129" s="237" t="s">
        <v>231</v>
      </c>
      <c r="BL129" s="237" t="s">
        <v>231</v>
      </c>
      <c r="BM129" s="237" t="s">
        <v>231</v>
      </c>
      <c r="BN129" s="237" t="s">
        <v>231</v>
      </c>
      <c r="BO129" s="237" t="s">
        <v>231</v>
      </c>
      <c r="BP129" s="237" t="s">
        <v>231</v>
      </c>
      <c r="BQ129" s="237" t="s">
        <v>231</v>
      </c>
      <c r="BR129" s="237" t="s">
        <v>231</v>
      </c>
      <c r="BS129" s="237" t="s">
        <v>231</v>
      </c>
      <c r="BT129" s="237" t="s">
        <v>231</v>
      </c>
      <c r="BU129" s="237" t="s">
        <v>231</v>
      </c>
      <c r="BV129" s="237" t="s">
        <v>231</v>
      </c>
      <c r="BW129" s="237" t="s">
        <v>231</v>
      </c>
      <c r="BX129" s="237" t="s">
        <v>231</v>
      </c>
      <c r="BY129" s="237" t="s">
        <v>231</v>
      </c>
      <c r="BZ129" s="237" t="s">
        <v>231</v>
      </c>
      <c r="CA129" s="237" t="s">
        <v>231</v>
      </c>
      <c r="CB129" s="237" t="s">
        <v>231</v>
      </c>
      <c r="CC129" s="237" t="s">
        <v>492</v>
      </c>
      <c r="CD129" s="237" t="s">
        <v>492</v>
      </c>
      <c r="CE129" s="237" t="s">
        <v>492</v>
      </c>
      <c r="CF129" s="237" t="s">
        <v>1107</v>
      </c>
      <c r="CG129" s="237" t="s">
        <v>1107</v>
      </c>
      <c r="CH129" s="237" t="s">
        <v>1107</v>
      </c>
      <c r="CI129" s="237" t="s">
        <v>1107</v>
      </c>
      <c r="CJ129" s="237" t="s">
        <v>1107</v>
      </c>
      <c r="CK129" s="237" t="s">
        <v>1107</v>
      </c>
      <c r="CL129" s="237" t="s">
        <v>1107</v>
      </c>
      <c r="CM129" s="237" t="s">
        <v>1107</v>
      </c>
      <c r="CN129" s="237" t="s">
        <v>1107</v>
      </c>
      <c r="CO129" s="237" t="s">
        <v>1107</v>
      </c>
      <c r="CP129" s="237" t="s">
        <v>1107</v>
      </c>
      <c r="CQ129" s="237" t="s">
        <v>1107</v>
      </c>
      <c r="CR129" s="237" t="s">
        <v>1107</v>
      </c>
      <c r="CS129" s="237" t="s">
        <v>1107</v>
      </c>
      <c r="CT129" s="237" t="s">
        <v>1107</v>
      </c>
      <c r="CU129" s="237" t="s">
        <v>1107</v>
      </c>
      <c r="CV129" s="237" t="s">
        <v>1107</v>
      </c>
      <c r="CW129" s="237" t="s">
        <v>1107</v>
      </c>
      <c r="CX129" s="237" t="s">
        <v>1107</v>
      </c>
      <c r="CY129" s="237" t="s">
        <v>1107</v>
      </c>
      <c r="CZ129" s="237" t="s">
        <v>1107</v>
      </c>
      <c r="DA129" s="237" t="s">
        <v>1107</v>
      </c>
      <c r="DB129" s="237" t="s">
        <v>1107</v>
      </c>
      <c r="DC129" s="237" t="s">
        <v>1107</v>
      </c>
      <c r="DD129" s="237" t="s">
        <v>1107</v>
      </c>
      <c r="DE129" s="237" t="s">
        <v>1107</v>
      </c>
      <c r="DF129" s="237" t="s">
        <v>1107</v>
      </c>
      <c r="DG129" s="237" t="s">
        <v>1107</v>
      </c>
      <c r="DH129" s="237" t="s">
        <v>1107</v>
      </c>
      <c r="DI129" s="237" t="s">
        <v>1107</v>
      </c>
      <c r="DJ129" s="237" t="s">
        <v>1107</v>
      </c>
      <c r="DK129" s="237" t="s">
        <v>1107</v>
      </c>
      <c r="DL129" s="237" t="s">
        <v>1107</v>
      </c>
      <c r="DM129" s="237" t="s">
        <v>1107</v>
      </c>
      <c r="DN129" s="237" t="s">
        <v>1107</v>
      </c>
      <c r="DO129" s="237" t="s">
        <v>1107</v>
      </c>
      <c r="DP129" s="237" t="s">
        <v>1107</v>
      </c>
      <c r="DQ129" s="237" t="s">
        <v>1107</v>
      </c>
      <c r="DR129" s="237" t="s">
        <v>1107</v>
      </c>
      <c r="DS129" s="237" t="s">
        <v>1107</v>
      </c>
      <c r="DT129" s="237" t="s">
        <v>1107</v>
      </c>
      <c r="DU129" s="237" t="s">
        <v>1107</v>
      </c>
      <c r="DV129" s="237" t="s">
        <v>1107</v>
      </c>
      <c r="DW129" s="237" t="s">
        <v>1107</v>
      </c>
      <c r="DX129" s="237" t="s">
        <v>1107</v>
      </c>
      <c r="DY129" s="237" t="s">
        <v>1107</v>
      </c>
      <c r="DZ129" s="237" t="s">
        <v>1107</v>
      </c>
      <c r="EA129" s="237" t="s">
        <v>1107</v>
      </c>
      <c r="EB129" s="237" t="s">
        <v>1107</v>
      </c>
      <c r="EC129" s="237" t="s">
        <v>1107</v>
      </c>
      <c r="ED129" s="237" t="s">
        <v>1107</v>
      </c>
      <c r="EE129" s="237" t="s">
        <v>1107</v>
      </c>
      <c r="EF129" s="237" t="s">
        <v>1107</v>
      </c>
      <c r="EG129" s="237" t="s">
        <v>1107</v>
      </c>
      <c r="EH129" s="237" t="s">
        <v>1107</v>
      </c>
      <c r="EI129" s="237" t="s">
        <v>1107</v>
      </c>
      <c r="EJ129" s="237" t="s">
        <v>1107</v>
      </c>
      <c r="EK129" s="237" t="s">
        <v>1107</v>
      </c>
      <c r="EL129" s="237" t="s">
        <v>1107</v>
      </c>
      <c r="EM129" s="237" t="s">
        <v>1107</v>
      </c>
      <c r="EN129" s="237" t="s">
        <v>1107</v>
      </c>
      <c r="EO129" s="237" t="s">
        <v>1107</v>
      </c>
      <c r="EP129" s="237" t="s">
        <v>1107</v>
      </c>
      <c r="EQ129" s="237" t="s">
        <v>1107</v>
      </c>
      <c r="ER129" s="237" t="s">
        <v>1107</v>
      </c>
      <c r="ES129" s="237" t="s">
        <v>1107</v>
      </c>
      <c r="ET129" s="237" t="s">
        <v>1107</v>
      </c>
      <c r="EU129" s="237" t="s">
        <v>1107</v>
      </c>
      <c r="EV129" s="237" t="s">
        <v>1107</v>
      </c>
      <c r="EW129" s="237" t="s">
        <v>1107</v>
      </c>
      <c r="EX129" s="237" t="s">
        <v>1107</v>
      </c>
      <c r="EY129" s="237" t="s">
        <v>1107</v>
      </c>
      <c r="EZ129" s="237" t="s">
        <v>1107</v>
      </c>
      <c r="FA129" s="237" t="s">
        <v>1107</v>
      </c>
      <c r="FB129" s="237" t="s">
        <v>1107</v>
      </c>
      <c r="FC129" s="237" t="s">
        <v>1107</v>
      </c>
      <c r="FD129" s="237" t="s">
        <v>1107</v>
      </c>
      <c r="FE129" s="237" t="s">
        <v>1107</v>
      </c>
      <c r="FF129" s="237" t="s">
        <v>1107</v>
      </c>
      <c r="FG129" s="237" t="s">
        <v>1107</v>
      </c>
      <c r="FH129" s="237" t="s">
        <v>1107</v>
      </c>
      <c r="FI129" s="237" t="s">
        <v>1107</v>
      </c>
      <c r="FJ129" s="237" t="s">
        <v>1107</v>
      </c>
      <c r="FK129" s="237" t="s">
        <v>1107</v>
      </c>
      <c r="FL129" s="237" t="s">
        <v>1107</v>
      </c>
      <c r="FM129" s="237" t="s">
        <v>1107</v>
      </c>
      <c r="FN129" s="237" t="s">
        <v>1107</v>
      </c>
      <c r="FO129" s="237" t="s">
        <v>1107</v>
      </c>
      <c r="FP129" s="237" t="s">
        <v>1107</v>
      </c>
      <c r="FQ129" s="237" t="s">
        <v>1107</v>
      </c>
      <c r="FR129" s="237" t="s">
        <v>1107</v>
      </c>
      <c r="FS129" s="237" t="s">
        <v>1107</v>
      </c>
      <c r="FT129" s="237" t="s">
        <v>1107</v>
      </c>
      <c r="FU129" s="237" t="s">
        <v>1107</v>
      </c>
      <c r="FV129" s="237" t="s">
        <v>1107</v>
      </c>
      <c r="FW129" s="237" t="s">
        <v>1107</v>
      </c>
      <c r="FX129" s="237" t="s">
        <v>1107</v>
      </c>
      <c r="FY129" s="237" t="s">
        <v>1107</v>
      </c>
      <c r="FZ129" s="237" t="s">
        <v>231</v>
      </c>
      <c r="GA129" s="237" t="s">
        <v>1107</v>
      </c>
      <c r="GB129" s="237" t="s">
        <v>1107</v>
      </c>
      <c r="GC129" s="237" t="s">
        <v>231</v>
      </c>
      <c r="GD129" s="237" t="s">
        <v>1107</v>
      </c>
      <c r="GE129" s="237" t="s">
        <v>1107</v>
      </c>
      <c r="GF129" s="237" t="s">
        <v>1107</v>
      </c>
      <c r="GG129" s="237" t="s">
        <v>1107</v>
      </c>
      <c r="GH129" s="237" t="s">
        <v>1107</v>
      </c>
      <c r="GI129" s="237" t="s">
        <v>1107</v>
      </c>
      <c r="GJ129" s="237" t="s">
        <v>1107</v>
      </c>
      <c r="GK129" s="237" t="s">
        <v>1107</v>
      </c>
      <c r="GL129" s="237" t="s">
        <v>1107</v>
      </c>
      <c r="GM129" s="237" t="s">
        <v>1107</v>
      </c>
      <c r="GN129" s="237" t="s">
        <v>1107</v>
      </c>
      <c r="GO129" s="237" t="s">
        <v>1107</v>
      </c>
      <c r="GP129" s="237" t="s">
        <v>1107</v>
      </c>
      <c r="GQ129" s="237" t="s">
        <v>1107</v>
      </c>
      <c r="GR129" s="237" t="s">
        <v>1107</v>
      </c>
      <c r="GS129" s="237" t="s">
        <v>1107</v>
      </c>
      <c r="GT129" s="237" t="s">
        <v>1107</v>
      </c>
      <c r="GU129" s="237" t="s">
        <v>1107</v>
      </c>
      <c r="GV129" s="237" t="s">
        <v>1107</v>
      </c>
      <c r="GW129" s="237" t="s">
        <v>1107</v>
      </c>
      <c r="GX129" s="237" t="s">
        <v>1107</v>
      </c>
      <c r="GY129" s="237" t="s">
        <v>1107</v>
      </c>
      <c r="GZ129" s="237" t="s">
        <v>1107</v>
      </c>
      <c r="HA129" s="237" t="s">
        <v>1107</v>
      </c>
      <c r="HB129" s="237" t="s">
        <v>1107</v>
      </c>
      <c r="HC129" s="237" t="s">
        <v>1107</v>
      </c>
      <c r="HD129" s="237" t="s">
        <v>1107</v>
      </c>
      <c r="HE129" s="237" t="s">
        <v>1107</v>
      </c>
      <c r="HF129" s="237" t="s">
        <v>1107</v>
      </c>
      <c r="HG129" s="237" t="s">
        <v>1107</v>
      </c>
      <c r="HH129" s="237" t="s">
        <v>1107</v>
      </c>
      <c r="HI129" s="237" t="s">
        <v>1107</v>
      </c>
      <c r="HJ129" s="237" t="s">
        <v>1107</v>
      </c>
      <c r="HK129" s="237" t="s">
        <v>1107</v>
      </c>
      <c r="HL129" s="237" t="s">
        <v>1107</v>
      </c>
      <c r="HM129" s="237" t="s">
        <v>1107</v>
      </c>
      <c r="HN129" s="237" t="s">
        <v>1107</v>
      </c>
      <c r="HO129" s="237" t="s">
        <v>1107</v>
      </c>
      <c r="HP129" s="237" t="s">
        <v>1107</v>
      </c>
      <c r="HQ129" s="237" t="s">
        <v>1107</v>
      </c>
      <c r="HR129" s="237" t="s">
        <v>1107</v>
      </c>
      <c r="HS129" s="237" t="s">
        <v>1107</v>
      </c>
      <c r="HT129" s="237" t="s">
        <v>231</v>
      </c>
      <c r="HU129" s="237" t="s">
        <v>231</v>
      </c>
      <c r="HV129" s="237" t="s">
        <v>231</v>
      </c>
      <c r="HW129" s="237" t="s">
        <v>231</v>
      </c>
      <c r="HX129" s="237" t="s">
        <v>220</v>
      </c>
      <c r="HY129" s="237" t="s">
        <v>493</v>
      </c>
      <c r="HZ129" s="237" t="s">
        <v>219</v>
      </c>
      <c r="IA129" s="237" t="s">
        <v>490</v>
      </c>
      <c r="IB129" s="237" t="s">
        <v>492</v>
      </c>
      <c r="IC129" s="237" t="s">
        <v>492</v>
      </c>
    </row>
    <row r="130" spans="1:237" ht="15" x14ac:dyDescent="0.25">
      <c r="A130" s="244" t="str">
        <f>HYPERLINK("http://www.ofsted.gov.uk/inspection-reports/find-inspection-report/provider/ELS/140496 ","Ofsted School Webpage")</f>
        <v>Ofsted School Webpage</v>
      </c>
      <c r="B130" s="240">
        <v>140496</v>
      </c>
      <c r="C130" s="240">
        <v>3156006</v>
      </c>
      <c r="D130" s="240" t="s">
        <v>1359</v>
      </c>
      <c r="E130" s="240" t="s">
        <v>247</v>
      </c>
      <c r="F130" s="240" t="s">
        <v>506</v>
      </c>
      <c r="G130" s="240" t="s">
        <v>506</v>
      </c>
      <c r="H130" s="240" t="s">
        <v>1360</v>
      </c>
      <c r="I130" s="240" t="s">
        <v>1361</v>
      </c>
      <c r="J130" s="240" t="s">
        <v>93</v>
      </c>
      <c r="K130" s="240" t="s">
        <v>93</v>
      </c>
      <c r="L130" s="240" t="s">
        <v>93</v>
      </c>
      <c r="M130" s="240" t="s">
        <v>90</v>
      </c>
      <c r="N130" s="240" t="s">
        <v>486</v>
      </c>
      <c r="O130" s="240" t="s">
        <v>487</v>
      </c>
      <c r="P130" s="240">
        <v>10094752</v>
      </c>
      <c r="Q130" s="242">
        <v>43508</v>
      </c>
      <c r="R130" s="242">
        <v>43508</v>
      </c>
      <c r="S130" s="242">
        <v>43534</v>
      </c>
      <c r="T130" s="240" t="s">
        <v>1109</v>
      </c>
      <c r="U130" s="240" t="s">
        <v>1105</v>
      </c>
      <c r="V130" s="240" t="s">
        <v>490</v>
      </c>
      <c r="W130" s="240" t="s">
        <v>486</v>
      </c>
      <c r="X130" s="240" t="s">
        <v>486</v>
      </c>
      <c r="Y130" s="240" t="s">
        <v>486</v>
      </c>
      <c r="Z130" s="240" t="s">
        <v>486</v>
      </c>
      <c r="AA130" s="240" t="s">
        <v>486</v>
      </c>
      <c r="AB130" s="240" t="s">
        <v>486</v>
      </c>
      <c r="AC130" s="240" t="s">
        <v>486</v>
      </c>
      <c r="AD130" s="240" t="s">
        <v>1110</v>
      </c>
      <c r="AE130" s="240" t="s">
        <v>1107</v>
      </c>
      <c r="AF130" s="240" t="s">
        <v>1107</v>
      </c>
      <c r="AG130" s="240" t="s">
        <v>1107</v>
      </c>
      <c r="AH130" s="240" t="s">
        <v>1107</v>
      </c>
      <c r="AI130" s="240" t="s">
        <v>1107</v>
      </c>
      <c r="AJ130" s="240" t="s">
        <v>1107</v>
      </c>
      <c r="AK130" s="240" t="s">
        <v>1107</v>
      </c>
      <c r="AL130" s="240" t="s">
        <v>1107</v>
      </c>
      <c r="AM130" s="240" t="s">
        <v>1107</v>
      </c>
      <c r="AN130" s="240" t="s">
        <v>1107</v>
      </c>
      <c r="AO130" s="240" t="s">
        <v>1107</v>
      </c>
      <c r="AP130" s="240" t="s">
        <v>1107</v>
      </c>
      <c r="AQ130" s="240" t="s">
        <v>1107</v>
      </c>
      <c r="AR130" s="240" t="s">
        <v>1107</v>
      </c>
      <c r="AS130" s="240" t="s">
        <v>1107</v>
      </c>
      <c r="AT130" s="240" t="s">
        <v>1107</v>
      </c>
      <c r="AU130" s="240" t="s">
        <v>1107</v>
      </c>
      <c r="AV130" s="240" t="s">
        <v>1107</v>
      </c>
      <c r="AW130" s="240" t="s">
        <v>1107</v>
      </c>
      <c r="AX130" s="240" t="s">
        <v>1107</v>
      </c>
      <c r="AY130" s="240" t="s">
        <v>1107</v>
      </c>
      <c r="AZ130" s="240" t="s">
        <v>1107</v>
      </c>
      <c r="BA130" s="240" t="s">
        <v>1107</v>
      </c>
      <c r="BB130" s="240" t="s">
        <v>1107</v>
      </c>
      <c r="BC130" s="240" t="s">
        <v>1107</v>
      </c>
      <c r="BD130" s="240" t="s">
        <v>1107</v>
      </c>
      <c r="BE130" s="240" t="s">
        <v>1107</v>
      </c>
      <c r="BF130" s="240" t="s">
        <v>1107</v>
      </c>
      <c r="BG130" s="240" t="s">
        <v>1107</v>
      </c>
      <c r="BH130" s="240" t="s">
        <v>1107</v>
      </c>
      <c r="BI130" s="240" t="s">
        <v>1107</v>
      </c>
      <c r="BJ130" s="240" t="s">
        <v>1107</v>
      </c>
      <c r="BK130" s="240" t="s">
        <v>1107</v>
      </c>
      <c r="BL130" s="240" t="s">
        <v>1107</v>
      </c>
      <c r="BM130" s="240" t="s">
        <v>1107</v>
      </c>
      <c r="BN130" s="240" t="s">
        <v>1107</v>
      </c>
      <c r="BO130" s="240" t="s">
        <v>1107</v>
      </c>
      <c r="BP130" s="240" t="s">
        <v>1107</v>
      </c>
      <c r="BQ130" s="240" t="s">
        <v>1107</v>
      </c>
      <c r="BR130" s="240" t="s">
        <v>1107</v>
      </c>
      <c r="BS130" s="240" t="s">
        <v>1107</v>
      </c>
      <c r="BT130" s="240" t="s">
        <v>1107</v>
      </c>
      <c r="BU130" s="240" t="s">
        <v>1107</v>
      </c>
      <c r="BV130" s="240" t="s">
        <v>1107</v>
      </c>
      <c r="BW130" s="240" t="s">
        <v>1107</v>
      </c>
      <c r="BX130" s="240" t="s">
        <v>1107</v>
      </c>
      <c r="BY130" s="240" t="s">
        <v>1107</v>
      </c>
      <c r="BZ130" s="240" t="s">
        <v>231</v>
      </c>
      <c r="CA130" s="240" t="s">
        <v>231</v>
      </c>
      <c r="CB130" s="240" t="s">
        <v>231</v>
      </c>
      <c r="CC130" s="240" t="s">
        <v>492</v>
      </c>
      <c r="CD130" s="240" t="s">
        <v>492</v>
      </c>
      <c r="CE130" s="240" t="s">
        <v>492</v>
      </c>
      <c r="CF130" s="240" t="s">
        <v>1107</v>
      </c>
      <c r="CG130" s="240" t="s">
        <v>1107</v>
      </c>
      <c r="CH130" s="240" t="s">
        <v>1107</v>
      </c>
      <c r="CI130" s="240" t="s">
        <v>1107</v>
      </c>
      <c r="CJ130" s="240" t="s">
        <v>1107</v>
      </c>
      <c r="CK130" s="240" t="s">
        <v>231</v>
      </c>
      <c r="CL130" s="240" t="s">
        <v>231</v>
      </c>
      <c r="CM130" s="240" t="s">
        <v>1107</v>
      </c>
      <c r="CN130" s="240" t="s">
        <v>1107</v>
      </c>
      <c r="CO130" s="240" t="s">
        <v>1107</v>
      </c>
      <c r="CP130" s="240" t="s">
        <v>231</v>
      </c>
      <c r="CQ130" s="240" t="s">
        <v>231</v>
      </c>
      <c r="CR130" s="240" t="s">
        <v>231</v>
      </c>
      <c r="CS130" s="240" t="s">
        <v>1107</v>
      </c>
      <c r="CT130" s="240" t="s">
        <v>1107</v>
      </c>
      <c r="CU130" s="240" t="s">
        <v>1107</v>
      </c>
      <c r="CV130" s="240" t="s">
        <v>1107</v>
      </c>
      <c r="CW130" s="240" t="s">
        <v>1107</v>
      </c>
      <c r="CX130" s="240" t="s">
        <v>1107</v>
      </c>
      <c r="CY130" s="240" t="s">
        <v>1107</v>
      </c>
      <c r="CZ130" s="240" t="s">
        <v>1107</v>
      </c>
      <c r="DA130" s="240" t="s">
        <v>1107</v>
      </c>
      <c r="DB130" s="240" t="s">
        <v>1107</v>
      </c>
      <c r="DC130" s="240" t="s">
        <v>1107</v>
      </c>
      <c r="DD130" s="240" t="s">
        <v>1107</v>
      </c>
      <c r="DE130" s="240" t="s">
        <v>1107</v>
      </c>
      <c r="DF130" s="240" t="s">
        <v>1107</v>
      </c>
      <c r="DG130" s="240" t="s">
        <v>1107</v>
      </c>
      <c r="DH130" s="240" t="s">
        <v>1107</v>
      </c>
      <c r="DI130" s="240" t="s">
        <v>1107</v>
      </c>
      <c r="DJ130" s="240" t="s">
        <v>1107</v>
      </c>
      <c r="DK130" s="240" t="s">
        <v>1107</v>
      </c>
      <c r="DL130" s="240" t="s">
        <v>1107</v>
      </c>
      <c r="DM130" s="240" t="s">
        <v>1107</v>
      </c>
      <c r="DN130" s="240" t="s">
        <v>1107</v>
      </c>
      <c r="DO130" s="240" t="s">
        <v>1107</v>
      </c>
      <c r="DP130" s="240" t="s">
        <v>1107</v>
      </c>
      <c r="DQ130" s="240" t="s">
        <v>1107</v>
      </c>
      <c r="DR130" s="240" t="s">
        <v>1107</v>
      </c>
      <c r="DS130" s="240" t="s">
        <v>1107</v>
      </c>
      <c r="DT130" s="240" t="s">
        <v>1107</v>
      </c>
      <c r="DU130" s="240" t="s">
        <v>1107</v>
      </c>
      <c r="DV130" s="240" t="s">
        <v>1107</v>
      </c>
      <c r="DW130" s="240" t="s">
        <v>1107</v>
      </c>
      <c r="DX130" s="240" t="s">
        <v>1107</v>
      </c>
      <c r="DY130" s="240" t="s">
        <v>1107</v>
      </c>
      <c r="DZ130" s="240" t="s">
        <v>1107</v>
      </c>
      <c r="EA130" s="240" t="s">
        <v>1107</v>
      </c>
      <c r="EB130" s="240" t="s">
        <v>1107</v>
      </c>
      <c r="EC130" s="240" t="s">
        <v>1107</v>
      </c>
      <c r="ED130" s="240" t="s">
        <v>1107</v>
      </c>
      <c r="EE130" s="240" t="s">
        <v>1107</v>
      </c>
      <c r="EF130" s="240" t="s">
        <v>1107</v>
      </c>
      <c r="EG130" s="240" t="s">
        <v>1107</v>
      </c>
      <c r="EH130" s="240" t="s">
        <v>1107</v>
      </c>
      <c r="EI130" s="240" t="s">
        <v>1107</v>
      </c>
      <c r="EJ130" s="240" t="s">
        <v>1107</v>
      </c>
      <c r="EK130" s="240" t="s">
        <v>1107</v>
      </c>
      <c r="EL130" s="240" t="s">
        <v>1107</v>
      </c>
      <c r="EM130" s="240" t="s">
        <v>1107</v>
      </c>
      <c r="EN130" s="240" t="s">
        <v>1107</v>
      </c>
      <c r="EO130" s="240" t="s">
        <v>1107</v>
      </c>
      <c r="EP130" s="240" t="s">
        <v>1107</v>
      </c>
      <c r="EQ130" s="240" t="s">
        <v>1107</v>
      </c>
      <c r="ER130" s="240" t="s">
        <v>1107</v>
      </c>
      <c r="ES130" s="240" t="s">
        <v>1107</v>
      </c>
      <c r="ET130" s="240" t="s">
        <v>1107</v>
      </c>
      <c r="EU130" s="240" t="s">
        <v>1107</v>
      </c>
      <c r="EV130" s="240" t="s">
        <v>1107</v>
      </c>
      <c r="EW130" s="240" t="s">
        <v>1107</v>
      </c>
      <c r="EX130" s="240" t="s">
        <v>1107</v>
      </c>
      <c r="EY130" s="240" t="s">
        <v>1107</v>
      </c>
      <c r="EZ130" s="240" t="s">
        <v>231</v>
      </c>
      <c r="FA130" s="240" t="s">
        <v>1107</v>
      </c>
      <c r="FB130" s="240" t="s">
        <v>1107</v>
      </c>
      <c r="FC130" s="240" t="s">
        <v>231</v>
      </c>
      <c r="FD130" s="240" t="s">
        <v>1107</v>
      </c>
      <c r="FE130" s="240" t="s">
        <v>1107</v>
      </c>
      <c r="FF130" s="240" t="s">
        <v>1107</v>
      </c>
      <c r="FG130" s="240" t="s">
        <v>1107</v>
      </c>
      <c r="FH130" s="240" t="s">
        <v>1107</v>
      </c>
      <c r="FI130" s="240" t="s">
        <v>231</v>
      </c>
      <c r="FJ130" s="240" t="s">
        <v>1107</v>
      </c>
      <c r="FK130" s="240" t="s">
        <v>231</v>
      </c>
      <c r="FL130" s="240" t="s">
        <v>1107</v>
      </c>
      <c r="FM130" s="240" t="s">
        <v>231</v>
      </c>
      <c r="FN130" s="240" t="s">
        <v>231</v>
      </c>
      <c r="FO130" s="240" t="s">
        <v>231</v>
      </c>
      <c r="FP130" s="240" t="s">
        <v>1107</v>
      </c>
      <c r="FQ130" s="240" t="s">
        <v>231</v>
      </c>
      <c r="FR130" s="240" t="s">
        <v>1107</v>
      </c>
      <c r="FS130" s="240" t="s">
        <v>231</v>
      </c>
      <c r="FT130" s="240" t="s">
        <v>231</v>
      </c>
      <c r="FU130" s="240" t="s">
        <v>1107</v>
      </c>
      <c r="FV130" s="240" t="s">
        <v>1107</v>
      </c>
      <c r="FW130" s="240" t="s">
        <v>1107</v>
      </c>
      <c r="FX130" s="240" t="s">
        <v>1107</v>
      </c>
      <c r="FY130" s="240" t="s">
        <v>492</v>
      </c>
      <c r="FZ130" s="240" t="s">
        <v>231</v>
      </c>
      <c r="GA130" s="240" t="s">
        <v>1107</v>
      </c>
      <c r="GB130" s="240" t="s">
        <v>1107</v>
      </c>
      <c r="GC130" s="240" t="s">
        <v>231</v>
      </c>
      <c r="GD130" s="240" t="s">
        <v>1107</v>
      </c>
      <c r="GE130" s="240" t="s">
        <v>492</v>
      </c>
      <c r="GF130" s="240" t="s">
        <v>1107</v>
      </c>
      <c r="GG130" s="240" t="s">
        <v>1107</v>
      </c>
      <c r="GH130" s="240" t="s">
        <v>1107</v>
      </c>
      <c r="GI130" s="240" t="s">
        <v>1107</v>
      </c>
      <c r="GJ130" s="240" t="s">
        <v>1107</v>
      </c>
      <c r="GK130" s="240" t="s">
        <v>1107</v>
      </c>
      <c r="GL130" s="240" t="s">
        <v>1107</v>
      </c>
      <c r="GM130" s="240" t="s">
        <v>1107</v>
      </c>
      <c r="GN130" s="240" t="s">
        <v>1107</v>
      </c>
      <c r="GO130" s="240" t="s">
        <v>1107</v>
      </c>
      <c r="GP130" s="240" t="s">
        <v>1107</v>
      </c>
      <c r="GQ130" s="240" t="s">
        <v>1107</v>
      </c>
      <c r="GR130" s="240" t="s">
        <v>1107</v>
      </c>
      <c r="GS130" s="240" t="s">
        <v>1107</v>
      </c>
      <c r="GT130" s="240" t="s">
        <v>1107</v>
      </c>
      <c r="GU130" s="240" t="s">
        <v>1107</v>
      </c>
      <c r="GV130" s="240" t="s">
        <v>1107</v>
      </c>
      <c r="GW130" s="240" t="s">
        <v>1107</v>
      </c>
      <c r="GX130" s="240" t="s">
        <v>1107</v>
      </c>
      <c r="GY130" s="240" t="s">
        <v>1107</v>
      </c>
      <c r="GZ130" s="240" t="s">
        <v>1107</v>
      </c>
      <c r="HA130" s="240" t="s">
        <v>1107</v>
      </c>
      <c r="HB130" s="240" t="s">
        <v>1107</v>
      </c>
      <c r="HC130" s="240" t="s">
        <v>1107</v>
      </c>
      <c r="HD130" s="240" t="s">
        <v>1107</v>
      </c>
      <c r="HE130" s="240" t="s">
        <v>1107</v>
      </c>
      <c r="HF130" s="240" t="s">
        <v>1107</v>
      </c>
      <c r="HG130" s="240" t="s">
        <v>1107</v>
      </c>
      <c r="HH130" s="240" t="s">
        <v>1107</v>
      </c>
      <c r="HI130" s="240" t="s">
        <v>1107</v>
      </c>
      <c r="HJ130" s="240" t="s">
        <v>1107</v>
      </c>
      <c r="HK130" s="240" t="s">
        <v>1107</v>
      </c>
      <c r="HL130" s="240" t="s">
        <v>1107</v>
      </c>
      <c r="HM130" s="240" t="s">
        <v>1107</v>
      </c>
      <c r="HN130" s="240" t="s">
        <v>1107</v>
      </c>
      <c r="HO130" s="240" t="s">
        <v>1107</v>
      </c>
      <c r="HP130" s="240" t="s">
        <v>1107</v>
      </c>
      <c r="HQ130" s="240" t="s">
        <v>1107</v>
      </c>
      <c r="HR130" s="240" t="s">
        <v>1107</v>
      </c>
      <c r="HS130" s="240" t="s">
        <v>1107</v>
      </c>
      <c r="HT130" s="240" t="s">
        <v>231</v>
      </c>
      <c r="HU130" s="240" t="s">
        <v>231</v>
      </c>
      <c r="HV130" s="240" t="s">
        <v>231</v>
      </c>
      <c r="HW130" s="240" t="s">
        <v>231</v>
      </c>
      <c r="HX130" s="240" t="s">
        <v>220</v>
      </c>
      <c r="HY130" s="240" t="s">
        <v>493</v>
      </c>
      <c r="HZ130" s="240" t="s">
        <v>219</v>
      </c>
      <c r="IA130" s="240" t="s">
        <v>486</v>
      </c>
      <c r="IB130" s="240" t="s">
        <v>492</v>
      </c>
      <c r="IC130" s="240" t="s">
        <v>492</v>
      </c>
    </row>
    <row r="131" spans="1:237" ht="15" x14ac:dyDescent="0.25">
      <c r="A131" s="243" t="str">
        <f>HYPERLINK("http://www.ofsted.gov.uk/inspection-reports/find-inspection-report/provider/ELS/100298 ","Ofsted School Webpage")</f>
        <v>Ofsted School Webpage</v>
      </c>
      <c r="B131" s="237">
        <v>100298</v>
      </c>
      <c r="C131" s="237">
        <v>2046385</v>
      </c>
      <c r="D131" s="237" t="s">
        <v>1362</v>
      </c>
      <c r="E131" s="237" t="s">
        <v>247</v>
      </c>
      <c r="F131" s="237" t="s">
        <v>506</v>
      </c>
      <c r="G131" s="237" t="s">
        <v>506</v>
      </c>
      <c r="H131" s="237" t="s">
        <v>617</v>
      </c>
      <c r="I131" s="237" t="s">
        <v>1363</v>
      </c>
      <c r="J131" s="237" t="s">
        <v>93</v>
      </c>
      <c r="K131" s="237" t="s">
        <v>81</v>
      </c>
      <c r="L131" s="237" t="s">
        <v>81</v>
      </c>
      <c r="M131" s="237" t="s">
        <v>81</v>
      </c>
      <c r="N131" s="237" t="s">
        <v>486</v>
      </c>
      <c r="O131" s="237" t="s">
        <v>487</v>
      </c>
      <c r="P131" s="237">
        <v>10092174</v>
      </c>
      <c r="Q131" s="239">
        <v>43509</v>
      </c>
      <c r="R131" s="239">
        <v>43509</v>
      </c>
      <c r="S131" s="239">
        <v>43543</v>
      </c>
      <c r="T131" s="237" t="s">
        <v>1109</v>
      </c>
      <c r="U131" s="237" t="s">
        <v>1105</v>
      </c>
      <c r="V131" s="237" t="s">
        <v>490</v>
      </c>
      <c r="W131" s="237" t="s">
        <v>486</v>
      </c>
      <c r="X131" s="237" t="s">
        <v>486</v>
      </c>
      <c r="Y131" s="237" t="s">
        <v>486</v>
      </c>
      <c r="Z131" s="237" t="s">
        <v>486</v>
      </c>
      <c r="AA131" s="237" t="s">
        <v>486</v>
      </c>
      <c r="AB131" s="237" t="s">
        <v>486</v>
      </c>
      <c r="AC131" s="237" t="s">
        <v>486</v>
      </c>
      <c r="AD131" s="237" t="s">
        <v>1136</v>
      </c>
      <c r="AE131" s="237" t="s">
        <v>232</v>
      </c>
      <c r="AF131" s="237" t="s">
        <v>232</v>
      </c>
      <c r="AG131" s="237" t="s">
        <v>232</v>
      </c>
      <c r="AH131" s="237" t="s">
        <v>232</v>
      </c>
      <c r="AI131" s="237" t="s">
        <v>232</v>
      </c>
      <c r="AJ131" s="237" t="s">
        <v>232</v>
      </c>
      <c r="AK131" s="237" t="s">
        <v>232</v>
      </c>
      <c r="AL131" s="237" t="s">
        <v>231</v>
      </c>
      <c r="AM131" s="237" t="s">
        <v>231</v>
      </c>
      <c r="AN131" s="237" t="s">
        <v>232</v>
      </c>
      <c r="AO131" s="237" t="s">
        <v>1107</v>
      </c>
      <c r="AP131" s="237" t="s">
        <v>232</v>
      </c>
      <c r="AQ131" s="237" t="s">
        <v>231</v>
      </c>
      <c r="AR131" s="237" t="s">
        <v>231</v>
      </c>
      <c r="AS131" s="237" t="s">
        <v>231</v>
      </c>
      <c r="AT131" s="237" t="s">
        <v>231</v>
      </c>
      <c r="AU131" s="237" t="s">
        <v>232</v>
      </c>
      <c r="AV131" s="237" t="s">
        <v>492</v>
      </c>
      <c r="AW131" s="237" t="s">
        <v>231</v>
      </c>
      <c r="AX131" s="237" t="s">
        <v>231</v>
      </c>
      <c r="AY131" s="237" t="s">
        <v>232</v>
      </c>
      <c r="AZ131" s="237" t="s">
        <v>232</v>
      </c>
      <c r="BA131" s="237" t="s">
        <v>232</v>
      </c>
      <c r="BB131" s="237" t="s">
        <v>232</v>
      </c>
      <c r="BC131" s="237" t="s">
        <v>231</v>
      </c>
      <c r="BD131" s="237" t="s">
        <v>231</v>
      </c>
      <c r="BE131" s="237" t="s">
        <v>232</v>
      </c>
      <c r="BF131" s="237" t="s">
        <v>231</v>
      </c>
      <c r="BG131" s="237" t="s">
        <v>231</v>
      </c>
      <c r="BH131" s="237" t="s">
        <v>1107</v>
      </c>
      <c r="BI131" s="237" t="s">
        <v>1107</v>
      </c>
      <c r="BJ131" s="237" t="s">
        <v>1107</v>
      </c>
      <c r="BK131" s="237" t="s">
        <v>232</v>
      </c>
      <c r="BL131" s="237" t="s">
        <v>1107</v>
      </c>
      <c r="BM131" s="237" t="s">
        <v>232</v>
      </c>
      <c r="BN131" s="237" t="s">
        <v>1107</v>
      </c>
      <c r="BO131" s="237" t="s">
        <v>1107</v>
      </c>
      <c r="BP131" s="237" t="s">
        <v>1107</v>
      </c>
      <c r="BQ131" s="237" t="s">
        <v>1107</v>
      </c>
      <c r="BR131" s="237" t="s">
        <v>1107</v>
      </c>
      <c r="BS131" s="237" t="s">
        <v>232</v>
      </c>
      <c r="BT131" s="237" t="s">
        <v>1107</v>
      </c>
      <c r="BU131" s="237" t="s">
        <v>1107</v>
      </c>
      <c r="BV131" s="237" t="s">
        <v>1107</v>
      </c>
      <c r="BW131" s="237" t="s">
        <v>1107</v>
      </c>
      <c r="BX131" s="237" t="s">
        <v>1107</v>
      </c>
      <c r="BY131" s="237" t="s">
        <v>1107</v>
      </c>
      <c r="BZ131" s="237" t="s">
        <v>231</v>
      </c>
      <c r="CA131" s="237" t="s">
        <v>231</v>
      </c>
      <c r="CB131" s="237" t="s">
        <v>231</v>
      </c>
      <c r="CC131" s="237" t="s">
        <v>492</v>
      </c>
      <c r="CD131" s="237" t="s">
        <v>492</v>
      </c>
      <c r="CE131" s="237" t="s">
        <v>492</v>
      </c>
      <c r="CF131" s="237" t="s">
        <v>1107</v>
      </c>
      <c r="CG131" s="237" t="s">
        <v>1107</v>
      </c>
      <c r="CH131" s="237" t="s">
        <v>1107</v>
      </c>
      <c r="CI131" s="237" t="s">
        <v>1107</v>
      </c>
      <c r="CJ131" s="237" t="s">
        <v>1107</v>
      </c>
      <c r="CK131" s="237" t="s">
        <v>1107</v>
      </c>
      <c r="CL131" s="237" t="s">
        <v>486</v>
      </c>
      <c r="CM131" s="237" t="s">
        <v>1107</v>
      </c>
      <c r="CN131" s="237" t="s">
        <v>1107</v>
      </c>
      <c r="CO131" s="237" t="s">
        <v>1107</v>
      </c>
      <c r="CP131" s="237" t="s">
        <v>1107</v>
      </c>
      <c r="CQ131" s="237" t="s">
        <v>1107</v>
      </c>
      <c r="CR131" s="237" t="s">
        <v>1107</v>
      </c>
      <c r="CS131" s="237" t="s">
        <v>231</v>
      </c>
      <c r="CT131" s="237" t="s">
        <v>231</v>
      </c>
      <c r="CU131" s="237" t="s">
        <v>231</v>
      </c>
      <c r="CV131" s="237" t="s">
        <v>231</v>
      </c>
      <c r="CW131" s="237" t="s">
        <v>231</v>
      </c>
      <c r="CX131" s="237" t="s">
        <v>231</v>
      </c>
      <c r="CY131" s="237" t="s">
        <v>231</v>
      </c>
      <c r="CZ131" s="237" t="s">
        <v>231</v>
      </c>
      <c r="DA131" s="237" t="s">
        <v>231</v>
      </c>
      <c r="DB131" s="237" t="s">
        <v>231</v>
      </c>
      <c r="DC131" s="237" t="s">
        <v>492</v>
      </c>
      <c r="DD131" s="237" t="s">
        <v>231</v>
      </c>
      <c r="DE131" s="237" t="s">
        <v>492</v>
      </c>
      <c r="DF131" s="237" t="s">
        <v>492</v>
      </c>
      <c r="DG131" s="237" t="s">
        <v>492</v>
      </c>
      <c r="DH131" s="237" t="s">
        <v>492</v>
      </c>
      <c r="DI131" s="237" t="s">
        <v>492</v>
      </c>
      <c r="DJ131" s="237" t="s">
        <v>492</v>
      </c>
      <c r="DK131" s="237" t="s">
        <v>492</v>
      </c>
      <c r="DL131" s="237" t="s">
        <v>492</v>
      </c>
      <c r="DM131" s="237" t="s">
        <v>492</v>
      </c>
      <c r="DN131" s="237" t="s">
        <v>492</v>
      </c>
      <c r="DO131" s="237" t="s">
        <v>492</v>
      </c>
      <c r="DP131" s="237" t="s">
        <v>492</v>
      </c>
      <c r="DQ131" s="237" t="s">
        <v>492</v>
      </c>
      <c r="DR131" s="237" t="s">
        <v>492</v>
      </c>
      <c r="DS131" s="237" t="s">
        <v>492</v>
      </c>
      <c r="DT131" s="237" t="s">
        <v>492</v>
      </c>
      <c r="DU131" s="237" t="s">
        <v>492</v>
      </c>
      <c r="DV131" s="237" t="s">
        <v>492</v>
      </c>
      <c r="DW131" s="237" t="s">
        <v>492</v>
      </c>
      <c r="DX131" s="237" t="s">
        <v>492</v>
      </c>
      <c r="DY131" s="237" t="s">
        <v>492</v>
      </c>
      <c r="DZ131" s="237" t="s">
        <v>492</v>
      </c>
      <c r="EA131" s="237" t="s">
        <v>492</v>
      </c>
      <c r="EB131" s="237" t="s">
        <v>231</v>
      </c>
      <c r="EC131" s="237" t="s">
        <v>231</v>
      </c>
      <c r="ED131" s="237" t="s">
        <v>231</v>
      </c>
      <c r="EE131" s="237" t="s">
        <v>231</v>
      </c>
      <c r="EF131" s="237" t="s">
        <v>231</v>
      </c>
      <c r="EG131" s="237" t="s">
        <v>231</v>
      </c>
      <c r="EH131" s="237" t="s">
        <v>231</v>
      </c>
      <c r="EI131" s="237" t="s">
        <v>231</v>
      </c>
      <c r="EJ131" s="237" t="s">
        <v>231</v>
      </c>
      <c r="EK131" s="237" t="s">
        <v>231</v>
      </c>
      <c r="EL131" s="237" t="s">
        <v>231</v>
      </c>
      <c r="EM131" s="237" t="s">
        <v>231</v>
      </c>
      <c r="EN131" s="237" t="s">
        <v>231</v>
      </c>
      <c r="EO131" s="237" t="s">
        <v>231</v>
      </c>
      <c r="EP131" s="237" t="s">
        <v>492</v>
      </c>
      <c r="EQ131" s="237" t="s">
        <v>492</v>
      </c>
      <c r="ER131" s="237" t="s">
        <v>492</v>
      </c>
      <c r="ES131" s="237" t="s">
        <v>492</v>
      </c>
      <c r="ET131" s="237" t="s">
        <v>492</v>
      </c>
      <c r="EU131" s="237" t="s">
        <v>492</v>
      </c>
      <c r="EV131" s="237" t="s">
        <v>492</v>
      </c>
      <c r="EW131" s="237" t="s">
        <v>492</v>
      </c>
      <c r="EX131" s="237" t="s">
        <v>492</v>
      </c>
      <c r="EY131" s="237" t="s">
        <v>492</v>
      </c>
      <c r="EZ131" s="237" t="s">
        <v>1107</v>
      </c>
      <c r="FA131" s="237" t="s">
        <v>1107</v>
      </c>
      <c r="FB131" s="237" t="s">
        <v>1107</v>
      </c>
      <c r="FC131" s="237" t="s">
        <v>1107</v>
      </c>
      <c r="FD131" s="237" t="s">
        <v>1107</v>
      </c>
      <c r="FE131" s="237" t="s">
        <v>1107</v>
      </c>
      <c r="FF131" s="237" t="s">
        <v>1107</v>
      </c>
      <c r="FG131" s="237" t="s">
        <v>1107</v>
      </c>
      <c r="FH131" s="237" t="s">
        <v>1107</v>
      </c>
      <c r="FI131" s="237" t="s">
        <v>1107</v>
      </c>
      <c r="FJ131" s="237" t="s">
        <v>1107</v>
      </c>
      <c r="FK131" s="237" t="s">
        <v>1107</v>
      </c>
      <c r="FL131" s="237" t="s">
        <v>1107</v>
      </c>
      <c r="FM131" s="237" t="s">
        <v>1107</v>
      </c>
      <c r="FN131" s="237" t="s">
        <v>1107</v>
      </c>
      <c r="FO131" s="237" t="s">
        <v>1107</v>
      </c>
      <c r="FP131" s="237" t="s">
        <v>1107</v>
      </c>
      <c r="FQ131" s="237" t="s">
        <v>1107</v>
      </c>
      <c r="FR131" s="237" t="s">
        <v>1107</v>
      </c>
      <c r="FS131" s="237" t="s">
        <v>1107</v>
      </c>
      <c r="FT131" s="237" t="s">
        <v>1107</v>
      </c>
      <c r="FU131" s="237" t="s">
        <v>1107</v>
      </c>
      <c r="FV131" s="237" t="s">
        <v>1107</v>
      </c>
      <c r="FW131" s="237" t="s">
        <v>1107</v>
      </c>
      <c r="FX131" s="237" t="s">
        <v>1107</v>
      </c>
      <c r="FY131" s="237" t="s">
        <v>492</v>
      </c>
      <c r="FZ131" s="237" t="s">
        <v>492</v>
      </c>
      <c r="GA131" s="237" t="s">
        <v>1107</v>
      </c>
      <c r="GB131" s="237" t="s">
        <v>1107</v>
      </c>
      <c r="GC131" s="237" t="s">
        <v>231</v>
      </c>
      <c r="GD131" s="237" t="s">
        <v>492</v>
      </c>
      <c r="GE131" s="237" t="s">
        <v>492</v>
      </c>
      <c r="GF131" s="237" t="s">
        <v>492</v>
      </c>
      <c r="GG131" s="237" t="s">
        <v>492</v>
      </c>
      <c r="GH131" s="237" t="s">
        <v>492</v>
      </c>
      <c r="GI131" s="237" t="s">
        <v>492</v>
      </c>
      <c r="GJ131" s="237" t="s">
        <v>492</v>
      </c>
      <c r="GK131" s="237" t="s">
        <v>492</v>
      </c>
      <c r="GL131" s="237" t="s">
        <v>1107</v>
      </c>
      <c r="GM131" s="237" t="s">
        <v>1107</v>
      </c>
      <c r="GN131" s="237" t="s">
        <v>1107</v>
      </c>
      <c r="GO131" s="237" t="s">
        <v>492</v>
      </c>
      <c r="GP131" s="237" t="s">
        <v>1107</v>
      </c>
      <c r="GQ131" s="237" t="s">
        <v>486</v>
      </c>
      <c r="GR131" s="237" t="s">
        <v>1107</v>
      </c>
      <c r="GS131" s="237" t="s">
        <v>1107</v>
      </c>
      <c r="GT131" s="237" t="s">
        <v>1107</v>
      </c>
      <c r="GU131" s="237" t="s">
        <v>1107</v>
      </c>
      <c r="GV131" s="237" t="s">
        <v>1107</v>
      </c>
      <c r="GW131" s="237" t="s">
        <v>1107</v>
      </c>
      <c r="GX131" s="237" t="s">
        <v>1107</v>
      </c>
      <c r="GY131" s="237" t="s">
        <v>1107</v>
      </c>
      <c r="GZ131" s="237" t="s">
        <v>1107</v>
      </c>
      <c r="HA131" s="237" t="s">
        <v>1107</v>
      </c>
      <c r="HB131" s="237" t="s">
        <v>1107</v>
      </c>
      <c r="HC131" s="237" t="s">
        <v>486</v>
      </c>
      <c r="HD131" s="237" t="s">
        <v>1107</v>
      </c>
      <c r="HE131" s="237" t="s">
        <v>1107</v>
      </c>
      <c r="HF131" s="237" t="s">
        <v>1107</v>
      </c>
      <c r="HG131" s="237" t="s">
        <v>486</v>
      </c>
      <c r="HH131" s="237" t="s">
        <v>1107</v>
      </c>
      <c r="HI131" s="237" t="s">
        <v>1107</v>
      </c>
      <c r="HJ131" s="237" t="s">
        <v>1107</v>
      </c>
      <c r="HK131" s="237" t="s">
        <v>1107</v>
      </c>
      <c r="HL131" s="237" t="s">
        <v>1107</v>
      </c>
      <c r="HM131" s="237" t="s">
        <v>1107</v>
      </c>
      <c r="HN131" s="237" t="s">
        <v>1107</v>
      </c>
      <c r="HO131" s="237" t="s">
        <v>1107</v>
      </c>
      <c r="HP131" s="237" t="s">
        <v>1107</v>
      </c>
      <c r="HQ131" s="237" t="s">
        <v>1107</v>
      </c>
      <c r="HR131" s="237" t="s">
        <v>1107</v>
      </c>
      <c r="HS131" s="237" t="s">
        <v>1107</v>
      </c>
      <c r="HT131" s="237" t="s">
        <v>232</v>
      </c>
      <c r="HU131" s="237" t="s">
        <v>232</v>
      </c>
      <c r="HV131" s="237" t="s">
        <v>232</v>
      </c>
      <c r="HW131" s="237" t="s">
        <v>1107</v>
      </c>
      <c r="HX131" s="237" t="s">
        <v>220</v>
      </c>
      <c r="HY131" s="237" t="s">
        <v>493</v>
      </c>
      <c r="HZ131" s="237" t="s">
        <v>219</v>
      </c>
      <c r="IA131" s="237" t="s">
        <v>512</v>
      </c>
      <c r="IB131" s="237" t="s">
        <v>231</v>
      </c>
      <c r="IC131" s="237" t="s">
        <v>492</v>
      </c>
    </row>
    <row r="132" spans="1:237" ht="15" x14ac:dyDescent="0.25">
      <c r="A132" s="244" t="str">
        <f>HYPERLINK("http://www.ofsted.gov.uk/inspection-reports/find-inspection-report/provider/ELS/144619 ","Ofsted School Webpage")</f>
        <v>Ofsted School Webpage</v>
      </c>
      <c r="B132" s="240">
        <v>144619</v>
      </c>
      <c r="C132" s="240">
        <v>8556040</v>
      </c>
      <c r="D132" s="240" t="s">
        <v>1364</v>
      </c>
      <c r="E132" s="240" t="s">
        <v>248</v>
      </c>
      <c r="F132" s="240" t="s">
        <v>572</v>
      </c>
      <c r="G132" s="240" t="s">
        <v>572</v>
      </c>
      <c r="H132" s="240" t="s">
        <v>966</v>
      </c>
      <c r="I132" s="240" t="s">
        <v>1365</v>
      </c>
      <c r="J132" s="240" t="s">
        <v>93</v>
      </c>
      <c r="K132" s="240" t="s">
        <v>93</v>
      </c>
      <c r="L132" s="240" t="s">
        <v>93</v>
      </c>
      <c r="M132" s="240" t="s">
        <v>90</v>
      </c>
      <c r="N132" s="240" t="s">
        <v>486</v>
      </c>
      <c r="O132" s="240" t="s">
        <v>487</v>
      </c>
      <c r="P132" s="240">
        <v>10092883</v>
      </c>
      <c r="Q132" s="242">
        <v>43522</v>
      </c>
      <c r="R132" s="242">
        <v>43522</v>
      </c>
      <c r="S132" s="242">
        <v>43549</v>
      </c>
      <c r="T132" s="240" t="s">
        <v>1104</v>
      </c>
      <c r="U132" s="240" t="s">
        <v>1105</v>
      </c>
      <c r="V132" s="240" t="s">
        <v>490</v>
      </c>
      <c r="W132" s="240" t="s">
        <v>486</v>
      </c>
      <c r="X132" s="240" t="s">
        <v>486</v>
      </c>
      <c r="Y132" s="240" t="s">
        <v>486</v>
      </c>
      <c r="Z132" s="240" t="s">
        <v>486</v>
      </c>
      <c r="AA132" s="240" t="s">
        <v>486</v>
      </c>
      <c r="AB132" s="240" t="s">
        <v>486</v>
      </c>
      <c r="AC132" s="240" t="s">
        <v>486</v>
      </c>
      <c r="AD132" s="240" t="s">
        <v>1106</v>
      </c>
      <c r="AE132" s="240" t="s">
        <v>1107</v>
      </c>
      <c r="AF132" s="240" t="s">
        <v>1107</v>
      </c>
      <c r="AG132" s="240" t="s">
        <v>1107</v>
      </c>
      <c r="AH132" s="240" t="s">
        <v>1107</v>
      </c>
      <c r="AI132" s="240" t="s">
        <v>1107</v>
      </c>
      <c r="AJ132" s="240" t="s">
        <v>1107</v>
      </c>
      <c r="AK132" s="240" t="s">
        <v>1107</v>
      </c>
      <c r="AL132" s="240" t="s">
        <v>1107</v>
      </c>
      <c r="AM132" s="240" t="s">
        <v>1107</v>
      </c>
      <c r="AN132" s="240" t="s">
        <v>1107</v>
      </c>
      <c r="AO132" s="240" t="s">
        <v>1107</v>
      </c>
      <c r="AP132" s="240" t="s">
        <v>1107</v>
      </c>
      <c r="AQ132" s="240" t="s">
        <v>1107</v>
      </c>
      <c r="AR132" s="240" t="s">
        <v>1107</v>
      </c>
      <c r="AS132" s="240" t="s">
        <v>1107</v>
      </c>
      <c r="AT132" s="240" t="s">
        <v>1107</v>
      </c>
      <c r="AU132" s="240" t="s">
        <v>1107</v>
      </c>
      <c r="AV132" s="240" t="s">
        <v>1107</v>
      </c>
      <c r="AW132" s="240" t="s">
        <v>1107</v>
      </c>
      <c r="AX132" s="240" t="s">
        <v>1107</v>
      </c>
      <c r="AY132" s="240" t="s">
        <v>1107</v>
      </c>
      <c r="AZ132" s="240" t="s">
        <v>1107</v>
      </c>
      <c r="BA132" s="240" t="s">
        <v>1107</v>
      </c>
      <c r="BB132" s="240" t="s">
        <v>1107</v>
      </c>
      <c r="BC132" s="240" t="s">
        <v>1107</v>
      </c>
      <c r="BD132" s="240" t="s">
        <v>1107</v>
      </c>
      <c r="BE132" s="240" t="s">
        <v>1107</v>
      </c>
      <c r="BF132" s="240" t="s">
        <v>1107</v>
      </c>
      <c r="BG132" s="240" t="s">
        <v>1107</v>
      </c>
      <c r="BH132" s="240" t="s">
        <v>1107</v>
      </c>
      <c r="BI132" s="240" t="s">
        <v>1107</v>
      </c>
      <c r="BJ132" s="240" t="s">
        <v>1107</v>
      </c>
      <c r="BK132" s="240" t="s">
        <v>1107</v>
      </c>
      <c r="BL132" s="240" t="s">
        <v>1107</v>
      </c>
      <c r="BM132" s="240" t="s">
        <v>1107</v>
      </c>
      <c r="BN132" s="240" t="s">
        <v>1107</v>
      </c>
      <c r="BO132" s="240" t="s">
        <v>1107</v>
      </c>
      <c r="BP132" s="240" t="s">
        <v>1107</v>
      </c>
      <c r="BQ132" s="240" t="s">
        <v>1107</v>
      </c>
      <c r="BR132" s="240" t="s">
        <v>1107</v>
      </c>
      <c r="BS132" s="240" t="s">
        <v>1107</v>
      </c>
      <c r="BT132" s="240" t="s">
        <v>1107</v>
      </c>
      <c r="BU132" s="240" t="s">
        <v>1107</v>
      </c>
      <c r="BV132" s="240" t="s">
        <v>1107</v>
      </c>
      <c r="BW132" s="240" t="s">
        <v>1107</v>
      </c>
      <c r="BX132" s="240" t="s">
        <v>1107</v>
      </c>
      <c r="BY132" s="240" t="s">
        <v>1107</v>
      </c>
      <c r="BZ132" s="240" t="s">
        <v>231</v>
      </c>
      <c r="CA132" s="240" t="s">
        <v>231</v>
      </c>
      <c r="CB132" s="240" t="s">
        <v>231</v>
      </c>
      <c r="CC132" s="240" t="s">
        <v>1107</v>
      </c>
      <c r="CD132" s="240" t="s">
        <v>1107</v>
      </c>
      <c r="CE132" s="240" t="s">
        <v>1107</v>
      </c>
      <c r="CF132" s="240" t="s">
        <v>1107</v>
      </c>
      <c r="CG132" s="240" t="s">
        <v>1107</v>
      </c>
      <c r="CH132" s="240" t="s">
        <v>1107</v>
      </c>
      <c r="CI132" s="240" t="s">
        <v>1107</v>
      </c>
      <c r="CJ132" s="240" t="s">
        <v>1107</v>
      </c>
      <c r="CK132" s="240" t="s">
        <v>231</v>
      </c>
      <c r="CL132" s="240" t="s">
        <v>231</v>
      </c>
      <c r="CM132" s="240" t="s">
        <v>1107</v>
      </c>
      <c r="CN132" s="240" t="s">
        <v>231</v>
      </c>
      <c r="CO132" s="240" t="s">
        <v>1107</v>
      </c>
      <c r="CP132" s="240" t="s">
        <v>231</v>
      </c>
      <c r="CQ132" s="240" t="s">
        <v>231</v>
      </c>
      <c r="CR132" s="240" t="s">
        <v>231</v>
      </c>
      <c r="CS132" s="240" t="s">
        <v>231</v>
      </c>
      <c r="CT132" s="240" t="s">
        <v>231</v>
      </c>
      <c r="CU132" s="240" t="s">
        <v>231</v>
      </c>
      <c r="CV132" s="240" t="s">
        <v>231</v>
      </c>
      <c r="CW132" s="240" t="s">
        <v>231</v>
      </c>
      <c r="CX132" s="240" t="s">
        <v>231</v>
      </c>
      <c r="CY132" s="240" t="s">
        <v>231</v>
      </c>
      <c r="CZ132" s="240" t="s">
        <v>231</v>
      </c>
      <c r="DA132" s="240" t="s">
        <v>231</v>
      </c>
      <c r="DB132" s="240" t="s">
        <v>231</v>
      </c>
      <c r="DC132" s="240" t="s">
        <v>492</v>
      </c>
      <c r="DD132" s="240" t="s">
        <v>231</v>
      </c>
      <c r="DE132" s="240" t="s">
        <v>231</v>
      </c>
      <c r="DF132" s="240" t="s">
        <v>231</v>
      </c>
      <c r="DG132" s="240" t="s">
        <v>231</v>
      </c>
      <c r="DH132" s="240" t="s">
        <v>231</v>
      </c>
      <c r="DI132" s="240" t="s">
        <v>231</v>
      </c>
      <c r="DJ132" s="240" t="s">
        <v>231</v>
      </c>
      <c r="DK132" s="240" t="s">
        <v>231</v>
      </c>
      <c r="DL132" s="240" t="s">
        <v>231</v>
      </c>
      <c r="DM132" s="240" t="s">
        <v>231</v>
      </c>
      <c r="DN132" s="240" t="s">
        <v>231</v>
      </c>
      <c r="DO132" s="240" t="s">
        <v>231</v>
      </c>
      <c r="DP132" s="240" t="s">
        <v>231</v>
      </c>
      <c r="DQ132" s="240" t="s">
        <v>492</v>
      </c>
      <c r="DR132" s="240" t="s">
        <v>231</v>
      </c>
      <c r="DS132" s="240" t="s">
        <v>492</v>
      </c>
      <c r="DT132" s="240" t="s">
        <v>492</v>
      </c>
      <c r="DU132" s="240" t="s">
        <v>492</v>
      </c>
      <c r="DV132" s="240" t="s">
        <v>492</v>
      </c>
      <c r="DW132" s="240" t="s">
        <v>492</v>
      </c>
      <c r="DX132" s="240" t="s">
        <v>492</v>
      </c>
      <c r="DY132" s="240" t="s">
        <v>492</v>
      </c>
      <c r="DZ132" s="240" t="s">
        <v>492</v>
      </c>
      <c r="EA132" s="240" t="s">
        <v>492</v>
      </c>
      <c r="EB132" s="240" t="s">
        <v>231</v>
      </c>
      <c r="EC132" s="240" t="s">
        <v>231</v>
      </c>
      <c r="ED132" s="240" t="s">
        <v>231</v>
      </c>
      <c r="EE132" s="240" t="s">
        <v>231</v>
      </c>
      <c r="EF132" s="240" t="s">
        <v>231</v>
      </c>
      <c r="EG132" s="240" t="s">
        <v>231</v>
      </c>
      <c r="EH132" s="240" t="s">
        <v>231</v>
      </c>
      <c r="EI132" s="240" t="s">
        <v>231</v>
      </c>
      <c r="EJ132" s="240" t="s">
        <v>231</v>
      </c>
      <c r="EK132" s="240" t="s">
        <v>231</v>
      </c>
      <c r="EL132" s="240" t="s">
        <v>231</v>
      </c>
      <c r="EM132" s="240" t="s">
        <v>231</v>
      </c>
      <c r="EN132" s="240" t="s">
        <v>231</v>
      </c>
      <c r="EO132" s="240" t="s">
        <v>492</v>
      </c>
      <c r="EP132" s="240" t="s">
        <v>231</v>
      </c>
      <c r="EQ132" s="240" t="s">
        <v>231</v>
      </c>
      <c r="ER132" s="240" t="s">
        <v>231</v>
      </c>
      <c r="ES132" s="240" t="s">
        <v>231</v>
      </c>
      <c r="ET132" s="240" t="s">
        <v>231</v>
      </c>
      <c r="EU132" s="240" t="s">
        <v>231</v>
      </c>
      <c r="EV132" s="240" t="s">
        <v>492</v>
      </c>
      <c r="EW132" s="240" t="s">
        <v>492</v>
      </c>
      <c r="EX132" s="240" t="s">
        <v>492</v>
      </c>
      <c r="EY132" s="240" t="s">
        <v>492</v>
      </c>
      <c r="EZ132" s="240" t="s">
        <v>231</v>
      </c>
      <c r="FA132" s="240" t="s">
        <v>231</v>
      </c>
      <c r="FB132" s="240" t="s">
        <v>231</v>
      </c>
      <c r="FC132" s="240" t="s">
        <v>231</v>
      </c>
      <c r="FD132" s="240" t="s">
        <v>231</v>
      </c>
      <c r="FE132" s="240" t="s">
        <v>231</v>
      </c>
      <c r="FF132" s="240" t="s">
        <v>231</v>
      </c>
      <c r="FG132" s="240" t="s">
        <v>492</v>
      </c>
      <c r="FH132" s="240" t="s">
        <v>231</v>
      </c>
      <c r="FI132" s="240" t="s">
        <v>231</v>
      </c>
      <c r="FJ132" s="240" t="s">
        <v>231</v>
      </c>
      <c r="FK132" s="240" t="s">
        <v>231</v>
      </c>
      <c r="FL132" s="240" t="s">
        <v>231</v>
      </c>
      <c r="FM132" s="240" t="s">
        <v>231</v>
      </c>
      <c r="FN132" s="240" t="s">
        <v>231</v>
      </c>
      <c r="FO132" s="240" t="s">
        <v>231</v>
      </c>
      <c r="FP132" s="240" t="s">
        <v>231</v>
      </c>
      <c r="FQ132" s="240" t="s">
        <v>231</v>
      </c>
      <c r="FR132" s="240" t="s">
        <v>231</v>
      </c>
      <c r="FS132" s="240" t="s">
        <v>231</v>
      </c>
      <c r="FT132" s="240" t="s">
        <v>231</v>
      </c>
      <c r="FU132" s="240" t="s">
        <v>231</v>
      </c>
      <c r="FV132" s="240" t="s">
        <v>231</v>
      </c>
      <c r="FW132" s="240" t="s">
        <v>231</v>
      </c>
      <c r="FX132" s="240" t="s">
        <v>231</v>
      </c>
      <c r="FY132" s="240" t="s">
        <v>492</v>
      </c>
      <c r="FZ132" s="240" t="s">
        <v>1107</v>
      </c>
      <c r="GA132" s="240" t="s">
        <v>1107</v>
      </c>
      <c r="GB132" s="240" t="s">
        <v>1107</v>
      </c>
      <c r="GC132" s="240" t="s">
        <v>1107</v>
      </c>
      <c r="GD132" s="240" t="s">
        <v>1107</v>
      </c>
      <c r="GE132" s="240" t="s">
        <v>1107</v>
      </c>
      <c r="GF132" s="240" t="s">
        <v>1107</v>
      </c>
      <c r="GG132" s="240" t="s">
        <v>1107</v>
      </c>
      <c r="GH132" s="240" t="s">
        <v>1107</v>
      </c>
      <c r="GI132" s="240" t="s">
        <v>1107</v>
      </c>
      <c r="GJ132" s="240" t="s">
        <v>1107</v>
      </c>
      <c r="GK132" s="240" t="s">
        <v>1107</v>
      </c>
      <c r="GL132" s="240" t="s">
        <v>1107</v>
      </c>
      <c r="GM132" s="240" t="s">
        <v>1107</v>
      </c>
      <c r="GN132" s="240" t="s">
        <v>1107</v>
      </c>
      <c r="GO132" s="240" t="s">
        <v>1107</v>
      </c>
      <c r="GP132" s="240" t="s">
        <v>1107</v>
      </c>
      <c r="GQ132" s="240" t="s">
        <v>1107</v>
      </c>
      <c r="GR132" s="240" t="s">
        <v>1107</v>
      </c>
      <c r="GS132" s="240" t="s">
        <v>1107</v>
      </c>
      <c r="GT132" s="240" t="s">
        <v>1107</v>
      </c>
      <c r="GU132" s="240" t="s">
        <v>1107</v>
      </c>
      <c r="GV132" s="240" t="s">
        <v>1107</v>
      </c>
      <c r="GW132" s="240" t="s">
        <v>1107</v>
      </c>
      <c r="GX132" s="240" t="s">
        <v>1107</v>
      </c>
      <c r="GY132" s="240" t="s">
        <v>1107</v>
      </c>
      <c r="GZ132" s="240" t="s">
        <v>1107</v>
      </c>
      <c r="HA132" s="240" t="s">
        <v>1107</v>
      </c>
      <c r="HB132" s="240" t="s">
        <v>1107</v>
      </c>
      <c r="HC132" s="240" t="s">
        <v>1107</v>
      </c>
      <c r="HD132" s="240" t="s">
        <v>1107</v>
      </c>
      <c r="HE132" s="240" t="s">
        <v>1107</v>
      </c>
      <c r="HF132" s="240" t="s">
        <v>1107</v>
      </c>
      <c r="HG132" s="240" t="s">
        <v>1107</v>
      </c>
      <c r="HH132" s="240" t="s">
        <v>1107</v>
      </c>
      <c r="HI132" s="240" t="s">
        <v>1107</v>
      </c>
      <c r="HJ132" s="240" t="s">
        <v>1107</v>
      </c>
      <c r="HK132" s="240" t="s">
        <v>1107</v>
      </c>
      <c r="HL132" s="240" t="s">
        <v>1107</v>
      </c>
      <c r="HM132" s="240" t="s">
        <v>1107</v>
      </c>
      <c r="HN132" s="240" t="s">
        <v>1107</v>
      </c>
      <c r="HO132" s="240" t="s">
        <v>1107</v>
      </c>
      <c r="HP132" s="240" t="s">
        <v>1107</v>
      </c>
      <c r="HQ132" s="240" t="s">
        <v>1107</v>
      </c>
      <c r="HR132" s="240" t="s">
        <v>1107</v>
      </c>
      <c r="HS132" s="240" t="s">
        <v>1107</v>
      </c>
      <c r="HT132" s="240" t="s">
        <v>231</v>
      </c>
      <c r="HU132" s="240" t="s">
        <v>231</v>
      </c>
      <c r="HV132" s="240" t="s">
        <v>231</v>
      </c>
      <c r="HW132" s="240" t="s">
        <v>231</v>
      </c>
      <c r="HX132" s="240" t="s">
        <v>220</v>
      </c>
      <c r="HY132" s="240" t="s">
        <v>493</v>
      </c>
      <c r="HZ132" s="240" t="s">
        <v>219</v>
      </c>
      <c r="IA132" s="240" t="s">
        <v>490</v>
      </c>
      <c r="IB132" s="240" t="s">
        <v>1107</v>
      </c>
      <c r="IC132" s="240" t="s">
        <v>1107</v>
      </c>
    </row>
    <row r="133" spans="1:237" ht="15" x14ac:dyDescent="0.25">
      <c r="A133" s="243" t="str">
        <f>HYPERLINK("http://www.ofsted.gov.uk/inspection-reports/find-inspection-report/provider/ELS/143839 ","Ofsted School Webpage")</f>
        <v>Ofsted School Webpage</v>
      </c>
      <c r="B133" s="237">
        <v>143839</v>
      </c>
      <c r="C133" s="237">
        <v>8606044</v>
      </c>
      <c r="D133" s="237" t="s">
        <v>1366</v>
      </c>
      <c r="E133" s="237" t="s">
        <v>248</v>
      </c>
      <c r="F133" s="237" t="s">
        <v>502</v>
      </c>
      <c r="G133" s="237" t="s">
        <v>502</v>
      </c>
      <c r="H133" s="237" t="s">
        <v>652</v>
      </c>
      <c r="I133" s="237" t="s">
        <v>1367</v>
      </c>
      <c r="J133" s="237" t="s">
        <v>93</v>
      </c>
      <c r="K133" s="237" t="s">
        <v>93</v>
      </c>
      <c r="L133" s="237" t="s">
        <v>93</v>
      </c>
      <c r="M133" s="237" t="s">
        <v>90</v>
      </c>
      <c r="N133" s="237" t="s">
        <v>486</v>
      </c>
      <c r="O133" s="237" t="s">
        <v>487</v>
      </c>
      <c r="P133" s="237">
        <v>10093687</v>
      </c>
      <c r="Q133" s="239">
        <v>43522</v>
      </c>
      <c r="R133" s="239">
        <v>43522</v>
      </c>
      <c r="S133" s="239">
        <v>43542</v>
      </c>
      <c r="T133" s="237" t="s">
        <v>1104</v>
      </c>
      <c r="U133" s="237" t="s">
        <v>1105</v>
      </c>
      <c r="V133" s="237" t="s">
        <v>490</v>
      </c>
      <c r="W133" s="237" t="s">
        <v>486</v>
      </c>
      <c r="X133" s="237" t="s">
        <v>486</v>
      </c>
      <c r="Y133" s="237" t="s">
        <v>486</v>
      </c>
      <c r="Z133" s="237" t="s">
        <v>486</v>
      </c>
      <c r="AA133" s="237" t="s">
        <v>486</v>
      </c>
      <c r="AB133" s="237" t="s">
        <v>486</v>
      </c>
      <c r="AC133" s="237" t="s">
        <v>486</v>
      </c>
      <c r="AD133" s="237" t="s">
        <v>1106</v>
      </c>
      <c r="AE133" s="237" t="s">
        <v>1107</v>
      </c>
      <c r="AF133" s="237" t="s">
        <v>1107</v>
      </c>
      <c r="AG133" s="237" t="s">
        <v>1107</v>
      </c>
      <c r="AH133" s="237" t="s">
        <v>1107</v>
      </c>
      <c r="AI133" s="237" t="s">
        <v>1107</v>
      </c>
      <c r="AJ133" s="237" t="s">
        <v>1107</v>
      </c>
      <c r="AK133" s="237" t="s">
        <v>1107</v>
      </c>
      <c r="AL133" s="237" t="s">
        <v>1107</v>
      </c>
      <c r="AM133" s="237" t="s">
        <v>1107</v>
      </c>
      <c r="AN133" s="237" t="s">
        <v>1107</v>
      </c>
      <c r="AO133" s="237" t="s">
        <v>1107</v>
      </c>
      <c r="AP133" s="237" t="s">
        <v>1107</v>
      </c>
      <c r="AQ133" s="237" t="s">
        <v>1107</v>
      </c>
      <c r="AR133" s="237" t="s">
        <v>1107</v>
      </c>
      <c r="AS133" s="237" t="s">
        <v>1107</v>
      </c>
      <c r="AT133" s="237" t="s">
        <v>1107</v>
      </c>
      <c r="AU133" s="237" t="s">
        <v>1107</v>
      </c>
      <c r="AV133" s="237" t="s">
        <v>1107</v>
      </c>
      <c r="AW133" s="237" t="s">
        <v>1107</v>
      </c>
      <c r="AX133" s="237" t="s">
        <v>1107</v>
      </c>
      <c r="AY133" s="237" t="s">
        <v>1107</v>
      </c>
      <c r="AZ133" s="237" t="s">
        <v>1107</v>
      </c>
      <c r="BA133" s="237" t="s">
        <v>1107</v>
      </c>
      <c r="BB133" s="237" t="s">
        <v>1107</v>
      </c>
      <c r="BC133" s="237" t="s">
        <v>1107</v>
      </c>
      <c r="BD133" s="237" t="s">
        <v>1107</v>
      </c>
      <c r="BE133" s="237" t="s">
        <v>1107</v>
      </c>
      <c r="BF133" s="237" t="s">
        <v>1107</v>
      </c>
      <c r="BG133" s="237" t="s">
        <v>1107</v>
      </c>
      <c r="BH133" s="237" t="s">
        <v>1107</v>
      </c>
      <c r="BI133" s="237" t="s">
        <v>1107</v>
      </c>
      <c r="BJ133" s="237" t="s">
        <v>1107</v>
      </c>
      <c r="BK133" s="237" t="s">
        <v>1107</v>
      </c>
      <c r="BL133" s="237" t="s">
        <v>1107</v>
      </c>
      <c r="BM133" s="237" t="s">
        <v>1107</v>
      </c>
      <c r="BN133" s="237" t="s">
        <v>1107</v>
      </c>
      <c r="BO133" s="237" t="s">
        <v>1107</v>
      </c>
      <c r="BP133" s="237" t="s">
        <v>1107</v>
      </c>
      <c r="BQ133" s="237" t="s">
        <v>1107</v>
      </c>
      <c r="BR133" s="237" t="s">
        <v>1107</v>
      </c>
      <c r="BS133" s="237" t="s">
        <v>1107</v>
      </c>
      <c r="BT133" s="237" t="s">
        <v>1107</v>
      </c>
      <c r="BU133" s="237" t="s">
        <v>1107</v>
      </c>
      <c r="BV133" s="237" t="s">
        <v>1107</v>
      </c>
      <c r="BW133" s="237" t="s">
        <v>1107</v>
      </c>
      <c r="BX133" s="237" t="s">
        <v>1107</v>
      </c>
      <c r="BY133" s="237" t="s">
        <v>1107</v>
      </c>
      <c r="BZ133" s="237" t="s">
        <v>231</v>
      </c>
      <c r="CA133" s="237" t="s">
        <v>231</v>
      </c>
      <c r="CB133" s="237" t="s">
        <v>231</v>
      </c>
      <c r="CC133" s="237" t="s">
        <v>492</v>
      </c>
      <c r="CD133" s="237" t="s">
        <v>492</v>
      </c>
      <c r="CE133" s="237" t="s">
        <v>492</v>
      </c>
      <c r="CF133" s="237" t="s">
        <v>231</v>
      </c>
      <c r="CG133" s="237" t="s">
        <v>231</v>
      </c>
      <c r="CH133" s="237" t="s">
        <v>231</v>
      </c>
      <c r="CI133" s="237" t="s">
        <v>231</v>
      </c>
      <c r="CJ133" s="237" t="s">
        <v>231</v>
      </c>
      <c r="CK133" s="237" t="s">
        <v>231</v>
      </c>
      <c r="CL133" s="237" t="s">
        <v>231</v>
      </c>
      <c r="CM133" s="237" t="s">
        <v>231</v>
      </c>
      <c r="CN133" s="237" t="s">
        <v>231</v>
      </c>
      <c r="CO133" s="237" t="s">
        <v>231</v>
      </c>
      <c r="CP133" s="237" t="s">
        <v>231</v>
      </c>
      <c r="CQ133" s="237" t="s">
        <v>231</v>
      </c>
      <c r="CR133" s="237" t="s">
        <v>231</v>
      </c>
      <c r="CS133" s="237" t="s">
        <v>1107</v>
      </c>
      <c r="CT133" s="237" t="s">
        <v>1107</v>
      </c>
      <c r="CU133" s="237" t="s">
        <v>1107</v>
      </c>
      <c r="CV133" s="237" t="s">
        <v>1107</v>
      </c>
      <c r="CW133" s="237" t="s">
        <v>1107</v>
      </c>
      <c r="CX133" s="237" t="s">
        <v>1107</v>
      </c>
      <c r="CY133" s="237" t="s">
        <v>1107</v>
      </c>
      <c r="CZ133" s="237" t="s">
        <v>1107</v>
      </c>
      <c r="DA133" s="237" t="s">
        <v>1107</v>
      </c>
      <c r="DB133" s="237" t="s">
        <v>1107</v>
      </c>
      <c r="DC133" s="237" t="s">
        <v>1107</v>
      </c>
      <c r="DD133" s="237" t="s">
        <v>1107</v>
      </c>
      <c r="DE133" s="237" t="s">
        <v>1107</v>
      </c>
      <c r="DF133" s="237" t="s">
        <v>1107</v>
      </c>
      <c r="DG133" s="237" t="s">
        <v>1107</v>
      </c>
      <c r="DH133" s="237" t="s">
        <v>1107</v>
      </c>
      <c r="DI133" s="237" t="s">
        <v>1107</v>
      </c>
      <c r="DJ133" s="237" t="s">
        <v>1107</v>
      </c>
      <c r="DK133" s="237" t="s">
        <v>1107</v>
      </c>
      <c r="DL133" s="237" t="s">
        <v>1107</v>
      </c>
      <c r="DM133" s="237" t="s">
        <v>1107</v>
      </c>
      <c r="DN133" s="237" t="s">
        <v>1107</v>
      </c>
      <c r="DO133" s="237" t="s">
        <v>1107</v>
      </c>
      <c r="DP133" s="237" t="s">
        <v>1107</v>
      </c>
      <c r="DQ133" s="237" t="s">
        <v>1107</v>
      </c>
      <c r="DR133" s="237" t="s">
        <v>1107</v>
      </c>
      <c r="DS133" s="237" t="s">
        <v>1107</v>
      </c>
      <c r="DT133" s="237" t="s">
        <v>1107</v>
      </c>
      <c r="DU133" s="237" t="s">
        <v>1107</v>
      </c>
      <c r="DV133" s="237" t="s">
        <v>1107</v>
      </c>
      <c r="DW133" s="237" t="s">
        <v>1107</v>
      </c>
      <c r="DX133" s="237" t="s">
        <v>1107</v>
      </c>
      <c r="DY133" s="237" t="s">
        <v>1107</v>
      </c>
      <c r="DZ133" s="237" t="s">
        <v>1107</v>
      </c>
      <c r="EA133" s="237" t="s">
        <v>1107</v>
      </c>
      <c r="EB133" s="237" t="s">
        <v>1107</v>
      </c>
      <c r="EC133" s="237" t="s">
        <v>1107</v>
      </c>
      <c r="ED133" s="237" t="s">
        <v>1107</v>
      </c>
      <c r="EE133" s="237" t="s">
        <v>1107</v>
      </c>
      <c r="EF133" s="237" t="s">
        <v>1107</v>
      </c>
      <c r="EG133" s="237" t="s">
        <v>1107</v>
      </c>
      <c r="EH133" s="237" t="s">
        <v>1107</v>
      </c>
      <c r="EI133" s="237" t="s">
        <v>1107</v>
      </c>
      <c r="EJ133" s="237" t="s">
        <v>1107</v>
      </c>
      <c r="EK133" s="237" t="s">
        <v>1107</v>
      </c>
      <c r="EL133" s="237" t="s">
        <v>1107</v>
      </c>
      <c r="EM133" s="237" t="s">
        <v>1107</v>
      </c>
      <c r="EN133" s="237" t="s">
        <v>1107</v>
      </c>
      <c r="EO133" s="237" t="s">
        <v>1107</v>
      </c>
      <c r="EP133" s="237" t="s">
        <v>1107</v>
      </c>
      <c r="EQ133" s="237" t="s">
        <v>1107</v>
      </c>
      <c r="ER133" s="237" t="s">
        <v>1107</v>
      </c>
      <c r="ES133" s="237" t="s">
        <v>1107</v>
      </c>
      <c r="ET133" s="237" t="s">
        <v>1107</v>
      </c>
      <c r="EU133" s="237" t="s">
        <v>1107</v>
      </c>
      <c r="EV133" s="237" t="s">
        <v>1107</v>
      </c>
      <c r="EW133" s="237" t="s">
        <v>1107</v>
      </c>
      <c r="EX133" s="237" t="s">
        <v>1107</v>
      </c>
      <c r="EY133" s="237" t="s">
        <v>1107</v>
      </c>
      <c r="EZ133" s="237" t="s">
        <v>231</v>
      </c>
      <c r="FA133" s="237" t="s">
        <v>231</v>
      </c>
      <c r="FB133" s="237" t="s">
        <v>231</v>
      </c>
      <c r="FC133" s="237" t="s">
        <v>231</v>
      </c>
      <c r="FD133" s="237" t="s">
        <v>231</v>
      </c>
      <c r="FE133" s="237" t="s">
        <v>231</v>
      </c>
      <c r="FF133" s="237" t="s">
        <v>231</v>
      </c>
      <c r="FG133" s="237" t="s">
        <v>492</v>
      </c>
      <c r="FH133" s="237" t="s">
        <v>492</v>
      </c>
      <c r="FI133" s="237" t="s">
        <v>231</v>
      </c>
      <c r="FJ133" s="237" t="s">
        <v>231</v>
      </c>
      <c r="FK133" s="237" t="s">
        <v>231</v>
      </c>
      <c r="FL133" s="237" t="s">
        <v>231</v>
      </c>
      <c r="FM133" s="237" t="s">
        <v>231</v>
      </c>
      <c r="FN133" s="237" t="s">
        <v>231</v>
      </c>
      <c r="FO133" s="237" t="s">
        <v>231</v>
      </c>
      <c r="FP133" s="237" t="s">
        <v>231</v>
      </c>
      <c r="FQ133" s="237" t="s">
        <v>231</v>
      </c>
      <c r="FR133" s="237" t="s">
        <v>231</v>
      </c>
      <c r="FS133" s="237" t="s">
        <v>231</v>
      </c>
      <c r="FT133" s="237" t="s">
        <v>231</v>
      </c>
      <c r="FU133" s="237" t="s">
        <v>231</v>
      </c>
      <c r="FV133" s="237" t="s">
        <v>231</v>
      </c>
      <c r="FW133" s="237" t="s">
        <v>231</v>
      </c>
      <c r="FX133" s="237" t="s">
        <v>231</v>
      </c>
      <c r="FY133" s="237" t="s">
        <v>492</v>
      </c>
      <c r="FZ133" s="237" t="s">
        <v>1107</v>
      </c>
      <c r="GA133" s="237" t="s">
        <v>1107</v>
      </c>
      <c r="GB133" s="237" t="s">
        <v>1107</v>
      </c>
      <c r="GC133" s="237" t="s">
        <v>231</v>
      </c>
      <c r="GD133" s="237" t="s">
        <v>1107</v>
      </c>
      <c r="GE133" s="237" t="s">
        <v>1107</v>
      </c>
      <c r="GF133" s="237" t="s">
        <v>1107</v>
      </c>
      <c r="GG133" s="237" t="s">
        <v>1107</v>
      </c>
      <c r="GH133" s="237" t="s">
        <v>1107</v>
      </c>
      <c r="GI133" s="237" t="s">
        <v>1107</v>
      </c>
      <c r="GJ133" s="237" t="s">
        <v>1107</v>
      </c>
      <c r="GK133" s="237" t="s">
        <v>1107</v>
      </c>
      <c r="GL133" s="237" t="s">
        <v>1107</v>
      </c>
      <c r="GM133" s="237" t="s">
        <v>1107</v>
      </c>
      <c r="GN133" s="237" t="s">
        <v>1107</v>
      </c>
      <c r="GO133" s="237" t="s">
        <v>1107</v>
      </c>
      <c r="GP133" s="237" t="s">
        <v>1107</v>
      </c>
      <c r="GQ133" s="237" t="s">
        <v>1107</v>
      </c>
      <c r="GR133" s="237" t="s">
        <v>1107</v>
      </c>
      <c r="GS133" s="237" t="s">
        <v>1107</v>
      </c>
      <c r="GT133" s="237" t="s">
        <v>1107</v>
      </c>
      <c r="GU133" s="237" t="s">
        <v>1107</v>
      </c>
      <c r="GV133" s="237" t="s">
        <v>1107</v>
      </c>
      <c r="GW133" s="237" t="s">
        <v>1107</v>
      </c>
      <c r="GX133" s="237" t="s">
        <v>1107</v>
      </c>
      <c r="GY133" s="237" t="s">
        <v>1107</v>
      </c>
      <c r="GZ133" s="237" t="s">
        <v>1107</v>
      </c>
      <c r="HA133" s="237" t="s">
        <v>1107</v>
      </c>
      <c r="HB133" s="237" t="s">
        <v>1107</v>
      </c>
      <c r="HC133" s="237" t="s">
        <v>1107</v>
      </c>
      <c r="HD133" s="237" t="s">
        <v>1107</v>
      </c>
      <c r="HE133" s="237" t="s">
        <v>1107</v>
      </c>
      <c r="HF133" s="237" t="s">
        <v>1107</v>
      </c>
      <c r="HG133" s="237" t="s">
        <v>1107</v>
      </c>
      <c r="HH133" s="237" t="s">
        <v>1107</v>
      </c>
      <c r="HI133" s="237" t="s">
        <v>1107</v>
      </c>
      <c r="HJ133" s="237" t="s">
        <v>1107</v>
      </c>
      <c r="HK133" s="237" t="s">
        <v>1107</v>
      </c>
      <c r="HL133" s="237" t="s">
        <v>1107</v>
      </c>
      <c r="HM133" s="237" t="s">
        <v>1107</v>
      </c>
      <c r="HN133" s="237" t="s">
        <v>1107</v>
      </c>
      <c r="HO133" s="237" t="s">
        <v>1107</v>
      </c>
      <c r="HP133" s="237" t="s">
        <v>1107</v>
      </c>
      <c r="HQ133" s="237" t="s">
        <v>1107</v>
      </c>
      <c r="HR133" s="237" t="s">
        <v>1107</v>
      </c>
      <c r="HS133" s="237" t="s">
        <v>1107</v>
      </c>
      <c r="HT133" s="237" t="s">
        <v>231</v>
      </c>
      <c r="HU133" s="237" t="s">
        <v>231</v>
      </c>
      <c r="HV133" s="237" t="s">
        <v>231</v>
      </c>
      <c r="HW133" s="237" t="s">
        <v>231</v>
      </c>
      <c r="HX133" s="237" t="s">
        <v>220</v>
      </c>
      <c r="HY133" s="237" t="s">
        <v>493</v>
      </c>
      <c r="HZ133" s="237" t="s">
        <v>219</v>
      </c>
      <c r="IA133" s="237" t="s">
        <v>490</v>
      </c>
      <c r="IB133" s="237" t="s">
        <v>1107</v>
      </c>
      <c r="IC133" s="237" t="s">
        <v>1107</v>
      </c>
    </row>
    <row r="134" spans="1:237" ht="15" x14ac:dyDescent="0.25">
      <c r="A134" s="244" t="str">
        <f>HYPERLINK("http://www.ofsted.gov.uk/inspection-reports/find-inspection-report/provider/ELS/137956 ","Ofsted School Webpage")</f>
        <v>Ofsted School Webpage</v>
      </c>
      <c r="B134" s="240">
        <v>137956</v>
      </c>
      <c r="C134" s="240">
        <v>8606039</v>
      </c>
      <c r="D134" s="240" t="s">
        <v>1368</v>
      </c>
      <c r="E134" s="240" t="s">
        <v>248</v>
      </c>
      <c r="F134" s="240" t="s">
        <v>502</v>
      </c>
      <c r="G134" s="240" t="s">
        <v>502</v>
      </c>
      <c r="H134" s="240" t="s">
        <v>652</v>
      </c>
      <c r="I134" s="240" t="s">
        <v>1369</v>
      </c>
      <c r="J134" s="240" t="s">
        <v>93</v>
      </c>
      <c r="K134" s="240" t="s">
        <v>93</v>
      </c>
      <c r="L134" s="240" t="s">
        <v>93</v>
      </c>
      <c r="M134" s="240" t="s">
        <v>90</v>
      </c>
      <c r="N134" s="240" t="s">
        <v>486</v>
      </c>
      <c r="O134" s="240" t="s">
        <v>487</v>
      </c>
      <c r="P134" s="240">
        <v>10094675</v>
      </c>
      <c r="Q134" s="242">
        <v>43524</v>
      </c>
      <c r="R134" s="242">
        <v>43524</v>
      </c>
      <c r="S134" s="242">
        <v>43550</v>
      </c>
      <c r="T134" s="240" t="s">
        <v>1109</v>
      </c>
      <c r="U134" s="240" t="s">
        <v>1105</v>
      </c>
      <c r="V134" s="240" t="s">
        <v>490</v>
      </c>
      <c r="W134" s="240" t="s">
        <v>486</v>
      </c>
      <c r="X134" s="240" t="s">
        <v>486</v>
      </c>
      <c r="Y134" s="240" t="s">
        <v>486</v>
      </c>
      <c r="Z134" s="240" t="s">
        <v>486</v>
      </c>
      <c r="AA134" s="240" t="s">
        <v>486</v>
      </c>
      <c r="AB134" s="240" t="s">
        <v>486</v>
      </c>
      <c r="AC134" s="240" t="s">
        <v>486</v>
      </c>
      <c r="AD134" s="240" t="s">
        <v>1110</v>
      </c>
      <c r="AE134" s="240" t="s">
        <v>1107</v>
      </c>
      <c r="AF134" s="240" t="s">
        <v>1107</v>
      </c>
      <c r="AG134" s="240" t="s">
        <v>1107</v>
      </c>
      <c r="AH134" s="240" t="s">
        <v>1107</v>
      </c>
      <c r="AI134" s="240" t="s">
        <v>1107</v>
      </c>
      <c r="AJ134" s="240" t="s">
        <v>1107</v>
      </c>
      <c r="AK134" s="240" t="s">
        <v>1107</v>
      </c>
      <c r="AL134" s="240" t="s">
        <v>1107</v>
      </c>
      <c r="AM134" s="240" t="s">
        <v>1107</v>
      </c>
      <c r="AN134" s="240" t="s">
        <v>1107</v>
      </c>
      <c r="AO134" s="240" t="s">
        <v>1107</v>
      </c>
      <c r="AP134" s="240" t="s">
        <v>1107</v>
      </c>
      <c r="AQ134" s="240" t="s">
        <v>1107</v>
      </c>
      <c r="AR134" s="240" t="s">
        <v>1107</v>
      </c>
      <c r="AS134" s="240" t="s">
        <v>1107</v>
      </c>
      <c r="AT134" s="240" t="s">
        <v>1107</v>
      </c>
      <c r="AU134" s="240" t="s">
        <v>1107</v>
      </c>
      <c r="AV134" s="240" t="s">
        <v>1107</v>
      </c>
      <c r="AW134" s="240" t="s">
        <v>1107</v>
      </c>
      <c r="AX134" s="240" t="s">
        <v>1107</v>
      </c>
      <c r="AY134" s="240" t="s">
        <v>231</v>
      </c>
      <c r="AZ134" s="240" t="s">
        <v>231</v>
      </c>
      <c r="BA134" s="240" t="s">
        <v>1107</v>
      </c>
      <c r="BB134" s="240" t="s">
        <v>231</v>
      </c>
      <c r="BC134" s="240" t="s">
        <v>231</v>
      </c>
      <c r="BD134" s="240" t="s">
        <v>231</v>
      </c>
      <c r="BE134" s="240" t="s">
        <v>1107</v>
      </c>
      <c r="BF134" s="240" t="s">
        <v>1107</v>
      </c>
      <c r="BG134" s="240" t="s">
        <v>1107</v>
      </c>
      <c r="BH134" s="240" t="s">
        <v>1107</v>
      </c>
      <c r="BI134" s="240" t="s">
        <v>1107</v>
      </c>
      <c r="BJ134" s="240" t="s">
        <v>1107</v>
      </c>
      <c r="BK134" s="240" t="s">
        <v>1107</v>
      </c>
      <c r="BL134" s="240" t="s">
        <v>1107</v>
      </c>
      <c r="BM134" s="240" t="s">
        <v>1107</v>
      </c>
      <c r="BN134" s="240" t="s">
        <v>1107</v>
      </c>
      <c r="BO134" s="240" t="s">
        <v>1107</v>
      </c>
      <c r="BP134" s="240" t="s">
        <v>1107</v>
      </c>
      <c r="BQ134" s="240" t="s">
        <v>1107</v>
      </c>
      <c r="BR134" s="240" t="s">
        <v>1107</v>
      </c>
      <c r="BS134" s="240" t="s">
        <v>1107</v>
      </c>
      <c r="BT134" s="240" t="s">
        <v>1107</v>
      </c>
      <c r="BU134" s="240" t="s">
        <v>1107</v>
      </c>
      <c r="BV134" s="240" t="s">
        <v>1107</v>
      </c>
      <c r="BW134" s="240" t="s">
        <v>1107</v>
      </c>
      <c r="BX134" s="240" t="s">
        <v>1107</v>
      </c>
      <c r="BY134" s="240" t="s">
        <v>1107</v>
      </c>
      <c r="BZ134" s="240" t="s">
        <v>231</v>
      </c>
      <c r="CA134" s="240" t="s">
        <v>231</v>
      </c>
      <c r="CB134" s="240" t="s">
        <v>231</v>
      </c>
      <c r="CC134" s="240" t="s">
        <v>492</v>
      </c>
      <c r="CD134" s="240" t="s">
        <v>492</v>
      </c>
      <c r="CE134" s="240" t="s">
        <v>492</v>
      </c>
      <c r="CF134" s="240" t="s">
        <v>1107</v>
      </c>
      <c r="CG134" s="240" t="s">
        <v>1107</v>
      </c>
      <c r="CH134" s="240" t="s">
        <v>1107</v>
      </c>
      <c r="CI134" s="240" t="s">
        <v>1107</v>
      </c>
      <c r="CJ134" s="240" t="s">
        <v>1107</v>
      </c>
      <c r="CK134" s="240" t="s">
        <v>1107</v>
      </c>
      <c r="CL134" s="240" t="s">
        <v>1107</v>
      </c>
      <c r="CM134" s="240" t="s">
        <v>1107</v>
      </c>
      <c r="CN134" s="240" t="s">
        <v>1107</v>
      </c>
      <c r="CO134" s="240" t="s">
        <v>1107</v>
      </c>
      <c r="CP134" s="240" t="s">
        <v>1107</v>
      </c>
      <c r="CQ134" s="240" t="s">
        <v>1107</v>
      </c>
      <c r="CR134" s="240" t="s">
        <v>1107</v>
      </c>
      <c r="CS134" s="240" t="s">
        <v>1107</v>
      </c>
      <c r="CT134" s="240" t="s">
        <v>1107</v>
      </c>
      <c r="CU134" s="240" t="s">
        <v>1107</v>
      </c>
      <c r="CV134" s="240" t="s">
        <v>1107</v>
      </c>
      <c r="CW134" s="240" t="s">
        <v>1107</v>
      </c>
      <c r="CX134" s="240" t="s">
        <v>1107</v>
      </c>
      <c r="CY134" s="240" t="s">
        <v>1107</v>
      </c>
      <c r="CZ134" s="240" t="s">
        <v>1107</v>
      </c>
      <c r="DA134" s="240" t="s">
        <v>1107</v>
      </c>
      <c r="DB134" s="240" t="s">
        <v>1107</v>
      </c>
      <c r="DC134" s="240" t="s">
        <v>1107</v>
      </c>
      <c r="DD134" s="240" t="s">
        <v>1107</v>
      </c>
      <c r="DE134" s="240" t="s">
        <v>1107</v>
      </c>
      <c r="DF134" s="240" t="s">
        <v>1107</v>
      </c>
      <c r="DG134" s="240" t="s">
        <v>1107</v>
      </c>
      <c r="DH134" s="240" t="s">
        <v>1107</v>
      </c>
      <c r="DI134" s="240" t="s">
        <v>1107</v>
      </c>
      <c r="DJ134" s="240" t="s">
        <v>1107</v>
      </c>
      <c r="DK134" s="240" t="s">
        <v>1107</v>
      </c>
      <c r="DL134" s="240" t="s">
        <v>1107</v>
      </c>
      <c r="DM134" s="240" t="s">
        <v>1107</v>
      </c>
      <c r="DN134" s="240" t="s">
        <v>1107</v>
      </c>
      <c r="DO134" s="240" t="s">
        <v>1107</v>
      </c>
      <c r="DP134" s="240" t="s">
        <v>1107</v>
      </c>
      <c r="DQ134" s="240" t="s">
        <v>1107</v>
      </c>
      <c r="DR134" s="240" t="s">
        <v>1107</v>
      </c>
      <c r="DS134" s="240" t="s">
        <v>1107</v>
      </c>
      <c r="DT134" s="240" t="s">
        <v>1107</v>
      </c>
      <c r="DU134" s="240" t="s">
        <v>1107</v>
      </c>
      <c r="DV134" s="240" t="s">
        <v>1107</v>
      </c>
      <c r="DW134" s="240" t="s">
        <v>1107</v>
      </c>
      <c r="DX134" s="240" t="s">
        <v>1107</v>
      </c>
      <c r="DY134" s="240" t="s">
        <v>1107</v>
      </c>
      <c r="DZ134" s="240" t="s">
        <v>1107</v>
      </c>
      <c r="EA134" s="240" t="s">
        <v>1107</v>
      </c>
      <c r="EB134" s="240" t="s">
        <v>1107</v>
      </c>
      <c r="EC134" s="240" t="s">
        <v>1107</v>
      </c>
      <c r="ED134" s="240" t="s">
        <v>1107</v>
      </c>
      <c r="EE134" s="240" t="s">
        <v>1107</v>
      </c>
      <c r="EF134" s="240" t="s">
        <v>1107</v>
      </c>
      <c r="EG134" s="240" t="s">
        <v>1107</v>
      </c>
      <c r="EH134" s="240" t="s">
        <v>1107</v>
      </c>
      <c r="EI134" s="240" t="s">
        <v>1107</v>
      </c>
      <c r="EJ134" s="240" t="s">
        <v>1107</v>
      </c>
      <c r="EK134" s="240" t="s">
        <v>1107</v>
      </c>
      <c r="EL134" s="240" t="s">
        <v>1107</v>
      </c>
      <c r="EM134" s="240" t="s">
        <v>1107</v>
      </c>
      <c r="EN134" s="240" t="s">
        <v>1107</v>
      </c>
      <c r="EO134" s="240" t="s">
        <v>1107</v>
      </c>
      <c r="EP134" s="240" t="s">
        <v>1107</v>
      </c>
      <c r="EQ134" s="240" t="s">
        <v>1107</v>
      </c>
      <c r="ER134" s="240" t="s">
        <v>1107</v>
      </c>
      <c r="ES134" s="240" t="s">
        <v>1107</v>
      </c>
      <c r="ET134" s="240" t="s">
        <v>1107</v>
      </c>
      <c r="EU134" s="240" t="s">
        <v>1107</v>
      </c>
      <c r="EV134" s="240" t="s">
        <v>1107</v>
      </c>
      <c r="EW134" s="240" t="s">
        <v>1107</v>
      </c>
      <c r="EX134" s="240" t="s">
        <v>1107</v>
      </c>
      <c r="EY134" s="240" t="s">
        <v>1107</v>
      </c>
      <c r="EZ134" s="240" t="s">
        <v>1107</v>
      </c>
      <c r="FA134" s="240" t="s">
        <v>1107</v>
      </c>
      <c r="FB134" s="240" t="s">
        <v>1107</v>
      </c>
      <c r="FC134" s="240" t="s">
        <v>1107</v>
      </c>
      <c r="FD134" s="240" t="s">
        <v>1107</v>
      </c>
      <c r="FE134" s="240" t="s">
        <v>1107</v>
      </c>
      <c r="FF134" s="240" t="s">
        <v>1107</v>
      </c>
      <c r="FG134" s="240" t="s">
        <v>1107</v>
      </c>
      <c r="FH134" s="240" t="s">
        <v>1107</v>
      </c>
      <c r="FI134" s="240" t="s">
        <v>1107</v>
      </c>
      <c r="FJ134" s="240" t="s">
        <v>1107</v>
      </c>
      <c r="FK134" s="240" t="s">
        <v>1107</v>
      </c>
      <c r="FL134" s="240" t="s">
        <v>1107</v>
      </c>
      <c r="FM134" s="240" t="s">
        <v>1107</v>
      </c>
      <c r="FN134" s="240" t="s">
        <v>1107</v>
      </c>
      <c r="FO134" s="240" t="s">
        <v>1107</v>
      </c>
      <c r="FP134" s="240" t="s">
        <v>1107</v>
      </c>
      <c r="FQ134" s="240" t="s">
        <v>1107</v>
      </c>
      <c r="FR134" s="240" t="s">
        <v>1107</v>
      </c>
      <c r="FS134" s="240" t="s">
        <v>1107</v>
      </c>
      <c r="FT134" s="240" t="s">
        <v>1107</v>
      </c>
      <c r="FU134" s="240" t="s">
        <v>1107</v>
      </c>
      <c r="FV134" s="240" t="s">
        <v>1107</v>
      </c>
      <c r="FW134" s="240" t="s">
        <v>1107</v>
      </c>
      <c r="FX134" s="240" t="s">
        <v>1107</v>
      </c>
      <c r="FY134" s="240" t="s">
        <v>1107</v>
      </c>
      <c r="FZ134" s="240" t="s">
        <v>1107</v>
      </c>
      <c r="GA134" s="240" t="s">
        <v>1107</v>
      </c>
      <c r="GB134" s="240" t="s">
        <v>1107</v>
      </c>
      <c r="GC134" s="240" t="s">
        <v>231</v>
      </c>
      <c r="GD134" s="240" t="s">
        <v>1107</v>
      </c>
      <c r="GE134" s="240" t="s">
        <v>1107</v>
      </c>
      <c r="GF134" s="240" t="s">
        <v>1107</v>
      </c>
      <c r="GG134" s="240" t="s">
        <v>1107</v>
      </c>
      <c r="GH134" s="240" t="s">
        <v>1107</v>
      </c>
      <c r="GI134" s="240" t="s">
        <v>1107</v>
      </c>
      <c r="GJ134" s="240" t="s">
        <v>1107</v>
      </c>
      <c r="GK134" s="240" t="s">
        <v>1107</v>
      </c>
      <c r="GL134" s="240" t="s">
        <v>1107</v>
      </c>
      <c r="GM134" s="240" t="s">
        <v>1107</v>
      </c>
      <c r="GN134" s="240" t="s">
        <v>1107</v>
      </c>
      <c r="GO134" s="240" t="s">
        <v>1107</v>
      </c>
      <c r="GP134" s="240" t="s">
        <v>1107</v>
      </c>
      <c r="GQ134" s="240" t="s">
        <v>1107</v>
      </c>
      <c r="GR134" s="240" t="s">
        <v>1107</v>
      </c>
      <c r="GS134" s="240" t="s">
        <v>1107</v>
      </c>
      <c r="GT134" s="240" t="s">
        <v>1107</v>
      </c>
      <c r="GU134" s="240" t="s">
        <v>1107</v>
      </c>
      <c r="GV134" s="240" t="s">
        <v>1107</v>
      </c>
      <c r="GW134" s="240" t="s">
        <v>1107</v>
      </c>
      <c r="GX134" s="240" t="s">
        <v>1107</v>
      </c>
      <c r="GY134" s="240" t="s">
        <v>1107</v>
      </c>
      <c r="GZ134" s="240" t="s">
        <v>1107</v>
      </c>
      <c r="HA134" s="240" t="s">
        <v>1107</v>
      </c>
      <c r="HB134" s="240" t="s">
        <v>1107</v>
      </c>
      <c r="HC134" s="240" t="s">
        <v>1107</v>
      </c>
      <c r="HD134" s="240" t="s">
        <v>1107</v>
      </c>
      <c r="HE134" s="240" t="s">
        <v>1107</v>
      </c>
      <c r="HF134" s="240" t="s">
        <v>1107</v>
      </c>
      <c r="HG134" s="240" t="s">
        <v>1107</v>
      </c>
      <c r="HH134" s="240" t="s">
        <v>1107</v>
      </c>
      <c r="HI134" s="240" t="s">
        <v>1107</v>
      </c>
      <c r="HJ134" s="240" t="s">
        <v>1107</v>
      </c>
      <c r="HK134" s="240" t="s">
        <v>1107</v>
      </c>
      <c r="HL134" s="240" t="s">
        <v>1107</v>
      </c>
      <c r="HM134" s="240" t="s">
        <v>1107</v>
      </c>
      <c r="HN134" s="240" t="s">
        <v>1107</v>
      </c>
      <c r="HO134" s="240" t="s">
        <v>1107</v>
      </c>
      <c r="HP134" s="240" t="s">
        <v>1107</v>
      </c>
      <c r="HQ134" s="240" t="s">
        <v>1107</v>
      </c>
      <c r="HR134" s="240" t="s">
        <v>1107</v>
      </c>
      <c r="HS134" s="240" t="s">
        <v>1107</v>
      </c>
      <c r="HT134" s="240" t="s">
        <v>231</v>
      </c>
      <c r="HU134" s="240" t="s">
        <v>231</v>
      </c>
      <c r="HV134" s="240" t="s">
        <v>231</v>
      </c>
      <c r="HW134" s="240" t="s">
        <v>1107</v>
      </c>
      <c r="HX134" s="240" t="s">
        <v>220</v>
      </c>
      <c r="HY134" s="240" t="s">
        <v>493</v>
      </c>
      <c r="HZ134" s="240" t="s">
        <v>219</v>
      </c>
      <c r="IA134" s="240" t="s">
        <v>490</v>
      </c>
      <c r="IB134" s="240" t="s">
        <v>492</v>
      </c>
      <c r="IC134" s="240" t="s">
        <v>492</v>
      </c>
    </row>
    <row r="135" spans="1:237" ht="15" x14ac:dyDescent="0.25">
      <c r="A135" s="243" t="str">
        <f>HYPERLINK("http://www.ofsted.gov.uk/inspection-reports/find-inspection-report/provider/ELS/135405 ","Ofsted School Webpage")</f>
        <v>Ofsted School Webpage</v>
      </c>
      <c r="B135" s="237">
        <v>135405</v>
      </c>
      <c r="C135" s="237">
        <v>9086096</v>
      </c>
      <c r="D135" s="237" t="s">
        <v>1370</v>
      </c>
      <c r="E135" s="237" t="s">
        <v>248</v>
      </c>
      <c r="F135" s="237" t="s">
        <v>483</v>
      </c>
      <c r="G135" s="237" t="s">
        <v>483</v>
      </c>
      <c r="H135" s="237" t="s">
        <v>1371</v>
      </c>
      <c r="I135" s="237" t="s">
        <v>1372</v>
      </c>
      <c r="J135" s="237" t="s">
        <v>93</v>
      </c>
      <c r="K135" s="237" t="s">
        <v>93</v>
      </c>
      <c r="L135" s="237" t="s">
        <v>93</v>
      </c>
      <c r="M135" s="237" t="s">
        <v>90</v>
      </c>
      <c r="N135" s="237" t="s">
        <v>486</v>
      </c>
      <c r="O135" s="237" t="s">
        <v>487</v>
      </c>
      <c r="P135" s="237">
        <v>10089226</v>
      </c>
      <c r="Q135" s="239">
        <v>43528</v>
      </c>
      <c r="R135" s="239">
        <v>43528</v>
      </c>
      <c r="S135" s="239">
        <v>43545</v>
      </c>
      <c r="T135" s="237" t="s">
        <v>1109</v>
      </c>
      <c r="U135" s="237" t="s">
        <v>1105</v>
      </c>
      <c r="V135" s="237" t="s">
        <v>490</v>
      </c>
      <c r="W135" s="237" t="s">
        <v>486</v>
      </c>
      <c r="X135" s="237" t="s">
        <v>486</v>
      </c>
      <c r="Y135" s="237" t="s">
        <v>486</v>
      </c>
      <c r="Z135" s="237" t="s">
        <v>486</v>
      </c>
      <c r="AA135" s="237" t="s">
        <v>486</v>
      </c>
      <c r="AB135" s="237" t="s">
        <v>486</v>
      </c>
      <c r="AC135" s="237" t="s">
        <v>486</v>
      </c>
      <c r="AD135" s="237" t="s">
        <v>1110</v>
      </c>
      <c r="AE135" s="237" t="s">
        <v>231</v>
      </c>
      <c r="AF135" s="237" t="s">
        <v>231</v>
      </c>
      <c r="AG135" s="237" t="s">
        <v>231</v>
      </c>
      <c r="AH135" s="237" t="s">
        <v>231</v>
      </c>
      <c r="AI135" s="237" t="s">
        <v>1107</v>
      </c>
      <c r="AJ135" s="237" t="s">
        <v>231</v>
      </c>
      <c r="AK135" s="237" t="s">
        <v>1107</v>
      </c>
      <c r="AL135" s="237" t="s">
        <v>1107</v>
      </c>
      <c r="AM135" s="237" t="s">
        <v>1107</v>
      </c>
      <c r="AN135" s="237" t="s">
        <v>231</v>
      </c>
      <c r="AO135" s="237" t="s">
        <v>231</v>
      </c>
      <c r="AP135" s="237" t="s">
        <v>1107</v>
      </c>
      <c r="AQ135" s="237" t="s">
        <v>1107</v>
      </c>
      <c r="AR135" s="237" t="s">
        <v>1107</v>
      </c>
      <c r="AS135" s="237" t="s">
        <v>1107</v>
      </c>
      <c r="AT135" s="237" t="s">
        <v>1107</v>
      </c>
      <c r="AU135" s="237" t="s">
        <v>1107</v>
      </c>
      <c r="AV135" s="237" t="s">
        <v>1107</v>
      </c>
      <c r="AW135" s="237" t="s">
        <v>1107</v>
      </c>
      <c r="AX135" s="237" t="s">
        <v>1107</v>
      </c>
      <c r="AY135" s="237" t="s">
        <v>231</v>
      </c>
      <c r="AZ135" s="237" t="s">
        <v>231</v>
      </c>
      <c r="BA135" s="237" t="s">
        <v>231</v>
      </c>
      <c r="BB135" s="237" t="s">
        <v>231</v>
      </c>
      <c r="BC135" s="237" t="s">
        <v>231</v>
      </c>
      <c r="BD135" s="237" t="s">
        <v>231</v>
      </c>
      <c r="BE135" s="237" t="s">
        <v>231</v>
      </c>
      <c r="BF135" s="237" t="s">
        <v>231</v>
      </c>
      <c r="BG135" s="237" t="s">
        <v>1107</v>
      </c>
      <c r="BH135" s="237" t="s">
        <v>1107</v>
      </c>
      <c r="BI135" s="237" t="s">
        <v>1107</v>
      </c>
      <c r="BJ135" s="237" t="s">
        <v>231</v>
      </c>
      <c r="BK135" s="237" t="s">
        <v>231</v>
      </c>
      <c r="BL135" s="237" t="s">
        <v>1107</v>
      </c>
      <c r="BM135" s="237" t="s">
        <v>231</v>
      </c>
      <c r="BN135" s="237" t="s">
        <v>1107</v>
      </c>
      <c r="BO135" s="237" t="s">
        <v>1107</v>
      </c>
      <c r="BP135" s="237" t="s">
        <v>1107</v>
      </c>
      <c r="BQ135" s="237" t="s">
        <v>1107</v>
      </c>
      <c r="BR135" s="237" t="s">
        <v>231</v>
      </c>
      <c r="BS135" s="237" t="s">
        <v>1107</v>
      </c>
      <c r="BT135" s="237" t="s">
        <v>1107</v>
      </c>
      <c r="BU135" s="237" t="s">
        <v>1107</v>
      </c>
      <c r="BV135" s="237" t="s">
        <v>1107</v>
      </c>
      <c r="BW135" s="237" t="s">
        <v>1107</v>
      </c>
      <c r="BX135" s="237" t="s">
        <v>1107</v>
      </c>
      <c r="BY135" s="237" t="s">
        <v>1107</v>
      </c>
      <c r="BZ135" s="237" t="s">
        <v>1107</v>
      </c>
      <c r="CA135" s="237" t="s">
        <v>1107</v>
      </c>
      <c r="CB135" s="237" t="s">
        <v>1107</v>
      </c>
      <c r="CC135" s="237" t="s">
        <v>492</v>
      </c>
      <c r="CD135" s="237" t="s">
        <v>492</v>
      </c>
      <c r="CE135" s="237" t="s">
        <v>492</v>
      </c>
      <c r="CF135" s="237" t="s">
        <v>1107</v>
      </c>
      <c r="CG135" s="237" t="s">
        <v>1107</v>
      </c>
      <c r="CH135" s="237" t="s">
        <v>1107</v>
      </c>
      <c r="CI135" s="237" t="s">
        <v>1107</v>
      </c>
      <c r="CJ135" s="237" t="s">
        <v>1107</v>
      </c>
      <c r="CK135" s="237" t="s">
        <v>1107</v>
      </c>
      <c r="CL135" s="237" t="s">
        <v>1107</v>
      </c>
      <c r="CM135" s="237" t="s">
        <v>1107</v>
      </c>
      <c r="CN135" s="237" t="s">
        <v>1107</v>
      </c>
      <c r="CO135" s="237" t="s">
        <v>1107</v>
      </c>
      <c r="CP135" s="237" t="s">
        <v>1107</v>
      </c>
      <c r="CQ135" s="237" t="s">
        <v>1107</v>
      </c>
      <c r="CR135" s="237" t="s">
        <v>1107</v>
      </c>
      <c r="CS135" s="237" t="s">
        <v>1107</v>
      </c>
      <c r="CT135" s="237" t="s">
        <v>1107</v>
      </c>
      <c r="CU135" s="237" t="s">
        <v>1107</v>
      </c>
      <c r="CV135" s="237" t="s">
        <v>1107</v>
      </c>
      <c r="CW135" s="237" t="s">
        <v>1107</v>
      </c>
      <c r="CX135" s="237" t="s">
        <v>1107</v>
      </c>
      <c r="CY135" s="237" t="s">
        <v>1107</v>
      </c>
      <c r="CZ135" s="237" t="s">
        <v>1107</v>
      </c>
      <c r="DA135" s="237" t="s">
        <v>1107</v>
      </c>
      <c r="DB135" s="237" t="s">
        <v>1107</v>
      </c>
      <c r="DC135" s="237" t="s">
        <v>1107</v>
      </c>
      <c r="DD135" s="237" t="s">
        <v>1107</v>
      </c>
      <c r="DE135" s="237" t="s">
        <v>1107</v>
      </c>
      <c r="DF135" s="237" t="s">
        <v>1107</v>
      </c>
      <c r="DG135" s="237" t="s">
        <v>1107</v>
      </c>
      <c r="DH135" s="237" t="s">
        <v>1107</v>
      </c>
      <c r="DI135" s="237" t="s">
        <v>1107</v>
      </c>
      <c r="DJ135" s="237" t="s">
        <v>1107</v>
      </c>
      <c r="DK135" s="237" t="s">
        <v>1107</v>
      </c>
      <c r="DL135" s="237" t="s">
        <v>1107</v>
      </c>
      <c r="DM135" s="237" t="s">
        <v>1107</v>
      </c>
      <c r="DN135" s="237" t="s">
        <v>1107</v>
      </c>
      <c r="DO135" s="237" t="s">
        <v>1107</v>
      </c>
      <c r="DP135" s="237" t="s">
        <v>1107</v>
      </c>
      <c r="DQ135" s="237" t="s">
        <v>1107</v>
      </c>
      <c r="DR135" s="237" t="s">
        <v>1107</v>
      </c>
      <c r="DS135" s="237" t="s">
        <v>1107</v>
      </c>
      <c r="DT135" s="237" t="s">
        <v>1107</v>
      </c>
      <c r="DU135" s="237" t="s">
        <v>1107</v>
      </c>
      <c r="DV135" s="237" t="s">
        <v>1107</v>
      </c>
      <c r="DW135" s="237" t="s">
        <v>1107</v>
      </c>
      <c r="DX135" s="237" t="s">
        <v>1107</v>
      </c>
      <c r="DY135" s="237" t="s">
        <v>1107</v>
      </c>
      <c r="DZ135" s="237" t="s">
        <v>1107</v>
      </c>
      <c r="EA135" s="237" t="s">
        <v>1107</v>
      </c>
      <c r="EB135" s="237" t="s">
        <v>1107</v>
      </c>
      <c r="EC135" s="237" t="s">
        <v>1107</v>
      </c>
      <c r="ED135" s="237" t="s">
        <v>1107</v>
      </c>
      <c r="EE135" s="237" t="s">
        <v>1107</v>
      </c>
      <c r="EF135" s="237" t="s">
        <v>1107</v>
      </c>
      <c r="EG135" s="237" t="s">
        <v>1107</v>
      </c>
      <c r="EH135" s="237" t="s">
        <v>1107</v>
      </c>
      <c r="EI135" s="237" t="s">
        <v>1107</v>
      </c>
      <c r="EJ135" s="237" t="s">
        <v>1107</v>
      </c>
      <c r="EK135" s="237" t="s">
        <v>1107</v>
      </c>
      <c r="EL135" s="237" t="s">
        <v>1107</v>
      </c>
      <c r="EM135" s="237" t="s">
        <v>1107</v>
      </c>
      <c r="EN135" s="237" t="s">
        <v>1107</v>
      </c>
      <c r="EO135" s="237" t="s">
        <v>1107</v>
      </c>
      <c r="EP135" s="237" t="s">
        <v>1107</v>
      </c>
      <c r="EQ135" s="237" t="s">
        <v>1107</v>
      </c>
      <c r="ER135" s="237" t="s">
        <v>1107</v>
      </c>
      <c r="ES135" s="237" t="s">
        <v>1107</v>
      </c>
      <c r="ET135" s="237" t="s">
        <v>1107</v>
      </c>
      <c r="EU135" s="237" t="s">
        <v>1107</v>
      </c>
      <c r="EV135" s="237" t="s">
        <v>1107</v>
      </c>
      <c r="EW135" s="237" t="s">
        <v>1107</v>
      </c>
      <c r="EX135" s="237" t="s">
        <v>1107</v>
      </c>
      <c r="EY135" s="237" t="s">
        <v>1107</v>
      </c>
      <c r="EZ135" s="237" t="s">
        <v>1107</v>
      </c>
      <c r="FA135" s="237" t="s">
        <v>1107</v>
      </c>
      <c r="FB135" s="237" t="s">
        <v>1107</v>
      </c>
      <c r="FC135" s="237" t="s">
        <v>1107</v>
      </c>
      <c r="FD135" s="237" t="s">
        <v>231</v>
      </c>
      <c r="FE135" s="237" t="s">
        <v>231</v>
      </c>
      <c r="FF135" s="237" t="s">
        <v>231</v>
      </c>
      <c r="FG135" s="237" t="s">
        <v>492</v>
      </c>
      <c r="FH135" s="237" t="s">
        <v>231</v>
      </c>
      <c r="FI135" s="237" t="s">
        <v>1107</v>
      </c>
      <c r="FJ135" s="237" t="s">
        <v>1107</v>
      </c>
      <c r="FK135" s="237" t="s">
        <v>1107</v>
      </c>
      <c r="FL135" s="237" t="s">
        <v>1107</v>
      </c>
      <c r="FM135" s="237" t="s">
        <v>1107</v>
      </c>
      <c r="FN135" s="237" t="s">
        <v>1107</v>
      </c>
      <c r="FO135" s="237" t="s">
        <v>1107</v>
      </c>
      <c r="FP135" s="237" t="s">
        <v>1107</v>
      </c>
      <c r="FQ135" s="237" t="s">
        <v>1107</v>
      </c>
      <c r="FR135" s="237" t="s">
        <v>1107</v>
      </c>
      <c r="FS135" s="237" t="s">
        <v>1107</v>
      </c>
      <c r="FT135" s="237" t="s">
        <v>1107</v>
      </c>
      <c r="FU135" s="237" t="s">
        <v>1107</v>
      </c>
      <c r="FV135" s="237" t="s">
        <v>1107</v>
      </c>
      <c r="FW135" s="237" t="s">
        <v>1107</v>
      </c>
      <c r="FX135" s="237" t="s">
        <v>1107</v>
      </c>
      <c r="FY135" s="237" t="s">
        <v>1107</v>
      </c>
      <c r="FZ135" s="237" t="s">
        <v>231</v>
      </c>
      <c r="GA135" s="237" t="s">
        <v>231</v>
      </c>
      <c r="GB135" s="237" t="s">
        <v>231</v>
      </c>
      <c r="GC135" s="237" t="s">
        <v>231</v>
      </c>
      <c r="GD135" s="237" t="s">
        <v>1107</v>
      </c>
      <c r="GE135" s="237" t="s">
        <v>492</v>
      </c>
      <c r="GF135" s="237" t="s">
        <v>1107</v>
      </c>
      <c r="GG135" s="237" t="s">
        <v>1107</v>
      </c>
      <c r="GH135" s="237" t="s">
        <v>1107</v>
      </c>
      <c r="GI135" s="237" t="s">
        <v>1107</v>
      </c>
      <c r="GJ135" s="237" t="s">
        <v>1107</v>
      </c>
      <c r="GK135" s="237" t="s">
        <v>231</v>
      </c>
      <c r="GL135" s="237" t="s">
        <v>1107</v>
      </c>
      <c r="GM135" s="237" t="s">
        <v>1107</v>
      </c>
      <c r="GN135" s="237" t="s">
        <v>1107</v>
      </c>
      <c r="GO135" s="237" t="s">
        <v>1107</v>
      </c>
      <c r="GP135" s="237" t="s">
        <v>231</v>
      </c>
      <c r="GQ135" s="237" t="s">
        <v>1107</v>
      </c>
      <c r="GR135" s="237" t="s">
        <v>231</v>
      </c>
      <c r="GS135" s="237" t="s">
        <v>1107</v>
      </c>
      <c r="GT135" s="237" t="s">
        <v>231</v>
      </c>
      <c r="GU135" s="237" t="s">
        <v>1107</v>
      </c>
      <c r="GV135" s="237" t="s">
        <v>1107</v>
      </c>
      <c r="GW135" s="237" t="s">
        <v>231</v>
      </c>
      <c r="GX135" s="237" t="s">
        <v>231</v>
      </c>
      <c r="GY135" s="237" t="s">
        <v>1107</v>
      </c>
      <c r="GZ135" s="237" t="s">
        <v>1107</v>
      </c>
      <c r="HA135" s="237" t="s">
        <v>1107</v>
      </c>
      <c r="HB135" s="237" t="s">
        <v>1107</v>
      </c>
      <c r="HC135" s="237" t="s">
        <v>1107</v>
      </c>
      <c r="HD135" s="237" t="s">
        <v>231</v>
      </c>
      <c r="HE135" s="237" t="s">
        <v>1107</v>
      </c>
      <c r="HF135" s="237" t="s">
        <v>1107</v>
      </c>
      <c r="HG135" s="237" t="s">
        <v>1107</v>
      </c>
      <c r="HH135" s="237" t="s">
        <v>1107</v>
      </c>
      <c r="HI135" s="237" t="s">
        <v>1107</v>
      </c>
      <c r="HJ135" s="237" t="s">
        <v>1107</v>
      </c>
      <c r="HK135" s="237" t="s">
        <v>1107</v>
      </c>
      <c r="HL135" s="237" t="s">
        <v>231</v>
      </c>
      <c r="HM135" s="237" t="s">
        <v>231</v>
      </c>
      <c r="HN135" s="237" t="s">
        <v>231</v>
      </c>
      <c r="HO135" s="237" t="s">
        <v>1107</v>
      </c>
      <c r="HP135" s="237" t="s">
        <v>1107</v>
      </c>
      <c r="HQ135" s="237" t="s">
        <v>1107</v>
      </c>
      <c r="HR135" s="237" t="s">
        <v>1107</v>
      </c>
      <c r="HS135" s="237" t="s">
        <v>1107</v>
      </c>
      <c r="HT135" s="237" t="s">
        <v>231</v>
      </c>
      <c r="HU135" s="237" t="s">
        <v>231</v>
      </c>
      <c r="HV135" s="237" t="s">
        <v>231</v>
      </c>
      <c r="HW135" s="237" t="s">
        <v>231</v>
      </c>
      <c r="HX135" s="237" t="s">
        <v>220</v>
      </c>
      <c r="HY135" s="237" t="s">
        <v>493</v>
      </c>
      <c r="HZ135" s="237" t="s">
        <v>219</v>
      </c>
      <c r="IA135" s="237" t="s">
        <v>490</v>
      </c>
      <c r="IB135" s="237" t="s">
        <v>492</v>
      </c>
      <c r="IC135" s="237" t="s">
        <v>492</v>
      </c>
    </row>
    <row r="136" spans="1:237" ht="15" x14ac:dyDescent="0.25">
      <c r="A136" s="244" t="str">
        <f>HYPERLINK("http://www.ofsted.gov.uk/inspection-reports/find-inspection-report/provider/ELS/141515 ","Ofsted School Webpage")</f>
        <v>Ofsted School Webpage</v>
      </c>
      <c r="B136" s="240">
        <v>141515</v>
      </c>
      <c r="C136" s="240">
        <v>8786064</v>
      </c>
      <c r="D136" s="240" t="s">
        <v>1373</v>
      </c>
      <c r="E136" s="240" t="s">
        <v>248</v>
      </c>
      <c r="F136" s="240" t="s">
        <v>483</v>
      </c>
      <c r="G136" s="240" t="s">
        <v>483</v>
      </c>
      <c r="H136" s="240" t="s">
        <v>747</v>
      </c>
      <c r="I136" s="240" t="s">
        <v>1374</v>
      </c>
      <c r="J136" s="240" t="s">
        <v>93</v>
      </c>
      <c r="K136" s="240" t="s">
        <v>93</v>
      </c>
      <c r="L136" s="240" t="s">
        <v>93</v>
      </c>
      <c r="M136" s="240" t="s">
        <v>90</v>
      </c>
      <c r="N136" s="240" t="s">
        <v>486</v>
      </c>
      <c r="O136" s="240" t="s">
        <v>487</v>
      </c>
      <c r="P136" s="240">
        <v>10093046</v>
      </c>
      <c r="Q136" s="242">
        <v>43530</v>
      </c>
      <c r="R136" s="242">
        <v>43530</v>
      </c>
      <c r="S136" s="242">
        <v>43551</v>
      </c>
      <c r="T136" s="240" t="s">
        <v>1104</v>
      </c>
      <c r="U136" s="240" t="s">
        <v>1105</v>
      </c>
      <c r="V136" s="240" t="s">
        <v>490</v>
      </c>
      <c r="W136" s="240" t="s">
        <v>486</v>
      </c>
      <c r="X136" s="240" t="s">
        <v>486</v>
      </c>
      <c r="Y136" s="240" t="s">
        <v>486</v>
      </c>
      <c r="Z136" s="240" t="s">
        <v>486</v>
      </c>
      <c r="AA136" s="240" t="s">
        <v>486</v>
      </c>
      <c r="AB136" s="240" t="s">
        <v>486</v>
      </c>
      <c r="AC136" s="240" t="s">
        <v>486</v>
      </c>
      <c r="AD136" s="240" t="s">
        <v>1106</v>
      </c>
      <c r="AE136" s="240" t="s">
        <v>1107</v>
      </c>
      <c r="AF136" s="240" t="s">
        <v>1107</v>
      </c>
      <c r="AG136" s="240" t="s">
        <v>1107</v>
      </c>
      <c r="AH136" s="240" t="s">
        <v>1107</v>
      </c>
      <c r="AI136" s="240" t="s">
        <v>1107</v>
      </c>
      <c r="AJ136" s="240" t="s">
        <v>1107</v>
      </c>
      <c r="AK136" s="240" t="s">
        <v>1107</v>
      </c>
      <c r="AL136" s="240" t="s">
        <v>1107</v>
      </c>
      <c r="AM136" s="240" t="s">
        <v>1107</v>
      </c>
      <c r="AN136" s="240" t="s">
        <v>1107</v>
      </c>
      <c r="AO136" s="240" t="s">
        <v>1107</v>
      </c>
      <c r="AP136" s="240" t="s">
        <v>1107</v>
      </c>
      <c r="AQ136" s="240" t="s">
        <v>1107</v>
      </c>
      <c r="AR136" s="240" t="s">
        <v>1107</v>
      </c>
      <c r="AS136" s="240" t="s">
        <v>1107</v>
      </c>
      <c r="AT136" s="240" t="s">
        <v>1107</v>
      </c>
      <c r="AU136" s="240" t="s">
        <v>1107</v>
      </c>
      <c r="AV136" s="240" t="s">
        <v>1107</v>
      </c>
      <c r="AW136" s="240" t="s">
        <v>1107</v>
      </c>
      <c r="AX136" s="240" t="s">
        <v>1107</v>
      </c>
      <c r="AY136" s="240" t="s">
        <v>1107</v>
      </c>
      <c r="AZ136" s="240" t="s">
        <v>1107</v>
      </c>
      <c r="BA136" s="240" t="s">
        <v>1107</v>
      </c>
      <c r="BB136" s="240" t="s">
        <v>1107</v>
      </c>
      <c r="BC136" s="240" t="s">
        <v>1107</v>
      </c>
      <c r="BD136" s="240" t="s">
        <v>1107</v>
      </c>
      <c r="BE136" s="240" t="s">
        <v>1107</v>
      </c>
      <c r="BF136" s="240" t="s">
        <v>1107</v>
      </c>
      <c r="BG136" s="240" t="s">
        <v>1107</v>
      </c>
      <c r="BH136" s="240" t="s">
        <v>1107</v>
      </c>
      <c r="BI136" s="240" t="s">
        <v>1107</v>
      </c>
      <c r="BJ136" s="240" t="s">
        <v>1107</v>
      </c>
      <c r="BK136" s="240" t="s">
        <v>1107</v>
      </c>
      <c r="BL136" s="240" t="s">
        <v>1107</v>
      </c>
      <c r="BM136" s="240" t="s">
        <v>1107</v>
      </c>
      <c r="BN136" s="240" t="s">
        <v>1107</v>
      </c>
      <c r="BO136" s="240" t="s">
        <v>1107</v>
      </c>
      <c r="BP136" s="240" t="s">
        <v>1107</v>
      </c>
      <c r="BQ136" s="240" t="s">
        <v>1107</v>
      </c>
      <c r="BR136" s="240" t="s">
        <v>1107</v>
      </c>
      <c r="BS136" s="240" t="s">
        <v>1107</v>
      </c>
      <c r="BT136" s="240" t="s">
        <v>1107</v>
      </c>
      <c r="BU136" s="240" t="s">
        <v>1107</v>
      </c>
      <c r="BV136" s="240" t="s">
        <v>1107</v>
      </c>
      <c r="BW136" s="240" t="s">
        <v>1107</v>
      </c>
      <c r="BX136" s="240" t="s">
        <v>1107</v>
      </c>
      <c r="BY136" s="240" t="s">
        <v>1107</v>
      </c>
      <c r="BZ136" s="240" t="s">
        <v>231</v>
      </c>
      <c r="CA136" s="240" t="s">
        <v>231</v>
      </c>
      <c r="CB136" s="240" t="s">
        <v>231</v>
      </c>
      <c r="CC136" s="240" t="s">
        <v>1107</v>
      </c>
      <c r="CD136" s="240" t="s">
        <v>1107</v>
      </c>
      <c r="CE136" s="240" t="s">
        <v>1107</v>
      </c>
      <c r="CF136" s="240" t="s">
        <v>1107</v>
      </c>
      <c r="CG136" s="240" t="s">
        <v>1107</v>
      </c>
      <c r="CH136" s="240" t="s">
        <v>1107</v>
      </c>
      <c r="CI136" s="240" t="s">
        <v>1107</v>
      </c>
      <c r="CJ136" s="240" t="s">
        <v>1107</v>
      </c>
      <c r="CK136" s="240" t="s">
        <v>231</v>
      </c>
      <c r="CL136" s="240" t="s">
        <v>231</v>
      </c>
      <c r="CM136" s="240" t="s">
        <v>1107</v>
      </c>
      <c r="CN136" s="240" t="s">
        <v>231</v>
      </c>
      <c r="CO136" s="240" t="s">
        <v>1107</v>
      </c>
      <c r="CP136" s="240" t="s">
        <v>231</v>
      </c>
      <c r="CQ136" s="240" t="s">
        <v>231</v>
      </c>
      <c r="CR136" s="240" t="s">
        <v>231</v>
      </c>
      <c r="CS136" s="240" t="s">
        <v>231</v>
      </c>
      <c r="CT136" s="240" t="s">
        <v>231</v>
      </c>
      <c r="CU136" s="240" t="s">
        <v>231</v>
      </c>
      <c r="CV136" s="240" t="s">
        <v>231</v>
      </c>
      <c r="CW136" s="240" t="s">
        <v>231</v>
      </c>
      <c r="CX136" s="240" t="s">
        <v>231</v>
      </c>
      <c r="CY136" s="240" t="s">
        <v>231</v>
      </c>
      <c r="CZ136" s="240" t="s">
        <v>231</v>
      </c>
      <c r="DA136" s="240" t="s">
        <v>231</v>
      </c>
      <c r="DB136" s="240" t="s">
        <v>231</v>
      </c>
      <c r="DC136" s="240" t="s">
        <v>492</v>
      </c>
      <c r="DD136" s="240" t="s">
        <v>231</v>
      </c>
      <c r="DE136" s="240" t="s">
        <v>231</v>
      </c>
      <c r="DF136" s="240" t="s">
        <v>231</v>
      </c>
      <c r="DG136" s="240" t="s">
        <v>231</v>
      </c>
      <c r="DH136" s="240" t="s">
        <v>231</v>
      </c>
      <c r="DI136" s="240" t="s">
        <v>231</v>
      </c>
      <c r="DJ136" s="240" t="s">
        <v>231</v>
      </c>
      <c r="DK136" s="240" t="s">
        <v>231</v>
      </c>
      <c r="DL136" s="240" t="s">
        <v>231</v>
      </c>
      <c r="DM136" s="240" t="s">
        <v>231</v>
      </c>
      <c r="DN136" s="240" t="s">
        <v>231</v>
      </c>
      <c r="DO136" s="240" t="s">
        <v>231</v>
      </c>
      <c r="DP136" s="240" t="s">
        <v>231</v>
      </c>
      <c r="DQ136" s="240" t="s">
        <v>492</v>
      </c>
      <c r="DR136" s="240" t="s">
        <v>231</v>
      </c>
      <c r="DS136" s="240" t="s">
        <v>231</v>
      </c>
      <c r="DT136" s="240" t="s">
        <v>231</v>
      </c>
      <c r="DU136" s="240" t="s">
        <v>231</v>
      </c>
      <c r="DV136" s="240" t="s">
        <v>231</v>
      </c>
      <c r="DW136" s="240" t="s">
        <v>231</v>
      </c>
      <c r="DX136" s="240" t="s">
        <v>231</v>
      </c>
      <c r="DY136" s="240" t="s">
        <v>231</v>
      </c>
      <c r="DZ136" s="240" t="s">
        <v>231</v>
      </c>
      <c r="EA136" s="240" t="s">
        <v>492</v>
      </c>
      <c r="EB136" s="240" t="s">
        <v>231</v>
      </c>
      <c r="EC136" s="240" t="s">
        <v>231</v>
      </c>
      <c r="ED136" s="240" t="s">
        <v>231</v>
      </c>
      <c r="EE136" s="240" t="s">
        <v>231</v>
      </c>
      <c r="EF136" s="240" t="s">
        <v>231</v>
      </c>
      <c r="EG136" s="240" t="s">
        <v>231</v>
      </c>
      <c r="EH136" s="240" t="s">
        <v>231</v>
      </c>
      <c r="EI136" s="240" t="s">
        <v>231</v>
      </c>
      <c r="EJ136" s="240" t="s">
        <v>231</v>
      </c>
      <c r="EK136" s="240" t="s">
        <v>231</v>
      </c>
      <c r="EL136" s="240" t="s">
        <v>231</v>
      </c>
      <c r="EM136" s="240" t="s">
        <v>231</v>
      </c>
      <c r="EN136" s="240" t="s">
        <v>231</v>
      </c>
      <c r="EO136" s="240" t="s">
        <v>492</v>
      </c>
      <c r="EP136" s="240" t="s">
        <v>231</v>
      </c>
      <c r="EQ136" s="240" t="s">
        <v>231</v>
      </c>
      <c r="ER136" s="240" t="s">
        <v>231</v>
      </c>
      <c r="ES136" s="240" t="s">
        <v>231</v>
      </c>
      <c r="ET136" s="240" t="s">
        <v>492</v>
      </c>
      <c r="EU136" s="240" t="s">
        <v>231</v>
      </c>
      <c r="EV136" s="240" t="s">
        <v>231</v>
      </c>
      <c r="EW136" s="240" t="s">
        <v>492</v>
      </c>
      <c r="EX136" s="240" t="s">
        <v>492</v>
      </c>
      <c r="EY136" s="240" t="s">
        <v>492</v>
      </c>
      <c r="EZ136" s="240" t="s">
        <v>231</v>
      </c>
      <c r="FA136" s="240" t="s">
        <v>231</v>
      </c>
      <c r="FB136" s="240" t="s">
        <v>231</v>
      </c>
      <c r="FC136" s="240" t="s">
        <v>231</v>
      </c>
      <c r="FD136" s="240" t="s">
        <v>231</v>
      </c>
      <c r="FE136" s="240" t="s">
        <v>231</v>
      </c>
      <c r="FF136" s="240" t="s">
        <v>231</v>
      </c>
      <c r="FG136" s="240" t="s">
        <v>492</v>
      </c>
      <c r="FH136" s="240" t="s">
        <v>231</v>
      </c>
      <c r="FI136" s="240" t="s">
        <v>231</v>
      </c>
      <c r="FJ136" s="240" t="s">
        <v>231</v>
      </c>
      <c r="FK136" s="240" t="s">
        <v>231</v>
      </c>
      <c r="FL136" s="240" t="s">
        <v>231</v>
      </c>
      <c r="FM136" s="240" t="s">
        <v>231</v>
      </c>
      <c r="FN136" s="240" t="s">
        <v>231</v>
      </c>
      <c r="FO136" s="240" t="s">
        <v>231</v>
      </c>
      <c r="FP136" s="240" t="s">
        <v>231</v>
      </c>
      <c r="FQ136" s="240" t="s">
        <v>231</v>
      </c>
      <c r="FR136" s="240" t="s">
        <v>231</v>
      </c>
      <c r="FS136" s="240" t="s">
        <v>231</v>
      </c>
      <c r="FT136" s="240" t="s">
        <v>231</v>
      </c>
      <c r="FU136" s="240" t="s">
        <v>231</v>
      </c>
      <c r="FV136" s="240" t="s">
        <v>231</v>
      </c>
      <c r="FW136" s="240" t="s">
        <v>231</v>
      </c>
      <c r="FX136" s="240" t="s">
        <v>231</v>
      </c>
      <c r="FY136" s="240" t="s">
        <v>492</v>
      </c>
      <c r="FZ136" s="240" t="s">
        <v>1107</v>
      </c>
      <c r="GA136" s="240" t="s">
        <v>1107</v>
      </c>
      <c r="GB136" s="240" t="s">
        <v>1107</v>
      </c>
      <c r="GC136" s="240" t="s">
        <v>1107</v>
      </c>
      <c r="GD136" s="240" t="s">
        <v>1107</v>
      </c>
      <c r="GE136" s="240" t="s">
        <v>1107</v>
      </c>
      <c r="GF136" s="240" t="s">
        <v>1107</v>
      </c>
      <c r="GG136" s="240" t="s">
        <v>1107</v>
      </c>
      <c r="GH136" s="240" t="s">
        <v>1107</v>
      </c>
      <c r="GI136" s="240" t="s">
        <v>1107</v>
      </c>
      <c r="GJ136" s="240" t="s">
        <v>1107</v>
      </c>
      <c r="GK136" s="240" t="s">
        <v>1107</v>
      </c>
      <c r="GL136" s="240" t="s">
        <v>1107</v>
      </c>
      <c r="GM136" s="240" t="s">
        <v>1107</v>
      </c>
      <c r="GN136" s="240" t="s">
        <v>1107</v>
      </c>
      <c r="GO136" s="240" t="s">
        <v>1107</v>
      </c>
      <c r="GP136" s="240" t="s">
        <v>1107</v>
      </c>
      <c r="GQ136" s="240" t="s">
        <v>1107</v>
      </c>
      <c r="GR136" s="240" t="s">
        <v>1107</v>
      </c>
      <c r="GS136" s="240" t="s">
        <v>1107</v>
      </c>
      <c r="GT136" s="240" t="s">
        <v>1107</v>
      </c>
      <c r="GU136" s="240" t="s">
        <v>1107</v>
      </c>
      <c r="GV136" s="240" t="s">
        <v>1107</v>
      </c>
      <c r="GW136" s="240" t="s">
        <v>1107</v>
      </c>
      <c r="GX136" s="240" t="s">
        <v>1107</v>
      </c>
      <c r="GY136" s="240" t="s">
        <v>1107</v>
      </c>
      <c r="GZ136" s="240" t="s">
        <v>1107</v>
      </c>
      <c r="HA136" s="240" t="s">
        <v>1107</v>
      </c>
      <c r="HB136" s="240" t="s">
        <v>1107</v>
      </c>
      <c r="HC136" s="240" t="s">
        <v>1107</v>
      </c>
      <c r="HD136" s="240" t="s">
        <v>1107</v>
      </c>
      <c r="HE136" s="240" t="s">
        <v>1107</v>
      </c>
      <c r="HF136" s="240" t="s">
        <v>1107</v>
      </c>
      <c r="HG136" s="240" t="s">
        <v>1107</v>
      </c>
      <c r="HH136" s="240" t="s">
        <v>1107</v>
      </c>
      <c r="HI136" s="240" t="s">
        <v>1107</v>
      </c>
      <c r="HJ136" s="240" t="s">
        <v>1107</v>
      </c>
      <c r="HK136" s="240" t="s">
        <v>1107</v>
      </c>
      <c r="HL136" s="240" t="s">
        <v>1107</v>
      </c>
      <c r="HM136" s="240" t="s">
        <v>1107</v>
      </c>
      <c r="HN136" s="240" t="s">
        <v>1107</v>
      </c>
      <c r="HO136" s="240" t="s">
        <v>1107</v>
      </c>
      <c r="HP136" s="240" t="s">
        <v>1107</v>
      </c>
      <c r="HQ136" s="240" t="s">
        <v>1107</v>
      </c>
      <c r="HR136" s="240" t="s">
        <v>1107</v>
      </c>
      <c r="HS136" s="240" t="s">
        <v>1107</v>
      </c>
      <c r="HT136" s="240" t="s">
        <v>231</v>
      </c>
      <c r="HU136" s="240" t="s">
        <v>231</v>
      </c>
      <c r="HV136" s="240" t="s">
        <v>231</v>
      </c>
      <c r="HW136" s="240" t="s">
        <v>231</v>
      </c>
      <c r="HX136" s="240" t="s">
        <v>219</v>
      </c>
      <c r="HY136" s="240" t="s">
        <v>493</v>
      </c>
      <c r="HZ136" s="240" t="s">
        <v>219</v>
      </c>
      <c r="IA136" s="240" t="s">
        <v>490</v>
      </c>
      <c r="IB136" s="240" t="s">
        <v>492</v>
      </c>
      <c r="IC136" s="240" t="s">
        <v>492</v>
      </c>
    </row>
    <row r="137" spans="1:237" ht="15" x14ac:dyDescent="0.25">
      <c r="A137" s="243" t="str">
        <f>HYPERLINK("http://www.ofsted.gov.uk/inspection-reports/find-inspection-report/provider/ELS/143048 ","Ofsted School Webpage")</f>
        <v>Ofsted School Webpage</v>
      </c>
      <c r="B137" s="237">
        <v>143048</v>
      </c>
      <c r="C137" s="237">
        <v>3186007</v>
      </c>
      <c r="D137" s="237" t="s">
        <v>1154</v>
      </c>
      <c r="E137" s="237" t="s">
        <v>247</v>
      </c>
      <c r="F137" s="237" t="s">
        <v>506</v>
      </c>
      <c r="G137" s="237" t="s">
        <v>506</v>
      </c>
      <c r="H137" s="237" t="s">
        <v>1040</v>
      </c>
      <c r="I137" s="237" t="s">
        <v>1155</v>
      </c>
      <c r="J137" s="237" t="s">
        <v>93</v>
      </c>
      <c r="K137" s="237" t="s">
        <v>93</v>
      </c>
      <c r="L137" s="237" t="s">
        <v>93</v>
      </c>
      <c r="M137" s="237" t="s">
        <v>90</v>
      </c>
      <c r="N137" s="237" t="s">
        <v>486</v>
      </c>
      <c r="O137" s="237" t="s">
        <v>487</v>
      </c>
      <c r="P137" s="237">
        <v>10094923</v>
      </c>
      <c r="Q137" s="239">
        <v>43536</v>
      </c>
      <c r="R137" s="239">
        <v>43536</v>
      </c>
      <c r="S137" s="239">
        <v>43551</v>
      </c>
      <c r="T137" s="237" t="s">
        <v>1109</v>
      </c>
      <c r="U137" s="237" t="s">
        <v>1105</v>
      </c>
      <c r="V137" s="237" t="s">
        <v>490</v>
      </c>
      <c r="W137" s="237" t="s">
        <v>486</v>
      </c>
      <c r="X137" s="237" t="s">
        <v>486</v>
      </c>
      <c r="Y137" s="237" t="s">
        <v>486</v>
      </c>
      <c r="Z137" s="237" t="s">
        <v>486</v>
      </c>
      <c r="AA137" s="237" t="s">
        <v>486</v>
      </c>
      <c r="AB137" s="237" t="s">
        <v>486</v>
      </c>
      <c r="AC137" s="237" t="s">
        <v>486</v>
      </c>
      <c r="AD137" s="237" t="s">
        <v>1110</v>
      </c>
      <c r="AE137" s="237" t="s">
        <v>1107</v>
      </c>
      <c r="AF137" s="237" t="s">
        <v>1107</v>
      </c>
      <c r="AG137" s="237" t="s">
        <v>1107</v>
      </c>
      <c r="AH137" s="237" t="s">
        <v>1107</v>
      </c>
      <c r="AI137" s="237" t="s">
        <v>1107</v>
      </c>
      <c r="AJ137" s="237" t="s">
        <v>1107</v>
      </c>
      <c r="AK137" s="237" t="s">
        <v>1107</v>
      </c>
      <c r="AL137" s="237" t="s">
        <v>1107</v>
      </c>
      <c r="AM137" s="237" t="s">
        <v>1107</v>
      </c>
      <c r="AN137" s="237" t="s">
        <v>1107</v>
      </c>
      <c r="AO137" s="237" t="s">
        <v>1107</v>
      </c>
      <c r="AP137" s="237" t="s">
        <v>1107</v>
      </c>
      <c r="AQ137" s="237" t="s">
        <v>492</v>
      </c>
      <c r="AR137" s="237" t="s">
        <v>492</v>
      </c>
      <c r="AS137" s="237" t="s">
        <v>492</v>
      </c>
      <c r="AT137" s="237" t="s">
        <v>492</v>
      </c>
      <c r="AU137" s="237" t="s">
        <v>1107</v>
      </c>
      <c r="AV137" s="237" t="s">
        <v>492</v>
      </c>
      <c r="AW137" s="237" t="s">
        <v>1107</v>
      </c>
      <c r="AX137" s="237" t="s">
        <v>1107</v>
      </c>
      <c r="AY137" s="237" t="s">
        <v>1107</v>
      </c>
      <c r="AZ137" s="237" t="s">
        <v>1107</v>
      </c>
      <c r="BA137" s="237" t="s">
        <v>1107</v>
      </c>
      <c r="BB137" s="237" t="s">
        <v>1107</v>
      </c>
      <c r="BC137" s="237" t="s">
        <v>1107</v>
      </c>
      <c r="BD137" s="237" t="s">
        <v>1107</v>
      </c>
      <c r="BE137" s="237" t="s">
        <v>1107</v>
      </c>
      <c r="BF137" s="237" t="s">
        <v>1107</v>
      </c>
      <c r="BG137" s="237" t="s">
        <v>1107</v>
      </c>
      <c r="BH137" s="237" t="s">
        <v>1107</v>
      </c>
      <c r="BI137" s="237" t="s">
        <v>1107</v>
      </c>
      <c r="BJ137" s="237" t="s">
        <v>1107</v>
      </c>
      <c r="BK137" s="237" t="s">
        <v>1107</v>
      </c>
      <c r="BL137" s="237" t="s">
        <v>1107</v>
      </c>
      <c r="BM137" s="237" t="s">
        <v>1107</v>
      </c>
      <c r="BN137" s="237" t="s">
        <v>1107</v>
      </c>
      <c r="BO137" s="237" t="s">
        <v>1107</v>
      </c>
      <c r="BP137" s="237" t="s">
        <v>1107</v>
      </c>
      <c r="BQ137" s="237" t="s">
        <v>1107</v>
      </c>
      <c r="BR137" s="237" t="s">
        <v>1107</v>
      </c>
      <c r="BS137" s="237" t="s">
        <v>1107</v>
      </c>
      <c r="BT137" s="237" t="s">
        <v>1107</v>
      </c>
      <c r="BU137" s="237" t="s">
        <v>1107</v>
      </c>
      <c r="BV137" s="237" t="s">
        <v>1107</v>
      </c>
      <c r="BW137" s="237" t="s">
        <v>1107</v>
      </c>
      <c r="BX137" s="237" t="s">
        <v>1107</v>
      </c>
      <c r="BY137" s="237" t="s">
        <v>1107</v>
      </c>
      <c r="BZ137" s="237" t="s">
        <v>231</v>
      </c>
      <c r="CA137" s="237" t="s">
        <v>231</v>
      </c>
      <c r="CB137" s="237" t="s">
        <v>231</v>
      </c>
      <c r="CC137" s="237" t="s">
        <v>492</v>
      </c>
      <c r="CD137" s="237" t="s">
        <v>492</v>
      </c>
      <c r="CE137" s="237" t="s">
        <v>492</v>
      </c>
      <c r="CF137" s="237" t="s">
        <v>1107</v>
      </c>
      <c r="CG137" s="237" t="s">
        <v>1107</v>
      </c>
      <c r="CH137" s="237" t="s">
        <v>1107</v>
      </c>
      <c r="CI137" s="237" t="s">
        <v>1107</v>
      </c>
      <c r="CJ137" s="237" t="s">
        <v>1107</v>
      </c>
      <c r="CK137" s="237" t="s">
        <v>1107</v>
      </c>
      <c r="CL137" s="237" t="s">
        <v>231</v>
      </c>
      <c r="CM137" s="237" t="s">
        <v>1107</v>
      </c>
      <c r="CN137" s="237" t="s">
        <v>1107</v>
      </c>
      <c r="CO137" s="237" t="s">
        <v>1107</v>
      </c>
      <c r="CP137" s="237" t="s">
        <v>231</v>
      </c>
      <c r="CQ137" s="237" t="s">
        <v>231</v>
      </c>
      <c r="CR137" s="237" t="s">
        <v>1107</v>
      </c>
      <c r="CS137" s="237" t="s">
        <v>1107</v>
      </c>
      <c r="CT137" s="237" t="s">
        <v>1107</v>
      </c>
      <c r="CU137" s="237" t="s">
        <v>1107</v>
      </c>
      <c r="CV137" s="237" t="s">
        <v>1107</v>
      </c>
      <c r="CW137" s="237" t="s">
        <v>1107</v>
      </c>
      <c r="CX137" s="237" t="s">
        <v>1107</v>
      </c>
      <c r="CY137" s="237" t="s">
        <v>1107</v>
      </c>
      <c r="CZ137" s="237" t="s">
        <v>1107</v>
      </c>
      <c r="DA137" s="237" t="s">
        <v>1107</v>
      </c>
      <c r="DB137" s="237" t="s">
        <v>1107</v>
      </c>
      <c r="DC137" s="237" t="s">
        <v>1107</v>
      </c>
      <c r="DD137" s="237" t="s">
        <v>1107</v>
      </c>
      <c r="DE137" s="237" t="s">
        <v>1107</v>
      </c>
      <c r="DF137" s="237" t="s">
        <v>1107</v>
      </c>
      <c r="DG137" s="237" t="s">
        <v>1107</v>
      </c>
      <c r="DH137" s="237" t="s">
        <v>1107</v>
      </c>
      <c r="DI137" s="237" t="s">
        <v>1107</v>
      </c>
      <c r="DJ137" s="237" t="s">
        <v>1107</v>
      </c>
      <c r="DK137" s="237" t="s">
        <v>1107</v>
      </c>
      <c r="DL137" s="237" t="s">
        <v>1107</v>
      </c>
      <c r="DM137" s="237" t="s">
        <v>1107</v>
      </c>
      <c r="DN137" s="237" t="s">
        <v>1107</v>
      </c>
      <c r="DO137" s="237" t="s">
        <v>1107</v>
      </c>
      <c r="DP137" s="237" t="s">
        <v>1107</v>
      </c>
      <c r="DQ137" s="237" t="s">
        <v>1107</v>
      </c>
      <c r="DR137" s="237" t="s">
        <v>1107</v>
      </c>
      <c r="DS137" s="237" t="s">
        <v>1107</v>
      </c>
      <c r="DT137" s="237" t="s">
        <v>1107</v>
      </c>
      <c r="DU137" s="237" t="s">
        <v>1107</v>
      </c>
      <c r="DV137" s="237" t="s">
        <v>1107</v>
      </c>
      <c r="DW137" s="237" t="s">
        <v>1107</v>
      </c>
      <c r="DX137" s="237" t="s">
        <v>1107</v>
      </c>
      <c r="DY137" s="237" t="s">
        <v>1107</v>
      </c>
      <c r="DZ137" s="237" t="s">
        <v>1107</v>
      </c>
      <c r="EA137" s="237" t="s">
        <v>1107</v>
      </c>
      <c r="EB137" s="237" t="s">
        <v>1107</v>
      </c>
      <c r="EC137" s="237" t="s">
        <v>1107</v>
      </c>
      <c r="ED137" s="237" t="s">
        <v>1107</v>
      </c>
      <c r="EE137" s="237" t="s">
        <v>1107</v>
      </c>
      <c r="EF137" s="237" t="s">
        <v>1107</v>
      </c>
      <c r="EG137" s="237" t="s">
        <v>1107</v>
      </c>
      <c r="EH137" s="237" t="s">
        <v>1107</v>
      </c>
      <c r="EI137" s="237" t="s">
        <v>1107</v>
      </c>
      <c r="EJ137" s="237" t="s">
        <v>1107</v>
      </c>
      <c r="EK137" s="237" t="s">
        <v>1107</v>
      </c>
      <c r="EL137" s="237" t="s">
        <v>1107</v>
      </c>
      <c r="EM137" s="237" t="s">
        <v>1107</v>
      </c>
      <c r="EN137" s="237" t="s">
        <v>1107</v>
      </c>
      <c r="EO137" s="237" t="s">
        <v>1107</v>
      </c>
      <c r="EP137" s="237" t="s">
        <v>1107</v>
      </c>
      <c r="EQ137" s="237" t="s">
        <v>1107</v>
      </c>
      <c r="ER137" s="237" t="s">
        <v>1107</v>
      </c>
      <c r="ES137" s="237" t="s">
        <v>1107</v>
      </c>
      <c r="ET137" s="237" t="s">
        <v>1107</v>
      </c>
      <c r="EU137" s="237" t="s">
        <v>1107</v>
      </c>
      <c r="EV137" s="237" t="s">
        <v>1107</v>
      </c>
      <c r="EW137" s="237" t="s">
        <v>1107</v>
      </c>
      <c r="EX137" s="237" t="s">
        <v>1107</v>
      </c>
      <c r="EY137" s="237" t="s">
        <v>1107</v>
      </c>
      <c r="EZ137" s="237" t="s">
        <v>1107</v>
      </c>
      <c r="FA137" s="237" t="s">
        <v>1107</v>
      </c>
      <c r="FB137" s="237" t="s">
        <v>1107</v>
      </c>
      <c r="FC137" s="237" t="s">
        <v>1107</v>
      </c>
      <c r="FD137" s="237" t="s">
        <v>231</v>
      </c>
      <c r="FE137" s="237" t="s">
        <v>231</v>
      </c>
      <c r="FF137" s="237" t="s">
        <v>231</v>
      </c>
      <c r="FG137" s="237" t="s">
        <v>492</v>
      </c>
      <c r="FH137" s="237" t="s">
        <v>1107</v>
      </c>
      <c r="FI137" s="237" t="s">
        <v>1107</v>
      </c>
      <c r="FJ137" s="237" t="s">
        <v>1107</v>
      </c>
      <c r="FK137" s="237" t="s">
        <v>1107</v>
      </c>
      <c r="FL137" s="237" t="s">
        <v>1107</v>
      </c>
      <c r="FM137" s="237" t="s">
        <v>1107</v>
      </c>
      <c r="FN137" s="237" t="s">
        <v>231</v>
      </c>
      <c r="FO137" s="237" t="s">
        <v>1107</v>
      </c>
      <c r="FP137" s="237" t="s">
        <v>231</v>
      </c>
      <c r="FQ137" s="237" t="s">
        <v>1107</v>
      </c>
      <c r="FR137" s="237" t="s">
        <v>231</v>
      </c>
      <c r="FS137" s="237" t="s">
        <v>1107</v>
      </c>
      <c r="FT137" s="237" t="s">
        <v>1107</v>
      </c>
      <c r="FU137" s="237" t="s">
        <v>1107</v>
      </c>
      <c r="FV137" s="237" t="s">
        <v>1107</v>
      </c>
      <c r="FW137" s="237" t="s">
        <v>1107</v>
      </c>
      <c r="FX137" s="237" t="s">
        <v>1107</v>
      </c>
      <c r="FY137" s="237" t="s">
        <v>492</v>
      </c>
      <c r="FZ137" s="237" t="s">
        <v>231</v>
      </c>
      <c r="GA137" s="237" t="s">
        <v>1107</v>
      </c>
      <c r="GB137" s="237" t="s">
        <v>1107</v>
      </c>
      <c r="GC137" s="237" t="s">
        <v>231</v>
      </c>
      <c r="GD137" s="237" t="s">
        <v>1107</v>
      </c>
      <c r="GE137" s="237" t="s">
        <v>1107</v>
      </c>
      <c r="GF137" s="237" t="s">
        <v>1107</v>
      </c>
      <c r="GG137" s="237" t="s">
        <v>1107</v>
      </c>
      <c r="GH137" s="237" t="s">
        <v>1107</v>
      </c>
      <c r="GI137" s="237" t="s">
        <v>1107</v>
      </c>
      <c r="GJ137" s="237" t="s">
        <v>1107</v>
      </c>
      <c r="GK137" s="237" t="s">
        <v>1107</v>
      </c>
      <c r="GL137" s="237" t="s">
        <v>1107</v>
      </c>
      <c r="GM137" s="237" t="s">
        <v>1107</v>
      </c>
      <c r="GN137" s="237" t="s">
        <v>1107</v>
      </c>
      <c r="GO137" s="237" t="s">
        <v>1107</v>
      </c>
      <c r="GP137" s="237" t="s">
        <v>1107</v>
      </c>
      <c r="GQ137" s="237" t="s">
        <v>1107</v>
      </c>
      <c r="GR137" s="237" t="s">
        <v>1107</v>
      </c>
      <c r="GS137" s="237" t="s">
        <v>1107</v>
      </c>
      <c r="GT137" s="237" t="s">
        <v>1107</v>
      </c>
      <c r="GU137" s="237" t="s">
        <v>1107</v>
      </c>
      <c r="GV137" s="237" t="s">
        <v>1107</v>
      </c>
      <c r="GW137" s="237" t="s">
        <v>1107</v>
      </c>
      <c r="GX137" s="237" t="s">
        <v>1107</v>
      </c>
      <c r="GY137" s="237" t="s">
        <v>1107</v>
      </c>
      <c r="GZ137" s="237" t="s">
        <v>1107</v>
      </c>
      <c r="HA137" s="237" t="s">
        <v>1107</v>
      </c>
      <c r="HB137" s="237" t="s">
        <v>1107</v>
      </c>
      <c r="HC137" s="237" t="s">
        <v>1107</v>
      </c>
      <c r="HD137" s="237" t="s">
        <v>1107</v>
      </c>
      <c r="HE137" s="237" t="s">
        <v>1107</v>
      </c>
      <c r="HF137" s="237" t="s">
        <v>1107</v>
      </c>
      <c r="HG137" s="237" t="s">
        <v>1107</v>
      </c>
      <c r="HH137" s="237" t="s">
        <v>1107</v>
      </c>
      <c r="HI137" s="237" t="s">
        <v>1107</v>
      </c>
      <c r="HJ137" s="237" t="s">
        <v>1107</v>
      </c>
      <c r="HK137" s="237" t="s">
        <v>1107</v>
      </c>
      <c r="HL137" s="237" t="s">
        <v>1107</v>
      </c>
      <c r="HM137" s="237" t="s">
        <v>1107</v>
      </c>
      <c r="HN137" s="237" t="s">
        <v>1107</v>
      </c>
      <c r="HO137" s="237" t="s">
        <v>1107</v>
      </c>
      <c r="HP137" s="237" t="s">
        <v>1107</v>
      </c>
      <c r="HQ137" s="237" t="s">
        <v>1107</v>
      </c>
      <c r="HR137" s="237" t="s">
        <v>1107</v>
      </c>
      <c r="HS137" s="237" t="s">
        <v>1107</v>
      </c>
      <c r="HT137" s="237" t="s">
        <v>231</v>
      </c>
      <c r="HU137" s="237" t="s">
        <v>231</v>
      </c>
      <c r="HV137" s="237" t="s">
        <v>231</v>
      </c>
      <c r="HW137" s="237" t="s">
        <v>231</v>
      </c>
      <c r="HX137" s="237" t="s">
        <v>220</v>
      </c>
      <c r="HY137" s="237" t="s">
        <v>493</v>
      </c>
      <c r="HZ137" s="237" t="s">
        <v>219</v>
      </c>
      <c r="IA137" s="237" t="s">
        <v>486</v>
      </c>
      <c r="IB137" s="237" t="s">
        <v>1107</v>
      </c>
      <c r="IC137" s="237" t="s">
        <v>1107</v>
      </c>
    </row>
    <row r="138" spans="1:237" ht="15" x14ac:dyDescent="0.25">
      <c r="A138" s="244" t="str">
        <f>HYPERLINK("http://www.ofsted.gov.uk/inspection-reports/find-inspection-report/provider/ELS/145946 ","Ofsted School Webpage")</f>
        <v>Ofsted School Webpage</v>
      </c>
      <c r="B138" s="240">
        <v>145946</v>
      </c>
      <c r="C138" s="240">
        <v>3026016</v>
      </c>
      <c r="D138" s="240" t="s">
        <v>1375</v>
      </c>
      <c r="E138" s="240" t="s">
        <v>247</v>
      </c>
      <c r="F138" s="240" t="s">
        <v>506</v>
      </c>
      <c r="G138" s="240" t="s">
        <v>506</v>
      </c>
      <c r="H138" s="240" t="s">
        <v>614</v>
      </c>
      <c r="I138" s="240" t="s">
        <v>1376</v>
      </c>
      <c r="J138" s="240" t="s">
        <v>93</v>
      </c>
      <c r="K138" s="240" t="s">
        <v>82</v>
      </c>
      <c r="L138" s="240" t="s">
        <v>82</v>
      </c>
      <c r="M138" s="240" t="s">
        <v>81</v>
      </c>
      <c r="N138" s="240" t="s">
        <v>486</v>
      </c>
      <c r="O138" s="240" t="s">
        <v>487</v>
      </c>
      <c r="P138" s="240">
        <v>10077499</v>
      </c>
      <c r="Q138" s="242">
        <v>43348</v>
      </c>
      <c r="R138" s="242">
        <v>43348</v>
      </c>
      <c r="S138" s="242">
        <v>43360</v>
      </c>
      <c r="T138" s="240" t="s">
        <v>1377</v>
      </c>
      <c r="U138" s="240" t="s">
        <v>1105</v>
      </c>
      <c r="V138" s="240" t="s">
        <v>490</v>
      </c>
      <c r="W138" s="240" t="s">
        <v>486</v>
      </c>
      <c r="X138" s="240" t="s">
        <v>486</v>
      </c>
      <c r="Y138" s="240" t="s">
        <v>486</v>
      </c>
      <c r="Z138" s="240" t="s">
        <v>486</v>
      </c>
      <c r="AA138" s="240" t="s">
        <v>486</v>
      </c>
      <c r="AB138" s="240" t="s">
        <v>486</v>
      </c>
      <c r="AC138" s="240" t="s">
        <v>486</v>
      </c>
      <c r="AD138" s="240" t="s">
        <v>1378</v>
      </c>
      <c r="AE138" s="240" t="s">
        <v>1107</v>
      </c>
      <c r="AF138" s="240" t="s">
        <v>1107</v>
      </c>
      <c r="AG138" s="240" t="s">
        <v>1107</v>
      </c>
      <c r="AH138" s="240" t="s">
        <v>1107</v>
      </c>
      <c r="AI138" s="240" t="s">
        <v>1107</v>
      </c>
      <c r="AJ138" s="240" t="s">
        <v>1107</v>
      </c>
      <c r="AK138" s="240" t="s">
        <v>1107</v>
      </c>
      <c r="AL138" s="240" t="s">
        <v>1107</v>
      </c>
      <c r="AM138" s="240" t="s">
        <v>1107</v>
      </c>
      <c r="AN138" s="240" t="s">
        <v>1107</v>
      </c>
      <c r="AO138" s="240" t="s">
        <v>1107</v>
      </c>
      <c r="AP138" s="240" t="s">
        <v>1107</v>
      </c>
      <c r="AQ138" s="240" t="s">
        <v>1107</v>
      </c>
      <c r="AR138" s="240" t="s">
        <v>1107</v>
      </c>
      <c r="AS138" s="240" t="s">
        <v>1107</v>
      </c>
      <c r="AT138" s="240" t="s">
        <v>1107</v>
      </c>
      <c r="AU138" s="240" t="s">
        <v>492</v>
      </c>
      <c r="AV138" s="240" t="s">
        <v>492</v>
      </c>
      <c r="AW138" s="240" t="s">
        <v>1107</v>
      </c>
      <c r="AX138" s="240" t="s">
        <v>1107</v>
      </c>
      <c r="AY138" s="240" t="s">
        <v>1107</v>
      </c>
      <c r="AZ138" s="240" t="s">
        <v>1107</v>
      </c>
      <c r="BA138" s="240" t="s">
        <v>1107</v>
      </c>
      <c r="BB138" s="240" t="s">
        <v>1107</v>
      </c>
      <c r="BC138" s="240" t="s">
        <v>1107</v>
      </c>
      <c r="BD138" s="240" t="s">
        <v>1107</v>
      </c>
      <c r="BE138" s="240" t="s">
        <v>1107</v>
      </c>
      <c r="BF138" s="240" t="s">
        <v>1107</v>
      </c>
      <c r="BG138" s="240" t="s">
        <v>1107</v>
      </c>
      <c r="BH138" s="240" t="s">
        <v>1107</v>
      </c>
      <c r="BI138" s="240" t="s">
        <v>1107</v>
      </c>
      <c r="BJ138" s="240" t="s">
        <v>1107</v>
      </c>
      <c r="BK138" s="240" t="s">
        <v>1107</v>
      </c>
      <c r="BL138" s="240" t="s">
        <v>1107</v>
      </c>
      <c r="BM138" s="240" t="s">
        <v>1107</v>
      </c>
      <c r="BN138" s="240" t="s">
        <v>1107</v>
      </c>
      <c r="BO138" s="240" t="s">
        <v>1107</v>
      </c>
      <c r="BP138" s="240" t="s">
        <v>1107</v>
      </c>
      <c r="BQ138" s="240" t="s">
        <v>1107</v>
      </c>
      <c r="BR138" s="240" t="s">
        <v>1107</v>
      </c>
      <c r="BS138" s="240" t="s">
        <v>1107</v>
      </c>
      <c r="BT138" s="240" t="s">
        <v>1107</v>
      </c>
      <c r="BU138" s="240" t="s">
        <v>1107</v>
      </c>
      <c r="BV138" s="240" t="s">
        <v>1107</v>
      </c>
      <c r="BW138" s="240" t="s">
        <v>1107</v>
      </c>
      <c r="BX138" s="240" t="s">
        <v>1107</v>
      </c>
      <c r="BY138" s="240" t="s">
        <v>1107</v>
      </c>
      <c r="BZ138" s="240" t="s">
        <v>231</v>
      </c>
      <c r="CA138" s="240" t="s">
        <v>231</v>
      </c>
      <c r="CB138" s="240" t="s">
        <v>231</v>
      </c>
      <c r="CC138" s="240" t="s">
        <v>492</v>
      </c>
      <c r="CD138" s="240" t="s">
        <v>492</v>
      </c>
      <c r="CE138" s="240" t="s">
        <v>492</v>
      </c>
      <c r="CF138" s="240" t="s">
        <v>1107</v>
      </c>
      <c r="CG138" s="240" t="s">
        <v>1107</v>
      </c>
      <c r="CH138" s="240" t="s">
        <v>1107</v>
      </c>
      <c r="CI138" s="240" t="s">
        <v>1107</v>
      </c>
      <c r="CJ138" s="240" t="s">
        <v>1107</v>
      </c>
      <c r="CK138" s="240" t="s">
        <v>231</v>
      </c>
      <c r="CL138" s="240" t="s">
        <v>231</v>
      </c>
      <c r="CM138" s="240" t="s">
        <v>231</v>
      </c>
      <c r="CN138" s="240" t="s">
        <v>231</v>
      </c>
      <c r="CO138" s="240" t="s">
        <v>1107</v>
      </c>
      <c r="CP138" s="240" t="s">
        <v>231</v>
      </c>
      <c r="CQ138" s="240" t="s">
        <v>231</v>
      </c>
      <c r="CR138" s="240" t="s">
        <v>231</v>
      </c>
      <c r="CS138" s="240" t="s">
        <v>1107</v>
      </c>
      <c r="CT138" s="240" t="s">
        <v>1107</v>
      </c>
      <c r="CU138" s="240" t="s">
        <v>1107</v>
      </c>
      <c r="CV138" s="240" t="s">
        <v>1107</v>
      </c>
      <c r="CW138" s="240" t="s">
        <v>1107</v>
      </c>
      <c r="CX138" s="240" t="s">
        <v>1107</v>
      </c>
      <c r="CY138" s="240" t="s">
        <v>1107</v>
      </c>
      <c r="CZ138" s="240" t="s">
        <v>1107</v>
      </c>
      <c r="DA138" s="240" t="s">
        <v>1107</v>
      </c>
      <c r="DB138" s="240" t="s">
        <v>1107</v>
      </c>
      <c r="DC138" s="240" t="s">
        <v>492</v>
      </c>
      <c r="DD138" s="240" t="s">
        <v>1107</v>
      </c>
      <c r="DE138" s="240" t="s">
        <v>1107</v>
      </c>
      <c r="DF138" s="240" t="s">
        <v>1107</v>
      </c>
      <c r="DG138" s="240" t="s">
        <v>1107</v>
      </c>
      <c r="DH138" s="240" t="s">
        <v>1107</v>
      </c>
      <c r="DI138" s="240" t="s">
        <v>1107</v>
      </c>
      <c r="DJ138" s="240" t="s">
        <v>1107</v>
      </c>
      <c r="DK138" s="240" t="s">
        <v>1107</v>
      </c>
      <c r="DL138" s="240" t="s">
        <v>1107</v>
      </c>
      <c r="DM138" s="240" t="s">
        <v>1107</v>
      </c>
      <c r="DN138" s="240" t="s">
        <v>1107</v>
      </c>
      <c r="DO138" s="240" t="s">
        <v>1107</v>
      </c>
      <c r="DP138" s="240" t="s">
        <v>1107</v>
      </c>
      <c r="DQ138" s="240" t="s">
        <v>492</v>
      </c>
      <c r="DR138" s="240" t="s">
        <v>1107</v>
      </c>
      <c r="DS138" s="240" t="s">
        <v>1107</v>
      </c>
      <c r="DT138" s="240" t="s">
        <v>1107</v>
      </c>
      <c r="DU138" s="240" t="s">
        <v>1107</v>
      </c>
      <c r="DV138" s="240" t="s">
        <v>1107</v>
      </c>
      <c r="DW138" s="240" t="s">
        <v>1107</v>
      </c>
      <c r="DX138" s="240" t="s">
        <v>1107</v>
      </c>
      <c r="DY138" s="240" t="s">
        <v>1107</v>
      </c>
      <c r="DZ138" s="240" t="s">
        <v>1107</v>
      </c>
      <c r="EA138" s="240" t="s">
        <v>1107</v>
      </c>
      <c r="EB138" s="240" t="s">
        <v>1107</v>
      </c>
      <c r="EC138" s="240" t="s">
        <v>1107</v>
      </c>
      <c r="ED138" s="240" t="s">
        <v>1107</v>
      </c>
      <c r="EE138" s="240" t="s">
        <v>1107</v>
      </c>
      <c r="EF138" s="240" t="s">
        <v>1107</v>
      </c>
      <c r="EG138" s="240" t="s">
        <v>1107</v>
      </c>
      <c r="EH138" s="240" t="s">
        <v>1107</v>
      </c>
      <c r="EI138" s="240" t="s">
        <v>1107</v>
      </c>
      <c r="EJ138" s="240" t="s">
        <v>1107</v>
      </c>
      <c r="EK138" s="240" t="s">
        <v>1107</v>
      </c>
      <c r="EL138" s="240" t="s">
        <v>1107</v>
      </c>
      <c r="EM138" s="240" t="s">
        <v>1107</v>
      </c>
      <c r="EN138" s="240" t="s">
        <v>1107</v>
      </c>
      <c r="EO138" s="240" t="s">
        <v>1107</v>
      </c>
      <c r="EP138" s="240" t="s">
        <v>1107</v>
      </c>
      <c r="EQ138" s="240" t="s">
        <v>1107</v>
      </c>
      <c r="ER138" s="240" t="s">
        <v>1107</v>
      </c>
      <c r="ES138" s="240" t="s">
        <v>1107</v>
      </c>
      <c r="ET138" s="240" t="s">
        <v>1107</v>
      </c>
      <c r="EU138" s="240" t="s">
        <v>1107</v>
      </c>
      <c r="EV138" s="240" t="s">
        <v>1107</v>
      </c>
      <c r="EW138" s="240" t="s">
        <v>1107</v>
      </c>
      <c r="EX138" s="240" t="s">
        <v>1107</v>
      </c>
      <c r="EY138" s="240" t="s">
        <v>1107</v>
      </c>
      <c r="EZ138" s="240" t="s">
        <v>231</v>
      </c>
      <c r="FA138" s="240" t="s">
        <v>231</v>
      </c>
      <c r="FB138" s="240" t="s">
        <v>231</v>
      </c>
      <c r="FC138" s="240" t="s">
        <v>231</v>
      </c>
      <c r="FD138" s="240" t="s">
        <v>231</v>
      </c>
      <c r="FE138" s="240" t="s">
        <v>231</v>
      </c>
      <c r="FF138" s="240" t="s">
        <v>231</v>
      </c>
      <c r="FG138" s="240" t="s">
        <v>492</v>
      </c>
      <c r="FH138" s="240" t="s">
        <v>231</v>
      </c>
      <c r="FI138" s="240" t="s">
        <v>231</v>
      </c>
      <c r="FJ138" s="240" t="s">
        <v>231</v>
      </c>
      <c r="FK138" s="240" t="s">
        <v>231</v>
      </c>
      <c r="FL138" s="240" t="s">
        <v>231</v>
      </c>
      <c r="FM138" s="240" t="s">
        <v>231</v>
      </c>
      <c r="FN138" s="240" t="s">
        <v>231</v>
      </c>
      <c r="FO138" s="240" t="s">
        <v>231</v>
      </c>
      <c r="FP138" s="240" t="s">
        <v>231</v>
      </c>
      <c r="FQ138" s="240" t="s">
        <v>231</v>
      </c>
      <c r="FR138" s="240" t="s">
        <v>231</v>
      </c>
      <c r="FS138" s="240" t="s">
        <v>231</v>
      </c>
      <c r="FT138" s="240" t="s">
        <v>231</v>
      </c>
      <c r="FU138" s="240" t="s">
        <v>231</v>
      </c>
      <c r="FV138" s="240" t="s">
        <v>231</v>
      </c>
      <c r="FW138" s="240" t="s">
        <v>231</v>
      </c>
      <c r="FX138" s="240" t="s">
        <v>231</v>
      </c>
      <c r="FY138" s="240" t="s">
        <v>492</v>
      </c>
      <c r="FZ138" s="240" t="s">
        <v>231</v>
      </c>
      <c r="GA138" s="240" t="s">
        <v>1107</v>
      </c>
      <c r="GB138" s="240" t="s">
        <v>1107</v>
      </c>
      <c r="GC138" s="240" t="s">
        <v>231</v>
      </c>
      <c r="GD138" s="240" t="s">
        <v>1107</v>
      </c>
      <c r="GE138" s="240" t="s">
        <v>492</v>
      </c>
      <c r="GF138" s="240" t="s">
        <v>1107</v>
      </c>
      <c r="GG138" s="240" t="s">
        <v>1107</v>
      </c>
      <c r="GH138" s="240" t="s">
        <v>492</v>
      </c>
      <c r="GI138" s="240" t="s">
        <v>492</v>
      </c>
      <c r="GJ138" s="240" t="s">
        <v>1107</v>
      </c>
      <c r="GK138" s="240" t="s">
        <v>1107</v>
      </c>
      <c r="GL138" s="240" t="s">
        <v>1107</v>
      </c>
      <c r="GM138" s="240" t="s">
        <v>1107</v>
      </c>
      <c r="GN138" s="240" t="s">
        <v>1107</v>
      </c>
      <c r="GO138" s="240" t="s">
        <v>492</v>
      </c>
      <c r="GP138" s="240" t="s">
        <v>492</v>
      </c>
      <c r="GQ138" s="240" t="s">
        <v>1107</v>
      </c>
      <c r="GR138" s="240" t="s">
        <v>1107</v>
      </c>
      <c r="GS138" s="240" t="s">
        <v>1107</v>
      </c>
      <c r="GT138" s="240" t="s">
        <v>1107</v>
      </c>
      <c r="GU138" s="240" t="s">
        <v>1107</v>
      </c>
      <c r="GV138" s="240" t="s">
        <v>1107</v>
      </c>
      <c r="GW138" s="240" t="s">
        <v>1107</v>
      </c>
      <c r="GX138" s="240" t="s">
        <v>1107</v>
      </c>
      <c r="GY138" s="240" t="s">
        <v>1107</v>
      </c>
      <c r="GZ138" s="240" t="s">
        <v>492</v>
      </c>
      <c r="HA138" s="240" t="s">
        <v>492</v>
      </c>
      <c r="HB138" s="240" t="s">
        <v>492</v>
      </c>
      <c r="HC138" s="240" t="s">
        <v>492</v>
      </c>
      <c r="HD138" s="240" t="s">
        <v>1107</v>
      </c>
      <c r="HE138" s="240" t="s">
        <v>1107</v>
      </c>
      <c r="HF138" s="240" t="s">
        <v>1107</v>
      </c>
      <c r="HG138" s="240" t="s">
        <v>1107</v>
      </c>
      <c r="HH138" s="240" t="s">
        <v>1107</v>
      </c>
      <c r="HI138" s="240" t="s">
        <v>1107</v>
      </c>
      <c r="HJ138" s="240" t="s">
        <v>1107</v>
      </c>
      <c r="HK138" s="240" t="s">
        <v>1107</v>
      </c>
      <c r="HL138" s="240" t="s">
        <v>1107</v>
      </c>
      <c r="HM138" s="240" t="s">
        <v>1107</v>
      </c>
      <c r="HN138" s="240" t="s">
        <v>1107</v>
      </c>
      <c r="HO138" s="240" t="s">
        <v>1107</v>
      </c>
      <c r="HP138" s="240" t="s">
        <v>1107</v>
      </c>
      <c r="HQ138" s="240" t="s">
        <v>1107</v>
      </c>
      <c r="HR138" s="240" t="s">
        <v>1107</v>
      </c>
      <c r="HS138" s="240" t="s">
        <v>1107</v>
      </c>
      <c r="HT138" s="240" t="s">
        <v>231</v>
      </c>
      <c r="HU138" s="240" t="s">
        <v>231</v>
      </c>
      <c r="HV138" s="240" t="s">
        <v>231</v>
      </c>
      <c r="HW138" s="240" t="s">
        <v>231</v>
      </c>
      <c r="HX138" s="240" t="s">
        <v>220</v>
      </c>
      <c r="HY138" s="240" t="s">
        <v>493</v>
      </c>
      <c r="HZ138" s="240" t="s">
        <v>219</v>
      </c>
      <c r="IA138" s="240" t="s">
        <v>490</v>
      </c>
      <c r="IB138" s="240" t="s">
        <v>492</v>
      </c>
      <c r="IC138" s="240" t="s">
        <v>492</v>
      </c>
    </row>
    <row r="139" spans="1:237" ht="15" x14ac:dyDescent="0.25">
      <c r="A139" s="243" t="str">
        <f>HYPERLINK("http://www.ofsted.gov.uk/inspection-reports/find-inspection-report/provider/ELS/145950 ","Ofsted School Webpage")</f>
        <v>Ofsted School Webpage</v>
      </c>
      <c r="B139" s="237">
        <v>145950</v>
      </c>
      <c r="C139" s="237">
        <v>8616017</v>
      </c>
      <c r="D139" s="237" t="s">
        <v>1379</v>
      </c>
      <c r="E139" s="237" t="s">
        <v>248</v>
      </c>
      <c r="F139" s="237" t="s">
        <v>502</v>
      </c>
      <c r="G139" s="237" t="s">
        <v>502</v>
      </c>
      <c r="H139" s="237" t="s">
        <v>655</v>
      </c>
      <c r="I139" s="237" t="s">
        <v>1380</v>
      </c>
      <c r="J139" s="237" t="s">
        <v>93</v>
      </c>
      <c r="K139" s="237" t="s">
        <v>93</v>
      </c>
      <c r="L139" s="237" t="s">
        <v>93</v>
      </c>
      <c r="M139" s="237" t="s">
        <v>90</v>
      </c>
      <c r="N139" s="237" t="s">
        <v>486</v>
      </c>
      <c r="O139" s="237" t="s">
        <v>487</v>
      </c>
      <c r="P139" s="237">
        <v>10056545</v>
      </c>
      <c r="Q139" s="239">
        <v>43354</v>
      </c>
      <c r="R139" s="239">
        <v>43354</v>
      </c>
      <c r="S139" s="239">
        <v>43371</v>
      </c>
      <c r="T139" s="237" t="s">
        <v>1377</v>
      </c>
      <c r="U139" s="237" t="s">
        <v>1105</v>
      </c>
      <c r="V139" s="237" t="s">
        <v>490</v>
      </c>
      <c r="W139" s="237" t="s">
        <v>486</v>
      </c>
      <c r="X139" s="237" t="s">
        <v>486</v>
      </c>
      <c r="Y139" s="237" t="s">
        <v>486</v>
      </c>
      <c r="Z139" s="237" t="s">
        <v>486</v>
      </c>
      <c r="AA139" s="237" t="s">
        <v>486</v>
      </c>
      <c r="AB139" s="237" t="s">
        <v>486</v>
      </c>
      <c r="AC139" s="237" t="s">
        <v>486</v>
      </c>
      <c r="AD139" s="237" t="s">
        <v>1378</v>
      </c>
      <c r="AE139" s="237" t="s">
        <v>231</v>
      </c>
      <c r="AF139" s="237" t="s">
        <v>231</v>
      </c>
      <c r="AG139" s="237" t="s">
        <v>231</v>
      </c>
      <c r="AH139" s="237" t="s">
        <v>231</v>
      </c>
      <c r="AI139" s="237" t="s">
        <v>231</v>
      </c>
      <c r="AJ139" s="237" t="s">
        <v>231</v>
      </c>
      <c r="AK139" s="237" t="s">
        <v>231</v>
      </c>
      <c r="AL139" s="237" t="s">
        <v>231</v>
      </c>
      <c r="AM139" s="237" t="s">
        <v>492</v>
      </c>
      <c r="AN139" s="237" t="s">
        <v>231</v>
      </c>
      <c r="AO139" s="237" t="s">
        <v>231</v>
      </c>
      <c r="AP139" s="237" t="s">
        <v>231</v>
      </c>
      <c r="AQ139" s="237" t="s">
        <v>231</v>
      </c>
      <c r="AR139" s="237" t="s">
        <v>231</v>
      </c>
      <c r="AS139" s="237" t="s">
        <v>231</v>
      </c>
      <c r="AT139" s="237" t="s">
        <v>231</v>
      </c>
      <c r="AU139" s="237" t="s">
        <v>492</v>
      </c>
      <c r="AV139" s="237" t="s">
        <v>492</v>
      </c>
      <c r="AW139" s="237" t="s">
        <v>231</v>
      </c>
      <c r="AX139" s="237" t="s">
        <v>231</v>
      </c>
      <c r="AY139" s="237" t="s">
        <v>231</v>
      </c>
      <c r="AZ139" s="237" t="s">
        <v>231</v>
      </c>
      <c r="BA139" s="237" t="s">
        <v>231</v>
      </c>
      <c r="BB139" s="237" t="s">
        <v>231</v>
      </c>
      <c r="BC139" s="237" t="s">
        <v>231</v>
      </c>
      <c r="BD139" s="237" t="s">
        <v>231</v>
      </c>
      <c r="BE139" s="237" t="s">
        <v>231</v>
      </c>
      <c r="BF139" s="237" t="s">
        <v>231</v>
      </c>
      <c r="BG139" s="237" t="s">
        <v>231</v>
      </c>
      <c r="BH139" s="237" t="s">
        <v>231</v>
      </c>
      <c r="BI139" s="237" t="s">
        <v>231</v>
      </c>
      <c r="BJ139" s="237" t="s">
        <v>231</v>
      </c>
      <c r="BK139" s="237" t="s">
        <v>231</v>
      </c>
      <c r="BL139" s="237" t="s">
        <v>231</v>
      </c>
      <c r="BM139" s="237" t="s">
        <v>231</v>
      </c>
      <c r="BN139" s="237" t="s">
        <v>231</v>
      </c>
      <c r="BO139" s="237" t="s">
        <v>231</v>
      </c>
      <c r="BP139" s="237" t="s">
        <v>231</v>
      </c>
      <c r="BQ139" s="237" t="s">
        <v>231</v>
      </c>
      <c r="BR139" s="237" t="s">
        <v>231</v>
      </c>
      <c r="BS139" s="237" t="s">
        <v>231</v>
      </c>
      <c r="BT139" s="237" t="s">
        <v>231</v>
      </c>
      <c r="BU139" s="237" t="s">
        <v>231</v>
      </c>
      <c r="BV139" s="237" t="s">
        <v>231</v>
      </c>
      <c r="BW139" s="237" t="s">
        <v>231</v>
      </c>
      <c r="BX139" s="237" t="s">
        <v>231</v>
      </c>
      <c r="BY139" s="237" t="s">
        <v>231</v>
      </c>
      <c r="BZ139" s="237" t="s">
        <v>231</v>
      </c>
      <c r="CA139" s="237" t="s">
        <v>231</v>
      </c>
      <c r="CB139" s="237" t="s">
        <v>231</v>
      </c>
      <c r="CC139" s="237" t="s">
        <v>492</v>
      </c>
      <c r="CD139" s="237" t="s">
        <v>492</v>
      </c>
      <c r="CE139" s="237" t="s">
        <v>492</v>
      </c>
      <c r="CF139" s="237" t="s">
        <v>231</v>
      </c>
      <c r="CG139" s="237" t="s">
        <v>231</v>
      </c>
      <c r="CH139" s="237" t="s">
        <v>231</v>
      </c>
      <c r="CI139" s="237" t="s">
        <v>231</v>
      </c>
      <c r="CJ139" s="237" t="s">
        <v>231</v>
      </c>
      <c r="CK139" s="237" t="s">
        <v>231</v>
      </c>
      <c r="CL139" s="237" t="s">
        <v>231</v>
      </c>
      <c r="CM139" s="237" t="s">
        <v>231</v>
      </c>
      <c r="CN139" s="237" t="s">
        <v>231</v>
      </c>
      <c r="CO139" s="237" t="s">
        <v>231</v>
      </c>
      <c r="CP139" s="237" t="s">
        <v>231</v>
      </c>
      <c r="CQ139" s="237" t="s">
        <v>231</v>
      </c>
      <c r="CR139" s="237" t="s">
        <v>231</v>
      </c>
      <c r="CS139" s="237" t="s">
        <v>231</v>
      </c>
      <c r="CT139" s="237" t="s">
        <v>231</v>
      </c>
      <c r="CU139" s="237" t="s">
        <v>231</v>
      </c>
      <c r="CV139" s="237" t="s">
        <v>231</v>
      </c>
      <c r="CW139" s="237" t="s">
        <v>231</v>
      </c>
      <c r="CX139" s="237" t="s">
        <v>231</v>
      </c>
      <c r="CY139" s="237" t="s">
        <v>231</v>
      </c>
      <c r="CZ139" s="237" t="s">
        <v>231</v>
      </c>
      <c r="DA139" s="237" t="s">
        <v>231</v>
      </c>
      <c r="DB139" s="237" t="s">
        <v>231</v>
      </c>
      <c r="DC139" s="237" t="s">
        <v>492</v>
      </c>
      <c r="DD139" s="237" t="s">
        <v>231</v>
      </c>
      <c r="DE139" s="237" t="s">
        <v>231</v>
      </c>
      <c r="DF139" s="237" t="s">
        <v>231</v>
      </c>
      <c r="DG139" s="237" t="s">
        <v>231</v>
      </c>
      <c r="DH139" s="237" t="s">
        <v>231</v>
      </c>
      <c r="DI139" s="237" t="s">
        <v>231</v>
      </c>
      <c r="DJ139" s="237" t="s">
        <v>231</v>
      </c>
      <c r="DK139" s="237" t="s">
        <v>231</v>
      </c>
      <c r="DL139" s="237" t="s">
        <v>231</v>
      </c>
      <c r="DM139" s="237" t="s">
        <v>231</v>
      </c>
      <c r="DN139" s="237" t="s">
        <v>231</v>
      </c>
      <c r="DO139" s="237" t="s">
        <v>231</v>
      </c>
      <c r="DP139" s="237" t="s">
        <v>231</v>
      </c>
      <c r="DQ139" s="237" t="s">
        <v>492</v>
      </c>
      <c r="DR139" s="237" t="s">
        <v>231</v>
      </c>
      <c r="DS139" s="237" t="s">
        <v>231</v>
      </c>
      <c r="DT139" s="237" t="s">
        <v>231</v>
      </c>
      <c r="DU139" s="237" t="s">
        <v>231</v>
      </c>
      <c r="DV139" s="237" t="s">
        <v>231</v>
      </c>
      <c r="DW139" s="237" t="s">
        <v>231</v>
      </c>
      <c r="DX139" s="237" t="s">
        <v>231</v>
      </c>
      <c r="DY139" s="237" t="s">
        <v>231</v>
      </c>
      <c r="DZ139" s="237" t="s">
        <v>231</v>
      </c>
      <c r="EA139" s="237" t="s">
        <v>231</v>
      </c>
      <c r="EB139" s="237" t="s">
        <v>231</v>
      </c>
      <c r="EC139" s="237" t="s">
        <v>231</v>
      </c>
      <c r="ED139" s="237" t="s">
        <v>231</v>
      </c>
      <c r="EE139" s="237" t="s">
        <v>231</v>
      </c>
      <c r="EF139" s="237" t="s">
        <v>231</v>
      </c>
      <c r="EG139" s="237" t="s">
        <v>231</v>
      </c>
      <c r="EH139" s="237" t="s">
        <v>231</v>
      </c>
      <c r="EI139" s="237" t="s">
        <v>231</v>
      </c>
      <c r="EJ139" s="237" t="s">
        <v>231</v>
      </c>
      <c r="EK139" s="237" t="s">
        <v>231</v>
      </c>
      <c r="EL139" s="237" t="s">
        <v>231</v>
      </c>
      <c r="EM139" s="237" t="s">
        <v>231</v>
      </c>
      <c r="EN139" s="237" t="s">
        <v>231</v>
      </c>
      <c r="EO139" s="237" t="s">
        <v>231</v>
      </c>
      <c r="EP139" s="237" t="s">
        <v>231</v>
      </c>
      <c r="EQ139" s="237" t="s">
        <v>231</v>
      </c>
      <c r="ER139" s="237" t="s">
        <v>231</v>
      </c>
      <c r="ES139" s="237" t="s">
        <v>231</v>
      </c>
      <c r="ET139" s="237" t="s">
        <v>231</v>
      </c>
      <c r="EU139" s="237" t="s">
        <v>231</v>
      </c>
      <c r="EV139" s="237" t="s">
        <v>231</v>
      </c>
      <c r="EW139" s="237" t="s">
        <v>231</v>
      </c>
      <c r="EX139" s="237" t="s">
        <v>231</v>
      </c>
      <c r="EY139" s="237" t="s">
        <v>231</v>
      </c>
      <c r="EZ139" s="237" t="s">
        <v>231</v>
      </c>
      <c r="FA139" s="237" t="s">
        <v>231</v>
      </c>
      <c r="FB139" s="237" t="s">
        <v>231</v>
      </c>
      <c r="FC139" s="237" t="s">
        <v>231</v>
      </c>
      <c r="FD139" s="237" t="s">
        <v>231</v>
      </c>
      <c r="FE139" s="237" t="s">
        <v>231</v>
      </c>
      <c r="FF139" s="237" t="s">
        <v>231</v>
      </c>
      <c r="FG139" s="237" t="s">
        <v>492</v>
      </c>
      <c r="FH139" s="237" t="s">
        <v>231</v>
      </c>
      <c r="FI139" s="237" t="s">
        <v>231</v>
      </c>
      <c r="FJ139" s="237" t="s">
        <v>231</v>
      </c>
      <c r="FK139" s="237" t="s">
        <v>231</v>
      </c>
      <c r="FL139" s="237" t="s">
        <v>231</v>
      </c>
      <c r="FM139" s="237" t="s">
        <v>231</v>
      </c>
      <c r="FN139" s="237" t="s">
        <v>231</v>
      </c>
      <c r="FO139" s="237" t="s">
        <v>231</v>
      </c>
      <c r="FP139" s="237" t="s">
        <v>231</v>
      </c>
      <c r="FQ139" s="237" t="s">
        <v>231</v>
      </c>
      <c r="FR139" s="237" t="s">
        <v>231</v>
      </c>
      <c r="FS139" s="237" t="s">
        <v>231</v>
      </c>
      <c r="FT139" s="237" t="s">
        <v>231</v>
      </c>
      <c r="FU139" s="237" t="s">
        <v>231</v>
      </c>
      <c r="FV139" s="237" t="s">
        <v>231</v>
      </c>
      <c r="FW139" s="237" t="s">
        <v>231</v>
      </c>
      <c r="FX139" s="237" t="s">
        <v>231</v>
      </c>
      <c r="FY139" s="237" t="s">
        <v>492</v>
      </c>
      <c r="FZ139" s="237" t="s">
        <v>231</v>
      </c>
      <c r="GA139" s="237" t="s">
        <v>231</v>
      </c>
      <c r="GB139" s="237" t="s">
        <v>231</v>
      </c>
      <c r="GC139" s="237" t="s">
        <v>231</v>
      </c>
      <c r="GD139" s="237" t="s">
        <v>231</v>
      </c>
      <c r="GE139" s="237" t="s">
        <v>492</v>
      </c>
      <c r="GF139" s="237" t="s">
        <v>231</v>
      </c>
      <c r="GG139" s="237" t="s">
        <v>231</v>
      </c>
      <c r="GH139" s="237" t="s">
        <v>231</v>
      </c>
      <c r="GI139" s="237" t="s">
        <v>231</v>
      </c>
      <c r="GJ139" s="237" t="s">
        <v>231</v>
      </c>
      <c r="GK139" s="237" t="s">
        <v>231</v>
      </c>
      <c r="GL139" s="237" t="s">
        <v>231</v>
      </c>
      <c r="GM139" s="237" t="s">
        <v>231</v>
      </c>
      <c r="GN139" s="237" t="s">
        <v>231</v>
      </c>
      <c r="GO139" s="237" t="s">
        <v>492</v>
      </c>
      <c r="GP139" s="237" t="s">
        <v>231</v>
      </c>
      <c r="GQ139" s="237" t="s">
        <v>231</v>
      </c>
      <c r="GR139" s="237" t="s">
        <v>231</v>
      </c>
      <c r="GS139" s="237" t="s">
        <v>231</v>
      </c>
      <c r="GT139" s="237" t="s">
        <v>231</v>
      </c>
      <c r="GU139" s="237" t="s">
        <v>231</v>
      </c>
      <c r="GV139" s="237" t="s">
        <v>231</v>
      </c>
      <c r="GW139" s="237" t="s">
        <v>231</v>
      </c>
      <c r="GX139" s="237" t="s">
        <v>231</v>
      </c>
      <c r="GY139" s="237" t="s">
        <v>231</v>
      </c>
      <c r="GZ139" s="237" t="s">
        <v>492</v>
      </c>
      <c r="HA139" s="237" t="s">
        <v>492</v>
      </c>
      <c r="HB139" s="237" t="s">
        <v>492</v>
      </c>
      <c r="HC139" s="237" t="s">
        <v>492</v>
      </c>
      <c r="HD139" s="237" t="s">
        <v>231</v>
      </c>
      <c r="HE139" s="237" t="s">
        <v>231</v>
      </c>
      <c r="HF139" s="237" t="s">
        <v>231</v>
      </c>
      <c r="HG139" s="237" t="s">
        <v>231</v>
      </c>
      <c r="HH139" s="237" t="s">
        <v>231</v>
      </c>
      <c r="HI139" s="237" t="s">
        <v>231</v>
      </c>
      <c r="HJ139" s="237" t="s">
        <v>231</v>
      </c>
      <c r="HK139" s="237" t="s">
        <v>231</v>
      </c>
      <c r="HL139" s="237" t="s">
        <v>231</v>
      </c>
      <c r="HM139" s="237" t="s">
        <v>231</v>
      </c>
      <c r="HN139" s="237" t="s">
        <v>231</v>
      </c>
      <c r="HO139" s="237" t="s">
        <v>231</v>
      </c>
      <c r="HP139" s="237" t="s">
        <v>231</v>
      </c>
      <c r="HQ139" s="237" t="s">
        <v>231</v>
      </c>
      <c r="HR139" s="237" t="s">
        <v>231</v>
      </c>
      <c r="HS139" s="237" t="s">
        <v>231</v>
      </c>
      <c r="HT139" s="237" t="s">
        <v>231</v>
      </c>
      <c r="HU139" s="237" t="s">
        <v>231</v>
      </c>
      <c r="HV139" s="237" t="s">
        <v>231</v>
      </c>
      <c r="HW139" s="237" t="s">
        <v>231</v>
      </c>
      <c r="HX139" s="237" t="s">
        <v>220</v>
      </c>
      <c r="HY139" s="237" t="s">
        <v>493</v>
      </c>
      <c r="HZ139" s="237" t="s">
        <v>219</v>
      </c>
      <c r="IA139" s="237" t="s">
        <v>490</v>
      </c>
      <c r="IB139" s="237" t="s">
        <v>492</v>
      </c>
      <c r="IC139" s="237" t="s">
        <v>492</v>
      </c>
    </row>
    <row r="140" spans="1:237" ht="15" x14ac:dyDescent="0.25">
      <c r="A140" s="244" t="str">
        <f>HYPERLINK("http://www.ofsted.gov.uk/inspection-reports/find-inspection-report/provider/ELS/146164 ","Ofsted School Webpage")</f>
        <v>Ofsted School Webpage</v>
      </c>
      <c r="B140" s="240">
        <v>146164</v>
      </c>
      <c r="C140" s="240">
        <v>8946011</v>
      </c>
      <c r="D140" s="240" t="s">
        <v>1381</v>
      </c>
      <c r="E140" s="240" t="s">
        <v>247</v>
      </c>
      <c r="F140" s="240" t="s">
        <v>502</v>
      </c>
      <c r="G140" s="240" t="s">
        <v>502</v>
      </c>
      <c r="H140" s="240" t="s">
        <v>520</v>
      </c>
      <c r="I140" s="240" t="s">
        <v>1382</v>
      </c>
      <c r="J140" s="240" t="s">
        <v>93</v>
      </c>
      <c r="K140" s="240" t="s">
        <v>93</v>
      </c>
      <c r="L140" s="240" t="s">
        <v>93</v>
      </c>
      <c r="M140" s="240" t="s">
        <v>90</v>
      </c>
      <c r="N140" s="240" t="s">
        <v>486</v>
      </c>
      <c r="O140" s="240" t="s">
        <v>487</v>
      </c>
      <c r="P140" s="240">
        <v>10068631</v>
      </c>
      <c r="Q140" s="242">
        <v>43356</v>
      </c>
      <c r="R140" s="242">
        <v>43356</v>
      </c>
      <c r="S140" s="242">
        <v>43377</v>
      </c>
      <c r="T140" s="240" t="s">
        <v>1377</v>
      </c>
      <c r="U140" s="240" t="s">
        <v>1105</v>
      </c>
      <c r="V140" s="240" t="s">
        <v>490</v>
      </c>
      <c r="W140" s="240" t="s">
        <v>486</v>
      </c>
      <c r="X140" s="240" t="s">
        <v>486</v>
      </c>
      <c r="Y140" s="240" t="s">
        <v>486</v>
      </c>
      <c r="Z140" s="240" t="s">
        <v>486</v>
      </c>
      <c r="AA140" s="240" t="s">
        <v>486</v>
      </c>
      <c r="AB140" s="240" t="s">
        <v>486</v>
      </c>
      <c r="AC140" s="240" t="s">
        <v>486</v>
      </c>
      <c r="AD140" s="240" t="s">
        <v>1378</v>
      </c>
      <c r="AE140" s="240" t="s">
        <v>231</v>
      </c>
      <c r="AF140" s="240" t="s">
        <v>231</v>
      </c>
      <c r="AG140" s="240" t="s">
        <v>231</v>
      </c>
      <c r="AH140" s="240" t="s">
        <v>231</v>
      </c>
      <c r="AI140" s="240" t="s">
        <v>231</v>
      </c>
      <c r="AJ140" s="240" t="s">
        <v>231</v>
      </c>
      <c r="AK140" s="240" t="s">
        <v>231</v>
      </c>
      <c r="AL140" s="240" t="s">
        <v>231</v>
      </c>
      <c r="AM140" s="240" t="s">
        <v>231</v>
      </c>
      <c r="AN140" s="240" t="s">
        <v>231</v>
      </c>
      <c r="AO140" s="240" t="s">
        <v>231</v>
      </c>
      <c r="AP140" s="240" t="s">
        <v>231</v>
      </c>
      <c r="AQ140" s="240" t="s">
        <v>231</v>
      </c>
      <c r="AR140" s="240" t="s">
        <v>231</v>
      </c>
      <c r="AS140" s="240" t="s">
        <v>231</v>
      </c>
      <c r="AT140" s="240" t="s">
        <v>231</v>
      </c>
      <c r="AU140" s="240" t="s">
        <v>492</v>
      </c>
      <c r="AV140" s="240" t="s">
        <v>492</v>
      </c>
      <c r="AW140" s="240" t="s">
        <v>231</v>
      </c>
      <c r="AX140" s="240" t="s">
        <v>231</v>
      </c>
      <c r="AY140" s="240" t="s">
        <v>231</v>
      </c>
      <c r="AZ140" s="240" t="s">
        <v>231</v>
      </c>
      <c r="BA140" s="240" t="s">
        <v>231</v>
      </c>
      <c r="BB140" s="240" t="s">
        <v>231</v>
      </c>
      <c r="BC140" s="240" t="s">
        <v>231</v>
      </c>
      <c r="BD140" s="240" t="s">
        <v>231</v>
      </c>
      <c r="BE140" s="240" t="s">
        <v>231</v>
      </c>
      <c r="BF140" s="240" t="s">
        <v>231</v>
      </c>
      <c r="BG140" s="240" t="s">
        <v>231</v>
      </c>
      <c r="BH140" s="240" t="s">
        <v>231</v>
      </c>
      <c r="BI140" s="240" t="s">
        <v>231</v>
      </c>
      <c r="BJ140" s="240" t="s">
        <v>231</v>
      </c>
      <c r="BK140" s="240" t="s">
        <v>231</v>
      </c>
      <c r="BL140" s="240" t="s">
        <v>231</v>
      </c>
      <c r="BM140" s="240" t="s">
        <v>231</v>
      </c>
      <c r="BN140" s="240" t="s">
        <v>231</v>
      </c>
      <c r="BO140" s="240" t="s">
        <v>231</v>
      </c>
      <c r="BP140" s="240" t="s">
        <v>231</v>
      </c>
      <c r="BQ140" s="240" t="s">
        <v>231</v>
      </c>
      <c r="BR140" s="240" t="s">
        <v>231</v>
      </c>
      <c r="BS140" s="240" t="s">
        <v>231</v>
      </c>
      <c r="BT140" s="240" t="s">
        <v>231</v>
      </c>
      <c r="BU140" s="240" t="s">
        <v>231</v>
      </c>
      <c r="BV140" s="240" t="s">
        <v>231</v>
      </c>
      <c r="BW140" s="240" t="s">
        <v>231</v>
      </c>
      <c r="BX140" s="240" t="s">
        <v>231</v>
      </c>
      <c r="BY140" s="240" t="s">
        <v>231</v>
      </c>
      <c r="BZ140" s="240" t="s">
        <v>231</v>
      </c>
      <c r="CA140" s="240" t="s">
        <v>231</v>
      </c>
      <c r="CB140" s="240" t="s">
        <v>231</v>
      </c>
      <c r="CC140" s="240" t="s">
        <v>231</v>
      </c>
      <c r="CD140" s="240" t="s">
        <v>492</v>
      </c>
      <c r="CE140" s="240" t="s">
        <v>492</v>
      </c>
      <c r="CF140" s="240" t="s">
        <v>231</v>
      </c>
      <c r="CG140" s="240" t="s">
        <v>231</v>
      </c>
      <c r="CH140" s="240" t="s">
        <v>231</v>
      </c>
      <c r="CI140" s="240" t="s">
        <v>231</v>
      </c>
      <c r="CJ140" s="240" t="s">
        <v>231</v>
      </c>
      <c r="CK140" s="240" t="s">
        <v>231</v>
      </c>
      <c r="CL140" s="240" t="s">
        <v>231</v>
      </c>
      <c r="CM140" s="240" t="s">
        <v>231</v>
      </c>
      <c r="CN140" s="240" t="s">
        <v>231</v>
      </c>
      <c r="CO140" s="240" t="s">
        <v>231</v>
      </c>
      <c r="CP140" s="240" t="s">
        <v>231</v>
      </c>
      <c r="CQ140" s="240" t="s">
        <v>231</v>
      </c>
      <c r="CR140" s="240" t="s">
        <v>231</v>
      </c>
      <c r="CS140" s="240" t="s">
        <v>231</v>
      </c>
      <c r="CT140" s="240" t="s">
        <v>231</v>
      </c>
      <c r="CU140" s="240" t="s">
        <v>231</v>
      </c>
      <c r="CV140" s="240" t="s">
        <v>231</v>
      </c>
      <c r="CW140" s="240" t="s">
        <v>231</v>
      </c>
      <c r="CX140" s="240" t="s">
        <v>231</v>
      </c>
      <c r="CY140" s="240" t="s">
        <v>231</v>
      </c>
      <c r="CZ140" s="240" t="s">
        <v>231</v>
      </c>
      <c r="DA140" s="240" t="s">
        <v>231</v>
      </c>
      <c r="DB140" s="240" t="s">
        <v>231</v>
      </c>
      <c r="DC140" s="240" t="s">
        <v>492</v>
      </c>
      <c r="DD140" s="240" t="s">
        <v>231</v>
      </c>
      <c r="DE140" s="240" t="s">
        <v>231</v>
      </c>
      <c r="DF140" s="240" t="s">
        <v>231</v>
      </c>
      <c r="DG140" s="240" t="s">
        <v>231</v>
      </c>
      <c r="DH140" s="240" t="s">
        <v>231</v>
      </c>
      <c r="DI140" s="240" t="s">
        <v>231</v>
      </c>
      <c r="DJ140" s="240" t="s">
        <v>231</v>
      </c>
      <c r="DK140" s="240" t="s">
        <v>231</v>
      </c>
      <c r="DL140" s="240" t="s">
        <v>231</v>
      </c>
      <c r="DM140" s="240" t="s">
        <v>231</v>
      </c>
      <c r="DN140" s="240" t="s">
        <v>231</v>
      </c>
      <c r="DO140" s="240" t="s">
        <v>231</v>
      </c>
      <c r="DP140" s="240" t="s">
        <v>231</v>
      </c>
      <c r="DQ140" s="240" t="s">
        <v>492</v>
      </c>
      <c r="DR140" s="240" t="s">
        <v>231</v>
      </c>
      <c r="DS140" s="240" t="s">
        <v>231</v>
      </c>
      <c r="DT140" s="240" t="s">
        <v>231</v>
      </c>
      <c r="DU140" s="240" t="s">
        <v>231</v>
      </c>
      <c r="DV140" s="240" t="s">
        <v>231</v>
      </c>
      <c r="DW140" s="240" t="s">
        <v>231</v>
      </c>
      <c r="DX140" s="240" t="s">
        <v>231</v>
      </c>
      <c r="DY140" s="240" t="s">
        <v>231</v>
      </c>
      <c r="DZ140" s="240" t="s">
        <v>231</v>
      </c>
      <c r="EA140" s="240" t="s">
        <v>231</v>
      </c>
      <c r="EB140" s="240" t="s">
        <v>231</v>
      </c>
      <c r="EC140" s="240" t="s">
        <v>231</v>
      </c>
      <c r="ED140" s="240" t="s">
        <v>231</v>
      </c>
      <c r="EE140" s="240" t="s">
        <v>231</v>
      </c>
      <c r="EF140" s="240" t="s">
        <v>231</v>
      </c>
      <c r="EG140" s="240" t="s">
        <v>231</v>
      </c>
      <c r="EH140" s="240" t="s">
        <v>231</v>
      </c>
      <c r="EI140" s="240" t="s">
        <v>231</v>
      </c>
      <c r="EJ140" s="240" t="s">
        <v>231</v>
      </c>
      <c r="EK140" s="240" t="s">
        <v>231</v>
      </c>
      <c r="EL140" s="240" t="s">
        <v>231</v>
      </c>
      <c r="EM140" s="240" t="s">
        <v>231</v>
      </c>
      <c r="EN140" s="240" t="s">
        <v>231</v>
      </c>
      <c r="EO140" s="240" t="s">
        <v>231</v>
      </c>
      <c r="EP140" s="240" t="s">
        <v>231</v>
      </c>
      <c r="EQ140" s="240" t="s">
        <v>231</v>
      </c>
      <c r="ER140" s="240" t="s">
        <v>231</v>
      </c>
      <c r="ES140" s="240" t="s">
        <v>231</v>
      </c>
      <c r="ET140" s="240" t="s">
        <v>231</v>
      </c>
      <c r="EU140" s="240" t="s">
        <v>231</v>
      </c>
      <c r="EV140" s="240" t="s">
        <v>231</v>
      </c>
      <c r="EW140" s="240" t="s">
        <v>231</v>
      </c>
      <c r="EX140" s="240" t="s">
        <v>231</v>
      </c>
      <c r="EY140" s="240" t="s">
        <v>231</v>
      </c>
      <c r="EZ140" s="240" t="s">
        <v>231</v>
      </c>
      <c r="FA140" s="240" t="s">
        <v>231</v>
      </c>
      <c r="FB140" s="240" t="s">
        <v>231</v>
      </c>
      <c r="FC140" s="240" t="s">
        <v>231</v>
      </c>
      <c r="FD140" s="240" t="s">
        <v>231</v>
      </c>
      <c r="FE140" s="240" t="s">
        <v>231</v>
      </c>
      <c r="FF140" s="240" t="s">
        <v>231</v>
      </c>
      <c r="FG140" s="240" t="s">
        <v>492</v>
      </c>
      <c r="FH140" s="240" t="s">
        <v>231</v>
      </c>
      <c r="FI140" s="240" t="s">
        <v>231</v>
      </c>
      <c r="FJ140" s="240" t="s">
        <v>231</v>
      </c>
      <c r="FK140" s="240" t="s">
        <v>231</v>
      </c>
      <c r="FL140" s="240" t="s">
        <v>231</v>
      </c>
      <c r="FM140" s="240" t="s">
        <v>231</v>
      </c>
      <c r="FN140" s="240" t="s">
        <v>231</v>
      </c>
      <c r="FO140" s="240" t="s">
        <v>231</v>
      </c>
      <c r="FP140" s="240" t="s">
        <v>231</v>
      </c>
      <c r="FQ140" s="240" t="s">
        <v>231</v>
      </c>
      <c r="FR140" s="240" t="s">
        <v>231</v>
      </c>
      <c r="FS140" s="240" t="s">
        <v>231</v>
      </c>
      <c r="FT140" s="240" t="s">
        <v>231</v>
      </c>
      <c r="FU140" s="240" t="s">
        <v>231</v>
      </c>
      <c r="FV140" s="240" t="s">
        <v>231</v>
      </c>
      <c r="FW140" s="240" t="s">
        <v>231</v>
      </c>
      <c r="FX140" s="240" t="s">
        <v>231</v>
      </c>
      <c r="FY140" s="240" t="s">
        <v>492</v>
      </c>
      <c r="FZ140" s="240" t="s">
        <v>231</v>
      </c>
      <c r="GA140" s="240" t="s">
        <v>231</v>
      </c>
      <c r="GB140" s="240" t="s">
        <v>231</v>
      </c>
      <c r="GC140" s="240" t="s">
        <v>231</v>
      </c>
      <c r="GD140" s="240" t="s">
        <v>492</v>
      </c>
      <c r="GE140" s="240" t="s">
        <v>492</v>
      </c>
      <c r="GF140" s="240" t="s">
        <v>231</v>
      </c>
      <c r="GG140" s="240" t="s">
        <v>231</v>
      </c>
      <c r="GH140" s="240" t="s">
        <v>231</v>
      </c>
      <c r="GI140" s="240" t="s">
        <v>231</v>
      </c>
      <c r="GJ140" s="240" t="s">
        <v>231</v>
      </c>
      <c r="GK140" s="240" t="s">
        <v>231</v>
      </c>
      <c r="GL140" s="240" t="s">
        <v>231</v>
      </c>
      <c r="GM140" s="240" t="s">
        <v>231</v>
      </c>
      <c r="GN140" s="240" t="s">
        <v>231</v>
      </c>
      <c r="GO140" s="240" t="s">
        <v>492</v>
      </c>
      <c r="GP140" s="240" t="s">
        <v>492</v>
      </c>
      <c r="GQ140" s="240" t="s">
        <v>231</v>
      </c>
      <c r="GR140" s="240" t="s">
        <v>231</v>
      </c>
      <c r="GS140" s="240" t="s">
        <v>231</v>
      </c>
      <c r="GT140" s="240" t="s">
        <v>231</v>
      </c>
      <c r="GU140" s="240" t="s">
        <v>231</v>
      </c>
      <c r="GV140" s="240" t="s">
        <v>231</v>
      </c>
      <c r="GW140" s="240" t="s">
        <v>231</v>
      </c>
      <c r="GX140" s="240" t="s">
        <v>231</v>
      </c>
      <c r="GY140" s="240" t="s">
        <v>492</v>
      </c>
      <c r="GZ140" s="240" t="s">
        <v>231</v>
      </c>
      <c r="HA140" s="240" t="s">
        <v>492</v>
      </c>
      <c r="HB140" s="240" t="s">
        <v>492</v>
      </c>
      <c r="HC140" s="240" t="s">
        <v>492</v>
      </c>
      <c r="HD140" s="240" t="s">
        <v>231</v>
      </c>
      <c r="HE140" s="240" t="s">
        <v>231</v>
      </c>
      <c r="HF140" s="240" t="s">
        <v>231</v>
      </c>
      <c r="HG140" s="240" t="s">
        <v>231</v>
      </c>
      <c r="HH140" s="240" t="s">
        <v>231</v>
      </c>
      <c r="HI140" s="240" t="s">
        <v>231</v>
      </c>
      <c r="HJ140" s="240" t="s">
        <v>231</v>
      </c>
      <c r="HK140" s="240" t="s">
        <v>231</v>
      </c>
      <c r="HL140" s="240" t="s">
        <v>231</v>
      </c>
      <c r="HM140" s="240" t="s">
        <v>231</v>
      </c>
      <c r="HN140" s="240" t="s">
        <v>231</v>
      </c>
      <c r="HO140" s="240" t="s">
        <v>231</v>
      </c>
      <c r="HP140" s="240" t="s">
        <v>231</v>
      </c>
      <c r="HQ140" s="240" t="s">
        <v>231</v>
      </c>
      <c r="HR140" s="240" t="s">
        <v>231</v>
      </c>
      <c r="HS140" s="240" t="s">
        <v>231</v>
      </c>
      <c r="HT140" s="240" t="s">
        <v>231</v>
      </c>
      <c r="HU140" s="240" t="s">
        <v>231</v>
      </c>
      <c r="HV140" s="240" t="s">
        <v>231</v>
      </c>
      <c r="HW140" s="240" t="s">
        <v>231</v>
      </c>
      <c r="HX140" s="240" t="s">
        <v>220</v>
      </c>
      <c r="HY140" s="240" t="s">
        <v>493</v>
      </c>
      <c r="HZ140" s="240" t="s">
        <v>219</v>
      </c>
      <c r="IA140" s="240" t="s">
        <v>490</v>
      </c>
      <c r="IB140" s="240" t="s">
        <v>492</v>
      </c>
      <c r="IC140" s="240" t="s">
        <v>492</v>
      </c>
    </row>
    <row r="141" spans="1:237" ht="15" x14ac:dyDescent="0.25">
      <c r="A141" s="243" t="str">
        <f>HYPERLINK("http://www.ofsted.gov.uk/inspection-reports/find-inspection-report/provider/ELS/145959 ","Ofsted School Webpage")</f>
        <v>Ofsted School Webpage</v>
      </c>
      <c r="B141" s="237">
        <v>145959</v>
      </c>
      <c r="C141" s="237">
        <v>3916006</v>
      </c>
      <c r="D141" s="237" t="s">
        <v>1383</v>
      </c>
      <c r="E141" s="237" t="s">
        <v>247</v>
      </c>
      <c r="F141" s="237" t="s">
        <v>523</v>
      </c>
      <c r="G141" s="237" t="s">
        <v>539</v>
      </c>
      <c r="H141" s="237" t="s">
        <v>1384</v>
      </c>
      <c r="I141" s="237" t="s">
        <v>1385</v>
      </c>
      <c r="J141" s="237" t="s">
        <v>93</v>
      </c>
      <c r="K141" s="237" t="s">
        <v>93</v>
      </c>
      <c r="L141" s="237" t="s">
        <v>93</v>
      </c>
      <c r="M141" s="237" t="s">
        <v>90</v>
      </c>
      <c r="N141" s="237" t="s">
        <v>486</v>
      </c>
      <c r="O141" s="237" t="s">
        <v>487</v>
      </c>
      <c r="P141" s="237">
        <v>10059300</v>
      </c>
      <c r="Q141" s="239">
        <v>43349</v>
      </c>
      <c r="R141" s="239">
        <v>43349</v>
      </c>
      <c r="S141" s="239">
        <v>43382</v>
      </c>
      <c r="T141" s="237" t="s">
        <v>1377</v>
      </c>
      <c r="U141" s="237" t="s">
        <v>1105</v>
      </c>
      <c r="V141" s="237" t="s">
        <v>490</v>
      </c>
      <c r="W141" s="237" t="s">
        <v>486</v>
      </c>
      <c r="X141" s="237" t="s">
        <v>486</v>
      </c>
      <c r="Y141" s="237" t="s">
        <v>486</v>
      </c>
      <c r="Z141" s="237" t="s">
        <v>486</v>
      </c>
      <c r="AA141" s="237" t="s">
        <v>486</v>
      </c>
      <c r="AB141" s="237" t="s">
        <v>486</v>
      </c>
      <c r="AC141" s="237" t="s">
        <v>486</v>
      </c>
      <c r="AD141" s="237" t="s">
        <v>1386</v>
      </c>
      <c r="AE141" s="237" t="s">
        <v>232</v>
      </c>
      <c r="AF141" s="237" t="s">
        <v>232</v>
      </c>
      <c r="AG141" s="237" t="s">
        <v>232</v>
      </c>
      <c r="AH141" s="237" t="s">
        <v>232</v>
      </c>
      <c r="AI141" s="237" t="s">
        <v>231</v>
      </c>
      <c r="AJ141" s="237" t="s">
        <v>232</v>
      </c>
      <c r="AK141" s="237" t="s">
        <v>232</v>
      </c>
      <c r="AL141" s="237" t="s">
        <v>231</v>
      </c>
      <c r="AM141" s="237" t="s">
        <v>492</v>
      </c>
      <c r="AN141" s="237" t="s">
        <v>231</v>
      </c>
      <c r="AO141" s="237" t="s">
        <v>231</v>
      </c>
      <c r="AP141" s="237" t="s">
        <v>231</v>
      </c>
      <c r="AQ141" s="237" t="s">
        <v>231</v>
      </c>
      <c r="AR141" s="237" t="s">
        <v>231</v>
      </c>
      <c r="AS141" s="237" t="s">
        <v>231</v>
      </c>
      <c r="AT141" s="237" t="s">
        <v>231</v>
      </c>
      <c r="AU141" s="237" t="s">
        <v>492</v>
      </c>
      <c r="AV141" s="237" t="s">
        <v>492</v>
      </c>
      <c r="AW141" s="237" t="s">
        <v>231</v>
      </c>
      <c r="AX141" s="237" t="s">
        <v>231</v>
      </c>
      <c r="AY141" s="237" t="s">
        <v>231</v>
      </c>
      <c r="AZ141" s="237" t="s">
        <v>231</v>
      </c>
      <c r="BA141" s="237" t="s">
        <v>231</v>
      </c>
      <c r="BB141" s="237" t="s">
        <v>231</v>
      </c>
      <c r="BC141" s="237" t="s">
        <v>231</v>
      </c>
      <c r="BD141" s="237" t="s">
        <v>231</v>
      </c>
      <c r="BE141" s="237" t="s">
        <v>231</v>
      </c>
      <c r="BF141" s="237" t="s">
        <v>232</v>
      </c>
      <c r="BG141" s="237" t="s">
        <v>232</v>
      </c>
      <c r="BH141" s="237" t="s">
        <v>231</v>
      </c>
      <c r="BI141" s="237" t="s">
        <v>232</v>
      </c>
      <c r="BJ141" s="237" t="s">
        <v>232</v>
      </c>
      <c r="BK141" s="237" t="s">
        <v>231</v>
      </c>
      <c r="BL141" s="237" t="s">
        <v>231</v>
      </c>
      <c r="BM141" s="237" t="s">
        <v>231</v>
      </c>
      <c r="BN141" s="237" t="s">
        <v>231</v>
      </c>
      <c r="BO141" s="237" t="s">
        <v>231</v>
      </c>
      <c r="BP141" s="237" t="s">
        <v>231</v>
      </c>
      <c r="BQ141" s="237" t="s">
        <v>231</v>
      </c>
      <c r="BR141" s="237" t="s">
        <v>231</v>
      </c>
      <c r="BS141" s="237" t="s">
        <v>231</v>
      </c>
      <c r="BT141" s="237" t="s">
        <v>231</v>
      </c>
      <c r="BU141" s="237" t="s">
        <v>231</v>
      </c>
      <c r="BV141" s="237" t="s">
        <v>231</v>
      </c>
      <c r="BW141" s="237" t="s">
        <v>231</v>
      </c>
      <c r="BX141" s="237" t="s">
        <v>231</v>
      </c>
      <c r="BY141" s="237" t="s">
        <v>231</v>
      </c>
      <c r="BZ141" s="237" t="s">
        <v>232</v>
      </c>
      <c r="CA141" s="237" t="s">
        <v>232</v>
      </c>
      <c r="CB141" s="237" t="s">
        <v>232</v>
      </c>
      <c r="CC141" s="237" t="s">
        <v>492</v>
      </c>
      <c r="CD141" s="237" t="s">
        <v>492</v>
      </c>
      <c r="CE141" s="237" t="s">
        <v>492</v>
      </c>
      <c r="CF141" s="237" t="s">
        <v>232</v>
      </c>
      <c r="CG141" s="237" t="s">
        <v>232</v>
      </c>
      <c r="CH141" s="237" t="s">
        <v>232</v>
      </c>
      <c r="CI141" s="237" t="s">
        <v>232</v>
      </c>
      <c r="CJ141" s="237" t="s">
        <v>232</v>
      </c>
      <c r="CK141" s="237" t="s">
        <v>232</v>
      </c>
      <c r="CL141" s="237" t="s">
        <v>232</v>
      </c>
      <c r="CM141" s="237" t="s">
        <v>232</v>
      </c>
      <c r="CN141" s="237" t="s">
        <v>232</v>
      </c>
      <c r="CO141" s="237" t="s">
        <v>232</v>
      </c>
      <c r="CP141" s="237" t="s">
        <v>232</v>
      </c>
      <c r="CQ141" s="237" t="s">
        <v>232</v>
      </c>
      <c r="CR141" s="237" t="s">
        <v>232</v>
      </c>
      <c r="CS141" s="237" t="s">
        <v>232</v>
      </c>
      <c r="CT141" s="237" t="s">
        <v>232</v>
      </c>
      <c r="CU141" s="237" t="s">
        <v>232</v>
      </c>
      <c r="CV141" s="237" t="s">
        <v>232</v>
      </c>
      <c r="CW141" s="237" t="s">
        <v>232</v>
      </c>
      <c r="CX141" s="237" t="s">
        <v>232</v>
      </c>
      <c r="CY141" s="237" t="s">
        <v>232</v>
      </c>
      <c r="CZ141" s="237" t="s">
        <v>231</v>
      </c>
      <c r="DA141" s="237" t="s">
        <v>231</v>
      </c>
      <c r="DB141" s="237" t="s">
        <v>232</v>
      </c>
      <c r="DC141" s="237" t="s">
        <v>492</v>
      </c>
      <c r="DD141" s="237" t="s">
        <v>232</v>
      </c>
      <c r="DE141" s="237" t="s">
        <v>492</v>
      </c>
      <c r="DF141" s="237" t="s">
        <v>492</v>
      </c>
      <c r="DG141" s="237" t="s">
        <v>492</v>
      </c>
      <c r="DH141" s="237" t="s">
        <v>492</v>
      </c>
      <c r="DI141" s="237" t="s">
        <v>492</v>
      </c>
      <c r="DJ141" s="237" t="s">
        <v>492</v>
      </c>
      <c r="DK141" s="237" t="s">
        <v>492</v>
      </c>
      <c r="DL141" s="237" t="s">
        <v>492</v>
      </c>
      <c r="DM141" s="237" t="s">
        <v>492</v>
      </c>
      <c r="DN141" s="237" t="s">
        <v>492</v>
      </c>
      <c r="DO141" s="237" t="s">
        <v>492</v>
      </c>
      <c r="DP141" s="237" t="s">
        <v>492</v>
      </c>
      <c r="DQ141" s="237" t="s">
        <v>492</v>
      </c>
      <c r="DR141" s="237" t="s">
        <v>232</v>
      </c>
      <c r="DS141" s="237" t="s">
        <v>232</v>
      </c>
      <c r="DT141" s="237" t="s">
        <v>232</v>
      </c>
      <c r="DU141" s="237" t="s">
        <v>232</v>
      </c>
      <c r="DV141" s="237" t="s">
        <v>232</v>
      </c>
      <c r="DW141" s="237" t="s">
        <v>232</v>
      </c>
      <c r="DX141" s="237" t="s">
        <v>231</v>
      </c>
      <c r="DY141" s="237" t="s">
        <v>232</v>
      </c>
      <c r="DZ141" s="237" t="s">
        <v>232</v>
      </c>
      <c r="EA141" s="237" t="s">
        <v>231</v>
      </c>
      <c r="EB141" s="237" t="s">
        <v>232</v>
      </c>
      <c r="EC141" s="237" t="s">
        <v>232</v>
      </c>
      <c r="ED141" s="237" t="s">
        <v>232</v>
      </c>
      <c r="EE141" s="237" t="s">
        <v>232</v>
      </c>
      <c r="EF141" s="237" t="s">
        <v>232</v>
      </c>
      <c r="EG141" s="237" t="s">
        <v>232</v>
      </c>
      <c r="EH141" s="237" t="s">
        <v>232</v>
      </c>
      <c r="EI141" s="237" t="s">
        <v>232</v>
      </c>
      <c r="EJ141" s="237" t="s">
        <v>231</v>
      </c>
      <c r="EK141" s="237" t="s">
        <v>232</v>
      </c>
      <c r="EL141" s="237" t="s">
        <v>232</v>
      </c>
      <c r="EM141" s="237" t="s">
        <v>232</v>
      </c>
      <c r="EN141" s="237" t="s">
        <v>232</v>
      </c>
      <c r="EO141" s="237" t="s">
        <v>492</v>
      </c>
      <c r="EP141" s="237" t="s">
        <v>492</v>
      </c>
      <c r="EQ141" s="237" t="s">
        <v>492</v>
      </c>
      <c r="ER141" s="237" t="s">
        <v>492</v>
      </c>
      <c r="ES141" s="237" t="s">
        <v>492</v>
      </c>
      <c r="ET141" s="237" t="s">
        <v>492</v>
      </c>
      <c r="EU141" s="237" t="s">
        <v>492</v>
      </c>
      <c r="EV141" s="237" t="s">
        <v>492</v>
      </c>
      <c r="EW141" s="237" t="s">
        <v>492</v>
      </c>
      <c r="EX141" s="237" t="s">
        <v>492</v>
      </c>
      <c r="EY141" s="237" t="s">
        <v>492</v>
      </c>
      <c r="EZ141" s="237" t="s">
        <v>232</v>
      </c>
      <c r="FA141" s="237" t="s">
        <v>232</v>
      </c>
      <c r="FB141" s="237" t="s">
        <v>232</v>
      </c>
      <c r="FC141" s="237" t="s">
        <v>232</v>
      </c>
      <c r="FD141" s="237" t="s">
        <v>232</v>
      </c>
      <c r="FE141" s="237" t="s">
        <v>232</v>
      </c>
      <c r="FF141" s="237" t="s">
        <v>232</v>
      </c>
      <c r="FG141" s="237" t="s">
        <v>492</v>
      </c>
      <c r="FH141" s="237" t="s">
        <v>232</v>
      </c>
      <c r="FI141" s="237" t="s">
        <v>232</v>
      </c>
      <c r="FJ141" s="237" t="s">
        <v>231</v>
      </c>
      <c r="FK141" s="237" t="s">
        <v>231</v>
      </c>
      <c r="FL141" s="237" t="s">
        <v>231</v>
      </c>
      <c r="FM141" s="237" t="s">
        <v>231</v>
      </c>
      <c r="FN141" s="237" t="s">
        <v>232</v>
      </c>
      <c r="FO141" s="237" t="s">
        <v>232</v>
      </c>
      <c r="FP141" s="237" t="s">
        <v>232</v>
      </c>
      <c r="FQ141" s="237" t="s">
        <v>232</v>
      </c>
      <c r="FR141" s="237" t="s">
        <v>231</v>
      </c>
      <c r="FS141" s="237" t="s">
        <v>232</v>
      </c>
      <c r="FT141" s="237" t="s">
        <v>232</v>
      </c>
      <c r="FU141" s="237" t="s">
        <v>232</v>
      </c>
      <c r="FV141" s="237" t="s">
        <v>231</v>
      </c>
      <c r="FW141" s="237" t="s">
        <v>231</v>
      </c>
      <c r="FX141" s="237" t="s">
        <v>231</v>
      </c>
      <c r="FY141" s="237" t="s">
        <v>492</v>
      </c>
      <c r="FZ141" s="237" t="s">
        <v>232</v>
      </c>
      <c r="GA141" s="237" t="s">
        <v>232</v>
      </c>
      <c r="GB141" s="237" t="s">
        <v>232</v>
      </c>
      <c r="GC141" s="237" t="s">
        <v>232</v>
      </c>
      <c r="GD141" s="237" t="s">
        <v>232</v>
      </c>
      <c r="GE141" s="237" t="s">
        <v>492</v>
      </c>
      <c r="GF141" s="237" t="s">
        <v>232</v>
      </c>
      <c r="GG141" s="237" t="s">
        <v>231</v>
      </c>
      <c r="GH141" s="237" t="s">
        <v>232</v>
      </c>
      <c r="GI141" s="237" t="s">
        <v>232</v>
      </c>
      <c r="GJ141" s="237" t="s">
        <v>232</v>
      </c>
      <c r="GK141" s="237" t="s">
        <v>232</v>
      </c>
      <c r="GL141" s="237" t="s">
        <v>232</v>
      </c>
      <c r="GM141" s="237" t="s">
        <v>232</v>
      </c>
      <c r="GN141" s="237" t="s">
        <v>232</v>
      </c>
      <c r="GO141" s="237" t="s">
        <v>492</v>
      </c>
      <c r="GP141" s="237" t="s">
        <v>232</v>
      </c>
      <c r="GQ141" s="237" t="s">
        <v>232</v>
      </c>
      <c r="GR141" s="237" t="s">
        <v>232</v>
      </c>
      <c r="GS141" s="237" t="s">
        <v>232</v>
      </c>
      <c r="GT141" s="237" t="s">
        <v>232</v>
      </c>
      <c r="GU141" s="237" t="s">
        <v>232</v>
      </c>
      <c r="GV141" s="237" t="s">
        <v>232</v>
      </c>
      <c r="GW141" s="237" t="s">
        <v>492</v>
      </c>
      <c r="GX141" s="237" t="s">
        <v>232</v>
      </c>
      <c r="GY141" s="237" t="s">
        <v>492</v>
      </c>
      <c r="GZ141" s="237" t="s">
        <v>492</v>
      </c>
      <c r="HA141" s="237" t="s">
        <v>492</v>
      </c>
      <c r="HB141" s="237" t="s">
        <v>492</v>
      </c>
      <c r="HC141" s="237" t="s">
        <v>492</v>
      </c>
      <c r="HD141" s="237" t="s">
        <v>232</v>
      </c>
      <c r="HE141" s="237" t="s">
        <v>231</v>
      </c>
      <c r="HF141" s="237" t="s">
        <v>232</v>
      </c>
      <c r="HG141" s="237" t="s">
        <v>231</v>
      </c>
      <c r="HH141" s="237" t="s">
        <v>232</v>
      </c>
      <c r="HI141" s="237" t="s">
        <v>232</v>
      </c>
      <c r="HJ141" s="237" t="s">
        <v>232</v>
      </c>
      <c r="HK141" s="237" t="s">
        <v>232</v>
      </c>
      <c r="HL141" s="237" t="s">
        <v>232</v>
      </c>
      <c r="HM141" s="237" t="s">
        <v>231</v>
      </c>
      <c r="HN141" s="237" t="s">
        <v>231</v>
      </c>
      <c r="HO141" s="237" t="s">
        <v>232</v>
      </c>
      <c r="HP141" s="237" t="s">
        <v>231</v>
      </c>
      <c r="HQ141" s="237" t="s">
        <v>231</v>
      </c>
      <c r="HR141" s="237" t="s">
        <v>232</v>
      </c>
      <c r="HS141" s="237" t="s">
        <v>231</v>
      </c>
      <c r="HT141" s="237" t="s">
        <v>232</v>
      </c>
      <c r="HU141" s="237" t="s">
        <v>232</v>
      </c>
      <c r="HV141" s="237" t="s">
        <v>232</v>
      </c>
      <c r="HW141" s="237" t="s">
        <v>232</v>
      </c>
      <c r="HX141" s="237" t="s">
        <v>597</v>
      </c>
      <c r="HY141" s="237" t="s">
        <v>493</v>
      </c>
      <c r="HZ141" s="237" t="s">
        <v>219</v>
      </c>
      <c r="IA141" s="237" t="s">
        <v>512</v>
      </c>
      <c r="IB141" s="237" t="s">
        <v>492</v>
      </c>
      <c r="IC141" s="237" t="s">
        <v>492</v>
      </c>
    </row>
    <row r="142" spans="1:237" ht="15" x14ac:dyDescent="0.25">
      <c r="A142" s="244" t="str">
        <f>HYPERLINK("http://www.ofsted.gov.uk/inspection-reports/find-inspection-report/provider/ELS/145549 ","Ofsted School Webpage")</f>
        <v>Ofsted School Webpage</v>
      </c>
      <c r="B142" s="240">
        <v>145549</v>
      </c>
      <c r="C142" s="240">
        <v>8786072</v>
      </c>
      <c r="D142" s="240" t="s">
        <v>1387</v>
      </c>
      <c r="E142" s="240" t="s">
        <v>248</v>
      </c>
      <c r="F142" s="240" t="s">
        <v>483</v>
      </c>
      <c r="G142" s="240" t="s">
        <v>483</v>
      </c>
      <c r="H142" s="240" t="s">
        <v>747</v>
      </c>
      <c r="I142" s="240" t="s">
        <v>1388</v>
      </c>
      <c r="J142" s="240" t="s">
        <v>93</v>
      </c>
      <c r="K142" s="240" t="s">
        <v>93</v>
      </c>
      <c r="L142" s="240" t="s">
        <v>93</v>
      </c>
      <c r="M142" s="240" t="s">
        <v>90</v>
      </c>
      <c r="N142" s="240" t="s">
        <v>486</v>
      </c>
      <c r="O142" s="240" t="s">
        <v>487</v>
      </c>
      <c r="P142" s="240">
        <v>10070533</v>
      </c>
      <c r="Q142" s="242">
        <v>43363</v>
      </c>
      <c r="R142" s="242">
        <v>43363</v>
      </c>
      <c r="S142" s="242">
        <v>43385</v>
      </c>
      <c r="T142" s="240" t="s">
        <v>1389</v>
      </c>
      <c r="U142" s="240" t="s">
        <v>1105</v>
      </c>
      <c r="V142" s="240" t="s">
        <v>490</v>
      </c>
      <c r="W142" s="240" t="s">
        <v>486</v>
      </c>
      <c r="X142" s="240" t="s">
        <v>486</v>
      </c>
      <c r="Y142" s="240" t="s">
        <v>486</v>
      </c>
      <c r="Z142" s="240" t="s">
        <v>486</v>
      </c>
      <c r="AA142" s="240" t="s">
        <v>486</v>
      </c>
      <c r="AB142" s="240" t="s">
        <v>486</v>
      </c>
      <c r="AC142" s="240" t="s">
        <v>486</v>
      </c>
      <c r="AD142" s="240" t="s">
        <v>1378</v>
      </c>
      <c r="AE142" s="240" t="s">
        <v>231</v>
      </c>
      <c r="AF142" s="240" t="s">
        <v>231</v>
      </c>
      <c r="AG142" s="240" t="s">
        <v>231</v>
      </c>
      <c r="AH142" s="240" t="s">
        <v>231</v>
      </c>
      <c r="AI142" s="240" t="s">
        <v>231</v>
      </c>
      <c r="AJ142" s="240" t="s">
        <v>231</v>
      </c>
      <c r="AK142" s="240" t="s">
        <v>231</v>
      </c>
      <c r="AL142" s="240" t="s">
        <v>231</v>
      </c>
      <c r="AM142" s="240" t="s">
        <v>492</v>
      </c>
      <c r="AN142" s="240" t="s">
        <v>231</v>
      </c>
      <c r="AO142" s="240" t="s">
        <v>231</v>
      </c>
      <c r="AP142" s="240" t="s">
        <v>231</v>
      </c>
      <c r="AQ142" s="240" t="s">
        <v>231</v>
      </c>
      <c r="AR142" s="240" t="s">
        <v>231</v>
      </c>
      <c r="AS142" s="240" t="s">
        <v>231</v>
      </c>
      <c r="AT142" s="240" t="s">
        <v>231</v>
      </c>
      <c r="AU142" s="240" t="s">
        <v>492</v>
      </c>
      <c r="AV142" s="240" t="s">
        <v>231</v>
      </c>
      <c r="AW142" s="240" t="s">
        <v>231</v>
      </c>
      <c r="AX142" s="240" t="s">
        <v>231</v>
      </c>
      <c r="AY142" s="240" t="s">
        <v>231</v>
      </c>
      <c r="AZ142" s="240" t="s">
        <v>231</v>
      </c>
      <c r="BA142" s="240" t="s">
        <v>231</v>
      </c>
      <c r="BB142" s="240" t="s">
        <v>231</v>
      </c>
      <c r="BC142" s="240" t="s">
        <v>231</v>
      </c>
      <c r="BD142" s="240" t="s">
        <v>231</v>
      </c>
      <c r="BE142" s="240" t="s">
        <v>231</v>
      </c>
      <c r="BF142" s="240" t="s">
        <v>231</v>
      </c>
      <c r="BG142" s="240" t="s">
        <v>231</v>
      </c>
      <c r="BH142" s="240" t="s">
        <v>231</v>
      </c>
      <c r="BI142" s="240" t="s">
        <v>231</v>
      </c>
      <c r="BJ142" s="240" t="s">
        <v>231</v>
      </c>
      <c r="BK142" s="240" t="s">
        <v>231</v>
      </c>
      <c r="BL142" s="240" t="s">
        <v>231</v>
      </c>
      <c r="BM142" s="240" t="s">
        <v>231</v>
      </c>
      <c r="BN142" s="240" t="s">
        <v>231</v>
      </c>
      <c r="BO142" s="240" t="s">
        <v>231</v>
      </c>
      <c r="BP142" s="240" t="s">
        <v>231</v>
      </c>
      <c r="BQ142" s="240" t="s">
        <v>231</v>
      </c>
      <c r="BR142" s="240" t="s">
        <v>231</v>
      </c>
      <c r="BS142" s="240" t="s">
        <v>231</v>
      </c>
      <c r="BT142" s="240" t="s">
        <v>231</v>
      </c>
      <c r="BU142" s="240" t="s">
        <v>231</v>
      </c>
      <c r="BV142" s="240" t="s">
        <v>231</v>
      </c>
      <c r="BW142" s="240" t="s">
        <v>231</v>
      </c>
      <c r="BX142" s="240" t="s">
        <v>231</v>
      </c>
      <c r="BY142" s="240" t="s">
        <v>231</v>
      </c>
      <c r="BZ142" s="240" t="s">
        <v>231</v>
      </c>
      <c r="CA142" s="240" t="s">
        <v>231</v>
      </c>
      <c r="CB142" s="240" t="s">
        <v>231</v>
      </c>
      <c r="CC142" s="240" t="s">
        <v>231</v>
      </c>
      <c r="CD142" s="240" t="s">
        <v>231</v>
      </c>
      <c r="CE142" s="240" t="s">
        <v>231</v>
      </c>
      <c r="CF142" s="240" t="s">
        <v>231</v>
      </c>
      <c r="CG142" s="240" t="s">
        <v>231</v>
      </c>
      <c r="CH142" s="240" t="s">
        <v>231</v>
      </c>
      <c r="CI142" s="240" t="s">
        <v>231</v>
      </c>
      <c r="CJ142" s="240" t="s">
        <v>231</v>
      </c>
      <c r="CK142" s="240" t="s">
        <v>231</v>
      </c>
      <c r="CL142" s="240" t="s">
        <v>231</v>
      </c>
      <c r="CM142" s="240" t="s">
        <v>231</v>
      </c>
      <c r="CN142" s="240" t="s">
        <v>231</v>
      </c>
      <c r="CO142" s="240" t="s">
        <v>231</v>
      </c>
      <c r="CP142" s="240" t="s">
        <v>231</v>
      </c>
      <c r="CQ142" s="240" t="s">
        <v>231</v>
      </c>
      <c r="CR142" s="240" t="s">
        <v>231</v>
      </c>
      <c r="CS142" s="240" t="s">
        <v>231</v>
      </c>
      <c r="CT142" s="240" t="s">
        <v>231</v>
      </c>
      <c r="CU142" s="240" t="s">
        <v>231</v>
      </c>
      <c r="CV142" s="240" t="s">
        <v>231</v>
      </c>
      <c r="CW142" s="240" t="s">
        <v>231</v>
      </c>
      <c r="CX142" s="240" t="s">
        <v>231</v>
      </c>
      <c r="CY142" s="240" t="s">
        <v>231</v>
      </c>
      <c r="CZ142" s="240" t="s">
        <v>231</v>
      </c>
      <c r="DA142" s="240" t="s">
        <v>231</v>
      </c>
      <c r="DB142" s="240" t="s">
        <v>231</v>
      </c>
      <c r="DC142" s="240" t="s">
        <v>231</v>
      </c>
      <c r="DD142" s="240" t="s">
        <v>231</v>
      </c>
      <c r="DE142" s="240" t="s">
        <v>492</v>
      </c>
      <c r="DF142" s="240" t="s">
        <v>492</v>
      </c>
      <c r="DG142" s="240" t="s">
        <v>492</v>
      </c>
      <c r="DH142" s="240" t="s">
        <v>492</v>
      </c>
      <c r="DI142" s="240" t="s">
        <v>492</v>
      </c>
      <c r="DJ142" s="240" t="s">
        <v>492</v>
      </c>
      <c r="DK142" s="240" t="s">
        <v>492</v>
      </c>
      <c r="DL142" s="240" t="s">
        <v>492</v>
      </c>
      <c r="DM142" s="240" t="s">
        <v>492</v>
      </c>
      <c r="DN142" s="240" t="s">
        <v>492</v>
      </c>
      <c r="DO142" s="240" t="s">
        <v>492</v>
      </c>
      <c r="DP142" s="240" t="s">
        <v>492</v>
      </c>
      <c r="DQ142" s="240" t="s">
        <v>492</v>
      </c>
      <c r="DR142" s="240" t="s">
        <v>492</v>
      </c>
      <c r="DS142" s="240" t="s">
        <v>492</v>
      </c>
      <c r="DT142" s="240" t="s">
        <v>492</v>
      </c>
      <c r="DU142" s="240" t="s">
        <v>492</v>
      </c>
      <c r="DV142" s="240" t="s">
        <v>492</v>
      </c>
      <c r="DW142" s="240" t="s">
        <v>492</v>
      </c>
      <c r="DX142" s="240" t="s">
        <v>492</v>
      </c>
      <c r="DY142" s="240" t="s">
        <v>492</v>
      </c>
      <c r="DZ142" s="240" t="s">
        <v>492</v>
      </c>
      <c r="EA142" s="240" t="s">
        <v>492</v>
      </c>
      <c r="EB142" s="240" t="s">
        <v>231</v>
      </c>
      <c r="EC142" s="240" t="s">
        <v>231</v>
      </c>
      <c r="ED142" s="240" t="s">
        <v>231</v>
      </c>
      <c r="EE142" s="240" t="s">
        <v>231</v>
      </c>
      <c r="EF142" s="240" t="s">
        <v>231</v>
      </c>
      <c r="EG142" s="240" t="s">
        <v>231</v>
      </c>
      <c r="EH142" s="240" t="s">
        <v>231</v>
      </c>
      <c r="EI142" s="240" t="s">
        <v>231</v>
      </c>
      <c r="EJ142" s="240" t="s">
        <v>231</v>
      </c>
      <c r="EK142" s="240" t="s">
        <v>231</v>
      </c>
      <c r="EL142" s="240" t="s">
        <v>231</v>
      </c>
      <c r="EM142" s="240" t="s">
        <v>231</v>
      </c>
      <c r="EN142" s="240" t="s">
        <v>231</v>
      </c>
      <c r="EO142" s="240" t="s">
        <v>492</v>
      </c>
      <c r="EP142" s="240" t="s">
        <v>492</v>
      </c>
      <c r="EQ142" s="240" t="s">
        <v>492</v>
      </c>
      <c r="ER142" s="240" t="s">
        <v>492</v>
      </c>
      <c r="ES142" s="240" t="s">
        <v>492</v>
      </c>
      <c r="ET142" s="240" t="s">
        <v>492</v>
      </c>
      <c r="EU142" s="240" t="s">
        <v>492</v>
      </c>
      <c r="EV142" s="240" t="s">
        <v>492</v>
      </c>
      <c r="EW142" s="240" t="s">
        <v>492</v>
      </c>
      <c r="EX142" s="240" t="s">
        <v>492</v>
      </c>
      <c r="EY142" s="240" t="s">
        <v>492</v>
      </c>
      <c r="EZ142" s="240" t="s">
        <v>231</v>
      </c>
      <c r="FA142" s="240" t="s">
        <v>231</v>
      </c>
      <c r="FB142" s="240" t="s">
        <v>231</v>
      </c>
      <c r="FC142" s="240" t="s">
        <v>231</v>
      </c>
      <c r="FD142" s="240" t="s">
        <v>231</v>
      </c>
      <c r="FE142" s="240" t="s">
        <v>231</v>
      </c>
      <c r="FF142" s="240" t="s">
        <v>231</v>
      </c>
      <c r="FG142" s="240" t="s">
        <v>492</v>
      </c>
      <c r="FH142" s="240" t="s">
        <v>231</v>
      </c>
      <c r="FI142" s="240" t="s">
        <v>231</v>
      </c>
      <c r="FJ142" s="240" t="s">
        <v>231</v>
      </c>
      <c r="FK142" s="240" t="s">
        <v>231</v>
      </c>
      <c r="FL142" s="240" t="s">
        <v>231</v>
      </c>
      <c r="FM142" s="240" t="s">
        <v>231</v>
      </c>
      <c r="FN142" s="240" t="s">
        <v>231</v>
      </c>
      <c r="FO142" s="240" t="s">
        <v>231</v>
      </c>
      <c r="FP142" s="240" t="s">
        <v>231</v>
      </c>
      <c r="FQ142" s="240" t="s">
        <v>231</v>
      </c>
      <c r="FR142" s="240" t="s">
        <v>231</v>
      </c>
      <c r="FS142" s="240" t="s">
        <v>231</v>
      </c>
      <c r="FT142" s="240" t="s">
        <v>231</v>
      </c>
      <c r="FU142" s="240" t="s">
        <v>231</v>
      </c>
      <c r="FV142" s="240" t="s">
        <v>231</v>
      </c>
      <c r="FW142" s="240" t="s">
        <v>231</v>
      </c>
      <c r="FX142" s="240" t="s">
        <v>231</v>
      </c>
      <c r="FY142" s="240" t="s">
        <v>231</v>
      </c>
      <c r="FZ142" s="240" t="s">
        <v>231</v>
      </c>
      <c r="GA142" s="240" t="s">
        <v>231</v>
      </c>
      <c r="GB142" s="240" t="s">
        <v>231</v>
      </c>
      <c r="GC142" s="240" t="s">
        <v>231</v>
      </c>
      <c r="GD142" s="240" t="s">
        <v>492</v>
      </c>
      <c r="GE142" s="240" t="s">
        <v>492</v>
      </c>
      <c r="GF142" s="240" t="s">
        <v>231</v>
      </c>
      <c r="GG142" s="240" t="s">
        <v>231</v>
      </c>
      <c r="GH142" s="240" t="s">
        <v>231</v>
      </c>
      <c r="GI142" s="240" t="s">
        <v>231</v>
      </c>
      <c r="GJ142" s="240" t="s">
        <v>231</v>
      </c>
      <c r="GK142" s="240" t="s">
        <v>231</v>
      </c>
      <c r="GL142" s="240" t="s">
        <v>231</v>
      </c>
      <c r="GM142" s="240" t="s">
        <v>231</v>
      </c>
      <c r="GN142" s="240" t="s">
        <v>492</v>
      </c>
      <c r="GO142" s="240" t="s">
        <v>231</v>
      </c>
      <c r="GP142" s="240" t="s">
        <v>492</v>
      </c>
      <c r="GQ142" s="240" t="s">
        <v>231</v>
      </c>
      <c r="GR142" s="240" t="s">
        <v>231</v>
      </c>
      <c r="GS142" s="240" t="s">
        <v>231</v>
      </c>
      <c r="GT142" s="240" t="s">
        <v>231</v>
      </c>
      <c r="GU142" s="240" t="s">
        <v>231</v>
      </c>
      <c r="GV142" s="240" t="s">
        <v>231</v>
      </c>
      <c r="GW142" s="240" t="s">
        <v>492</v>
      </c>
      <c r="GX142" s="240" t="s">
        <v>231</v>
      </c>
      <c r="GY142" s="240" t="s">
        <v>492</v>
      </c>
      <c r="GZ142" s="240" t="s">
        <v>492</v>
      </c>
      <c r="HA142" s="240" t="s">
        <v>492</v>
      </c>
      <c r="HB142" s="240" t="s">
        <v>492</v>
      </c>
      <c r="HC142" s="240" t="s">
        <v>492</v>
      </c>
      <c r="HD142" s="240" t="s">
        <v>231</v>
      </c>
      <c r="HE142" s="240" t="s">
        <v>231</v>
      </c>
      <c r="HF142" s="240" t="s">
        <v>231</v>
      </c>
      <c r="HG142" s="240" t="s">
        <v>231</v>
      </c>
      <c r="HH142" s="240" t="s">
        <v>231</v>
      </c>
      <c r="HI142" s="240" t="s">
        <v>231</v>
      </c>
      <c r="HJ142" s="240" t="s">
        <v>231</v>
      </c>
      <c r="HK142" s="240" t="s">
        <v>231</v>
      </c>
      <c r="HL142" s="240" t="s">
        <v>231</v>
      </c>
      <c r="HM142" s="240" t="s">
        <v>231</v>
      </c>
      <c r="HN142" s="240" t="s">
        <v>231</v>
      </c>
      <c r="HO142" s="240" t="s">
        <v>231</v>
      </c>
      <c r="HP142" s="240" t="s">
        <v>231</v>
      </c>
      <c r="HQ142" s="240" t="s">
        <v>231</v>
      </c>
      <c r="HR142" s="240" t="s">
        <v>231</v>
      </c>
      <c r="HS142" s="240" t="s">
        <v>231</v>
      </c>
      <c r="HT142" s="240" t="s">
        <v>231</v>
      </c>
      <c r="HU142" s="240" t="s">
        <v>231</v>
      </c>
      <c r="HV142" s="240" t="s">
        <v>231</v>
      </c>
      <c r="HW142" s="240" t="s">
        <v>231</v>
      </c>
      <c r="HX142" s="240" t="s">
        <v>220</v>
      </c>
      <c r="HY142" s="240" t="s">
        <v>493</v>
      </c>
      <c r="HZ142" s="240" t="s">
        <v>219</v>
      </c>
      <c r="IA142" s="240" t="s">
        <v>490</v>
      </c>
      <c r="IB142" s="240" t="s">
        <v>492</v>
      </c>
      <c r="IC142" s="240" t="s">
        <v>492</v>
      </c>
    </row>
    <row r="143" spans="1:237" ht="15" x14ac:dyDescent="0.25">
      <c r="A143" s="243" t="str">
        <f>HYPERLINK("http://www.ofsted.gov.uk/inspection-reports/find-inspection-report/provider/ELS/145462 ","Ofsted School Webpage")</f>
        <v>Ofsted School Webpage</v>
      </c>
      <c r="B143" s="237">
        <v>145462</v>
      </c>
      <c r="C143" s="237">
        <v>8136006</v>
      </c>
      <c r="D143" s="237" t="s">
        <v>1390</v>
      </c>
      <c r="E143" s="237" t="s">
        <v>247</v>
      </c>
      <c r="F143" s="237" t="s">
        <v>523</v>
      </c>
      <c r="G143" s="237" t="s">
        <v>524</v>
      </c>
      <c r="H143" s="237" t="s">
        <v>1391</v>
      </c>
      <c r="I143" s="237" t="s">
        <v>1392</v>
      </c>
      <c r="J143" s="237" t="s">
        <v>93</v>
      </c>
      <c r="K143" s="237" t="s">
        <v>93</v>
      </c>
      <c r="L143" s="237" t="s">
        <v>93</v>
      </c>
      <c r="M143" s="237" t="s">
        <v>90</v>
      </c>
      <c r="N143" s="237" t="s">
        <v>486</v>
      </c>
      <c r="O143" s="237" t="s">
        <v>487</v>
      </c>
      <c r="P143" s="237">
        <v>10077972</v>
      </c>
      <c r="Q143" s="239">
        <v>43354</v>
      </c>
      <c r="R143" s="239">
        <v>43354</v>
      </c>
      <c r="S143" s="239">
        <v>43392</v>
      </c>
      <c r="T143" s="237" t="s">
        <v>1377</v>
      </c>
      <c r="U143" s="237" t="s">
        <v>1105</v>
      </c>
      <c r="V143" s="237" t="s">
        <v>490</v>
      </c>
      <c r="W143" s="237" t="s">
        <v>486</v>
      </c>
      <c r="X143" s="237" t="s">
        <v>486</v>
      </c>
      <c r="Y143" s="237" t="s">
        <v>486</v>
      </c>
      <c r="Z143" s="237" t="s">
        <v>486</v>
      </c>
      <c r="AA143" s="237" t="s">
        <v>486</v>
      </c>
      <c r="AB143" s="237" t="s">
        <v>486</v>
      </c>
      <c r="AC143" s="237" t="s">
        <v>486</v>
      </c>
      <c r="AD143" s="237" t="s">
        <v>1378</v>
      </c>
      <c r="AE143" s="237" t="s">
        <v>231</v>
      </c>
      <c r="AF143" s="237" t="s">
        <v>231</v>
      </c>
      <c r="AG143" s="237" t="s">
        <v>231</v>
      </c>
      <c r="AH143" s="237" t="s">
        <v>231</v>
      </c>
      <c r="AI143" s="237" t="s">
        <v>231</v>
      </c>
      <c r="AJ143" s="237" t="s">
        <v>231</v>
      </c>
      <c r="AK143" s="237" t="s">
        <v>231</v>
      </c>
      <c r="AL143" s="237" t="s">
        <v>231</v>
      </c>
      <c r="AM143" s="237" t="s">
        <v>492</v>
      </c>
      <c r="AN143" s="237" t="s">
        <v>231</v>
      </c>
      <c r="AO143" s="237" t="s">
        <v>231</v>
      </c>
      <c r="AP143" s="237" t="s">
        <v>231</v>
      </c>
      <c r="AQ143" s="237" t="s">
        <v>231</v>
      </c>
      <c r="AR143" s="237" t="s">
        <v>231</v>
      </c>
      <c r="AS143" s="237" t="s">
        <v>231</v>
      </c>
      <c r="AT143" s="237" t="s">
        <v>231</v>
      </c>
      <c r="AU143" s="237" t="s">
        <v>492</v>
      </c>
      <c r="AV143" s="237" t="s">
        <v>492</v>
      </c>
      <c r="AW143" s="237" t="s">
        <v>231</v>
      </c>
      <c r="AX143" s="237" t="s">
        <v>231</v>
      </c>
      <c r="AY143" s="237" t="s">
        <v>231</v>
      </c>
      <c r="AZ143" s="237" t="s">
        <v>231</v>
      </c>
      <c r="BA143" s="237" t="s">
        <v>231</v>
      </c>
      <c r="BB143" s="237" t="s">
        <v>231</v>
      </c>
      <c r="BC143" s="237" t="s">
        <v>231</v>
      </c>
      <c r="BD143" s="237" t="s">
        <v>231</v>
      </c>
      <c r="BE143" s="237" t="s">
        <v>231</v>
      </c>
      <c r="BF143" s="237" t="s">
        <v>231</v>
      </c>
      <c r="BG143" s="237" t="s">
        <v>231</v>
      </c>
      <c r="BH143" s="237" t="s">
        <v>231</v>
      </c>
      <c r="BI143" s="237" t="s">
        <v>231</v>
      </c>
      <c r="BJ143" s="237" t="s">
        <v>231</v>
      </c>
      <c r="BK143" s="237" t="s">
        <v>231</v>
      </c>
      <c r="BL143" s="237" t="s">
        <v>231</v>
      </c>
      <c r="BM143" s="237" t="s">
        <v>231</v>
      </c>
      <c r="BN143" s="237" t="s">
        <v>231</v>
      </c>
      <c r="BO143" s="237" t="s">
        <v>231</v>
      </c>
      <c r="BP143" s="237" t="s">
        <v>231</v>
      </c>
      <c r="BQ143" s="237" t="s">
        <v>231</v>
      </c>
      <c r="BR143" s="237" t="s">
        <v>231</v>
      </c>
      <c r="BS143" s="237" t="s">
        <v>231</v>
      </c>
      <c r="BT143" s="237" t="s">
        <v>231</v>
      </c>
      <c r="BU143" s="237" t="s">
        <v>231</v>
      </c>
      <c r="BV143" s="237" t="s">
        <v>231</v>
      </c>
      <c r="BW143" s="237" t="s">
        <v>231</v>
      </c>
      <c r="BX143" s="237" t="s">
        <v>231</v>
      </c>
      <c r="BY143" s="237" t="s">
        <v>231</v>
      </c>
      <c r="BZ143" s="237" t="s">
        <v>231</v>
      </c>
      <c r="CA143" s="237" t="s">
        <v>231</v>
      </c>
      <c r="CB143" s="237" t="s">
        <v>231</v>
      </c>
      <c r="CC143" s="237" t="s">
        <v>492</v>
      </c>
      <c r="CD143" s="237" t="s">
        <v>492</v>
      </c>
      <c r="CE143" s="237" t="s">
        <v>492</v>
      </c>
      <c r="CF143" s="237" t="s">
        <v>231</v>
      </c>
      <c r="CG143" s="237" t="s">
        <v>231</v>
      </c>
      <c r="CH143" s="237" t="s">
        <v>231</v>
      </c>
      <c r="CI143" s="237" t="s">
        <v>231</v>
      </c>
      <c r="CJ143" s="237" t="s">
        <v>231</v>
      </c>
      <c r="CK143" s="237" t="s">
        <v>231</v>
      </c>
      <c r="CL143" s="237" t="s">
        <v>231</v>
      </c>
      <c r="CM143" s="237" t="s">
        <v>231</v>
      </c>
      <c r="CN143" s="237" t="s">
        <v>231</v>
      </c>
      <c r="CO143" s="237" t="s">
        <v>231</v>
      </c>
      <c r="CP143" s="237" t="s">
        <v>231</v>
      </c>
      <c r="CQ143" s="237" t="s">
        <v>231</v>
      </c>
      <c r="CR143" s="237" t="s">
        <v>231</v>
      </c>
      <c r="CS143" s="237" t="s">
        <v>231</v>
      </c>
      <c r="CT143" s="237" t="s">
        <v>231</v>
      </c>
      <c r="CU143" s="237" t="s">
        <v>231</v>
      </c>
      <c r="CV143" s="237" t="s">
        <v>231</v>
      </c>
      <c r="CW143" s="237" t="s">
        <v>231</v>
      </c>
      <c r="CX143" s="237" t="s">
        <v>231</v>
      </c>
      <c r="CY143" s="237" t="s">
        <v>231</v>
      </c>
      <c r="CZ143" s="237" t="s">
        <v>231</v>
      </c>
      <c r="DA143" s="237" t="s">
        <v>231</v>
      </c>
      <c r="DB143" s="237" t="s">
        <v>492</v>
      </c>
      <c r="DC143" s="237" t="s">
        <v>492</v>
      </c>
      <c r="DD143" s="237" t="s">
        <v>231</v>
      </c>
      <c r="DE143" s="237" t="s">
        <v>231</v>
      </c>
      <c r="DF143" s="237" t="s">
        <v>231</v>
      </c>
      <c r="DG143" s="237" t="s">
        <v>231</v>
      </c>
      <c r="DH143" s="237" t="s">
        <v>231</v>
      </c>
      <c r="DI143" s="237" t="s">
        <v>231</v>
      </c>
      <c r="DJ143" s="237" t="s">
        <v>231</v>
      </c>
      <c r="DK143" s="237" t="s">
        <v>231</v>
      </c>
      <c r="DL143" s="237" t="s">
        <v>231</v>
      </c>
      <c r="DM143" s="237" t="s">
        <v>231</v>
      </c>
      <c r="DN143" s="237" t="s">
        <v>231</v>
      </c>
      <c r="DO143" s="237" t="s">
        <v>231</v>
      </c>
      <c r="DP143" s="237" t="s">
        <v>231</v>
      </c>
      <c r="DQ143" s="237" t="s">
        <v>492</v>
      </c>
      <c r="DR143" s="237" t="s">
        <v>231</v>
      </c>
      <c r="DS143" s="237" t="s">
        <v>231</v>
      </c>
      <c r="DT143" s="237" t="s">
        <v>231</v>
      </c>
      <c r="DU143" s="237" t="s">
        <v>231</v>
      </c>
      <c r="DV143" s="237" t="s">
        <v>231</v>
      </c>
      <c r="DW143" s="237" t="s">
        <v>231</v>
      </c>
      <c r="DX143" s="237" t="s">
        <v>231</v>
      </c>
      <c r="DY143" s="237" t="s">
        <v>231</v>
      </c>
      <c r="DZ143" s="237" t="s">
        <v>231</v>
      </c>
      <c r="EA143" s="237" t="s">
        <v>492</v>
      </c>
      <c r="EB143" s="237" t="s">
        <v>231</v>
      </c>
      <c r="EC143" s="237" t="s">
        <v>231</v>
      </c>
      <c r="ED143" s="237" t="s">
        <v>231</v>
      </c>
      <c r="EE143" s="237" t="s">
        <v>231</v>
      </c>
      <c r="EF143" s="237" t="s">
        <v>231</v>
      </c>
      <c r="EG143" s="237" t="s">
        <v>231</v>
      </c>
      <c r="EH143" s="237" t="s">
        <v>231</v>
      </c>
      <c r="EI143" s="237" t="s">
        <v>231</v>
      </c>
      <c r="EJ143" s="237" t="s">
        <v>231</v>
      </c>
      <c r="EK143" s="237" t="s">
        <v>231</v>
      </c>
      <c r="EL143" s="237" t="s">
        <v>231</v>
      </c>
      <c r="EM143" s="237" t="s">
        <v>231</v>
      </c>
      <c r="EN143" s="237" t="s">
        <v>231</v>
      </c>
      <c r="EO143" s="237" t="s">
        <v>231</v>
      </c>
      <c r="EP143" s="237" t="s">
        <v>231</v>
      </c>
      <c r="EQ143" s="237" t="s">
        <v>231</v>
      </c>
      <c r="ER143" s="237" t="s">
        <v>231</v>
      </c>
      <c r="ES143" s="237" t="s">
        <v>231</v>
      </c>
      <c r="ET143" s="237" t="s">
        <v>231</v>
      </c>
      <c r="EU143" s="237" t="s">
        <v>231</v>
      </c>
      <c r="EV143" s="237" t="s">
        <v>231</v>
      </c>
      <c r="EW143" s="237" t="s">
        <v>492</v>
      </c>
      <c r="EX143" s="237" t="s">
        <v>492</v>
      </c>
      <c r="EY143" s="237" t="s">
        <v>492</v>
      </c>
      <c r="EZ143" s="237" t="s">
        <v>231</v>
      </c>
      <c r="FA143" s="237" t="s">
        <v>231</v>
      </c>
      <c r="FB143" s="237" t="s">
        <v>231</v>
      </c>
      <c r="FC143" s="237" t="s">
        <v>231</v>
      </c>
      <c r="FD143" s="237" t="s">
        <v>231</v>
      </c>
      <c r="FE143" s="237" t="s">
        <v>231</v>
      </c>
      <c r="FF143" s="237" t="s">
        <v>231</v>
      </c>
      <c r="FG143" s="237" t="s">
        <v>492</v>
      </c>
      <c r="FH143" s="237" t="s">
        <v>231</v>
      </c>
      <c r="FI143" s="237" t="s">
        <v>231</v>
      </c>
      <c r="FJ143" s="237" t="s">
        <v>231</v>
      </c>
      <c r="FK143" s="237" t="s">
        <v>231</v>
      </c>
      <c r="FL143" s="237" t="s">
        <v>231</v>
      </c>
      <c r="FM143" s="237" t="s">
        <v>231</v>
      </c>
      <c r="FN143" s="237" t="s">
        <v>231</v>
      </c>
      <c r="FO143" s="237" t="s">
        <v>231</v>
      </c>
      <c r="FP143" s="237" t="s">
        <v>231</v>
      </c>
      <c r="FQ143" s="237" t="s">
        <v>231</v>
      </c>
      <c r="FR143" s="237" t="s">
        <v>231</v>
      </c>
      <c r="FS143" s="237" t="s">
        <v>231</v>
      </c>
      <c r="FT143" s="237" t="s">
        <v>231</v>
      </c>
      <c r="FU143" s="237" t="s">
        <v>231</v>
      </c>
      <c r="FV143" s="237" t="s">
        <v>231</v>
      </c>
      <c r="FW143" s="237" t="s">
        <v>231</v>
      </c>
      <c r="FX143" s="237" t="s">
        <v>231</v>
      </c>
      <c r="FY143" s="237" t="s">
        <v>492</v>
      </c>
      <c r="FZ143" s="237" t="s">
        <v>231</v>
      </c>
      <c r="GA143" s="237" t="s">
        <v>231</v>
      </c>
      <c r="GB143" s="237" t="s">
        <v>231</v>
      </c>
      <c r="GC143" s="237" t="s">
        <v>231</v>
      </c>
      <c r="GD143" s="237" t="s">
        <v>492</v>
      </c>
      <c r="GE143" s="237" t="s">
        <v>492</v>
      </c>
      <c r="GF143" s="237" t="s">
        <v>231</v>
      </c>
      <c r="GG143" s="237" t="s">
        <v>231</v>
      </c>
      <c r="GH143" s="237" t="s">
        <v>231</v>
      </c>
      <c r="GI143" s="237" t="s">
        <v>231</v>
      </c>
      <c r="GJ143" s="237" t="s">
        <v>231</v>
      </c>
      <c r="GK143" s="237" t="s">
        <v>231</v>
      </c>
      <c r="GL143" s="237" t="s">
        <v>231</v>
      </c>
      <c r="GM143" s="237" t="s">
        <v>231</v>
      </c>
      <c r="GN143" s="237" t="s">
        <v>492</v>
      </c>
      <c r="GO143" s="237" t="s">
        <v>231</v>
      </c>
      <c r="GP143" s="237" t="s">
        <v>492</v>
      </c>
      <c r="GQ143" s="237" t="s">
        <v>231</v>
      </c>
      <c r="GR143" s="237" t="s">
        <v>231</v>
      </c>
      <c r="GS143" s="237" t="s">
        <v>231</v>
      </c>
      <c r="GT143" s="237" t="s">
        <v>231</v>
      </c>
      <c r="GU143" s="237" t="s">
        <v>231</v>
      </c>
      <c r="GV143" s="237" t="s">
        <v>231</v>
      </c>
      <c r="GW143" s="237" t="s">
        <v>492</v>
      </c>
      <c r="GX143" s="237" t="s">
        <v>231</v>
      </c>
      <c r="GY143" s="237" t="s">
        <v>492</v>
      </c>
      <c r="GZ143" s="237" t="s">
        <v>492</v>
      </c>
      <c r="HA143" s="237" t="s">
        <v>492</v>
      </c>
      <c r="HB143" s="237" t="s">
        <v>492</v>
      </c>
      <c r="HC143" s="237" t="s">
        <v>492</v>
      </c>
      <c r="HD143" s="237" t="s">
        <v>231</v>
      </c>
      <c r="HE143" s="237" t="s">
        <v>231</v>
      </c>
      <c r="HF143" s="237" t="s">
        <v>231</v>
      </c>
      <c r="HG143" s="237" t="s">
        <v>231</v>
      </c>
      <c r="HH143" s="237" t="s">
        <v>231</v>
      </c>
      <c r="HI143" s="237" t="s">
        <v>231</v>
      </c>
      <c r="HJ143" s="237" t="s">
        <v>231</v>
      </c>
      <c r="HK143" s="237" t="s">
        <v>231</v>
      </c>
      <c r="HL143" s="237" t="s">
        <v>231</v>
      </c>
      <c r="HM143" s="237" t="s">
        <v>231</v>
      </c>
      <c r="HN143" s="237" t="s">
        <v>231</v>
      </c>
      <c r="HO143" s="237" t="s">
        <v>231</v>
      </c>
      <c r="HP143" s="237" t="s">
        <v>231</v>
      </c>
      <c r="HQ143" s="237" t="s">
        <v>231</v>
      </c>
      <c r="HR143" s="237" t="s">
        <v>231</v>
      </c>
      <c r="HS143" s="237" t="s">
        <v>231</v>
      </c>
      <c r="HT143" s="237" t="s">
        <v>231</v>
      </c>
      <c r="HU143" s="237" t="s">
        <v>231</v>
      </c>
      <c r="HV143" s="237" t="s">
        <v>231</v>
      </c>
      <c r="HW143" s="237" t="s">
        <v>231</v>
      </c>
      <c r="HX143" s="237" t="s">
        <v>220</v>
      </c>
      <c r="HY143" s="237" t="s">
        <v>493</v>
      </c>
      <c r="HZ143" s="237" t="s">
        <v>219</v>
      </c>
      <c r="IA143" s="237" t="s">
        <v>490</v>
      </c>
      <c r="IB143" s="237" t="s">
        <v>492</v>
      </c>
      <c r="IC143" s="237" t="s">
        <v>492</v>
      </c>
    </row>
    <row r="144" spans="1:237" ht="15" x14ac:dyDescent="0.25">
      <c r="A144" s="244" t="str">
        <f>HYPERLINK("http://www.ofsted.gov.uk/inspection-reports/find-inspection-report/provider/ELS/146287 ","Ofsted School Webpage")</f>
        <v>Ofsted School Webpage</v>
      </c>
      <c r="B144" s="240">
        <v>146287</v>
      </c>
      <c r="C144" s="240">
        <v>8786076</v>
      </c>
      <c r="D144" s="240" t="s">
        <v>1393</v>
      </c>
      <c r="E144" s="240" t="s">
        <v>248</v>
      </c>
      <c r="F144" s="240" t="s">
        <v>483</v>
      </c>
      <c r="G144" s="240" t="s">
        <v>483</v>
      </c>
      <c r="H144" s="240" t="s">
        <v>747</v>
      </c>
      <c r="I144" s="240" t="s">
        <v>1394</v>
      </c>
      <c r="J144" s="240" t="s">
        <v>93</v>
      </c>
      <c r="K144" s="240" t="s">
        <v>93</v>
      </c>
      <c r="L144" s="240" t="s">
        <v>93</v>
      </c>
      <c r="M144" s="240" t="s">
        <v>90</v>
      </c>
      <c r="N144" s="240" t="s">
        <v>486</v>
      </c>
      <c r="O144" s="240" t="s">
        <v>487</v>
      </c>
      <c r="P144" s="240">
        <v>10067932</v>
      </c>
      <c r="Q144" s="242">
        <v>43374</v>
      </c>
      <c r="R144" s="242">
        <v>43374</v>
      </c>
      <c r="S144" s="242">
        <v>43395</v>
      </c>
      <c r="T144" s="240" t="s">
        <v>1377</v>
      </c>
      <c r="U144" s="240" t="s">
        <v>1105</v>
      </c>
      <c r="V144" s="240" t="s">
        <v>490</v>
      </c>
      <c r="W144" s="240" t="s">
        <v>486</v>
      </c>
      <c r="X144" s="240" t="s">
        <v>486</v>
      </c>
      <c r="Y144" s="240" t="s">
        <v>486</v>
      </c>
      <c r="Z144" s="240" t="s">
        <v>486</v>
      </c>
      <c r="AA144" s="240" t="s">
        <v>486</v>
      </c>
      <c r="AB144" s="240" t="s">
        <v>486</v>
      </c>
      <c r="AC144" s="240" t="s">
        <v>486</v>
      </c>
      <c r="AD144" s="240" t="s">
        <v>1378</v>
      </c>
      <c r="AE144" s="240" t="s">
        <v>231</v>
      </c>
      <c r="AF144" s="240" t="s">
        <v>231</v>
      </c>
      <c r="AG144" s="240" t="s">
        <v>231</v>
      </c>
      <c r="AH144" s="240" t="s">
        <v>231</v>
      </c>
      <c r="AI144" s="240" t="s">
        <v>231</v>
      </c>
      <c r="AJ144" s="240" t="s">
        <v>231</v>
      </c>
      <c r="AK144" s="240" t="s">
        <v>231</v>
      </c>
      <c r="AL144" s="240" t="s">
        <v>231</v>
      </c>
      <c r="AM144" s="240" t="s">
        <v>492</v>
      </c>
      <c r="AN144" s="240" t="s">
        <v>231</v>
      </c>
      <c r="AO144" s="240" t="s">
        <v>231</v>
      </c>
      <c r="AP144" s="240" t="s">
        <v>231</v>
      </c>
      <c r="AQ144" s="240" t="s">
        <v>231</v>
      </c>
      <c r="AR144" s="240" t="s">
        <v>231</v>
      </c>
      <c r="AS144" s="240" t="s">
        <v>231</v>
      </c>
      <c r="AT144" s="240" t="s">
        <v>231</v>
      </c>
      <c r="AU144" s="240" t="s">
        <v>492</v>
      </c>
      <c r="AV144" s="240" t="s">
        <v>492</v>
      </c>
      <c r="AW144" s="240" t="s">
        <v>231</v>
      </c>
      <c r="AX144" s="240" t="s">
        <v>231</v>
      </c>
      <c r="AY144" s="240" t="s">
        <v>231</v>
      </c>
      <c r="AZ144" s="240" t="s">
        <v>231</v>
      </c>
      <c r="BA144" s="240" t="s">
        <v>231</v>
      </c>
      <c r="BB144" s="240" t="s">
        <v>231</v>
      </c>
      <c r="BC144" s="240" t="s">
        <v>231</v>
      </c>
      <c r="BD144" s="240" t="s">
        <v>231</v>
      </c>
      <c r="BE144" s="240" t="s">
        <v>231</v>
      </c>
      <c r="BF144" s="240" t="s">
        <v>231</v>
      </c>
      <c r="BG144" s="240" t="s">
        <v>231</v>
      </c>
      <c r="BH144" s="240" t="s">
        <v>231</v>
      </c>
      <c r="BI144" s="240" t="s">
        <v>231</v>
      </c>
      <c r="BJ144" s="240" t="s">
        <v>231</v>
      </c>
      <c r="BK144" s="240" t="s">
        <v>231</v>
      </c>
      <c r="BL144" s="240" t="s">
        <v>231</v>
      </c>
      <c r="BM144" s="240" t="s">
        <v>231</v>
      </c>
      <c r="BN144" s="240" t="s">
        <v>231</v>
      </c>
      <c r="BO144" s="240" t="s">
        <v>231</v>
      </c>
      <c r="BP144" s="240" t="s">
        <v>231</v>
      </c>
      <c r="BQ144" s="240" t="s">
        <v>231</v>
      </c>
      <c r="BR144" s="240" t="s">
        <v>231</v>
      </c>
      <c r="BS144" s="240" t="s">
        <v>231</v>
      </c>
      <c r="BT144" s="240" t="s">
        <v>231</v>
      </c>
      <c r="BU144" s="240" t="s">
        <v>231</v>
      </c>
      <c r="BV144" s="240" t="s">
        <v>231</v>
      </c>
      <c r="BW144" s="240" t="s">
        <v>231</v>
      </c>
      <c r="BX144" s="240" t="s">
        <v>231</v>
      </c>
      <c r="BY144" s="240" t="s">
        <v>231</v>
      </c>
      <c r="BZ144" s="240" t="s">
        <v>231</v>
      </c>
      <c r="CA144" s="240" t="s">
        <v>231</v>
      </c>
      <c r="CB144" s="240" t="s">
        <v>231</v>
      </c>
      <c r="CC144" s="240" t="s">
        <v>492</v>
      </c>
      <c r="CD144" s="240" t="s">
        <v>492</v>
      </c>
      <c r="CE144" s="240" t="s">
        <v>492</v>
      </c>
      <c r="CF144" s="240" t="s">
        <v>231</v>
      </c>
      <c r="CG144" s="240" t="s">
        <v>231</v>
      </c>
      <c r="CH144" s="240" t="s">
        <v>231</v>
      </c>
      <c r="CI144" s="240" t="s">
        <v>231</v>
      </c>
      <c r="CJ144" s="240" t="s">
        <v>231</v>
      </c>
      <c r="CK144" s="240" t="s">
        <v>231</v>
      </c>
      <c r="CL144" s="240" t="s">
        <v>231</v>
      </c>
      <c r="CM144" s="240" t="s">
        <v>231</v>
      </c>
      <c r="CN144" s="240" t="s">
        <v>231</v>
      </c>
      <c r="CO144" s="240" t="s">
        <v>231</v>
      </c>
      <c r="CP144" s="240" t="s">
        <v>231</v>
      </c>
      <c r="CQ144" s="240" t="s">
        <v>231</v>
      </c>
      <c r="CR144" s="240" t="s">
        <v>231</v>
      </c>
      <c r="CS144" s="240" t="s">
        <v>231</v>
      </c>
      <c r="CT144" s="240" t="s">
        <v>231</v>
      </c>
      <c r="CU144" s="240" t="s">
        <v>231</v>
      </c>
      <c r="CV144" s="240" t="s">
        <v>231</v>
      </c>
      <c r="CW144" s="240" t="s">
        <v>231</v>
      </c>
      <c r="CX144" s="240" t="s">
        <v>231</v>
      </c>
      <c r="CY144" s="240" t="s">
        <v>231</v>
      </c>
      <c r="CZ144" s="240" t="s">
        <v>231</v>
      </c>
      <c r="DA144" s="240" t="s">
        <v>231</v>
      </c>
      <c r="DB144" s="240" t="s">
        <v>231</v>
      </c>
      <c r="DC144" s="240" t="s">
        <v>492</v>
      </c>
      <c r="DD144" s="240" t="s">
        <v>231</v>
      </c>
      <c r="DE144" s="240" t="s">
        <v>492</v>
      </c>
      <c r="DF144" s="240" t="s">
        <v>492</v>
      </c>
      <c r="DG144" s="240" t="s">
        <v>492</v>
      </c>
      <c r="DH144" s="240" t="s">
        <v>492</v>
      </c>
      <c r="DI144" s="240" t="s">
        <v>492</v>
      </c>
      <c r="DJ144" s="240" t="s">
        <v>492</v>
      </c>
      <c r="DK144" s="240" t="s">
        <v>492</v>
      </c>
      <c r="DL144" s="240" t="s">
        <v>492</v>
      </c>
      <c r="DM144" s="240" t="s">
        <v>492</v>
      </c>
      <c r="DN144" s="240" t="s">
        <v>492</v>
      </c>
      <c r="DO144" s="240" t="s">
        <v>492</v>
      </c>
      <c r="DP144" s="240" t="s">
        <v>492</v>
      </c>
      <c r="DQ144" s="240" t="s">
        <v>492</v>
      </c>
      <c r="DR144" s="240" t="s">
        <v>231</v>
      </c>
      <c r="DS144" s="240" t="s">
        <v>231</v>
      </c>
      <c r="DT144" s="240" t="s">
        <v>231</v>
      </c>
      <c r="DU144" s="240" t="s">
        <v>231</v>
      </c>
      <c r="DV144" s="240" t="s">
        <v>231</v>
      </c>
      <c r="DW144" s="240" t="s">
        <v>231</v>
      </c>
      <c r="DX144" s="240" t="s">
        <v>231</v>
      </c>
      <c r="DY144" s="240" t="s">
        <v>231</v>
      </c>
      <c r="DZ144" s="240" t="s">
        <v>231</v>
      </c>
      <c r="EA144" s="240" t="s">
        <v>231</v>
      </c>
      <c r="EB144" s="240" t="s">
        <v>231</v>
      </c>
      <c r="EC144" s="240" t="s">
        <v>231</v>
      </c>
      <c r="ED144" s="240" t="s">
        <v>231</v>
      </c>
      <c r="EE144" s="240" t="s">
        <v>231</v>
      </c>
      <c r="EF144" s="240" t="s">
        <v>231</v>
      </c>
      <c r="EG144" s="240" t="s">
        <v>231</v>
      </c>
      <c r="EH144" s="240" t="s">
        <v>231</v>
      </c>
      <c r="EI144" s="240" t="s">
        <v>231</v>
      </c>
      <c r="EJ144" s="240" t="s">
        <v>231</v>
      </c>
      <c r="EK144" s="240" t="s">
        <v>231</v>
      </c>
      <c r="EL144" s="240" t="s">
        <v>231</v>
      </c>
      <c r="EM144" s="240" t="s">
        <v>231</v>
      </c>
      <c r="EN144" s="240" t="s">
        <v>231</v>
      </c>
      <c r="EO144" s="240" t="s">
        <v>492</v>
      </c>
      <c r="EP144" s="240" t="s">
        <v>492</v>
      </c>
      <c r="EQ144" s="240" t="s">
        <v>492</v>
      </c>
      <c r="ER144" s="240" t="s">
        <v>492</v>
      </c>
      <c r="ES144" s="240" t="s">
        <v>492</v>
      </c>
      <c r="ET144" s="240" t="s">
        <v>492</v>
      </c>
      <c r="EU144" s="240" t="s">
        <v>492</v>
      </c>
      <c r="EV144" s="240" t="s">
        <v>231</v>
      </c>
      <c r="EW144" s="240" t="s">
        <v>231</v>
      </c>
      <c r="EX144" s="240" t="s">
        <v>231</v>
      </c>
      <c r="EY144" s="240" t="s">
        <v>231</v>
      </c>
      <c r="EZ144" s="240" t="s">
        <v>231</v>
      </c>
      <c r="FA144" s="240" t="s">
        <v>231</v>
      </c>
      <c r="FB144" s="240" t="s">
        <v>231</v>
      </c>
      <c r="FC144" s="240" t="s">
        <v>231</v>
      </c>
      <c r="FD144" s="240" t="s">
        <v>231</v>
      </c>
      <c r="FE144" s="240" t="s">
        <v>231</v>
      </c>
      <c r="FF144" s="240" t="s">
        <v>231</v>
      </c>
      <c r="FG144" s="240" t="s">
        <v>492</v>
      </c>
      <c r="FH144" s="240" t="s">
        <v>231</v>
      </c>
      <c r="FI144" s="240" t="s">
        <v>231</v>
      </c>
      <c r="FJ144" s="240" t="s">
        <v>231</v>
      </c>
      <c r="FK144" s="240" t="s">
        <v>231</v>
      </c>
      <c r="FL144" s="240" t="s">
        <v>231</v>
      </c>
      <c r="FM144" s="240" t="s">
        <v>231</v>
      </c>
      <c r="FN144" s="240" t="s">
        <v>231</v>
      </c>
      <c r="FO144" s="240" t="s">
        <v>231</v>
      </c>
      <c r="FP144" s="240" t="s">
        <v>231</v>
      </c>
      <c r="FQ144" s="240" t="s">
        <v>231</v>
      </c>
      <c r="FR144" s="240" t="s">
        <v>231</v>
      </c>
      <c r="FS144" s="240" t="s">
        <v>231</v>
      </c>
      <c r="FT144" s="240" t="s">
        <v>231</v>
      </c>
      <c r="FU144" s="240" t="s">
        <v>231</v>
      </c>
      <c r="FV144" s="240" t="s">
        <v>231</v>
      </c>
      <c r="FW144" s="240" t="s">
        <v>231</v>
      </c>
      <c r="FX144" s="240" t="s">
        <v>231</v>
      </c>
      <c r="FY144" s="240" t="s">
        <v>492</v>
      </c>
      <c r="FZ144" s="240" t="s">
        <v>231</v>
      </c>
      <c r="GA144" s="240" t="s">
        <v>231</v>
      </c>
      <c r="GB144" s="240" t="s">
        <v>231</v>
      </c>
      <c r="GC144" s="240" t="s">
        <v>231</v>
      </c>
      <c r="GD144" s="240" t="s">
        <v>492</v>
      </c>
      <c r="GE144" s="240" t="s">
        <v>492</v>
      </c>
      <c r="GF144" s="240" t="s">
        <v>492</v>
      </c>
      <c r="GG144" s="240" t="s">
        <v>492</v>
      </c>
      <c r="GH144" s="240" t="s">
        <v>492</v>
      </c>
      <c r="GI144" s="240" t="s">
        <v>492</v>
      </c>
      <c r="GJ144" s="240" t="s">
        <v>492</v>
      </c>
      <c r="GK144" s="240" t="s">
        <v>231</v>
      </c>
      <c r="GL144" s="240" t="s">
        <v>231</v>
      </c>
      <c r="GM144" s="240" t="s">
        <v>231</v>
      </c>
      <c r="GN144" s="240" t="s">
        <v>492</v>
      </c>
      <c r="GO144" s="240" t="s">
        <v>231</v>
      </c>
      <c r="GP144" s="240" t="s">
        <v>492</v>
      </c>
      <c r="GQ144" s="240" t="s">
        <v>231</v>
      </c>
      <c r="GR144" s="240" t="s">
        <v>231</v>
      </c>
      <c r="GS144" s="240" t="s">
        <v>231</v>
      </c>
      <c r="GT144" s="240" t="s">
        <v>231</v>
      </c>
      <c r="GU144" s="240" t="s">
        <v>231</v>
      </c>
      <c r="GV144" s="240" t="s">
        <v>231</v>
      </c>
      <c r="GW144" s="240" t="s">
        <v>492</v>
      </c>
      <c r="GX144" s="240" t="s">
        <v>231</v>
      </c>
      <c r="GY144" s="240" t="s">
        <v>492</v>
      </c>
      <c r="GZ144" s="240" t="s">
        <v>492</v>
      </c>
      <c r="HA144" s="240" t="s">
        <v>492</v>
      </c>
      <c r="HB144" s="240" t="s">
        <v>492</v>
      </c>
      <c r="HC144" s="240" t="s">
        <v>492</v>
      </c>
      <c r="HD144" s="240" t="s">
        <v>231</v>
      </c>
      <c r="HE144" s="240" t="s">
        <v>231</v>
      </c>
      <c r="HF144" s="240" t="s">
        <v>231</v>
      </c>
      <c r="HG144" s="240" t="s">
        <v>231</v>
      </c>
      <c r="HH144" s="240" t="s">
        <v>231</v>
      </c>
      <c r="HI144" s="240" t="s">
        <v>231</v>
      </c>
      <c r="HJ144" s="240" t="s">
        <v>231</v>
      </c>
      <c r="HK144" s="240" t="s">
        <v>231</v>
      </c>
      <c r="HL144" s="240" t="s">
        <v>231</v>
      </c>
      <c r="HM144" s="240" t="s">
        <v>231</v>
      </c>
      <c r="HN144" s="240" t="s">
        <v>231</v>
      </c>
      <c r="HO144" s="240" t="s">
        <v>231</v>
      </c>
      <c r="HP144" s="240" t="s">
        <v>231</v>
      </c>
      <c r="HQ144" s="240" t="s">
        <v>231</v>
      </c>
      <c r="HR144" s="240" t="s">
        <v>231</v>
      </c>
      <c r="HS144" s="240" t="s">
        <v>231</v>
      </c>
      <c r="HT144" s="240" t="s">
        <v>231</v>
      </c>
      <c r="HU144" s="240" t="s">
        <v>231</v>
      </c>
      <c r="HV144" s="240" t="s">
        <v>231</v>
      </c>
      <c r="HW144" s="240" t="s">
        <v>231</v>
      </c>
      <c r="HX144" s="240" t="s">
        <v>597</v>
      </c>
      <c r="HY144" s="240" t="s">
        <v>493</v>
      </c>
      <c r="HZ144" s="240" t="s">
        <v>219</v>
      </c>
      <c r="IA144" s="240" t="s">
        <v>490</v>
      </c>
      <c r="IB144" s="240" t="s">
        <v>492</v>
      </c>
      <c r="IC144" s="240" t="s">
        <v>492</v>
      </c>
    </row>
    <row r="145" spans="1:237" ht="15" x14ac:dyDescent="0.25">
      <c r="A145" s="243" t="str">
        <f>HYPERLINK("http://www.ofsted.gov.uk/inspection-reports/find-inspection-report/provider/ELS/146166 ","Ofsted School Webpage")</f>
        <v>Ofsted School Webpage</v>
      </c>
      <c r="B145" s="237">
        <v>146166</v>
      </c>
      <c r="C145" s="237">
        <v>8656051</v>
      </c>
      <c r="D145" s="237" t="s">
        <v>1395</v>
      </c>
      <c r="E145" s="237" t="s">
        <v>248</v>
      </c>
      <c r="F145" s="237" t="s">
        <v>483</v>
      </c>
      <c r="G145" s="237" t="s">
        <v>483</v>
      </c>
      <c r="H145" s="237" t="s">
        <v>791</v>
      </c>
      <c r="I145" s="237" t="s">
        <v>1396</v>
      </c>
      <c r="J145" s="237" t="s">
        <v>93</v>
      </c>
      <c r="K145" s="237" t="s">
        <v>93</v>
      </c>
      <c r="L145" s="237" t="s">
        <v>93</v>
      </c>
      <c r="M145" s="237" t="s">
        <v>90</v>
      </c>
      <c r="N145" s="237" t="s">
        <v>486</v>
      </c>
      <c r="O145" s="237" t="s">
        <v>487</v>
      </c>
      <c r="P145" s="237">
        <v>10070554</v>
      </c>
      <c r="Q145" s="239">
        <v>43376</v>
      </c>
      <c r="R145" s="239">
        <v>43376</v>
      </c>
      <c r="S145" s="239">
        <v>43395</v>
      </c>
      <c r="T145" s="237" t="s">
        <v>1377</v>
      </c>
      <c r="U145" s="237" t="s">
        <v>1105</v>
      </c>
      <c r="V145" s="237" t="s">
        <v>490</v>
      </c>
      <c r="W145" s="237" t="s">
        <v>486</v>
      </c>
      <c r="X145" s="237" t="s">
        <v>486</v>
      </c>
      <c r="Y145" s="237" t="s">
        <v>486</v>
      </c>
      <c r="Z145" s="237" t="s">
        <v>486</v>
      </c>
      <c r="AA145" s="237" t="s">
        <v>486</v>
      </c>
      <c r="AB145" s="237" t="s">
        <v>486</v>
      </c>
      <c r="AC145" s="237" t="s">
        <v>486</v>
      </c>
      <c r="AD145" s="237" t="s">
        <v>1386</v>
      </c>
      <c r="AE145" s="237" t="s">
        <v>231</v>
      </c>
      <c r="AF145" s="237" t="s">
        <v>231</v>
      </c>
      <c r="AG145" s="237" t="s">
        <v>231</v>
      </c>
      <c r="AH145" s="237" t="s">
        <v>231</v>
      </c>
      <c r="AI145" s="237" t="s">
        <v>231</v>
      </c>
      <c r="AJ145" s="237" t="s">
        <v>231</v>
      </c>
      <c r="AK145" s="237" t="s">
        <v>231</v>
      </c>
      <c r="AL145" s="237" t="s">
        <v>231</v>
      </c>
      <c r="AM145" s="237" t="s">
        <v>492</v>
      </c>
      <c r="AN145" s="237" t="s">
        <v>231</v>
      </c>
      <c r="AO145" s="237" t="s">
        <v>231</v>
      </c>
      <c r="AP145" s="237" t="s">
        <v>231</v>
      </c>
      <c r="AQ145" s="237" t="s">
        <v>231</v>
      </c>
      <c r="AR145" s="237" t="s">
        <v>231</v>
      </c>
      <c r="AS145" s="237" t="s">
        <v>231</v>
      </c>
      <c r="AT145" s="237" t="s">
        <v>231</v>
      </c>
      <c r="AU145" s="237" t="s">
        <v>492</v>
      </c>
      <c r="AV145" s="237" t="s">
        <v>231</v>
      </c>
      <c r="AW145" s="237" t="s">
        <v>231</v>
      </c>
      <c r="AX145" s="237" t="s">
        <v>231</v>
      </c>
      <c r="AY145" s="237" t="s">
        <v>231</v>
      </c>
      <c r="AZ145" s="237" t="s">
        <v>231</v>
      </c>
      <c r="BA145" s="237" t="s">
        <v>231</v>
      </c>
      <c r="BB145" s="237" t="s">
        <v>231</v>
      </c>
      <c r="BC145" s="237" t="s">
        <v>231</v>
      </c>
      <c r="BD145" s="237" t="s">
        <v>231</v>
      </c>
      <c r="BE145" s="237" t="s">
        <v>231</v>
      </c>
      <c r="BF145" s="237" t="s">
        <v>231</v>
      </c>
      <c r="BG145" s="237" t="s">
        <v>231</v>
      </c>
      <c r="BH145" s="237" t="s">
        <v>231</v>
      </c>
      <c r="BI145" s="237" t="s">
        <v>231</v>
      </c>
      <c r="BJ145" s="237" t="s">
        <v>231</v>
      </c>
      <c r="BK145" s="237" t="s">
        <v>231</v>
      </c>
      <c r="BL145" s="237" t="s">
        <v>231</v>
      </c>
      <c r="BM145" s="237" t="s">
        <v>231</v>
      </c>
      <c r="BN145" s="237" t="s">
        <v>231</v>
      </c>
      <c r="BO145" s="237" t="s">
        <v>231</v>
      </c>
      <c r="BP145" s="237" t="s">
        <v>231</v>
      </c>
      <c r="BQ145" s="237" t="s">
        <v>231</v>
      </c>
      <c r="BR145" s="237" t="s">
        <v>231</v>
      </c>
      <c r="BS145" s="237" t="s">
        <v>231</v>
      </c>
      <c r="BT145" s="237" t="s">
        <v>231</v>
      </c>
      <c r="BU145" s="237" t="s">
        <v>231</v>
      </c>
      <c r="BV145" s="237" t="s">
        <v>231</v>
      </c>
      <c r="BW145" s="237" t="s">
        <v>231</v>
      </c>
      <c r="BX145" s="237" t="s">
        <v>231</v>
      </c>
      <c r="BY145" s="237" t="s">
        <v>231</v>
      </c>
      <c r="BZ145" s="237" t="s">
        <v>231</v>
      </c>
      <c r="CA145" s="237" t="s">
        <v>231</v>
      </c>
      <c r="CB145" s="237" t="s">
        <v>231</v>
      </c>
      <c r="CC145" s="237" t="s">
        <v>492</v>
      </c>
      <c r="CD145" s="237" t="s">
        <v>492</v>
      </c>
      <c r="CE145" s="237" t="s">
        <v>492</v>
      </c>
      <c r="CF145" s="237" t="s">
        <v>231</v>
      </c>
      <c r="CG145" s="237" t="s">
        <v>231</v>
      </c>
      <c r="CH145" s="237" t="s">
        <v>231</v>
      </c>
      <c r="CI145" s="237" t="s">
        <v>231</v>
      </c>
      <c r="CJ145" s="237" t="s">
        <v>231</v>
      </c>
      <c r="CK145" s="237" t="s">
        <v>231</v>
      </c>
      <c r="CL145" s="237" t="s">
        <v>231</v>
      </c>
      <c r="CM145" s="237" t="s">
        <v>231</v>
      </c>
      <c r="CN145" s="237" t="s">
        <v>231</v>
      </c>
      <c r="CO145" s="237" t="s">
        <v>231</v>
      </c>
      <c r="CP145" s="237" t="s">
        <v>231</v>
      </c>
      <c r="CQ145" s="237" t="s">
        <v>231</v>
      </c>
      <c r="CR145" s="237" t="s">
        <v>231</v>
      </c>
      <c r="CS145" s="237" t="s">
        <v>231</v>
      </c>
      <c r="CT145" s="237" t="s">
        <v>231</v>
      </c>
      <c r="CU145" s="237" t="s">
        <v>231</v>
      </c>
      <c r="CV145" s="237" t="s">
        <v>231</v>
      </c>
      <c r="CW145" s="237" t="s">
        <v>231</v>
      </c>
      <c r="CX145" s="237" t="s">
        <v>231</v>
      </c>
      <c r="CY145" s="237" t="s">
        <v>231</v>
      </c>
      <c r="CZ145" s="237" t="s">
        <v>231</v>
      </c>
      <c r="DA145" s="237" t="s">
        <v>231</v>
      </c>
      <c r="DB145" s="237" t="s">
        <v>231</v>
      </c>
      <c r="DC145" s="237" t="s">
        <v>492</v>
      </c>
      <c r="DD145" s="237" t="s">
        <v>231</v>
      </c>
      <c r="DE145" s="237" t="s">
        <v>492</v>
      </c>
      <c r="DF145" s="237" t="s">
        <v>492</v>
      </c>
      <c r="DG145" s="237" t="s">
        <v>492</v>
      </c>
      <c r="DH145" s="237" t="s">
        <v>492</v>
      </c>
      <c r="DI145" s="237" t="s">
        <v>492</v>
      </c>
      <c r="DJ145" s="237" t="s">
        <v>492</v>
      </c>
      <c r="DK145" s="237" t="s">
        <v>492</v>
      </c>
      <c r="DL145" s="237" t="s">
        <v>492</v>
      </c>
      <c r="DM145" s="237" t="s">
        <v>492</v>
      </c>
      <c r="DN145" s="237" t="s">
        <v>492</v>
      </c>
      <c r="DO145" s="237" t="s">
        <v>492</v>
      </c>
      <c r="DP145" s="237" t="s">
        <v>492</v>
      </c>
      <c r="DQ145" s="237" t="s">
        <v>492</v>
      </c>
      <c r="DR145" s="237" t="s">
        <v>231</v>
      </c>
      <c r="DS145" s="237" t="s">
        <v>231</v>
      </c>
      <c r="DT145" s="237" t="s">
        <v>231</v>
      </c>
      <c r="DU145" s="237" t="s">
        <v>231</v>
      </c>
      <c r="DV145" s="237" t="s">
        <v>231</v>
      </c>
      <c r="DW145" s="237" t="s">
        <v>231</v>
      </c>
      <c r="DX145" s="237" t="s">
        <v>231</v>
      </c>
      <c r="DY145" s="237" t="s">
        <v>231</v>
      </c>
      <c r="DZ145" s="237" t="s">
        <v>231</v>
      </c>
      <c r="EA145" s="237" t="s">
        <v>231</v>
      </c>
      <c r="EB145" s="237" t="s">
        <v>231</v>
      </c>
      <c r="EC145" s="237" t="s">
        <v>231</v>
      </c>
      <c r="ED145" s="237" t="s">
        <v>231</v>
      </c>
      <c r="EE145" s="237" t="s">
        <v>231</v>
      </c>
      <c r="EF145" s="237" t="s">
        <v>231</v>
      </c>
      <c r="EG145" s="237" t="s">
        <v>231</v>
      </c>
      <c r="EH145" s="237" t="s">
        <v>231</v>
      </c>
      <c r="EI145" s="237" t="s">
        <v>231</v>
      </c>
      <c r="EJ145" s="237" t="s">
        <v>231</v>
      </c>
      <c r="EK145" s="237" t="s">
        <v>231</v>
      </c>
      <c r="EL145" s="237" t="s">
        <v>231</v>
      </c>
      <c r="EM145" s="237" t="s">
        <v>231</v>
      </c>
      <c r="EN145" s="237" t="s">
        <v>231</v>
      </c>
      <c r="EO145" s="237" t="s">
        <v>492</v>
      </c>
      <c r="EP145" s="237" t="s">
        <v>492</v>
      </c>
      <c r="EQ145" s="237" t="s">
        <v>492</v>
      </c>
      <c r="ER145" s="237" t="s">
        <v>492</v>
      </c>
      <c r="ES145" s="237" t="s">
        <v>492</v>
      </c>
      <c r="ET145" s="237" t="s">
        <v>492</v>
      </c>
      <c r="EU145" s="237" t="s">
        <v>492</v>
      </c>
      <c r="EV145" s="237" t="s">
        <v>231</v>
      </c>
      <c r="EW145" s="237" t="s">
        <v>492</v>
      </c>
      <c r="EX145" s="237" t="s">
        <v>492</v>
      </c>
      <c r="EY145" s="237" t="s">
        <v>492</v>
      </c>
      <c r="EZ145" s="237" t="s">
        <v>232</v>
      </c>
      <c r="FA145" s="237" t="s">
        <v>232</v>
      </c>
      <c r="FB145" s="237" t="s">
        <v>231</v>
      </c>
      <c r="FC145" s="237" t="s">
        <v>231</v>
      </c>
      <c r="FD145" s="237" t="s">
        <v>232</v>
      </c>
      <c r="FE145" s="237" t="s">
        <v>232</v>
      </c>
      <c r="FF145" s="237" t="s">
        <v>232</v>
      </c>
      <c r="FG145" s="237" t="s">
        <v>492</v>
      </c>
      <c r="FH145" s="237" t="s">
        <v>232</v>
      </c>
      <c r="FI145" s="237" t="s">
        <v>231</v>
      </c>
      <c r="FJ145" s="237" t="s">
        <v>231</v>
      </c>
      <c r="FK145" s="237" t="s">
        <v>231</v>
      </c>
      <c r="FL145" s="237" t="s">
        <v>231</v>
      </c>
      <c r="FM145" s="237" t="s">
        <v>231</v>
      </c>
      <c r="FN145" s="237" t="s">
        <v>232</v>
      </c>
      <c r="FO145" s="237" t="s">
        <v>231</v>
      </c>
      <c r="FP145" s="237" t="s">
        <v>231</v>
      </c>
      <c r="FQ145" s="237" t="s">
        <v>232</v>
      </c>
      <c r="FR145" s="237" t="s">
        <v>232</v>
      </c>
      <c r="FS145" s="237" t="s">
        <v>231</v>
      </c>
      <c r="FT145" s="237" t="s">
        <v>231</v>
      </c>
      <c r="FU145" s="237" t="s">
        <v>231</v>
      </c>
      <c r="FV145" s="237" t="s">
        <v>232</v>
      </c>
      <c r="FW145" s="237" t="s">
        <v>231</v>
      </c>
      <c r="FX145" s="237" t="s">
        <v>232</v>
      </c>
      <c r="FY145" s="237" t="s">
        <v>492</v>
      </c>
      <c r="FZ145" s="237" t="s">
        <v>231</v>
      </c>
      <c r="GA145" s="237" t="s">
        <v>231</v>
      </c>
      <c r="GB145" s="237" t="s">
        <v>231</v>
      </c>
      <c r="GC145" s="237" t="s">
        <v>231</v>
      </c>
      <c r="GD145" s="237" t="s">
        <v>492</v>
      </c>
      <c r="GE145" s="237" t="s">
        <v>492</v>
      </c>
      <c r="GF145" s="237" t="s">
        <v>492</v>
      </c>
      <c r="GG145" s="237" t="s">
        <v>492</v>
      </c>
      <c r="GH145" s="237" t="s">
        <v>492</v>
      </c>
      <c r="GI145" s="237" t="s">
        <v>492</v>
      </c>
      <c r="GJ145" s="237" t="s">
        <v>492</v>
      </c>
      <c r="GK145" s="237" t="s">
        <v>231</v>
      </c>
      <c r="GL145" s="237" t="s">
        <v>231</v>
      </c>
      <c r="GM145" s="237" t="s">
        <v>231</v>
      </c>
      <c r="GN145" s="237" t="s">
        <v>492</v>
      </c>
      <c r="GO145" s="237" t="s">
        <v>231</v>
      </c>
      <c r="GP145" s="237" t="s">
        <v>492</v>
      </c>
      <c r="GQ145" s="237" t="s">
        <v>231</v>
      </c>
      <c r="GR145" s="237" t="s">
        <v>231</v>
      </c>
      <c r="GS145" s="237" t="s">
        <v>231</v>
      </c>
      <c r="GT145" s="237" t="s">
        <v>231</v>
      </c>
      <c r="GU145" s="237" t="s">
        <v>231</v>
      </c>
      <c r="GV145" s="237" t="s">
        <v>231</v>
      </c>
      <c r="GW145" s="237" t="s">
        <v>492</v>
      </c>
      <c r="GX145" s="237" t="s">
        <v>231</v>
      </c>
      <c r="GY145" s="237" t="s">
        <v>492</v>
      </c>
      <c r="GZ145" s="237" t="s">
        <v>492</v>
      </c>
      <c r="HA145" s="237" t="s">
        <v>492</v>
      </c>
      <c r="HB145" s="237" t="s">
        <v>492</v>
      </c>
      <c r="HC145" s="237" t="s">
        <v>492</v>
      </c>
      <c r="HD145" s="237" t="s">
        <v>231</v>
      </c>
      <c r="HE145" s="237" t="s">
        <v>231</v>
      </c>
      <c r="HF145" s="237" t="s">
        <v>231</v>
      </c>
      <c r="HG145" s="237" t="s">
        <v>231</v>
      </c>
      <c r="HH145" s="237" t="s">
        <v>231</v>
      </c>
      <c r="HI145" s="237" t="s">
        <v>231</v>
      </c>
      <c r="HJ145" s="237" t="s">
        <v>231</v>
      </c>
      <c r="HK145" s="237" t="s">
        <v>231</v>
      </c>
      <c r="HL145" s="237" t="s">
        <v>231</v>
      </c>
      <c r="HM145" s="237" t="s">
        <v>231</v>
      </c>
      <c r="HN145" s="237" t="s">
        <v>231</v>
      </c>
      <c r="HO145" s="237" t="s">
        <v>231</v>
      </c>
      <c r="HP145" s="237" t="s">
        <v>231</v>
      </c>
      <c r="HQ145" s="237" t="s">
        <v>231</v>
      </c>
      <c r="HR145" s="237" t="s">
        <v>231</v>
      </c>
      <c r="HS145" s="237" t="s">
        <v>231</v>
      </c>
      <c r="HT145" s="237" t="s">
        <v>232</v>
      </c>
      <c r="HU145" s="237" t="s">
        <v>232</v>
      </c>
      <c r="HV145" s="237" t="s">
        <v>232</v>
      </c>
      <c r="HW145" s="237" t="s">
        <v>231</v>
      </c>
      <c r="HX145" s="237" t="s">
        <v>597</v>
      </c>
      <c r="HY145" s="237" t="s">
        <v>493</v>
      </c>
      <c r="HZ145" s="237" t="s">
        <v>219</v>
      </c>
      <c r="IA145" s="237" t="s">
        <v>490</v>
      </c>
      <c r="IB145" s="237" t="s">
        <v>492</v>
      </c>
      <c r="IC145" s="237" t="s">
        <v>492</v>
      </c>
    </row>
    <row r="146" spans="1:237" ht="15" x14ac:dyDescent="0.25">
      <c r="A146" s="244" t="str">
        <f>HYPERLINK("http://www.ofsted.gov.uk/inspection-reports/find-inspection-report/provider/ELS/146353 ","Ofsted School Webpage")</f>
        <v>Ofsted School Webpage</v>
      </c>
      <c r="B146" s="240">
        <v>146353</v>
      </c>
      <c r="C146" s="240">
        <v>8886117</v>
      </c>
      <c r="D146" s="240" t="s">
        <v>1397</v>
      </c>
      <c r="E146" s="240" t="s">
        <v>247</v>
      </c>
      <c r="F146" s="240" t="s">
        <v>495</v>
      </c>
      <c r="G146" s="240" t="s">
        <v>495</v>
      </c>
      <c r="H146" s="240" t="s">
        <v>534</v>
      </c>
      <c r="I146" s="240" t="s">
        <v>1398</v>
      </c>
      <c r="J146" s="240" t="s">
        <v>498</v>
      </c>
      <c r="K146" s="240" t="s">
        <v>93</v>
      </c>
      <c r="L146" s="240" t="s">
        <v>498</v>
      </c>
      <c r="M146" s="240" t="s">
        <v>90</v>
      </c>
      <c r="N146" s="240" t="s">
        <v>486</v>
      </c>
      <c r="O146" s="240" t="s">
        <v>487</v>
      </c>
      <c r="P146" s="240">
        <v>10077480</v>
      </c>
      <c r="Q146" s="242">
        <v>43377</v>
      </c>
      <c r="R146" s="242">
        <v>43377</v>
      </c>
      <c r="S146" s="242">
        <v>43410</v>
      </c>
      <c r="T146" s="240" t="s">
        <v>1377</v>
      </c>
      <c r="U146" s="240" t="s">
        <v>1105</v>
      </c>
      <c r="V146" s="240" t="s">
        <v>490</v>
      </c>
      <c r="W146" s="240" t="s">
        <v>486</v>
      </c>
      <c r="X146" s="240" t="s">
        <v>486</v>
      </c>
      <c r="Y146" s="240" t="s">
        <v>486</v>
      </c>
      <c r="Z146" s="240" t="s">
        <v>486</v>
      </c>
      <c r="AA146" s="240" t="s">
        <v>486</v>
      </c>
      <c r="AB146" s="240" t="s">
        <v>486</v>
      </c>
      <c r="AC146" s="240" t="s">
        <v>486</v>
      </c>
      <c r="AD146" s="240" t="s">
        <v>1378</v>
      </c>
      <c r="AE146" s="240" t="s">
        <v>231</v>
      </c>
      <c r="AF146" s="240" t="s">
        <v>231</v>
      </c>
      <c r="AG146" s="240" t="s">
        <v>231</v>
      </c>
      <c r="AH146" s="240" t="s">
        <v>231</v>
      </c>
      <c r="AI146" s="240" t="s">
        <v>231</v>
      </c>
      <c r="AJ146" s="240" t="s">
        <v>231</v>
      </c>
      <c r="AK146" s="240" t="s">
        <v>231</v>
      </c>
      <c r="AL146" s="240" t="s">
        <v>231</v>
      </c>
      <c r="AM146" s="240" t="s">
        <v>492</v>
      </c>
      <c r="AN146" s="240" t="s">
        <v>231</v>
      </c>
      <c r="AO146" s="240" t="s">
        <v>231</v>
      </c>
      <c r="AP146" s="240" t="s">
        <v>231</v>
      </c>
      <c r="AQ146" s="240" t="s">
        <v>231</v>
      </c>
      <c r="AR146" s="240" t="s">
        <v>231</v>
      </c>
      <c r="AS146" s="240" t="s">
        <v>231</v>
      </c>
      <c r="AT146" s="240" t="s">
        <v>231</v>
      </c>
      <c r="AU146" s="240" t="s">
        <v>492</v>
      </c>
      <c r="AV146" s="240" t="s">
        <v>492</v>
      </c>
      <c r="AW146" s="240" t="s">
        <v>231</v>
      </c>
      <c r="AX146" s="240" t="s">
        <v>231</v>
      </c>
      <c r="AY146" s="240" t="s">
        <v>231</v>
      </c>
      <c r="AZ146" s="240" t="s">
        <v>231</v>
      </c>
      <c r="BA146" s="240" t="s">
        <v>231</v>
      </c>
      <c r="BB146" s="240" t="s">
        <v>231</v>
      </c>
      <c r="BC146" s="240" t="s">
        <v>231</v>
      </c>
      <c r="BD146" s="240" t="s">
        <v>231</v>
      </c>
      <c r="BE146" s="240" t="s">
        <v>231</v>
      </c>
      <c r="BF146" s="240" t="s">
        <v>231</v>
      </c>
      <c r="BG146" s="240" t="s">
        <v>231</v>
      </c>
      <c r="BH146" s="240" t="s">
        <v>231</v>
      </c>
      <c r="BI146" s="240" t="s">
        <v>231</v>
      </c>
      <c r="BJ146" s="240" t="s">
        <v>231</v>
      </c>
      <c r="BK146" s="240" t="s">
        <v>231</v>
      </c>
      <c r="BL146" s="240" t="s">
        <v>231</v>
      </c>
      <c r="BM146" s="240" t="s">
        <v>231</v>
      </c>
      <c r="BN146" s="240" t="s">
        <v>231</v>
      </c>
      <c r="BO146" s="240" t="s">
        <v>231</v>
      </c>
      <c r="BP146" s="240" t="s">
        <v>231</v>
      </c>
      <c r="BQ146" s="240" t="s">
        <v>231</v>
      </c>
      <c r="BR146" s="240" t="s">
        <v>231</v>
      </c>
      <c r="BS146" s="240" t="s">
        <v>231</v>
      </c>
      <c r="BT146" s="240" t="s">
        <v>231</v>
      </c>
      <c r="BU146" s="240" t="s">
        <v>231</v>
      </c>
      <c r="BV146" s="240" t="s">
        <v>231</v>
      </c>
      <c r="BW146" s="240" t="s">
        <v>231</v>
      </c>
      <c r="BX146" s="240" t="s">
        <v>231</v>
      </c>
      <c r="BY146" s="240" t="s">
        <v>231</v>
      </c>
      <c r="BZ146" s="240" t="s">
        <v>231</v>
      </c>
      <c r="CA146" s="240" t="s">
        <v>231</v>
      </c>
      <c r="CB146" s="240" t="s">
        <v>231</v>
      </c>
      <c r="CC146" s="240" t="s">
        <v>492</v>
      </c>
      <c r="CD146" s="240" t="s">
        <v>492</v>
      </c>
      <c r="CE146" s="240" t="s">
        <v>492</v>
      </c>
      <c r="CF146" s="240" t="s">
        <v>231</v>
      </c>
      <c r="CG146" s="240" t="s">
        <v>231</v>
      </c>
      <c r="CH146" s="240" t="s">
        <v>231</v>
      </c>
      <c r="CI146" s="240" t="s">
        <v>231</v>
      </c>
      <c r="CJ146" s="240" t="s">
        <v>231</v>
      </c>
      <c r="CK146" s="240" t="s">
        <v>231</v>
      </c>
      <c r="CL146" s="240" t="s">
        <v>231</v>
      </c>
      <c r="CM146" s="240" t="s">
        <v>231</v>
      </c>
      <c r="CN146" s="240" t="s">
        <v>231</v>
      </c>
      <c r="CO146" s="240" t="s">
        <v>231</v>
      </c>
      <c r="CP146" s="240" t="s">
        <v>231</v>
      </c>
      <c r="CQ146" s="240" t="s">
        <v>231</v>
      </c>
      <c r="CR146" s="240" t="s">
        <v>231</v>
      </c>
      <c r="CS146" s="240" t="s">
        <v>231</v>
      </c>
      <c r="CT146" s="240" t="s">
        <v>231</v>
      </c>
      <c r="CU146" s="240" t="s">
        <v>231</v>
      </c>
      <c r="CV146" s="240" t="s">
        <v>231</v>
      </c>
      <c r="CW146" s="240" t="s">
        <v>231</v>
      </c>
      <c r="CX146" s="240" t="s">
        <v>231</v>
      </c>
      <c r="CY146" s="240" t="s">
        <v>231</v>
      </c>
      <c r="CZ146" s="240" t="s">
        <v>231</v>
      </c>
      <c r="DA146" s="240" t="s">
        <v>231</v>
      </c>
      <c r="DB146" s="240" t="s">
        <v>231</v>
      </c>
      <c r="DC146" s="240" t="s">
        <v>492</v>
      </c>
      <c r="DD146" s="240" t="s">
        <v>231</v>
      </c>
      <c r="DE146" s="240" t="s">
        <v>492</v>
      </c>
      <c r="DF146" s="240" t="s">
        <v>492</v>
      </c>
      <c r="DG146" s="240" t="s">
        <v>492</v>
      </c>
      <c r="DH146" s="240" t="s">
        <v>492</v>
      </c>
      <c r="DI146" s="240" t="s">
        <v>492</v>
      </c>
      <c r="DJ146" s="240" t="s">
        <v>492</v>
      </c>
      <c r="DK146" s="240" t="s">
        <v>492</v>
      </c>
      <c r="DL146" s="240" t="s">
        <v>492</v>
      </c>
      <c r="DM146" s="240" t="s">
        <v>492</v>
      </c>
      <c r="DN146" s="240" t="s">
        <v>492</v>
      </c>
      <c r="DO146" s="240" t="s">
        <v>492</v>
      </c>
      <c r="DP146" s="240" t="s">
        <v>492</v>
      </c>
      <c r="DQ146" s="240" t="s">
        <v>492</v>
      </c>
      <c r="DR146" s="240" t="s">
        <v>492</v>
      </c>
      <c r="DS146" s="240" t="s">
        <v>231</v>
      </c>
      <c r="DT146" s="240" t="s">
        <v>231</v>
      </c>
      <c r="DU146" s="240" t="s">
        <v>231</v>
      </c>
      <c r="DV146" s="240" t="s">
        <v>231</v>
      </c>
      <c r="DW146" s="240" t="s">
        <v>231</v>
      </c>
      <c r="DX146" s="240" t="s">
        <v>231</v>
      </c>
      <c r="DY146" s="240" t="s">
        <v>231</v>
      </c>
      <c r="DZ146" s="240" t="s">
        <v>492</v>
      </c>
      <c r="EA146" s="240" t="s">
        <v>231</v>
      </c>
      <c r="EB146" s="240" t="s">
        <v>231</v>
      </c>
      <c r="EC146" s="240" t="s">
        <v>231</v>
      </c>
      <c r="ED146" s="240" t="s">
        <v>231</v>
      </c>
      <c r="EE146" s="240" t="s">
        <v>231</v>
      </c>
      <c r="EF146" s="240" t="s">
        <v>231</v>
      </c>
      <c r="EG146" s="240" t="s">
        <v>231</v>
      </c>
      <c r="EH146" s="240" t="s">
        <v>231</v>
      </c>
      <c r="EI146" s="240" t="s">
        <v>231</v>
      </c>
      <c r="EJ146" s="240" t="s">
        <v>231</v>
      </c>
      <c r="EK146" s="240" t="s">
        <v>231</v>
      </c>
      <c r="EL146" s="240" t="s">
        <v>231</v>
      </c>
      <c r="EM146" s="240" t="s">
        <v>231</v>
      </c>
      <c r="EN146" s="240" t="s">
        <v>231</v>
      </c>
      <c r="EO146" s="240" t="s">
        <v>231</v>
      </c>
      <c r="EP146" s="240" t="s">
        <v>492</v>
      </c>
      <c r="EQ146" s="240" t="s">
        <v>492</v>
      </c>
      <c r="ER146" s="240" t="s">
        <v>492</v>
      </c>
      <c r="ES146" s="240" t="s">
        <v>492</v>
      </c>
      <c r="ET146" s="240" t="s">
        <v>492</v>
      </c>
      <c r="EU146" s="240" t="s">
        <v>492</v>
      </c>
      <c r="EV146" s="240" t="s">
        <v>231</v>
      </c>
      <c r="EW146" s="240" t="s">
        <v>492</v>
      </c>
      <c r="EX146" s="240" t="s">
        <v>492</v>
      </c>
      <c r="EY146" s="240" t="s">
        <v>492</v>
      </c>
      <c r="EZ146" s="240" t="s">
        <v>231</v>
      </c>
      <c r="FA146" s="240" t="s">
        <v>231</v>
      </c>
      <c r="FB146" s="240" t="s">
        <v>231</v>
      </c>
      <c r="FC146" s="240" t="s">
        <v>231</v>
      </c>
      <c r="FD146" s="240" t="s">
        <v>231</v>
      </c>
      <c r="FE146" s="240" t="s">
        <v>231</v>
      </c>
      <c r="FF146" s="240" t="s">
        <v>231</v>
      </c>
      <c r="FG146" s="240" t="s">
        <v>492</v>
      </c>
      <c r="FH146" s="240" t="s">
        <v>231</v>
      </c>
      <c r="FI146" s="240" t="s">
        <v>231</v>
      </c>
      <c r="FJ146" s="240" t="s">
        <v>231</v>
      </c>
      <c r="FK146" s="240" t="s">
        <v>231</v>
      </c>
      <c r="FL146" s="240" t="s">
        <v>231</v>
      </c>
      <c r="FM146" s="240" t="s">
        <v>231</v>
      </c>
      <c r="FN146" s="240" t="s">
        <v>231</v>
      </c>
      <c r="FO146" s="240" t="s">
        <v>231</v>
      </c>
      <c r="FP146" s="240" t="s">
        <v>231</v>
      </c>
      <c r="FQ146" s="240" t="s">
        <v>231</v>
      </c>
      <c r="FR146" s="240" t="s">
        <v>231</v>
      </c>
      <c r="FS146" s="240" t="s">
        <v>231</v>
      </c>
      <c r="FT146" s="240" t="s">
        <v>231</v>
      </c>
      <c r="FU146" s="240" t="s">
        <v>231</v>
      </c>
      <c r="FV146" s="240" t="s">
        <v>231</v>
      </c>
      <c r="FW146" s="240" t="s">
        <v>231</v>
      </c>
      <c r="FX146" s="240" t="s">
        <v>231</v>
      </c>
      <c r="FY146" s="240" t="s">
        <v>492</v>
      </c>
      <c r="FZ146" s="240" t="s">
        <v>231</v>
      </c>
      <c r="GA146" s="240" t="s">
        <v>231</v>
      </c>
      <c r="GB146" s="240" t="s">
        <v>231</v>
      </c>
      <c r="GC146" s="240" t="s">
        <v>231</v>
      </c>
      <c r="GD146" s="240" t="s">
        <v>231</v>
      </c>
      <c r="GE146" s="240" t="s">
        <v>492</v>
      </c>
      <c r="GF146" s="240" t="s">
        <v>231</v>
      </c>
      <c r="GG146" s="240" t="s">
        <v>231</v>
      </c>
      <c r="GH146" s="240" t="s">
        <v>231</v>
      </c>
      <c r="GI146" s="240" t="s">
        <v>231</v>
      </c>
      <c r="GJ146" s="240" t="s">
        <v>231</v>
      </c>
      <c r="GK146" s="240" t="s">
        <v>231</v>
      </c>
      <c r="GL146" s="240" t="s">
        <v>231</v>
      </c>
      <c r="GM146" s="240" t="s">
        <v>231</v>
      </c>
      <c r="GN146" s="240" t="s">
        <v>492</v>
      </c>
      <c r="GO146" s="240" t="s">
        <v>231</v>
      </c>
      <c r="GP146" s="240" t="s">
        <v>231</v>
      </c>
      <c r="GQ146" s="240" t="s">
        <v>231</v>
      </c>
      <c r="GR146" s="240" t="s">
        <v>231</v>
      </c>
      <c r="GS146" s="240" t="s">
        <v>231</v>
      </c>
      <c r="GT146" s="240" t="s">
        <v>231</v>
      </c>
      <c r="GU146" s="240" t="s">
        <v>231</v>
      </c>
      <c r="GV146" s="240" t="s">
        <v>231</v>
      </c>
      <c r="GW146" s="240" t="s">
        <v>231</v>
      </c>
      <c r="GX146" s="240" t="s">
        <v>231</v>
      </c>
      <c r="GY146" s="240" t="s">
        <v>231</v>
      </c>
      <c r="GZ146" s="240" t="s">
        <v>231</v>
      </c>
      <c r="HA146" s="240" t="s">
        <v>231</v>
      </c>
      <c r="HB146" s="240" t="s">
        <v>231</v>
      </c>
      <c r="HC146" s="240" t="s">
        <v>231</v>
      </c>
      <c r="HD146" s="240" t="s">
        <v>231</v>
      </c>
      <c r="HE146" s="240" t="s">
        <v>231</v>
      </c>
      <c r="HF146" s="240" t="s">
        <v>231</v>
      </c>
      <c r="HG146" s="240" t="s">
        <v>231</v>
      </c>
      <c r="HH146" s="240" t="s">
        <v>231</v>
      </c>
      <c r="HI146" s="240" t="s">
        <v>231</v>
      </c>
      <c r="HJ146" s="240" t="s">
        <v>231</v>
      </c>
      <c r="HK146" s="240" t="s">
        <v>231</v>
      </c>
      <c r="HL146" s="240" t="s">
        <v>231</v>
      </c>
      <c r="HM146" s="240" t="s">
        <v>231</v>
      </c>
      <c r="HN146" s="240" t="s">
        <v>231</v>
      </c>
      <c r="HO146" s="240" t="s">
        <v>231</v>
      </c>
      <c r="HP146" s="240" t="s">
        <v>231</v>
      </c>
      <c r="HQ146" s="240" t="s">
        <v>231</v>
      </c>
      <c r="HR146" s="240" t="s">
        <v>231</v>
      </c>
      <c r="HS146" s="240" t="s">
        <v>231</v>
      </c>
      <c r="HT146" s="240" t="s">
        <v>231</v>
      </c>
      <c r="HU146" s="240" t="s">
        <v>231</v>
      </c>
      <c r="HV146" s="240" t="s">
        <v>231</v>
      </c>
      <c r="HW146" s="240" t="s">
        <v>231</v>
      </c>
      <c r="HX146" s="240" t="s">
        <v>220</v>
      </c>
      <c r="HY146" s="240" t="s">
        <v>493</v>
      </c>
      <c r="HZ146" s="240" t="s">
        <v>219</v>
      </c>
      <c r="IA146" s="240" t="s">
        <v>490</v>
      </c>
      <c r="IB146" s="240" t="s">
        <v>492</v>
      </c>
      <c r="IC146" s="240" t="s">
        <v>492</v>
      </c>
    </row>
    <row r="147" spans="1:237" ht="15" x14ac:dyDescent="0.25">
      <c r="A147" s="243" t="str">
        <f>HYPERLINK("http://www.ofsted.gov.uk/inspection-reports/find-inspection-report/provider/ELS/146337 ","Ofsted School Webpage")</f>
        <v>Ofsted School Webpage</v>
      </c>
      <c r="B147" s="237">
        <v>146337</v>
      </c>
      <c r="C147" s="237">
        <v>3526014</v>
      </c>
      <c r="D147" s="237" t="s">
        <v>1399</v>
      </c>
      <c r="E147" s="237" t="s">
        <v>247</v>
      </c>
      <c r="F147" s="237" t="s">
        <v>495</v>
      </c>
      <c r="G147" s="237" t="s">
        <v>495</v>
      </c>
      <c r="H147" s="237" t="s">
        <v>744</v>
      </c>
      <c r="I147" s="237" t="s">
        <v>1400</v>
      </c>
      <c r="J147" s="237" t="s">
        <v>93</v>
      </c>
      <c r="K147" s="237" t="s">
        <v>93</v>
      </c>
      <c r="L147" s="237" t="s">
        <v>93</v>
      </c>
      <c r="M147" s="237" t="s">
        <v>90</v>
      </c>
      <c r="N147" s="237" t="s">
        <v>486</v>
      </c>
      <c r="O147" s="237" t="s">
        <v>487</v>
      </c>
      <c r="P147" s="237">
        <v>10077899</v>
      </c>
      <c r="Q147" s="239">
        <v>43375</v>
      </c>
      <c r="R147" s="239">
        <v>43375</v>
      </c>
      <c r="S147" s="239">
        <v>43411</v>
      </c>
      <c r="T147" s="237" t="s">
        <v>1377</v>
      </c>
      <c r="U147" s="237" t="s">
        <v>1105</v>
      </c>
      <c r="V147" s="237" t="s">
        <v>490</v>
      </c>
      <c r="W147" s="237" t="s">
        <v>486</v>
      </c>
      <c r="X147" s="237" t="s">
        <v>486</v>
      </c>
      <c r="Y147" s="237" t="s">
        <v>486</v>
      </c>
      <c r="Z147" s="237" t="s">
        <v>486</v>
      </c>
      <c r="AA147" s="237" t="s">
        <v>486</v>
      </c>
      <c r="AB147" s="237" t="s">
        <v>486</v>
      </c>
      <c r="AC147" s="237" t="s">
        <v>486</v>
      </c>
      <c r="AD147" s="237" t="s">
        <v>1378</v>
      </c>
      <c r="AE147" s="237" t="s">
        <v>231</v>
      </c>
      <c r="AF147" s="237" t="s">
        <v>231</v>
      </c>
      <c r="AG147" s="237" t="s">
        <v>231</v>
      </c>
      <c r="AH147" s="237" t="s">
        <v>231</v>
      </c>
      <c r="AI147" s="237" t="s">
        <v>231</v>
      </c>
      <c r="AJ147" s="237" t="s">
        <v>231</v>
      </c>
      <c r="AK147" s="237" t="s">
        <v>231</v>
      </c>
      <c r="AL147" s="237" t="s">
        <v>231</v>
      </c>
      <c r="AM147" s="237" t="s">
        <v>492</v>
      </c>
      <c r="AN147" s="237" t="s">
        <v>231</v>
      </c>
      <c r="AO147" s="237" t="s">
        <v>231</v>
      </c>
      <c r="AP147" s="237" t="s">
        <v>231</v>
      </c>
      <c r="AQ147" s="237" t="s">
        <v>492</v>
      </c>
      <c r="AR147" s="237" t="s">
        <v>492</v>
      </c>
      <c r="AS147" s="237" t="s">
        <v>492</v>
      </c>
      <c r="AT147" s="237" t="s">
        <v>492</v>
      </c>
      <c r="AU147" s="237" t="s">
        <v>492</v>
      </c>
      <c r="AV147" s="237" t="s">
        <v>492</v>
      </c>
      <c r="AW147" s="237" t="s">
        <v>231</v>
      </c>
      <c r="AX147" s="237" t="s">
        <v>231</v>
      </c>
      <c r="AY147" s="237" t="s">
        <v>231</v>
      </c>
      <c r="AZ147" s="237" t="s">
        <v>231</v>
      </c>
      <c r="BA147" s="237" t="s">
        <v>231</v>
      </c>
      <c r="BB147" s="237" t="s">
        <v>231</v>
      </c>
      <c r="BC147" s="237" t="s">
        <v>231</v>
      </c>
      <c r="BD147" s="237" t="s">
        <v>231</v>
      </c>
      <c r="BE147" s="237" t="s">
        <v>231</v>
      </c>
      <c r="BF147" s="237" t="s">
        <v>231</v>
      </c>
      <c r="BG147" s="237" t="s">
        <v>231</v>
      </c>
      <c r="BH147" s="237" t="s">
        <v>231</v>
      </c>
      <c r="BI147" s="237" t="s">
        <v>231</v>
      </c>
      <c r="BJ147" s="237" t="s">
        <v>231</v>
      </c>
      <c r="BK147" s="237" t="s">
        <v>231</v>
      </c>
      <c r="BL147" s="237" t="s">
        <v>231</v>
      </c>
      <c r="BM147" s="237" t="s">
        <v>231</v>
      </c>
      <c r="BN147" s="237" t="s">
        <v>231</v>
      </c>
      <c r="BO147" s="237" t="s">
        <v>231</v>
      </c>
      <c r="BP147" s="237" t="s">
        <v>231</v>
      </c>
      <c r="BQ147" s="237" t="s">
        <v>231</v>
      </c>
      <c r="BR147" s="237" t="s">
        <v>231</v>
      </c>
      <c r="BS147" s="237" t="s">
        <v>231</v>
      </c>
      <c r="BT147" s="237" t="s">
        <v>231</v>
      </c>
      <c r="BU147" s="237" t="s">
        <v>231</v>
      </c>
      <c r="BV147" s="237" t="s">
        <v>231</v>
      </c>
      <c r="BW147" s="237" t="s">
        <v>231</v>
      </c>
      <c r="BX147" s="237" t="s">
        <v>231</v>
      </c>
      <c r="BY147" s="237" t="s">
        <v>231</v>
      </c>
      <c r="BZ147" s="237" t="s">
        <v>231</v>
      </c>
      <c r="CA147" s="237" t="s">
        <v>231</v>
      </c>
      <c r="CB147" s="237" t="s">
        <v>231</v>
      </c>
      <c r="CC147" s="237" t="s">
        <v>492</v>
      </c>
      <c r="CD147" s="237" t="s">
        <v>492</v>
      </c>
      <c r="CE147" s="237" t="s">
        <v>492</v>
      </c>
      <c r="CF147" s="237" t="s">
        <v>231</v>
      </c>
      <c r="CG147" s="237" t="s">
        <v>231</v>
      </c>
      <c r="CH147" s="237" t="s">
        <v>231</v>
      </c>
      <c r="CI147" s="237" t="s">
        <v>231</v>
      </c>
      <c r="CJ147" s="237" t="s">
        <v>231</v>
      </c>
      <c r="CK147" s="237" t="s">
        <v>231</v>
      </c>
      <c r="CL147" s="237" t="s">
        <v>231</v>
      </c>
      <c r="CM147" s="237" t="s">
        <v>231</v>
      </c>
      <c r="CN147" s="237" t="s">
        <v>231</v>
      </c>
      <c r="CO147" s="237" t="s">
        <v>231</v>
      </c>
      <c r="CP147" s="237" t="s">
        <v>231</v>
      </c>
      <c r="CQ147" s="237" t="s">
        <v>231</v>
      </c>
      <c r="CR147" s="237" t="s">
        <v>231</v>
      </c>
      <c r="CS147" s="237" t="s">
        <v>231</v>
      </c>
      <c r="CT147" s="237" t="s">
        <v>231</v>
      </c>
      <c r="CU147" s="237" t="s">
        <v>231</v>
      </c>
      <c r="CV147" s="237" t="s">
        <v>231</v>
      </c>
      <c r="CW147" s="237" t="s">
        <v>231</v>
      </c>
      <c r="CX147" s="237" t="s">
        <v>231</v>
      </c>
      <c r="CY147" s="237" t="s">
        <v>231</v>
      </c>
      <c r="CZ147" s="237" t="s">
        <v>231</v>
      </c>
      <c r="DA147" s="237" t="s">
        <v>231</v>
      </c>
      <c r="DB147" s="237" t="s">
        <v>231</v>
      </c>
      <c r="DC147" s="237" t="s">
        <v>492</v>
      </c>
      <c r="DD147" s="237" t="s">
        <v>231</v>
      </c>
      <c r="DE147" s="237" t="s">
        <v>492</v>
      </c>
      <c r="DF147" s="237" t="s">
        <v>492</v>
      </c>
      <c r="DG147" s="237" t="s">
        <v>492</v>
      </c>
      <c r="DH147" s="237" t="s">
        <v>492</v>
      </c>
      <c r="DI147" s="237" t="s">
        <v>492</v>
      </c>
      <c r="DJ147" s="237" t="s">
        <v>492</v>
      </c>
      <c r="DK147" s="237" t="s">
        <v>492</v>
      </c>
      <c r="DL147" s="237" t="s">
        <v>492</v>
      </c>
      <c r="DM147" s="237" t="s">
        <v>492</v>
      </c>
      <c r="DN147" s="237" t="s">
        <v>492</v>
      </c>
      <c r="DO147" s="237" t="s">
        <v>492</v>
      </c>
      <c r="DP147" s="237" t="s">
        <v>492</v>
      </c>
      <c r="DQ147" s="237" t="s">
        <v>492</v>
      </c>
      <c r="DR147" s="237" t="s">
        <v>492</v>
      </c>
      <c r="DS147" s="237" t="s">
        <v>231</v>
      </c>
      <c r="DT147" s="237" t="s">
        <v>231</v>
      </c>
      <c r="DU147" s="237" t="s">
        <v>231</v>
      </c>
      <c r="DV147" s="237" t="s">
        <v>231</v>
      </c>
      <c r="DW147" s="237" t="s">
        <v>231</v>
      </c>
      <c r="DX147" s="237" t="s">
        <v>231</v>
      </c>
      <c r="DY147" s="237" t="s">
        <v>231</v>
      </c>
      <c r="DZ147" s="237" t="s">
        <v>231</v>
      </c>
      <c r="EA147" s="237" t="s">
        <v>231</v>
      </c>
      <c r="EB147" s="237" t="s">
        <v>231</v>
      </c>
      <c r="EC147" s="237" t="s">
        <v>231</v>
      </c>
      <c r="ED147" s="237" t="s">
        <v>231</v>
      </c>
      <c r="EE147" s="237" t="s">
        <v>231</v>
      </c>
      <c r="EF147" s="237" t="s">
        <v>231</v>
      </c>
      <c r="EG147" s="237" t="s">
        <v>231</v>
      </c>
      <c r="EH147" s="237" t="s">
        <v>231</v>
      </c>
      <c r="EI147" s="237" t="s">
        <v>231</v>
      </c>
      <c r="EJ147" s="237" t="s">
        <v>231</v>
      </c>
      <c r="EK147" s="237" t="s">
        <v>231</v>
      </c>
      <c r="EL147" s="237" t="s">
        <v>231</v>
      </c>
      <c r="EM147" s="237" t="s">
        <v>231</v>
      </c>
      <c r="EN147" s="237" t="s">
        <v>231</v>
      </c>
      <c r="EO147" s="237" t="s">
        <v>231</v>
      </c>
      <c r="EP147" s="237" t="s">
        <v>492</v>
      </c>
      <c r="EQ147" s="237" t="s">
        <v>492</v>
      </c>
      <c r="ER147" s="237" t="s">
        <v>492</v>
      </c>
      <c r="ES147" s="237" t="s">
        <v>492</v>
      </c>
      <c r="ET147" s="237" t="s">
        <v>492</v>
      </c>
      <c r="EU147" s="237" t="s">
        <v>492</v>
      </c>
      <c r="EV147" s="237" t="s">
        <v>231</v>
      </c>
      <c r="EW147" s="237" t="s">
        <v>231</v>
      </c>
      <c r="EX147" s="237" t="s">
        <v>231</v>
      </c>
      <c r="EY147" s="237" t="s">
        <v>231</v>
      </c>
      <c r="EZ147" s="237" t="s">
        <v>231</v>
      </c>
      <c r="FA147" s="237" t="s">
        <v>231</v>
      </c>
      <c r="FB147" s="237" t="s">
        <v>231</v>
      </c>
      <c r="FC147" s="237" t="s">
        <v>492</v>
      </c>
      <c r="FD147" s="237" t="s">
        <v>231</v>
      </c>
      <c r="FE147" s="237" t="s">
        <v>231</v>
      </c>
      <c r="FF147" s="237" t="s">
        <v>231</v>
      </c>
      <c r="FG147" s="237" t="s">
        <v>492</v>
      </c>
      <c r="FH147" s="237" t="s">
        <v>231</v>
      </c>
      <c r="FI147" s="237" t="s">
        <v>231</v>
      </c>
      <c r="FJ147" s="237" t="s">
        <v>231</v>
      </c>
      <c r="FK147" s="237" t="s">
        <v>231</v>
      </c>
      <c r="FL147" s="237" t="s">
        <v>231</v>
      </c>
      <c r="FM147" s="237" t="s">
        <v>231</v>
      </c>
      <c r="FN147" s="237" t="s">
        <v>231</v>
      </c>
      <c r="FO147" s="237" t="s">
        <v>231</v>
      </c>
      <c r="FP147" s="237" t="s">
        <v>231</v>
      </c>
      <c r="FQ147" s="237" t="s">
        <v>231</v>
      </c>
      <c r="FR147" s="237" t="s">
        <v>231</v>
      </c>
      <c r="FS147" s="237" t="s">
        <v>231</v>
      </c>
      <c r="FT147" s="237" t="s">
        <v>231</v>
      </c>
      <c r="FU147" s="237" t="s">
        <v>231</v>
      </c>
      <c r="FV147" s="237" t="s">
        <v>231</v>
      </c>
      <c r="FW147" s="237" t="s">
        <v>231</v>
      </c>
      <c r="FX147" s="237" t="s">
        <v>231</v>
      </c>
      <c r="FY147" s="237" t="s">
        <v>492</v>
      </c>
      <c r="FZ147" s="237" t="s">
        <v>231</v>
      </c>
      <c r="GA147" s="237" t="s">
        <v>231</v>
      </c>
      <c r="GB147" s="237" t="s">
        <v>231</v>
      </c>
      <c r="GC147" s="237" t="s">
        <v>231</v>
      </c>
      <c r="GD147" s="237" t="s">
        <v>231</v>
      </c>
      <c r="GE147" s="237" t="s">
        <v>231</v>
      </c>
      <c r="GF147" s="237" t="s">
        <v>231</v>
      </c>
      <c r="GG147" s="237" t="s">
        <v>231</v>
      </c>
      <c r="GH147" s="237" t="s">
        <v>231</v>
      </c>
      <c r="GI147" s="237" t="s">
        <v>231</v>
      </c>
      <c r="GJ147" s="237" t="s">
        <v>231</v>
      </c>
      <c r="GK147" s="237" t="s">
        <v>231</v>
      </c>
      <c r="GL147" s="237" t="s">
        <v>231</v>
      </c>
      <c r="GM147" s="237" t="s">
        <v>231</v>
      </c>
      <c r="GN147" s="237" t="s">
        <v>492</v>
      </c>
      <c r="GO147" s="237" t="s">
        <v>231</v>
      </c>
      <c r="GP147" s="237" t="s">
        <v>492</v>
      </c>
      <c r="GQ147" s="237" t="s">
        <v>231</v>
      </c>
      <c r="GR147" s="237" t="s">
        <v>231</v>
      </c>
      <c r="GS147" s="237" t="s">
        <v>231</v>
      </c>
      <c r="GT147" s="237" t="s">
        <v>231</v>
      </c>
      <c r="GU147" s="237" t="s">
        <v>231</v>
      </c>
      <c r="GV147" s="237" t="s">
        <v>231</v>
      </c>
      <c r="GW147" s="237" t="s">
        <v>231</v>
      </c>
      <c r="GX147" s="237" t="s">
        <v>231</v>
      </c>
      <c r="GY147" s="237" t="s">
        <v>231</v>
      </c>
      <c r="GZ147" s="237" t="s">
        <v>231</v>
      </c>
      <c r="HA147" s="237" t="s">
        <v>231</v>
      </c>
      <c r="HB147" s="237" t="s">
        <v>231</v>
      </c>
      <c r="HC147" s="237" t="s">
        <v>231</v>
      </c>
      <c r="HD147" s="237" t="s">
        <v>231</v>
      </c>
      <c r="HE147" s="237" t="s">
        <v>231</v>
      </c>
      <c r="HF147" s="237" t="s">
        <v>231</v>
      </c>
      <c r="HG147" s="237" t="s">
        <v>231</v>
      </c>
      <c r="HH147" s="237" t="s">
        <v>231</v>
      </c>
      <c r="HI147" s="237" t="s">
        <v>231</v>
      </c>
      <c r="HJ147" s="237" t="s">
        <v>231</v>
      </c>
      <c r="HK147" s="237" t="s">
        <v>231</v>
      </c>
      <c r="HL147" s="237" t="s">
        <v>231</v>
      </c>
      <c r="HM147" s="237" t="s">
        <v>231</v>
      </c>
      <c r="HN147" s="237" t="s">
        <v>231</v>
      </c>
      <c r="HO147" s="237" t="s">
        <v>231</v>
      </c>
      <c r="HP147" s="237" t="s">
        <v>231</v>
      </c>
      <c r="HQ147" s="237" t="s">
        <v>231</v>
      </c>
      <c r="HR147" s="237" t="s">
        <v>231</v>
      </c>
      <c r="HS147" s="237" t="s">
        <v>231</v>
      </c>
      <c r="HT147" s="237" t="s">
        <v>231</v>
      </c>
      <c r="HU147" s="237" t="s">
        <v>231</v>
      </c>
      <c r="HV147" s="237" t="s">
        <v>231</v>
      </c>
      <c r="HW147" s="237" t="s">
        <v>231</v>
      </c>
      <c r="HX147" s="237" t="s">
        <v>220</v>
      </c>
      <c r="HY147" s="237" t="s">
        <v>493</v>
      </c>
      <c r="HZ147" s="237" t="s">
        <v>219</v>
      </c>
      <c r="IA147" s="237" t="s">
        <v>490</v>
      </c>
      <c r="IB147" s="237" t="s">
        <v>231</v>
      </c>
      <c r="IC147" s="237" t="s">
        <v>231</v>
      </c>
    </row>
    <row r="148" spans="1:237" ht="15" x14ac:dyDescent="0.25">
      <c r="A148" s="244" t="str">
        <f>HYPERLINK("http://www.ofsted.gov.uk/inspection-reports/find-inspection-report/provider/ELS/146078 ","Ofsted School Webpage")</f>
        <v>Ofsted School Webpage</v>
      </c>
      <c r="B148" s="240">
        <v>146078</v>
      </c>
      <c r="C148" s="240">
        <v>8606048</v>
      </c>
      <c r="D148" s="240" t="s">
        <v>1401</v>
      </c>
      <c r="E148" s="240" t="s">
        <v>247</v>
      </c>
      <c r="F148" s="240" t="s">
        <v>502</v>
      </c>
      <c r="G148" s="240" t="s">
        <v>502</v>
      </c>
      <c r="H148" s="240" t="s">
        <v>652</v>
      </c>
      <c r="I148" s="240" t="s">
        <v>486</v>
      </c>
      <c r="J148" s="240" t="s">
        <v>93</v>
      </c>
      <c r="K148" s="240" t="s">
        <v>93</v>
      </c>
      <c r="L148" s="240" t="s">
        <v>93</v>
      </c>
      <c r="M148" s="240" t="s">
        <v>90</v>
      </c>
      <c r="N148" s="240" t="s">
        <v>486</v>
      </c>
      <c r="O148" s="240" t="s">
        <v>487</v>
      </c>
      <c r="P148" s="240">
        <v>10079034</v>
      </c>
      <c r="Q148" s="242">
        <v>43374</v>
      </c>
      <c r="R148" s="242">
        <v>43374</v>
      </c>
      <c r="S148" s="242">
        <v>43412</v>
      </c>
      <c r="T148" s="240" t="s">
        <v>1377</v>
      </c>
      <c r="U148" s="240" t="s">
        <v>1105</v>
      </c>
      <c r="V148" s="240" t="s">
        <v>490</v>
      </c>
      <c r="W148" s="240" t="s">
        <v>486</v>
      </c>
      <c r="X148" s="240" t="s">
        <v>486</v>
      </c>
      <c r="Y148" s="240" t="s">
        <v>486</v>
      </c>
      <c r="Z148" s="240" t="s">
        <v>486</v>
      </c>
      <c r="AA148" s="240" t="s">
        <v>486</v>
      </c>
      <c r="AB148" s="240" t="s">
        <v>486</v>
      </c>
      <c r="AC148" s="240" t="s">
        <v>486</v>
      </c>
      <c r="AD148" s="240" t="s">
        <v>1378</v>
      </c>
      <c r="AE148" s="240" t="s">
        <v>231</v>
      </c>
      <c r="AF148" s="240" t="s">
        <v>231</v>
      </c>
      <c r="AG148" s="240" t="s">
        <v>231</v>
      </c>
      <c r="AH148" s="240" t="s">
        <v>231</v>
      </c>
      <c r="AI148" s="240" t="s">
        <v>231</v>
      </c>
      <c r="AJ148" s="240" t="s">
        <v>231</v>
      </c>
      <c r="AK148" s="240" t="s">
        <v>231</v>
      </c>
      <c r="AL148" s="240" t="s">
        <v>231</v>
      </c>
      <c r="AM148" s="240" t="s">
        <v>492</v>
      </c>
      <c r="AN148" s="240" t="s">
        <v>231</v>
      </c>
      <c r="AO148" s="240" t="s">
        <v>231</v>
      </c>
      <c r="AP148" s="240" t="s">
        <v>231</v>
      </c>
      <c r="AQ148" s="240" t="s">
        <v>492</v>
      </c>
      <c r="AR148" s="240" t="s">
        <v>492</v>
      </c>
      <c r="AS148" s="240" t="s">
        <v>492</v>
      </c>
      <c r="AT148" s="240" t="s">
        <v>492</v>
      </c>
      <c r="AU148" s="240" t="s">
        <v>492</v>
      </c>
      <c r="AV148" s="240" t="s">
        <v>492</v>
      </c>
      <c r="AW148" s="240" t="s">
        <v>231</v>
      </c>
      <c r="AX148" s="240" t="s">
        <v>231</v>
      </c>
      <c r="AY148" s="240" t="s">
        <v>231</v>
      </c>
      <c r="AZ148" s="240" t="s">
        <v>231</v>
      </c>
      <c r="BA148" s="240" t="s">
        <v>231</v>
      </c>
      <c r="BB148" s="240" t="s">
        <v>231</v>
      </c>
      <c r="BC148" s="240" t="s">
        <v>231</v>
      </c>
      <c r="BD148" s="240" t="s">
        <v>231</v>
      </c>
      <c r="BE148" s="240" t="s">
        <v>231</v>
      </c>
      <c r="BF148" s="240" t="s">
        <v>231</v>
      </c>
      <c r="BG148" s="240" t="s">
        <v>231</v>
      </c>
      <c r="BH148" s="240" t="s">
        <v>231</v>
      </c>
      <c r="BI148" s="240" t="s">
        <v>231</v>
      </c>
      <c r="BJ148" s="240" t="s">
        <v>231</v>
      </c>
      <c r="BK148" s="240" t="s">
        <v>231</v>
      </c>
      <c r="BL148" s="240" t="s">
        <v>231</v>
      </c>
      <c r="BM148" s="240" t="s">
        <v>231</v>
      </c>
      <c r="BN148" s="240" t="s">
        <v>231</v>
      </c>
      <c r="BO148" s="240" t="s">
        <v>231</v>
      </c>
      <c r="BP148" s="240" t="s">
        <v>231</v>
      </c>
      <c r="BQ148" s="240" t="s">
        <v>231</v>
      </c>
      <c r="BR148" s="240" t="s">
        <v>231</v>
      </c>
      <c r="BS148" s="240" t="s">
        <v>231</v>
      </c>
      <c r="BT148" s="240" t="s">
        <v>231</v>
      </c>
      <c r="BU148" s="240" t="s">
        <v>231</v>
      </c>
      <c r="BV148" s="240" t="s">
        <v>231</v>
      </c>
      <c r="BW148" s="240" t="s">
        <v>231</v>
      </c>
      <c r="BX148" s="240" t="s">
        <v>231</v>
      </c>
      <c r="BY148" s="240" t="s">
        <v>231</v>
      </c>
      <c r="BZ148" s="240" t="s">
        <v>231</v>
      </c>
      <c r="CA148" s="240" t="s">
        <v>231</v>
      </c>
      <c r="CB148" s="240" t="s">
        <v>231</v>
      </c>
      <c r="CC148" s="240" t="s">
        <v>492</v>
      </c>
      <c r="CD148" s="240" t="s">
        <v>492</v>
      </c>
      <c r="CE148" s="240" t="s">
        <v>492</v>
      </c>
      <c r="CF148" s="240" t="s">
        <v>231</v>
      </c>
      <c r="CG148" s="240" t="s">
        <v>231</v>
      </c>
      <c r="CH148" s="240" t="s">
        <v>231</v>
      </c>
      <c r="CI148" s="240" t="s">
        <v>231</v>
      </c>
      <c r="CJ148" s="240" t="s">
        <v>231</v>
      </c>
      <c r="CK148" s="240" t="s">
        <v>231</v>
      </c>
      <c r="CL148" s="240" t="s">
        <v>231</v>
      </c>
      <c r="CM148" s="240" t="s">
        <v>231</v>
      </c>
      <c r="CN148" s="240" t="s">
        <v>231</v>
      </c>
      <c r="CO148" s="240" t="s">
        <v>231</v>
      </c>
      <c r="CP148" s="240" t="s">
        <v>231</v>
      </c>
      <c r="CQ148" s="240" t="s">
        <v>231</v>
      </c>
      <c r="CR148" s="240" t="s">
        <v>231</v>
      </c>
      <c r="CS148" s="240" t="s">
        <v>231</v>
      </c>
      <c r="CT148" s="240" t="s">
        <v>231</v>
      </c>
      <c r="CU148" s="240" t="s">
        <v>231</v>
      </c>
      <c r="CV148" s="240" t="s">
        <v>231</v>
      </c>
      <c r="CW148" s="240" t="s">
        <v>231</v>
      </c>
      <c r="CX148" s="240" t="s">
        <v>231</v>
      </c>
      <c r="CY148" s="240" t="s">
        <v>231</v>
      </c>
      <c r="CZ148" s="240" t="s">
        <v>231</v>
      </c>
      <c r="DA148" s="240" t="s">
        <v>231</v>
      </c>
      <c r="DB148" s="240" t="s">
        <v>231</v>
      </c>
      <c r="DC148" s="240" t="s">
        <v>492</v>
      </c>
      <c r="DD148" s="240" t="s">
        <v>231</v>
      </c>
      <c r="DE148" s="240" t="s">
        <v>492</v>
      </c>
      <c r="DF148" s="240" t="s">
        <v>492</v>
      </c>
      <c r="DG148" s="240" t="s">
        <v>492</v>
      </c>
      <c r="DH148" s="240" t="s">
        <v>492</v>
      </c>
      <c r="DI148" s="240" t="s">
        <v>492</v>
      </c>
      <c r="DJ148" s="240" t="s">
        <v>492</v>
      </c>
      <c r="DK148" s="240" t="s">
        <v>492</v>
      </c>
      <c r="DL148" s="240" t="s">
        <v>492</v>
      </c>
      <c r="DM148" s="240" t="s">
        <v>492</v>
      </c>
      <c r="DN148" s="240" t="s">
        <v>492</v>
      </c>
      <c r="DO148" s="240" t="s">
        <v>492</v>
      </c>
      <c r="DP148" s="240" t="s">
        <v>492</v>
      </c>
      <c r="DQ148" s="240" t="s">
        <v>492</v>
      </c>
      <c r="DR148" s="240" t="s">
        <v>231</v>
      </c>
      <c r="DS148" s="240" t="s">
        <v>231</v>
      </c>
      <c r="DT148" s="240" t="s">
        <v>231</v>
      </c>
      <c r="DU148" s="240" t="s">
        <v>231</v>
      </c>
      <c r="DV148" s="240" t="s">
        <v>231</v>
      </c>
      <c r="DW148" s="240" t="s">
        <v>231</v>
      </c>
      <c r="DX148" s="240" t="s">
        <v>231</v>
      </c>
      <c r="DY148" s="240" t="s">
        <v>231</v>
      </c>
      <c r="DZ148" s="240" t="s">
        <v>231</v>
      </c>
      <c r="EA148" s="240" t="s">
        <v>231</v>
      </c>
      <c r="EB148" s="240" t="s">
        <v>231</v>
      </c>
      <c r="EC148" s="240" t="s">
        <v>231</v>
      </c>
      <c r="ED148" s="240" t="s">
        <v>231</v>
      </c>
      <c r="EE148" s="240" t="s">
        <v>231</v>
      </c>
      <c r="EF148" s="240" t="s">
        <v>231</v>
      </c>
      <c r="EG148" s="240" t="s">
        <v>231</v>
      </c>
      <c r="EH148" s="240" t="s">
        <v>231</v>
      </c>
      <c r="EI148" s="240" t="s">
        <v>231</v>
      </c>
      <c r="EJ148" s="240" t="s">
        <v>231</v>
      </c>
      <c r="EK148" s="240" t="s">
        <v>231</v>
      </c>
      <c r="EL148" s="240" t="s">
        <v>231</v>
      </c>
      <c r="EM148" s="240" t="s">
        <v>231</v>
      </c>
      <c r="EN148" s="240" t="s">
        <v>231</v>
      </c>
      <c r="EO148" s="240" t="s">
        <v>231</v>
      </c>
      <c r="EP148" s="240" t="s">
        <v>492</v>
      </c>
      <c r="EQ148" s="240" t="s">
        <v>492</v>
      </c>
      <c r="ER148" s="240" t="s">
        <v>492</v>
      </c>
      <c r="ES148" s="240" t="s">
        <v>492</v>
      </c>
      <c r="ET148" s="240" t="s">
        <v>492</v>
      </c>
      <c r="EU148" s="240" t="s">
        <v>492</v>
      </c>
      <c r="EV148" s="240" t="s">
        <v>492</v>
      </c>
      <c r="EW148" s="240" t="s">
        <v>231</v>
      </c>
      <c r="EX148" s="240" t="s">
        <v>231</v>
      </c>
      <c r="EY148" s="240" t="s">
        <v>231</v>
      </c>
      <c r="EZ148" s="240" t="s">
        <v>231</v>
      </c>
      <c r="FA148" s="240" t="s">
        <v>231</v>
      </c>
      <c r="FB148" s="240" t="s">
        <v>231</v>
      </c>
      <c r="FC148" s="240" t="s">
        <v>492</v>
      </c>
      <c r="FD148" s="240" t="s">
        <v>231</v>
      </c>
      <c r="FE148" s="240" t="s">
        <v>231</v>
      </c>
      <c r="FF148" s="240" t="s">
        <v>231</v>
      </c>
      <c r="FG148" s="240" t="s">
        <v>492</v>
      </c>
      <c r="FH148" s="240" t="s">
        <v>231</v>
      </c>
      <c r="FI148" s="240" t="s">
        <v>231</v>
      </c>
      <c r="FJ148" s="240" t="s">
        <v>231</v>
      </c>
      <c r="FK148" s="240" t="s">
        <v>231</v>
      </c>
      <c r="FL148" s="240" t="s">
        <v>231</v>
      </c>
      <c r="FM148" s="240" t="s">
        <v>231</v>
      </c>
      <c r="FN148" s="240" t="s">
        <v>231</v>
      </c>
      <c r="FO148" s="240" t="s">
        <v>231</v>
      </c>
      <c r="FP148" s="240" t="s">
        <v>231</v>
      </c>
      <c r="FQ148" s="240" t="s">
        <v>231</v>
      </c>
      <c r="FR148" s="240" t="s">
        <v>231</v>
      </c>
      <c r="FS148" s="240" t="s">
        <v>231</v>
      </c>
      <c r="FT148" s="240" t="s">
        <v>231</v>
      </c>
      <c r="FU148" s="240" t="s">
        <v>231</v>
      </c>
      <c r="FV148" s="240" t="s">
        <v>231</v>
      </c>
      <c r="FW148" s="240" t="s">
        <v>231</v>
      </c>
      <c r="FX148" s="240" t="s">
        <v>231</v>
      </c>
      <c r="FY148" s="240" t="s">
        <v>492</v>
      </c>
      <c r="FZ148" s="240" t="s">
        <v>231</v>
      </c>
      <c r="GA148" s="240" t="s">
        <v>231</v>
      </c>
      <c r="GB148" s="240" t="s">
        <v>231</v>
      </c>
      <c r="GC148" s="240" t="s">
        <v>231</v>
      </c>
      <c r="GD148" s="240" t="s">
        <v>492</v>
      </c>
      <c r="GE148" s="240" t="s">
        <v>492</v>
      </c>
      <c r="GF148" s="240" t="s">
        <v>231</v>
      </c>
      <c r="GG148" s="240" t="s">
        <v>231</v>
      </c>
      <c r="GH148" s="240" t="s">
        <v>231</v>
      </c>
      <c r="GI148" s="240" t="s">
        <v>231</v>
      </c>
      <c r="GJ148" s="240" t="s">
        <v>231</v>
      </c>
      <c r="GK148" s="240" t="s">
        <v>231</v>
      </c>
      <c r="GL148" s="240" t="s">
        <v>231</v>
      </c>
      <c r="GM148" s="240" t="s">
        <v>231</v>
      </c>
      <c r="GN148" s="240" t="s">
        <v>231</v>
      </c>
      <c r="GO148" s="240" t="s">
        <v>492</v>
      </c>
      <c r="GP148" s="240" t="s">
        <v>492</v>
      </c>
      <c r="GQ148" s="240" t="s">
        <v>231</v>
      </c>
      <c r="GR148" s="240" t="s">
        <v>231</v>
      </c>
      <c r="GS148" s="240" t="s">
        <v>231</v>
      </c>
      <c r="GT148" s="240" t="s">
        <v>231</v>
      </c>
      <c r="GU148" s="240" t="s">
        <v>231</v>
      </c>
      <c r="GV148" s="240" t="s">
        <v>231</v>
      </c>
      <c r="GW148" s="240" t="s">
        <v>231</v>
      </c>
      <c r="GX148" s="240" t="s">
        <v>231</v>
      </c>
      <c r="GY148" s="240" t="s">
        <v>492</v>
      </c>
      <c r="GZ148" s="240" t="s">
        <v>492</v>
      </c>
      <c r="HA148" s="240" t="s">
        <v>231</v>
      </c>
      <c r="HB148" s="240" t="s">
        <v>492</v>
      </c>
      <c r="HC148" s="240" t="s">
        <v>492</v>
      </c>
      <c r="HD148" s="240" t="s">
        <v>231</v>
      </c>
      <c r="HE148" s="240" t="s">
        <v>231</v>
      </c>
      <c r="HF148" s="240" t="s">
        <v>231</v>
      </c>
      <c r="HG148" s="240" t="s">
        <v>231</v>
      </c>
      <c r="HH148" s="240" t="s">
        <v>231</v>
      </c>
      <c r="HI148" s="240" t="s">
        <v>231</v>
      </c>
      <c r="HJ148" s="240" t="s">
        <v>231</v>
      </c>
      <c r="HK148" s="240" t="s">
        <v>231</v>
      </c>
      <c r="HL148" s="240" t="s">
        <v>231</v>
      </c>
      <c r="HM148" s="240" t="s">
        <v>231</v>
      </c>
      <c r="HN148" s="240" t="s">
        <v>231</v>
      </c>
      <c r="HO148" s="240" t="s">
        <v>231</v>
      </c>
      <c r="HP148" s="240" t="s">
        <v>231</v>
      </c>
      <c r="HQ148" s="240" t="s">
        <v>231</v>
      </c>
      <c r="HR148" s="240" t="s">
        <v>231</v>
      </c>
      <c r="HS148" s="240" t="s">
        <v>231</v>
      </c>
      <c r="HT148" s="240" t="s">
        <v>231</v>
      </c>
      <c r="HU148" s="240" t="s">
        <v>231</v>
      </c>
      <c r="HV148" s="240" t="s">
        <v>231</v>
      </c>
      <c r="HW148" s="240" t="s">
        <v>231</v>
      </c>
      <c r="HX148" s="240" t="s">
        <v>220</v>
      </c>
      <c r="HY148" s="240" t="s">
        <v>493</v>
      </c>
      <c r="HZ148" s="240" t="s">
        <v>219</v>
      </c>
      <c r="IA148" s="240" t="s">
        <v>490</v>
      </c>
      <c r="IB148" s="240" t="s">
        <v>492</v>
      </c>
      <c r="IC148" s="240" t="s">
        <v>492</v>
      </c>
    </row>
    <row r="149" spans="1:237" ht="15" x14ac:dyDescent="0.25">
      <c r="A149" s="243" t="str">
        <f>HYPERLINK("http://www.ofsted.gov.uk/inspection-reports/find-inspection-report/provider/ELS/146351 ","Ofsted School Webpage")</f>
        <v>Ofsted School Webpage</v>
      </c>
      <c r="B149" s="237">
        <v>146351</v>
      </c>
      <c r="C149" s="237">
        <v>9096013</v>
      </c>
      <c r="D149" s="237" t="s">
        <v>1402</v>
      </c>
      <c r="E149" s="237" t="s">
        <v>248</v>
      </c>
      <c r="F149" s="237" t="s">
        <v>495</v>
      </c>
      <c r="G149" s="237" t="s">
        <v>495</v>
      </c>
      <c r="H149" s="237" t="s">
        <v>663</v>
      </c>
      <c r="I149" s="237" t="s">
        <v>1403</v>
      </c>
      <c r="J149" s="237" t="s">
        <v>498</v>
      </c>
      <c r="K149" s="237" t="s">
        <v>93</v>
      </c>
      <c r="L149" s="237" t="s">
        <v>498</v>
      </c>
      <c r="M149" s="237" t="s">
        <v>90</v>
      </c>
      <c r="N149" s="237" t="s">
        <v>486</v>
      </c>
      <c r="O149" s="237" t="s">
        <v>487</v>
      </c>
      <c r="P149" s="237">
        <v>10072288</v>
      </c>
      <c r="Q149" s="239">
        <v>43377</v>
      </c>
      <c r="R149" s="239">
        <v>43377</v>
      </c>
      <c r="S149" s="239">
        <v>43417</v>
      </c>
      <c r="T149" s="237" t="s">
        <v>1377</v>
      </c>
      <c r="U149" s="237" t="s">
        <v>1105</v>
      </c>
      <c r="V149" s="237" t="s">
        <v>490</v>
      </c>
      <c r="W149" s="237" t="s">
        <v>486</v>
      </c>
      <c r="X149" s="237" t="s">
        <v>486</v>
      </c>
      <c r="Y149" s="237" t="s">
        <v>486</v>
      </c>
      <c r="Z149" s="237" t="s">
        <v>486</v>
      </c>
      <c r="AA149" s="237" t="s">
        <v>486</v>
      </c>
      <c r="AB149" s="237" t="s">
        <v>486</v>
      </c>
      <c r="AC149" s="237" t="s">
        <v>486</v>
      </c>
      <c r="AD149" s="237" t="s">
        <v>1386</v>
      </c>
      <c r="AE149" s="237" t="s">
        <v>232</v>
      </c>
      <c r="AF149" s="237" t="s">
        <v>232</v>
      </c>
      <c r="AG149" s="237" t="s">
        <v>232</v>
      </c>
      <c r="AH149" s="237" t="s">
        <v>231</v>
      </c>
      <c r="AI149" s="237" t="s">
        <v>231</v>
      </c>
      <c r="AJ149" s="237" t="s">
        <v>232</v>
      </c>
      <c r="AK149" s="237" t="s">
        <v>232</v>
      </c>
      <c r="AL149" s="237" t="s">
        <v>231</v>
      </c>
      <c r="AM149" s="237" t="s">
        <v>492</v>
      </c>
      <c r="AN149" s="237" t="s">
        <v>232</v>
      </c>
      <c r="AO149" s="237" t="s">
        <v>231</v>
      </c>
      <c r="AP149" s="237" t="s">
        <v>232</v>
      </c>
      <c r="AQ149" s="237" t="s">
        <v>231</v>
      </c>
      <c r="AR149" s="237" t="s">
        <v>231</v>
      </c>
      <c r="AS149" s="237" t="s">
        <v>231</v>
      </c>
      <c r="AT149" s="237" t="s">
        <v>231</v>
      </c>
      <c r="AU149" s="237" t="s">
        <v>492</v>
      </c>
      <c r="AV149" s="237" t="s">
        <v>231</v>
      </c>
      <c r="AW149" s="237" t="s">
        <v>231</v>
      </c>
      <c r="AX149" s="237" t="s">
        <v>232</v>
      </c>
      <c r="AY149" s="237" t="s">
        <v>232</v>
      </c>
      <c r="AZ149" s="237" t="s">
        <v>231</v>
      </c>
      <c r="BA149" s="237" t="s">
        <v>231</v>
      </c>
      <c r="BB149" s="237" t="s">
        <v>231</v>
      </c>
      <c r="BC149" s="237" t="s">
        <v>231</v>
      </c>
      <c r="BD149" s="237" t="s">
        <v>231</v>
      </c>
      <c r="BE149" s="237" t="s">
        <v>232</v>
      </c>
      <c r="BF149" s="237" t="s">
        <v>231</v>
      </c>
      <c r="BG149" s="237" t="s">
        <v>231</v>
      </c>
      <c r="BH149" s="237" t="s">
        <v>231</v>
      </c>
      <c r="BI149" s="237" t="s">
        <v>231</v>
      </c>
      <c r="BJ149" s="237" t="s">
        <v>231</v>
      </c>
      <c r="BK149" s="237" t="s">
        <v>232</v>
      </c>
      <c r="BL149" s="237" t="s">
        <v>231</v>
      </c>
      <c r="BM149" s="237" t="s">
        <v>232</v>
      </c>
      <c r="BN149" s="237" t="s">
        <v>231</v>
      </c>
      <c r="BO149" s="237" t="s">
        <v>231</v>
      </c>
      <c r="BP149" s="237" t="s">
        <v>231</v>
      </c>
      <c r="BQ149" s="237" t="s">
        <v>231</v>
      </c>
      <c r="BR149" s="237" t="s">
        <v>231</v>
      </c>
      <c r="BS149" s="237" t="s">
        <v>232</v>
      </c>
      <c r="BT149" s="237" t="s">
        <v>231</v>
      </c>
      <c r="BU149" s="237" t="s">
        <v>231</v>
      </c>
      <c r="BV149" s="237" t="s">
        <v>231</v>
      </c>
      <c r="BW149" s="237" t="s">
        <v>231</v>
      </c>
      <c r="BX149" s="237" t="s">
        <v>492</v>
      </c>
      <c r="BY149" s="237" t="s">
        <v>492</v>
      </c>
      <c r="BZ149" s="237" t="s">
        <v>232</v>
      </c>
      <c r="CA149" s="237" t="s">
        <v>232</v>
      </c>
      <c r="CB149" s="237" t="s">
        <v>232</v>
      </c>
      <c r="CC149" s="237" t="s">
        <v>492</v>
      </c>
      <c r="CD149" s="237" t="s">
        <v>492</v>
      </c>
      <c r="CE149" s="237" t="s">
        <v>492</v>
      </c>
      <c r="CF149" s="237" t="s">
        <v>231</v>
      </c>
      <c r="CG149" s="237" t="s">
        <v>231</v>
      </c>
      <c r="CH149" s="237" t="s">
        <v>231</v>
      </c>
      <c r="CI149" s="237" t="s">
        <v>231</v>
      </c>
      <c r="CJ149" s="237" t="s">
        <v>231</v>
      </c>
      <c r="CK149" s="237" t="s">
        <v>231</v>
      </c>
      <c r="CL149" s="237" t="s">
        <v>231</v>
      </c>
      <c r="CM149" s="237" t="s">
        <v>231</v>
      </c>
      <c r="CN149" s="237" t="s">
        <v>231</v>
      </c>
      <c r="CO149" s="237" t="s">
        <v>231</v>
      </c>
      <c r="CP149" s="237" t="s">
        <v>232</v>
      </c>
      <c r="CQ149" s="237" t="s">
        <v>232</v>
      </c>
      <c r="CR149" s="237" t="s">
        <v>232</v>
      </c>
      <c r="CS149" s="237" t="s">
        <v>232</v>
      </c>
      <c r="CT149" s="237" t="s">
        <v>231</v>
      </c>
      <c r="CU149" s="237" t="s">
        <v>232</v>
      </c>
      <c r="CV149" s="237" t="s">
        <v>232</v>
      </c>
      <c r="CW149" s="237" t="s">
        <v>231</v>
      </c>
      <c r="CX149" s="237" t="s">
        <v>232</v>
      </c>
      <c r="CY149" s="237" t="s">
        <v>231</v>
      </c>
      <c r="CZ149" s="237" t="s">
        <v>231</v>
      </c>
      <c r="DA149" s="237" t="s">
        <v>231</v>
      </c>
      <c r="DB149" s="237" t="s">
        <v>231</v>
      </c>
      <c r="DC149" s="237" t="s">
        <v>492</v>
      </c>
      <c r="DD149" s="237" t="s">
        <v>231</v>
      </c>
      <c r="DE149" s="237" t="s">
        <v>492</v>
      </c>
      <c r="DF149" s="237" t="s">
        <v>492</v>
      </c>
      <c r="DG149" s="237" t="s">
        <v>492</v>
      </c>
      <c r="DH149" s="237" t="s">
        <v>492</v>
      </c>
      <c r="DI149" s="237" t="s">
        <v>492</v>
      </c>
      <c r="DJ149" s="237" t="s">
        <v>492</v>
      </c>
      <c r="DK149" s="237" t="s">
        <v>492</v>
      </c>
      <c r="DL149" s="237" t="s">
        <v>492</v>
      </c>
      <c r="DM149" s="237" t="s">
        <v>492</v>
      </c>
      <c r="DN149" s="237" t="s">
        <v>492</v>
      </c>
      <c r="DO149" s="237" t="s">
        <v>492</v>
      </c>
      <c r="DP149" s="237" t="s">
        <v>492</v>
      </c>
      <c r="DQ149" s="237" t="s">
        <v>492</v>
      </c>
      <c r="DR149" s="237" t="s">
        <v>492</v>
      </c>
      <c r="DS149" s="237" t="s">
        <v>232</v>
      </c>
      <c r="DT149" s="237" t="s">
        <v>232</v>
      </c>
      <c r="DU149" s="237" t="s">
        <v>231</v>
      </c>
      <c r="DV149" s="237" t="s">
        <v>232</v>
      </c>
      <c r="DW149" s="237" t="s">
        <v>231</v>
      </c>
      <c r="DX149" s="237" t="s">
        <v>231</v>
      </c>
      <c r="DY149" s="237" t="s">
        <v>231</v>
      </c>
      <c r="DZ149" s="237" t="s">
        <v>231</v>
      </c>
      <c r="EA149" s="237" t="s">
        <v>231</v>
      </c>
      <c r="EB149" s="237" t="s">
        <v>232</v>
      </c>
      <c r="EC149" s="237" t="s">
        <v>231</v>
      </c>
      <c r="ED149" s="237" t="s">
        <v>232</v>
      </c>
      <c r="EE149" s="237" t="s">
        <v>232</v>
      </c>
      <c r="EF149" s="237" t="s">
        <v>231</v>
      </c>
      <c r="EG149" s="237" t="s">
        <v>231</v>
      </c>
      <c r="EH149" s="237" t="s">
        <v>232</v>
      </c>
      <c r="EI149" s="237" t="s">
        <v>231</v>
      </c>
      <c r="EJ149" s="237" t="s">
        <v>231</v>
      </c>
      <c r="EK149" s="237" t="s">
        <v>231</v>
      </c>
      <c r="EL149" s="237" t="s">
        <v>231</v>
      </c>
      <c r="EM149" s="237" t="s">
        <v>231</v>
      </c>
      <c r="EN149" s="237" t="s">
        <v>232</v>
      </c>
      <c r="EO149" s="237" t="s">
        <v>492</v>
      </c>
      <c r="EP149" s="237" t="s">
        <v>492</v>
      </c>
      <c r="EQ149" s="237" t="s">
        <v>492</v>
      </c>
      <c r="ER149" s="237" t="s">
        <v>492</v>
      </c>
      <c r="ES149" s="237" t="s">
        <v>492</v>
      </c>
      <c r="ET149" s="237" t="s">
        <v>492</v>
      </c>
      <c r="EU149" s="237" t="s">
        <v>492</v>
      </c>
      <c r="EV149" s="237" t="s">
        <v>492</v>
      </c>
      <c r="EW149" s="237" t="s">
        <v>492</v>
      </c>
      <c r="EX149" s="237" t="s">
        <v>492</v>
      </c>
      <c r="EY149" s="237" t="s">
        <v>492</v>
      </c>
      <c r="EZ149" s="237" t="s">
        <v>232</v>
      </c>
      <c r="FA149" s="237" t="s">
        <v>231</v>
      </c>
      <c r="FB149" s="237" t="s">
        <v>231</v>
      </c>
      <c r="FC149" s="237" t="s">
        <v>232</v>
      </c>
      <c r="FD149" s="237" t="s">
        <v>232</v>
      </c>
      <c r="FE149" s="237" t="s">
        <v>232</v>
      </c>
      <c r="FF149" s="237" t="s">
        <v>232</v>
      </c>
      <c r="FG149" s="237" t="s">
        <v>232</v>
      </c>
      <c r="FH149" s="237" t="s">
        <v>232</v>
      </c>
      <c r="FI149" s="237" t="s">
        <v>231</v>
      </c>
      <c r="FJ149" s="237" t="s">
        <v>231</v>
      </c>
      <c r="FK149" s="237" t="s">
        <v>231</v>
      </c>
      <c r="FL149" s="237" t="s">
        <v>231</v>
      </c>
      <c r="FM149" s="237" t="s">
        <v>231</v>
      </c>
      <c r="FN149" s="237" t="s">
        <v>231</v>
      </c>
      <c r="FO149" s="237" t="s">
        <v>231</v>
      </c>
      <c r="FP149" s="237" t="s">
        <v>231</v>
      </c>
      <c r="FQ149" s="237" t="s">
        <v>231</v>
      </c>
      <c r="FR149" s="237" t="s">
        <v>231</v>
      </c>
      <c r="FS149" s="237" t="s">
        <v>231</v>
      </c>
      <c r="FT149" s="237" t="s">
        <v>231</v>
      </c>
      <c r="FU149" s="237" t="s">
        <v>231</v>
      </c>
      <c r="FV149" s="237" t="s">
        <v>231</v>
      </c>
      <c r="FW149" s="237" t="s">
        <v>231</v>
      </c>
      <c r="FX149" s="237" t="s">
        <v>231</v>
      </c>
      <c r="FY149" s="237" t="s">
        <v>492</v>
      </c>
      <c r="FZ149" s="237" t="s">
        <v>232</v>
      </c>
      <c r="GA149" s="237" t="s">
        <v>232</v>
      </c>
      <c r="GB149" s="237" t="s">
        <v>231</v>
      </c>
      <c r="GC149" s="237" t="s">
        <v>232</v>
      </c>
      <c r="GD149" s="237" t="s">
        <v>492</v>
      </c>
      <c r="GE149" s="237" t="s">
        <v>492</v>
      </c>
      <c r="GF149" s="237" t="s">
        <v>231</v>
      </c>
      <c r="GG149" s="237" t="s">
        <v>231</v>
      </c>
      <c r="GH149" s="237" t="s">
        <v>231</v>
      </c>
      <c r="GI149" s="237" t="s">
        <v>231</v>
      </c>
      <c r="GJ149" s="237" t="s">
        <v>231</v>
      </c>
      <c r="GK149" s="237" t="s">
        <v>231</v>
      </c>
      <c r="GL149" s="237" t="s">
        <v>231</v>
      </c>
      <c r="GM149" s="237" t="s">
        <v>231</v>
      </c>
      <c r="GN149" s="237" t="s">
        <v>231</v>
      </c>
      <c r="GO149" s="237" t="s">
        <v>492</v>
      </c>
      <c r="GP149" s="237" t="s">
        <v>492</v>
      </c>
      <c r="GQ149" s="237" t="s">
        <v>231</v>
      </c>
      <c r="GR149" s="237" t="s">
        <v>232</v>
      </c>
      <c r="GS149" s="237" t="s">
        <v>231</v>
      </c>
      <c r="GT149" s="237" t="s">
        <v>232</v>
      </c>
      <c r="GU149" s="237" t="s">
        <v>231</v>
      </c>
      <c r="GV149" s="237" t="s">
        <v>231</v>
      </c>
      <c r="GW149" s="237" t="s">
        <v>231</v>
      </c>
      <c r="GX149" s="237" t="s">
        <v>232</v>
      </c>
      <c r="GY149" s="237" t="s">
        <v>492</v>
      </c>
      <c r="GZ149" s="237" t="s">
        <v>492</v>
      </c>
      <c r="HA149" s="237" t="s">
        <v>492</v>
      </c>
      <c r="HB149" s="237" t="s">
        <v>492</v>
      </c>
      <c r="HC149" s="237" t="s">
        <v>492</v>
      </c>
      <c r="HD149" s="237" t="s">
        <v>232</v>
      </c>
      <c r="HE149" s="237" t="s">
        <v>231</v>
      </c>
      <c r="HF149" s="237" t="s">
        <v>231</v>
      </c>
      <c r="HG149" s="237" t="s">
        <v>231</v>
      </c>
      <c r="HH149" s="237" t="s">
        <v>231</v>
      </c>
      <c r="HI149" s="237" t="s">
        <v>231</v>
      </c>
      <c r="HJ149" s="237" t="s">
        <v>232</v>
      </c>
      <c r="HK149" s="237" t="s">
        <v>232</v>
      </c>
      <c r="HL149" s="237" t="s">
        <v>232</v>
      </c>
      <c r="HM149" s="237" t="s">
        <v>232</v>
      </c>
      <c r="HN149" s="237" t="s">
        <v>232</v>
      </c>
      <c r="HO149" s="237" t="s">
        <v>232</v>
      </c>
      <c r="HP149" s="237" t="s">
        <v>232</v>
      </c>
      <c r="HQ149" s="237" t="s">
        <v>232</v>
      </c>
      <c r="HR149" s="237" t="s">
        <v>232</v>
      </c>
      <c r="HS149" s="237" t="s">
        <v>231</v>
      </c>
      <c r="HT149" s="237" t="s">
        <v>232</v>
      </c>
      <c r="HU149" s="237" t="s">
        <v>232</v>
      </c>
      <c r="HV149" s="237" t="s">
        <v>232</v>
      </c>
      <c r="HW149" s="237" t="s">
        <v>232</v>
      </c>
      <c r="HX149" s="237" t="s">
        <v>220</v>
      </c>
      <c r="HY149" s="237" t="s">
        <v>493</v>
      </c>
      <c r="HZ149" s="237" t="s">
        <v>219</v>
      </c>
      <c r="IA149" s="237" t="s">
        <v>512</v>
      </c>
      <c r="IB149" s="237" t="s">
        <v>492</v>
      </c>
      <c r="IC149" s="237" t="s">
        <v>492</v>
      </c>
    </row>
    <row r="150" spans="1:237" ht="15" x14ac:dyDescent="0.25">
      <c r="A150" s="244" t="str">
        <f>HYPERLINK("http://www.ofsted.gov.uk/inspection-reports/find-inspection-report/provider/ELS/146339 ","Ofsted School Webpage")</f>
        <v>Ofsted School Webpage</v>
      </c>
      <c r="B150" s="240">
        <v>146339</v>
      </c>
      <c r="C150" s="240">
        <v>3836006</v>
      </c>
      <c r="D150" s="240" t="s">
        <v>1404</v>
      </c>
      <c r="E150" s="240" t="s">
        <v>247</v>
      </c>
      <c r="F150" s="240" t="s">
        <v>523</v>
      </c>
      <c r="G150" s="240" t="s">
        <v>524</v>
      </c>
      <c r="H150" s="240" t="s">
        <v>702</v>
      </c>
      <c r="I150" s="240" t="s">
        <v>1405</v>
      </c>
      <c r="J150" s="240" t="s">
        <v>93</v>
      </c>
      <c r="K150" s="240" t="s">
        <v>93</v>
      </c>
      <c r="L150" s="240" t="s">
        <v>93</v>
      </c>
      <c r="M150" s="240" t="s">
        <v>90</v>
      </c>
      <c r="N150" s="240" t="s">
        <v>486</v>
      </c>
      <c r="O150" s="240" t="s">
        <v>487</v>
      </c>
      <c r="P150" s="240">
        <v>10077665</v>
      </c>
      <c r="Q150" s="242">
        <v>43383</v>
      </c>
      <c r="R150" s="242">
        <v>43383</v>
      </c>
      <c r="S150" s="242">
        <v>43418</v>
      </c>
      <c r="T150" s="240" t="s">
        <v>1377</v>
      </c>
      <c r="U150" s="240" t="s">
        <v>1105</v>
      </c>
      <c r="V150" s="240" t="s">
        <v>490</v>
      </c>
      <c r="W150" s="240" t="s">
        <v>486</v>
      </c>
      <c r="X150" s="240" t="s">
        <v>486</v>
      </c>
      <c r="Y150" s="240" t="s">
        <v>486</v>
      </c>
      <c r="Z150" s="240" t="s">
        <v>486</v>
      </c>
      <c r="AA150" s="240" t="s">
        <v>486</v>
      </c>
      <c r="AB150" s="240" t="s">
        <v>486</v>
      </c>
      <c r="AC150" s="240" t="s">
        <v>486</v>
      </c>
      <c r="AD150" s="240" t="s">
        <v>1378</v>
      </c>
      <c r="AE150" s="240" t="s">
        <v>231</v>
      </c>
      <c r="AF150" s="240" t="s">
        <v>231</v>
      </c>
      <c r="AG150" s="240" t="s">
        <v>231</v>
      </c>
      <c r="AH150" s="240" t="s">
        <v>231</v>
      </c>
      <c r="AI150" s="240" t="s">
        <v>231</v>
      </c>
      <c r="AJ150" s="240" t="s">
        <v>231</v>
      </c>
      <c r="AK150" s="240" t="s">
        <v>231</v>
      </c>
      <c r="AL150" s="240" t="s">
        <v>231</v>
      </c>
      <c r="AM150" s="240" t="s">
        <v>492</v>
      </c>
      <c r="AN150" s="240" t="s">
        <v>231</v>
      </c>
      <c r="AO150" s="240" t="s">
        <v>231</v>
      </c>
      <c r="AP150" s="240" t="s">
        <v>231</v>
      </c>
      <c r="AQ150" s="240" t="s">
        <v>231</v>
      </c>
      <c r="AR150" s="240" t="s">
        <v>231</v>
      </c>
      <c r="AS150" s="240" t="s">
        <v>231</v>
      </c>
      <c r="AT150" s="240" t="s">
        <v>231</v>
      </c>
      <c r="AU150" s="240" t="s">
        <v>492</v>
      </c>
      <c r="AV150" s="240" t="s">
        <v>492</v>
      </c>
      <c r="AW150" s="240" t="s">
        <v>231</v>
      </c>
      <c r="AX150" s="240" t="s">
        <v>231</v>
      </c>
      <c r="AY150" s="240" t="s">
        <v>231</v>
      </c>
      <c r="AZ150" s="240" t="s">
        <v>231</v>
      </c>
      <c r="BA150" s="240" t="s">
        <v>231</v>
      </c>
      <c r="BB150" s="240" t="s">
        <v>231</v>
      </c>
      <c r="BC150" s="240" t="s">
        <v>231</v>
      </c>
      <c r="BD150" s="240" t="s">
        <v>231</v>
      </c>
      <c r="BE150" s="240" t="s">
        <v>231</v>
      </c>
      <c r="BF150" s="240" t="s">
        <v>231</v>
      </c>
      <c r="BG150" s="240" t="s">
        <v>231</v>
      </c>
      <c r="BH150" s="240" t="s">
        <v>231</v>
      </c>
      <c r="BI150" s="240" t="s">
        <v>231</v>
      </c>
      <c r="BJ150" s="240" t="s">
        <v>231</v>
      </c>
      <c r="BK150" s="240" t="s">
        <v>231</v>
      </c>
      <c r="BL150" s="240" t="s">
        <v>231</v>
      </c>
      <c r="BM150" s="240" t="s">
        <v>231</v>
      </c>
      <c r="BN150" s="240" t="s">
        <v>231</v>
      </c>
      <c r="BO150" s="240" t="s">
        <v>231</v>
      </c>
      <c r="BP150" s="240" t="s">
        <v>231</v>
      </c>
      <c r="BQ150" s="240" t="s">
        <v>231</v>
      </c>
      <c r="BR150" s="240" t="s">
        <v>231</v>
      </c>
      <c r="BS150" s="240" t="s">
        <v>231</v>
      </c>
      <c r="BT150" s="240" t="s">
        <v>231</v>
      </c>
      <c r="BU150" s="240" t="s">
        <v>231</v>
      </c>
      <c r="BV150" s="240" t="s">
        <v>231</v>
      </c>
      <c r="BW150" s="240" t="s">
        <v>231</v>
      </c>
      <c r="BX150" s="240" t="s">
        <v>231</v>
      </c>
      <c r="BY150" s="240" t="s">
        <v>231</v>
      </c>
      <c r="BZ150" s="240" t="s">
        <v>231</v>
      </c>
      <c r="CA150" s="240" t="s">
        <v>231</v>
      </c>
      <c r="CB150" s="240" t="s">
        <v>231</v>
      </c>
      <c r="CC150" s="240" t="s">
        <v>231</v>
      </c>
      <c r="CD150" s="240" t="s">
        <v>492</v>
      </c>
      <c r="CE150" s="240" t="s">
        <v>492</v>
      </c>
      <c r="CF150" s="240" t="s">
        <v>231</v>
      </c>
      <c r="CG150" s="240" t="s">
        <v>231</v>
      </c>
      <c r="CH150" s="240" t="s">
        <v>231</v>
      </c>
      <c r="CI150" s="240" t="s">
        <v>231</v>
      </c>
      <c r="CJ150" s="240" t="s">
        <v>231</v>
      </c>
      <c r="CK150" s="240" t="s">
        <v>231</v>
      </c>
      <c r="CL150" s="240" t="s">
        <v>231</v>
      </c>
      <c r="CM150" s="240" t="s">
        <v>231</v>
      </c>
      <c r="CN150" s="240" t="s">
        <v>231</v>
      </c>
      <c r="CO150" s="240" t="s">
        <v>231</v>
      </c>
      <c r="CP150" s="240" t="s">
        <v>231</v>
      </c>
      <c r="CQ150" s="240" t="s">
        <v>231</v>
      </c>
      <c r="CR150" s="240" t="s">
        <v>231</v>
      </c>
      <c r="CS150" s="240" t="s">
        <v>231</v>
      </c>
      <c r="CT150" s="240" t="s">
        <v>231</v>
      </c>
      <c r="CU150" s="240" t="s">
        <v>231</v>
      </c>
      <c r="CV150" s="240" t="s">
        <v>231</v>
      </c>
      <c r="CW150" s="240" t="s">
        <v>231</v>
      </c>
      <c r="CX150" s="240" t="s">
        <v>231</v>
      </c>
      <c r="CY150" s="240" t="s">
        <v>231</v>
      </c>
      <c r="CZ150" s="240" t="s">
        <v>231</v>
      </c>
      <c r="DA150" s="240" t="s">
        <v>231</v>
      </c>
      <c r="DB150" s="240" t="s">
        <v>231</v>
      </c>
      <c r="DC150" s="240" t="s">
        <v>231</v>
      </c>
      <c r="DD150" s="240" t="s">
        <v>231</v>
      </c>
      <c r="DE150" s="240" t="s">
        <v>231</v>
      </c>
      <c r="DF150" s="240" t="s">
        <v>231</v>
      </c>
      <c r="DG150" s="240" t="s">
        <v>231</v>
      </c>
      <c r="DH150" s="240" t="s">
        <v>231</v>
      </c>
      <c r="DI150" s="240" t="s">
        <v>231</v>
      </c>
      <c r="DJ150" s="240" t="s">
        <v>231</v>
      </c>
      <c r="DK150" s="240" t="s">
        <v>231</v>
      </c>
      <c r="DL150" s="240" t="s">
        <v>231</v>
      </c>
      <c r="DM150" s="240" t="s">
        <v>231</v>
      </c>
      <c r="DN150" s="240" t="s">
        <v>231</v>
      </c>
      <c r="DO150" s="240" t="s">
        <v>231</v>
      </c>
      <c r="DP150" s="240" t="s">
        <v>231</v>
      </c>
      <c r="DQ150" s="240" t="s">
        <v>492</v>
      </c>
      <c r="DR150" s="240" t="s">
        <v>231</v>
      </c>
      <c r="DS150" s="240" t="s">
        <v>231</v>
      </c>
      <c r="DT150" s="240" t="s">
        <v>231</v>
      </c>
      <c r="DU150" s="240" t="s">
        <v>231</v>
      </c>
      <c r="DV150" s="240" t="s">
        <v>231</v>
      </c>
      <c r="DW150" s="240" t="s">
        <v>231</v>
      </c>
      <c r="DX150" s="240" t="s">
        <v>231</v>
      </c>
      <c r="DY150" s="240" t="s">
        <v>231</v>
      </c>
      <c r="DZ150" s="240" t="s">
        <v>231</v>
      </c>
      <c r="EA150" s="240" t="s">
        <v>231</v>
      </c>
      <c r="EB150" s="240" t="s">
        <v>231</v>
      </c>
      <c r="EC150" s="240" t="s">
        <v>231</v>
      </c>
      <c r="ED150" s="240" t="s">
        <v>231</v>
      </c>
      <c r="EE150" s="240" t="s">
        <v>231</v>
      </c>
      <c r="EF150" s="240" t="s">
        <v>231</v>
      </c>
      <c r="EG150" s="240" t="s">
        <v>231</v>
      </c>
      <c r="EH150" s="240" t="s">
        <v>231</v>
      </c>
      <c r="EI150" s="240" t="s">
        <v>231</v>
      </c>
      <c r="EJ150" s="240" t="s">
        <v>231</v>
      </c>
      <c r="EK150" s="240" t="s">
        <v>231</v>
      </c>
      <c r="EL150" s="240" t="s">
        <v>231</v>
      </c>
      <c r="EM150" s="240" t="s">
        <v>231</v>
      </c>
      <c r="EN150" s="240" t="s">
        <v>231</v>
      </c>
      <c r="EO150" s="240" t="s">
        <v>492</v>
      </c>
      <c r="EP150" s="240" t="s">
        <v>231</v>
      </c>
      <c r="EQ150" s="240" t="s">
        <v>231</v>
      </c>
      <c r="ER150" s="240" t="s">
        <v>231</v>
      </c>
      <c r="ES150" s="240" t="s">
        <v>231</v>
      </c>
      <c r="ET150" s="240" t="s">
        <v>231</v>
      </c>
      <c r="EU150" s="240" t="s">
        <v>231</v>
      </c>
      <c r="EV150" s="240" t="s">
        <v>231</v>
      </c>
      <c r="EW150" s="240" t="s">
        <v>492</v>
      </c>
      <c r="EX150" s="240" t="s">
        <v>492</v>
      </c>
      <c r="EY150" s="240" t="s">
        <v>492</v>
      </c>
      <c r="EZ150" s="240" t="s">
        <v>231</v>
      </c>
      <c r="FA150" s="240" t="s">
        <v>231</v>
      </c>
      <c r="FB150" s="240" t="s">
        <v>231</v>
      </c>
      <c r="FC150" s="240" t="s">
        <v>231</v>
      </c>
      <c r="FD150" s="240" t="s">
        <v>231</v>
      </c>
      <c r="FE150" s="240" t="s">
        <v>231</v>
      </c>
      <c r="FF150" s="240" t="s">
        <v>231</v>
      </c>
      <c r="FG150" s="240" t="s">
        <v>492</v>
      </c>
      <c r="FH150" s="240" t="s">
        <v>231</v>
      </c>
      <c r="FI150" s="240" t="s">
        <v>231</v>
      </c>
      <c r="FJ150" s="240" t="s">
        <v>231</v>
      </c>
      <c r="FK150" s="240" t="s">
        <v>231</v>
      </c>
      <c r="FL150" s="240" t="s">
        <v>231</v>
      </c>
      <c r="FM150" s="240" t="s">
        <v>231</v>
      </c>
      <c r="FN150" s="240" t="s">
        <v>231</v>
      </c>
      <c r="FO150" s="240" t="s">
        <v>231</v>
      </c>
      <c r="FP150" s="240" t="s">
        <v>231</v>
      </c>
      <c r="FQ150" s="240" t="s">
        <v>231</v>
      </c>
      <c r="FR150" s="240" t="s">
        <v>231</v>
      </c>
      <c r="FS150" s="240" t="s">
        <v>231</v>
      </c>
      <c r="FT150" s="240" t="s">
        <v>231</v>
      </c>
      <c r="FU150" s="240" t="s">
        <v>231</v>
      </c>
      <c r="FV150" s="240" t="s">
        <v>231</v>
      </c>
      <c r="FW150" s="240" t="s">
        <v>231</v>
      </c>
      <c r="FX150" s="240" t="s">
        <v>231</v>
      </c>
      <c r="FY150" s="240" t="s">
        <v>492</v>
      </c>
      <c r="FZ150" s="240" t="s">
        <v>231</v>
      </c>
      <c r="GA150" s="240" t="s">
        <v>231</v>
      </c>
      <c r="GB150" s="240" t="s">
        <v>231</v>
      </c>
      <c r="GC150" s="240" t="s">
        <v>231</v>
      </c>
      <c r="GD150" s="240" t="s">
        <v>231</v>
      </c>
      <c r="GE150" s="240" t="s">
        <v>231</v>
      </c>
      <c r="GF150" s="240" t="s">
        <v>231</v>
      </c>
      <c r="GG150" s="240" t="s">
        <v>231</v>
      </c>
      <c r="GH150" s="240" t="s">
        <v>231</v>
      </c>
      <c r="GI150" s="240" t="s">
        <v>231</v>
      </c>
      <c r="GJ150" s="240" t="s">
        <v>231</v>
      </c>
      <c r="GK150" s="240" t="s">
        <v>231</v>
      </c>
      <c r="GL150" s="240" t="s">
        <v>231</v>
      </c>
      <c r="GM150" s="240" t="s">
        <v>231</v>
      </c>
      <c r="GN150" s="240" t="s">
        <v>231</v>
      </c>
      <c r="GO150" s="240" t="s">
        <v>492</v>
      </c>
      <c r="GP150" s="240" t="s">
        <v>231</v>
      </c>
      <c r="GQ150" s="240" t="s">
        <v>231</v>
      </c>
      <c r="GR150" s="240" t="s">
        <v>231</v>
      </c>
      <c r="GS150" s="240" t="s">
        <v>231</v>
      </c>
      <c r="GT150" s="240" t="s">
        <v>231</v>
      </c>
      <c r="GU150" s="240" t="s">
        <v>231</v>
      </c>
      <c r="GV150" s="240" t="s">
        <v>231</v>
      </c>
      <c r="GW150" s="240" t="s">
        <v>231</v>
      </c>
      <c r="GX150" s="240" t="s">
        <v>231</v>
      </c>
      <c r="GY150" s="240" t="s">
        <v>231</v>
      </c>
      <c r="GZ150" s="240" t="s">
        <v>231</v>
      </c>
      <c r="HA150" s="240" t="s">
        <v>231</v>
      </c>
      <c r="HB150" s="240" t="s">
        <v>231</v>
      </c>
      <c r="HC150" s="240" t="s">
        <v>231</v>
      </c>
      <c r="HD150" s="240" t="s">
        <v>231</v>
      </c>
      <c r="HE150" s="240" t="s">
        <v>231</v>
      </c>
      <c r="HF150" s="240" t="s">
        <v>231</v>
      </c>
      <c r="HG150" s="240" t="s">
        <v>231</v>
      </c>
      <c r="HH150" s="240" t="s">
        <v>231</v>
      </c>
      <c r="HI150" s="240" t="s">
        <v>231</v>
      </c>
      <c r="HJ150" s="240" t="s">
        <v>231</v>
      </c>
      <c r="HK150" s="240" t="s">
        <v>231</v>
      </c>
      <c r="HL150" s="240" t="s">
        <v>231</v>
      </c>
      <c r="HM150" s="240" t="s">
        <v>231</v>
      </c>
      <c r="HN150" s="240" t="s">
        <v>231</v>
      </c>
      <c r="HO150" s="240" t="s">
        <v>231</v>
      </c>
      <c r="HP150" s="240" t="s">
        <v>231</v>
      </c>
      <c r="HQ150" s="240" t="s">
        <v>231</v>
      </c>
      <c r="HR150" s="240" t="s">
        <v>231</v>
      </c>
      <c r="HS150" s="240" t="s">
        <v>231</v>
      </c>
      <c r="HT150" s="240" t="s">
        <v>231</v>
      </c>
      <c r="HU150" s="240" t="s">
        <v>231</v>
      </c>
      <c r="HV150" s="240" t="s">
        <v>231</v>
      </c>
      <c r="HW150" s="240" t="s">
        <v>231</v>
      </c>
      <c r="HX150" s="240" t="s">
        <v>220</v>
      </c>
      <c r="HY150" s="240" t="s">
        <v>493</v>
      </c>
      <c r="HZ150" s="240" t="s">
        <v>219</v>
      </c>
      <c r="IA150" s="240" t="s">
        <v>490</v>
      </c>
      <c r="IB150" s="240" t="s">
        <v>492</v>
      </c>
      <c r="IC150" s="240" t="s">
        <v>492</v>
      </c>
    </row>
    <row r="151" spans="1:237" ht="15" x14ac:dyDescent="0.25">
      <c r="A151" s="243" t="str">
        <f>HYPERLINK("http://www.ofsted.gov.uk/inspection-reports/find-inspection-report/provider/ELS/146335 ","Ofsted School Webpage")</f>
        <v>Ofsted School Webpage</v>
      </c>
      <c r="B151" s="237">
        <v>146335</v>
      </c>
      <c r="C151" s="237">
        <v>9336010</v>
      </c>
      <c r="D151" s="237" t="s">
        <v>1406</v>
      </c>
      <c r="E151" s="237" t="s">
        <v>248</v>
      </c>
      <c r="F151" s="237" t="s">
        <v>483</v>
      </c>
      <c r="G151" s="237" t="s">
        <v>483</v>
      </c>
      <c r="H151" s="237" t="s">
        <v>531</v>
      </c>
      <c r="I151" s="237" t="s">
        <v>1407</v>
      </c>
      <c r="J151" s="237" t="s">
        <v>93</v>
      </c>
      <c r="K151" s="237" t="s">
        <v>93</v>
      </c>
      <c r="L151" s="237" t="s">
        <v>93</v>
      </c>
      <c r="M151" s="237" t="s">
        <v>90</v>
      </c>
      <c r="N151" s="237" t="s">
        <v>486</v>
      </c>
      <c r="O151" s="237" t="s">
        <v>487</v>
      </c>
      <c r="P151" s="237">
        <v>10070558</v>
      </c>
      <c r="Q151" s="239">
        <v>43392</v>
      </c>
      <c r="R151" s="239">
        <v>43392</v>
      </c>
      <c r="S151" s="239">
        <v>43418</v>
      </c>
      <c r="T151" s="237" t="s">
        <v>1377</v>
      </c>
      <c r="U151" s="237" t="s">
        <v>1105</v>
      </c>
      <c r="V151" s="237" t="s">
        <v>490</v>
      </c>
      <c r="W151" s="237" t="s">
        <v>486</v>
      </c>
      <c r="X151" s="237" t="s">
        <v>486</v>
      </c>
      <c r="Y151" s="237" t="s">
        <v>486</v>
      </c>
      <c r="Z151" s="237" t="s">
        <v>486</v>
      </c>
      <c r="AA151" s="237" t="s">
        <v>486</v>
      </c>
      <c r="AB151" s="237" t="s">
        <v>486</v>
      </c>
      <c r="AC151" s="237" t="s">
        <v>486</v>
      </c>
      <c r="AD151" s="237" t="s">
        <v>1378</v>
      </c>
      <c r="AE151" s="237" t="s">
        <v>231</v>
      </c>
      <c r="AF151" s="237" t="s">
        <v>231</v>
      </c>
      <c r="AG151" s="237" t="s">
        <v>231</v>
      </c>
      <c r="AH151" s="237" t="s">
        <v>231</v>
      </c>
      <c r="AI151" s="237" t="s">
        <v>231</v>
      </c>
      <c r="AJ151" s="237" t="s">
        <v>231</v>
      </c>
      <c r="AK151" s="237" t="s">
        <v>231</v>
      </c>
      <c r="AL151" s="237" t="s">
        <v>231</v>
      </c>
      <c r="AM151" s="237" t="s">
        <v>231</v>
      </c>
      <c r="AN151" s="237" t="s">
        <v>231</v>
      </c>
      <c r="AO151" s="237" t="s">
        <v>231</v>
      </c>
      <c r="AP151" s="237" t="s">
        <v>231</v>
      </c>
      <c r="AQ151" s="237" t="s">
        <v>231</v>
      </c>
      <c r="AR151" s="237" t="s">
        <v>231</v>
      </c>
      <c r="AS151" s="237" t="s">
        <v>231</v>
      </c>
      <c r="AT151" s="237" t="s">
        <v>231</v>
      </c>
      <c r="AU151" s="237" t="s">
        <v>492</v>
      </c>
      <c r="AV151" s="237" t="s">
        <v>492</v>
      </c>
      <c r="AW151" s="237" t="s">
        <v>231</v>
      </c>
      <c r="AX151" s="237" t="s">
        <v>231</v>
      </c>
      <c r="AY151" s="237" t="s">
        <v>231</v>
      </c>
      <c r="AZ151" s="237" t="s">
        <v>231</v>
      </c>
      <c r="BA151" s="237" t="s">
        <v>231</v>
      </c>
      <c r="BB151" s="237" t="s">
        <v>231</v>
      </c>
      <c r="BC151" s="237" t="s">
        <v>231</v>
      </c>
      <c r="BD151" s="237" t="s">
        <v>231</v>
      </c>
      <c r="BE151" s="237" t="s">
        <v>231</v>
      </c>
      <c r="BF151" s="237" t="s">
        <v>231</v>
      </c>
      <c r="BG151" s="237" t="s">
        <v>231</v>
      </c>
      <c r="BH151" s="237" t="s">
        <v>231</v>
      </c>
      <c r="BI151" s="237" t="s">
        <v>231</v>
      </c>
      <c r="BJ151" s="237" t="s">
        <v>231</v>
      </c>
      <c r="BK151" s="237" t="s">
        <v>231</v>
      </c>
      <c r="BL151" s="237" t="s">
        <v>231</v>
      </c>
      <c r="BM151" s="237" t="s">
        <v>231</v>
      </c>
      <c r="BN151" s="237" t="s">
        <v>231</v>
      </c>
      <c r="BO151" s="237" t="s">
        <v>231</v>
      </c>
      <c r="BP151" s="237" t="s">
        <v>231</v>
      </c>
      <c r="BQ151" s="237" t="s">
        <v>231</v>
      </c>
      <c r="BR151" s="237" t="s">
        <v>231</v>
      </c>
      <c r="BS151" s="237" t="s">
        <v>231</v>
      </c>
      <c r="BT151" s="237" t="s">
        <v>231</v>
      </c>
      <c r="BU151" s="237" t="s">
        <v>231</v>
      </c>
      <c r="BV151" s="237" t="s">
        <v>231</v>
      </c>
      <c r="BW151" s="237" t="s">
        <v>231</v>
      </c>
      <c r="BX151" s="237" t="s">
        <v>231</v>
      </c>
      <c r="BY151" s="237" t="s">
        <v>231</v>
      </c>
      <c r="BZ151" s="237" t="s">
        <v>231</v>
      </c>
      <c r="CA151" s="237" t="s">
        <v>231</v>
      </c>
      <c r="CB151" s="237" t="s">
        <v>231</v>
      </c>
      <c r="CC151" s="237" t="s">
        <v>492</v>
      </c>
      <c r="CD151" s="237" t="s">
        <v>492</v>
      </c>
      <c r="CE151" s="237" t="s">
        <v>492</v>
      </c>
      <c r="CF151" s="237" t="s">
        <v>231</v>
      </c>
      <c r="CG151" s="237" t="s">
        <v>231</v>
      </c>
      <c r="CH151" s="237" t="s">
        <v>231</v>
      </c>
      <c r="CI151" s="237" t="s">
        <v>231</v>
      </c>
      <c r="CJ151" s="237" t="s">
        <v>231</v>
      </c>
      <c r="CK151" s="237" t="s">
        <v>231</v>
      </c>
      <c r="CL151" s="237" t="s">
        <v>231</v>
      </c>
      <c r="CM151" s="237" t="s">
        <v>231</v>
      </c>
      <c r="CN151" s="237" t="s">
        <v>231</v>
      </c>
      <c r="CO151" s="237" t="s">
        <v>231</v>
      </c>
      <c r="CP151" s="237" t="s">
        <v>231</v>
      </c>
      <c r="CQ151" s="237" t="s">
        <v>231</v>
      </c>
      <c r="CR151" s="237" t="s">
        <v>231</v>
      </c>
      <c r="CS151" s="237" t="s">
        <v>231</v>
      </c>
      <c r="CT151" s="237" t="s">
        <v>231</v>
      </c>
      <c r="CU151" s="237" t="s">
        <v>231</v>
      </c>
      <c r="CV151" s="237" t="s">
        <v>231</v>
      </c>
      <c r="CW151" s="237" t="s">
        <v>231</v>
      </c>
      <c r="CX151" s="237" t="s">
        <v>231</v>
      </c>
      <c r="CY151" s="237" t="s">
        <v>231</v>
      </c>
      <c r="CZ151" s="237" t="s">
        <v>231</v>
      </c>
      <c r="DA151" s="237" t="s">
        <v>231</v>
      </c>
      <c r="DB151" s="237" t="s">
        <v>492</v>
      </c>
      <c r="DC151" s="237" t="s">
        <v>492</v>
      </c>
      <c r="DD151" s="237" t="s">
        <v>231</v>
      </c>
      <c r="DE151" s="237" t="s">
        <v>492</v>
      </c>
      <c r="DF151" s="237" t="s">
        <v>492</v>
      </c>
      <c r="DG151" s="237" t="s">
        <v>492</v>
      </c>
      <c r="DH151" s="237" t="s">
        <v>492</v>
      </c>
      <c r="DI151" s="237" t="s">
        <v>492</v>
      </c>
      <c r="DJ151" s="237" t="s">
        <v>492</v>
      </c>
      <c r="DK151" s="237" t="s">
        <v>492</v>
      </c>
      <c r="DL151" s="237" t="s">
        <v>492</v>
      </c>
      <c r="DM151" s="237" t="s">
        <v>492</v>
      </c>
      <c r="DN151" s="237" t="s">
        <v>492</v>
      </c>
      <c r="DO151" s="237" t="s">
        <v>492</v>
      </c>
      <c r="DP151" s="237" t="s">
        <v>492</v>
      </c>
      <c r="DQ151" s="237" t="s">
        <v>492</v>
      </c>
      <c r="DR151" s="237" t="s">
        <v>492</v>
      </c>
      <c r="DS151" s="237" t="s">
        <v>231</v>
      </c>
      <c r="DT151" s="237" t="s">
        <v>231</v>
      </c>
      <c r="DU151" s="237" t="s">
        <v>231</v>
      </c>
      <c r="DV151" s="237" t="s">
        <v>231</v>
      </c>
      <c r="DW151" s="237" t="s">
        <v>231</v>
      </c>
      <c r="DX151" s="237" t="s">
        <v>231</v>
      </c>
      <c r="DY151" s="237" t="s">
        <v>231</v>
      </c>
      <c r="DZ151" s="237" t="s">
        <v>492</v>
      </c>
      <c r="EA151" s="237" t="s">
        <v>231</v>
      </c>
      <c r="EB151" s="237" t="s">
        <v>231</v>
      </c>
      <c r="EC151" s="237" t="s">
        <v>231</v>
      </c>
      <c r="ED151" s="237" t="s">
        <v>231</v>
      </c>
      <c r="EE151" s="237" t="s">
        <v>231</v>
      </c>
      <c r="EF151" s="237" t="s">
        <v>231</v>
      </c>
      <c r="EG151" s="237" t="s">
        <v>231</v>
      </c>
      <c r="EH151" s="237" t="s">
        <v>231</v>
      </c>
      <c r="EI151" s="237" t="s">
        <v>231</v>
      </c>
      <c r="EJ151" s="237" t="s">
        <v>231</v>
      </c>
      <c r="EK151" s="237" t="s">
        <v>231</v>
      </c>
      <c r="EL151" s="237" t="s">
        <v>231</v>
      </c>
      <c r="EM151" s="237" t="s">
        <v>231</v>
      </c>
      <c r="EN151" s="237" t="s">
        <v>231</v>
      </c>
      <c r="EO151" s="237" t="s">
        <v>492</v>
      </c>
      <c r="EP151" s="237" t="s">
        <v>492</v>
      </c>
      <c r="EQ151" s="237" t="s">
        <v>492</v>
      </c>
      <c r="ER151" s="237" t="s">
        <v>492</v>
      </c>
      <c r="ES151" s="237" t="s">
        <v>492</v>
      </c>
      <c r="ET151" s="237" t="s">
        <v>492</v>
      </c>
      <c r="EU151" s="237" t="s">
        <v>492</v>
      </c>
      <c r="EV151" s="237" t="s">
        <v>231</v>
      </c>
      <c r="EW151" s="237" t="s">
        <v>492</v>
      </c>
      <c r="EX151" s="237" t="s">
        <v>492</v>
      </c>
      <c r="EY151" s="237" t="s">
        <v>492</v>
      </c>
      <c r="EZ151" s="237" t="s">
        <v>231</v>
      </c>
      <c r="FA151" s="237" t="s">
        <v>231</v>
      </c>
      <c r="FB151" s="237" t="s">
        <v>231</v>
      </c>
      <c r="FC151" s="237" t="s">
        <v>231</v>
      </c>
      <c r="FD151" s="237" t="s">
        <v>231</v>
      </c>
      <c r="FE151" s="237" t="s">
        <v>231</v>
      </c>
      <c r="FF151" s="237" t="s">
        <v>231</v>
      </c>
      <c r="FG151" s="237" t="s">
        <v>492</v>
      </c>
      <c r="FH151" s="237" t="s">
        <v>231</v>
      </c>
      <c r="FI151" s="237" t="s">
        <v>231</v>
      </c>
      <c r="FJ151" s="237" t="s">
        <v>231</v>
      </c>
      <c r="FK151" s="237" t="s">
        <v>231</v>
      </c>
      <c r="FL151" s="237" t="s">
        <v>231</v>
      </c>
      <c r="FM151" s="237" t="s">
        <v>231</v>
      </c>
      <c r="FN151" s="237" t="s">
        <v>231</v>
      </c>
      <c r="FO151" s="237" t="s">
        <v>231</v>
      </c>
      <c r="FP151" s="237" t="s">
        <v>231</v>
      </c>
      <c r="FQ151" s="237" t="s">
        <v>231</v>
      </c>
      <c r="FR151" s="237" t="s">
        <v>231</v>
      </c>
      <c r="FS151" s="237" t="s">
        <v>231</v>
      </c>
      <c r="FT151" s="237" t="s">
        <v>231</v>
      </c>
      <c r="FU151" s="237" t="s">
        <v>231</v>
      </c>
      <c r="FV151" s="237" t="s">
        <v>231</v>
      </c>
      <c r="FW151" s="237" t="s">
        <v>231</v>
      </c>
      <c r="FX151" s="237" t="s">
        <v>231</v>
      </c>
      <c r="FY151" s="237" t="s">
        <v>492</v>
      </c>
      <c r="FZ151" s="237" t="s">
        <v>231</v>
      </c>
      <c r="GA151" s="237" t="s">
        <v>231</v>
      </c>
      <c r="GB151" s="237" t="s">
        <v>231</v>
      </c>
      <c r="GC151" s="237" t="s">
        <v>231</v>
      </c>
      <c r="GD151" s="237" t="s">
        <v>492</v>
      </c>
      <c r="GE151" s="237" t="s">
        <v>492</v>
      </c>
      <c r="GF151" s="237" t="s">
        <v>231</v>
      </c>
      <c r="GG151" s="237" t="s">
        <v>231</v>
      </c>
      <c r="GH151" s="237" t="s">
        <v>231</v>
      </c>
      <c r="GI151" s="237" t="s">
        <v>231</v>
      </c>
      <c r="GJ151" s="237" t="s">
        <v>231</v>
      </c>
      <c r="GK151" s="237" t="s">
        <v>231</v>
      </c>
      <c r="GL151" s="237" t="s">
        <v>231</v>
      </c>
      <c r="GM151" s="237" t="s">
        <v>231</v>
      </c>
      <c r="GN151" s="237" t="s">
        <v>492</v>
      </c>
      <c r="GO151" s="237" t="s">
        <v>231</v>
      </c>
      <c r="GP151" s="237" t="s">
        <v>492</v>
      </c>
      <c r="GQ151" s="237" t="s">
        <v>231</v>
      </c>
      <c r="GR151" s="237" t="s">
        <v>231</v>
      </c>
      <c r="GS151" s="237" t="s">
        <v>231</v>
      </c>
      <c r="GT151" s="237" t="s">
        <v>231</v>
      </c>
      <c r="GU151" s="237" t="s">
        <v>231</v>
      </c>
      <c r="GV151" s="237" t="s">
        <v>231</v>
      </c>
      <c r="GW151" s="237" t="s">
        <v>492</v>
      </c>
      <c r="GX151" s="237" t="s">
        <v>231</v>
      </c>
      <c r="GY151" s="237" t="s">
        <v>492</v>
      </c>
      <c r="GZ151" s="237" t="s">
        <v>492</v>
      </c>
      <c r="HA151" s="237" t="s">
        <v>492</v>
      </c>
      <c r="HB151" s="237" t="s">
        <v>492</v>
      </c>
      <c r="HC151" s="237" t="s">
        <v>492</v>
      </c>
      <c r="HD151" s="237" t="s">
        <v>231</v>
      </c>
      <c r="HE151" s="237" t="s">
        <v>231</v>
      </c>
      <c r="HF151" s="237" t="s">
        <v>231</v>
      </c>
      <c r="HG151" s="237" t="s">
        <v>231</v>
      </c>
      <c r="HH151" s="237" t="s">
        <v>231</v>
      </c>
      <c r="HI151" s="237" t="s">
        <v>231</v>
      </c>
      <c r="HJ151" s="237" t="s">
        <v>231</v>
      </c>
      <c r="HK151" s="237" t="s">
        <v>231</v>
      </c>
      <c r="HL151" s="237" t="s">
        <v>231</v>
      </c>
      <c r="HM151" s="237" t="s">
        <v>231</v>
      </c>
      <c r="HN151" s="237" t="s">
        <v>231</v>
      </c>
      <c r="HO151" s="237" t="s">
        <v>231</v>
      </c>
      <c r="HP151" s="237" t="s">
        <v>231</v>
      </c>
      <c r="HQ151" s="237" t="s">
        <v>231</v>
      </c>
      <c r="HR151" s="237" t="s">
        <v>231</v>
      </c>
      <c r="HS151" s="237" t="s">
        <v>231</v>
      </c>
      <c r="HT151" s="237" t="s">
        <v>231</v>
      </c>
      <c r="HU151" s="237" t="s">
        <v>231</v>
      </c>
      <c r="HV151" s="237" t="s">
        <v>231</v>
      </c>
      <c r="HW151" s="237" t="s">
        <v>231</v>
      </c>
      <c r="HX151" s="237" t="s">
        <v>220</v>
      </c>
      <c r="HY151" s="237" t="s">
        <v>493</v>
      </c>
      <c r="HZ151" s="237" t="s">
        <v>219</v>
      </c>
      <c r="IA151" s="237" t="s">
        <v>490</v>
      </c>
      <c r="IB151" s="237" t="s">
        <v>492</v>
      </c>
      <c r="IC151" s="237" t="s">
        <v>492</v>
      </c>
    </row>
    <row r="152" spans="1:237" ht="15" x14ac:dyDescent="0.25">
      <c r="A152" s="244" t="str">
        <f>HYPERLINK("http://www.ofsted.gov.uk/inspection-reports/find-inspection-report/provider/ELS/146519 ","Ofsted School Webpage")</f>
        <v>Ofsted School Webpage</v>
      </c>
      <c r="B152" s="240">
        <v>146519</v>
      </c>
      <c r="C152" s="240">
        <v>9166021</v>
      </c>
      <c r="D152" s="240" t="s">
        <v>1408</v>
      </c>
      <c r="E152" s="240" t="s">
        <v>248</v>
      </c>
      <c r="F152" s="240" t="s">
        <v>483</v>
      </c>
      <c r="G152" s="240" t="s">
        <v>483</v>
      </c>
      <c r="H152" s="240" t="s">
        <v>948</v>
      </c>
      <c r="I152" s="240" t="s">
        <v>1409</v>
      </c>
      <c r="J152" s="240" t="s">
        <v>498</v>
      </c>
      <c r="K152" s="240" t="s">
        <v>93</v>
      </c>
      <c r="L152" s="240" t="s">
        <v>498</v>
      </c>
      <c r="M152" s="240" t="s">
        <v>90</v>
      </c>
      <c r="N152" s="240" t="s">
        <v>486</v>
      </c>
      <c r="O152" s="240" t="s">
        <v>487</v>
      </c>
      <c r="P152" s="240">
        <v>10081585</v>
      </c>
      <c r="Q152" s="242">
        <v>43405</v>
      </c>
      <c r="R152" s="242">
        <v>43405</v>
      </c>
      <c r="S152" s="242">
        <v>43420</v>
      </c>
      <c r="T152" s="240" t="s">
        <v>1377</v>
      </c>
      <c r="U152" s="240" t="s">
        <v>1105</v>
      </c>
      <c r="V152" s="240" t="s">
        <v>490</v>
      </c>
      <c r="W152" s="240" t="s">
        <v>486</v>
      </c>
      <c r="X152" s="240" t="s">
        <v>486</v>
      </c>
      <c r="Y152" s="240" t="s">
        <v>486</v>
      </c>
      <c r="Z152" s="240" t="s">
        <v>486</v>
      </c>
      <c r="AA152" s="240" t="s">
        <v>486</v>
      </c>
      <c r="AB152" s="240" t="s">
        <v>486</v>
      </c>
      <c r="AC152" s="240" t="s">
        <v>486</v>
      </c>
      <c r="AD152" s="240" t="s">
        <v>1386</v>
      </c>
      <c r="AE152" s="240" t="s">
        <v>231</v>
      </c>
      <c r="AF152" s="240" t="s">
        <v>231</v>
      </c>
      <c r="AG152" s="240" t="s">
        <v>231</v>
      </c>
      <c r="AH152" s="240" t="s">
        <v>231</v>
      </c>
      <c r="AI152" s="240" t="s">
        <v>231</v>
      </c>
      <c r="AJ152" s="240" t="s">
        <v>231</v>
      </c>
      <c r="AK152" s="240" t="s">
        <v>231</v>
      </c>
      <c r="AL152" s="240" t="s">
        <v>231</v>
      </c>
      <c r="AM152" s="240" t="s">
        <v>231</v>
      </c>
      <c r="AN152" s="240" t="s">
        <v>231</v>
      </c>
      <c r="AO152" s="240" t="s">
        <v>231</v>
      </c>
      <c r="AP152" s="240" t="s">
        <v>231</v>
      </c>
      <c r="AQ152" s="240" t="s">
        <v>231</v>
      </c>
      <c r="AR152" s="240" t="s">
        <v>231</v>
      </c>
      <c r="AS152" s="240" t="s">
        <v>231</v>
      </c>
      <c r="AT152" s="240" t="s">
        <v>231</v>
      </c>
      <c r="AU152" s="240" t="s">
        <v>492</v>
      </c>
      <c r="AV152" s="240" t="s">
        <v>231</v>
      </c>
      <c r="AW152" s="240" t="s">
        <v>231</v>
      </c>
      <c r="AX152" s="240" t="s">
        <v>231</v>
      </c>
      <c r="AY152" s="240" t="s">
        <v>231</v>
      </c>
      <c r="AZ152" s="240" t="s">
        <v>231</v>
      </c>
      <c r="BA152" s="240" t="s">
        <v>231</v>
      </c>
      <c r="BB152" s="240" t="s">
        <v>231</v>
      </c>
      <c r="BC152" s="240" t="s">
        <v>231</v>
      </c>
      <c r="BD152" s="240" t="s">
        <v>231</v>
      </c>
      <c r="BE152" s="240" t="s">
        <v>231</v>
      </c>
      <c r="BF152" s="240" t="s">
        <v>231</v>
      </c>
      <c r="BG152" s="240" t="s">
        <v>231</v>
      </c>
      <c r="BH152" s="240" t="s">
        <v>231</v>
      </c>
      <c r="BI152" s="240" t="s">
        <v>231</v>
      </c>
      <c r="BJ152" s="240" t="s">
        <v>231</v>
      </c>
      <c r="BK152" s="240" t="s">
        <v>231</v>
      </c>
      <c r="BL152" s="240" t="s">
        <v>231</v>
      </c>
      <c r="BM152" s="240" t="s">
        <v>231</v>
      </c>
      <c r="BN152" s="240" t="s">
        <v>231</v>
      </c>
      <c r="BO152" s="240" t="s">
        <v>231</v>
      </c>
      <c r="BP152" s="240" t="s">
        <v>231</v>
      </c>
      <c r="BQ152" s="240" t="s">
        <v>231</v>
      </c>
      <c r="BR152" s="240" t="s">
        <v>231</v>
      </c>
      <c r="BS152" s="240" t="s">
        <v>231</v>
      </c>
      <c r="BT152" s="240" t="s">
        <v>231</v>
      </c>
      <c r="BU152" s="240" t="s">
        <v>231</v>
      </c>
      <c r="BV152" s="240" t="s">
        <v>231</v>
      </c>
      <c r="BW152" s="240" t="s">
        <v>231</v>
      </c>
      <c r="BX152" s="240" t="s">
        <v>231</v>
      </c>
      <c r="BY152" s="240" t="s">
        <v>231</v>
      </c>
      <c r="BZ152" s="240" t="s">
        <v>232</v>
      </c>
      <c r="CA152" s="240" t="s">
        <v>232</v>
      </c>
      <c r="CB152" s="240" t="s">
        <v>232</v>
      </c>
      <c r="CC152" s="240" t="s">
        <v>492</v>
      </c>
      <c r="CD152" s="240" t="s">
        <v>492</v>
      </c>
      <c r="CE152" s="240" t="s">
        <v>492</v>
      </c>
      <c r="CF152" s="240" t="s">
        <v>231</v>
      </c>
      <c r="CG152" s="240" t="s">
        <v>231</v>
      </c>
      <c r="CH152" s="240" t="s">
        <v>231</v>
      </c>
      <c r="CI152" s="240" t="s">
        <v>231</v>
      </c>
      <c r="CJ152" s="240" t="s">
        <v>231</v>
      </c>
      <c r="CK152" s="240" t="s">
        <v>232</v>
      </c>
      <c r="CL152" s="240" t="s">
        <v>231</v>
      </c>
      <c r="CM152" s="240" t="s">
        <v>231</v>
      </c>
      <c r="CN152" s="240" t="s">
        <v>231</v>
      </c>
      <c r="CO152" s="240" t="s">
        <v>231</v>
      </c>
      <c r="CP152" s="240" t="s">
        <v>231</v>
      </c>
      <c r="CQ152" s="240" t="s">
        <v>231</v>
      </c>
      <c r="CR152" s="240" t="s">
        <v>231</v>
      </c>
      <c r="CS152" s="240" t="s">
        <v>232</v>
      </c>
      <c r="CT152" s="240" t="s">
        <v>232</v>
      </c>
      <c r="CU152" s="240" t="s">
        <v>232</v>
      </c>
      <c r="CV152" s="240" t="s">
        <v>232</v>
      </c>
      <c r="CW152" s="240" t="s">
        <v>231</v>
      </c>
      <c r="CX152" s="240" t="s">
        <v>232</v>
      </c>
      <c r="CY152" s="240" t="s">
        <v>231</v>
      </c>
      <c r="CZ152" s="240" t="s">
        <v>231</v>
      </c>
      <c r="DA152" s="240" t="s">
        <v>232</v>
      </c>
      <c r="DB152" s="240" t="s">
        <v>232</v>
      </c>
      <c r="DC152" s="240" t="s">
        <v>492</v>
      </c>
      <c r="DD152" s="240" t="s">
        <v>232</v>
      </c>
      <c r="DE152" s="240" t="s">
        <v>492</v>
      </c>
      <c r="DF152" s="240" t="s">
        <v>492</v>
      </c>
      <c r="DG152" s="240" t="s">
        <v>492</v>
      </c>
      <c r="DH152" s="240" t="s">
        <v>492</v>
      </c>
      <c r="DI152" s="240" t="s">
        <v>492</v>
      </c>
      <c r="DJ152" s="240" t="s">
        <v>492</v>
      </c>
      <c r="DK152" s="240" t="s">
        <v>492</v>
      </c>
      <c r="DL152" s="240" t="s">
        <v>492</v>
      </c>
      <c r="DM152" s="240" t="s">
        <v>492</v>
      </c>
      <c r="DN152" s="240" t="s">
        <v>492</v>
      </c>
      <c r="DO152" s="240" t="s">
        <v>492</v>
      </c>
      <c r="DP152" s="240" t="s">
        <v>492</v>
      </c>
      <c r="DQ152" s="240" t="s">
        <v>492</v>
      </c>
      <c r="DR152" s="240" t="s">
        <v>492</v>
      </c>
      <c r="DS152" s="240" t="s">
        <v>231</v>
      </c>
      <c r="DT152" s="240" t="s">
        <v>231</v>
      </c>
      <c r="DU152" s="240" t="s">
        <v>231</v>
      </c>
      <c r="DV152" s="240" t="s">
        <v>231</v>
      </c>
      <c r="DW152" s="240" t="s">
        <v>231</v>
      </c>
      <c r="DX152" s="240" t="s">
        <v>231</v>
      </c>
      <c r="DY152" s="240" t="s">
        <v>231</v>
      </c>
      <c r="DZ152" s="240" t="s">
        <v>231</v>
      </c>
      <c r="EA152" s="240" t="s">
        <v>231</v>
      </c>
      <c r="EB152" s="240" t="s">
        <v>231</v>
      </c>
      <c r="EC152" s="240" t="s">
        <v>231</v>
      </c>
      <c r="ED152" s="240" t="s">
        <v>232</v>
      </c>
      <c r="EE152" s="240" t="s">
        <v>231</v>
      </c>
      <c r="EF152" s="240" t="s">
        <v>231</v>
      </c>
      <c r="EG152" s="240" t="s">
        <v>232</v>
      </c>
      <c r="EH152" s="240" t="s">
        <v>232</v>
      </c>
      <c r="EI152" s="240" t="s">
        <v>231</v>
      </c>
      <c r="EJ152" s="240" t="s">
        <v>232</v>
      </c>
      <c r="EK152" s="240" t="s">
        <v>232</v>
      </c>
      <c r="EL152" s="240" t="s">
        <v>231</v>
      </c>
      <c r="EM152" s="240" t="s">
        <v>232</v>
      </c>
      <c r="EN152" s="240" t="s">
        <v>232</v>
      </c>
      <c r="EO152" s="240" t="s">
        <v>492</v>
      </c>
      <c r="EP152" s="240" t="s">
        <v>492</v>
      </c>
      <c r="EQ152" s="240" t="s">
        <v>492</v>
      </c>
      <c r="ER152" s="240" t="s">
        <v>492</v>
      </c>
      <c r="ES152" s="240" t="s">
        <v>492</v>
      </c>
      <c r="ET152" s="240" t="s">
        <v>492</v>
      </c>
      <c r="EU152" s="240" t="s">
        <v>492</v>
      </c>
      <c r="EV152" s="240" t="s">
        <v>231</v>
      </c>
      <c r="EW152" s="240" t="s">
        <v>231</v>
      </c>
      <c r="EX152" s="240" t="s">
        <v>231</v>
      </c>
      <c r="EY152" s="240" t="s">
        <v>231</v>
      </c>
      <c r="EZ152" s="240" t="s">
        <v>231</v>
      </c>
      <c r="FA152" s="240" t="s">
        <v>231</v>
      </c>
      <c r="FB152" s="240" t="s">
        <v>231</v>
      </c>
      <c r="FC152" s="240" t="s">
        <v>231</v>
      </c>
      <c r="FD152" s="240" t="s">
        <v>231</v>
      </c>
      <c r="FE152" s="240" t="s">
        <v>231</v>
      </c>
      <c r="FF152" s="240" t="s">
        <v>231</v>
      </c>
      <c r="FG152" s="240" t="s">
        <v>492</v>
      </c>
      <c r="FH152" s="240" t="s">
        <v>231</v>
      </c>
      <c r="FI152" s="240" t="s">
        <v>232</v>
      </c>
      <c r="FJ152" s="240" t="s">
        <v>231</v>
      </c>
      <c r="FK152" s="240" t="s">
        <v>231</v>
      </c>
      <c r="FL152" s="240" t="s">
        <v>231</v>
      </c>
      <c r="FM152" s="240" t="s">
        <v>231</v>
      </c>
      <c r="FN152" s="240" t="s">
        <v>231</v>
      </c>
      <c r="FO152" s="240" t="s">
        <v>231</v>
      </c>
      <c r="FP152" s="240" t="s">
        <v>231</v>
      </c>
      <c r="FQ152" s="240" t="s">
        <v>231</v>
      </c>
      <c r="FR152" s="240" t="s">
        <v>231</v>
      </c>
      <c r="FS152" s="240" t="s">
        <v>231</v>
      </c>
      <c r="FT152" s="240" t="s">
        <v>231</v>
      </c>
      <c r="FU152" s="240" t="s">
        <v>231</v>
      </c>
      <c r="FV152" s="240" t="s">
        <v>231</v>
      </c>
      <c r="FW152" s="240" t="s">
        <v>231</v>
      </c>
      <c r="FX152" s="240" t="s">
        <v>231</v>
      </c>
      <c r="FY152" s="240" t="s">
        <v>492</v>
      </c>
      <c r="FZ152" s="240" t="s">
        <v>231</v>
      </c>
      <c r="GA152" s="240" t="s">
        <v>231</v>
      </c>
      <c r="GB152" s="240" t="s">
        <v>231</v>
      </c>
      <c r="GC152" s="240" t="s">
        <v>231</v>
      </c>
      <c r="GD152" s="240" t="s">
        <v>492</v>
      </c>
      <c r="GE152" s="240" t="s">
        <v>492</v>
      </c>
      <c r="GF152" s="240" t="s">
        <v>231</v>
      </c>
      <c r="GG152" s="240" t="s">
        <v>231</v>
      </c>
      <c r="GH152" s="240" t="s">
        <v>231</v>
      </c>
      <c r="GI152" s="240" t="s">
        <v>231</v>
      </c>
      <c r="GJ152" s="240" t="s">
        <v>231</v>
      </c>
      <c r="GK152" s="240" t="s">
        <v>231</v>
      </c>
      <c r="GL152" s="240" t="s">
        <v>231</v>
      </c>
      <c r="GM152" s="240" t="s">
        <v>231</v>
      </c>
      <c r="GN152" s="240" t="s">
        <v>492</v>
      </c>
      <c r="GO152" s="240" t="s">
        <v>231</v>
      </c>
      <c r="GP152" s="240" t="s">
        <v>492</v>
      </c>
      <c r="GQ152" s="240" t="s">
        <v>231</v>
      </c>
      <c r="GR152" s="240" t="s">
        <v>231</v>
      </c>
      <c r="GS152" s="240" t="s">
        <v>231</v>
      </c>
      <c r="GT152" s="240" t="s">
        <v>231</v>
      </c>
      <c r="GU152" s="240" t="s">
        <v>231</v>
      </c>
      <c r="GV152" s="240" t="s">
        <v>231</v>
      </c>
      <c r="GW152" s="240" t="s">
        <v>492</v>
      </c>
      <c r="GX152" s="240" t="s">
        <v>231</v>
      </c>
      <c r="GY152" s="240" t="s">
        <v>492</v>
      </c>
      <c r="GZ152" s="240" t="s">
        <v>492</v>
      </c>
      <c r="HA152" s="240" t="s">
        <v>492</v>
      </c>
      <c r="HB152" s="240" t="s">
        <v>492</v>
      </c>
      <c r="HC152" s="240" t="s">
        <v>492</v>
      </c>
      <c r="HD152" s="240" t="s">
        <v>231</v>
      </c>
      <c r="HE152" s="240" t="s">
        <v>231</v>
      </c>
      <c r="HF152" s="240" t="s">
        <v>231</v>
      </c>
      <c r="HG152" s="240" t="s">
        <v>231</v>
      </c>
      <c r="HH152" s="240" t="s">
        <v>231</v>
      </c>
      <c r="HI152" s="240" t="s">
        <v>231</v>
      </c>
      <c r="HJ152" s="240" t="s">
        <v>231</v>
      </c>
      <c r="HK152" s="240" t="s">
        <v>231</v>
      </c>
      <c r="HL152" s="240" t="s">
        <v>231</v>
      </c>
      <c r="HM152" s="240" t="s">
        <v>231</v>
      </c>
      <c r="HN152" s="240" t="s">
        <v>231</v>
      </c>
      <c r="HO152" s="240" t="s">
        <v>231</v>
      </c>
      <c r="HP152" s="240" t="s">
        <v>231</v>
      </c>
      <c r="HQ152" s="240" t="s">
        <v>231</v>
      </c>
      <c r="HR152" s="240" t="s">
        <v>231</v>
      </c>
      <c r="HS152" s="240" t="s">
        <v>231</v>
      </c>
      <c r="HT152" s="240" t="s">
        <v>232</v>
      </c>
      <c r="HU152" s="240" t="s">
        <v>232</v>
      </c>
      <c r="HV152" s="240" t="s">
        <v>232</v>
      </c>
      <c r="HW152" s="240" t="s">
        <v>232</v>
      </c>
      <c r="HX152" s="240" t="s">
        <v>220</v>
      </c>
      <c r="HY152" s="240" t="s">
        <v>493</v>
      </c>
      <c r="HZ152" s="240" t="s">
        <v>219</v>
      </c>
      <c r="IA152" s="240" t="s">
        <v>490</v>
      </c>
      <c r="IB152" s="240" t="s">
        <v>492</v>
      </c>
      <c r="IC152" s="240" t="s">
        <v>492</v>
      </c>
    </row>
    <row r="153" spans="1:237" ht="15" x14ac:dyDescent="0.25">
      <c r="A153" s="243" t="str">
        <f>HYPERLINK("http://www.ofsted.gov.uk/inspection-reports/find-inspection-report/provider/ELS/146277 ","Ofsted School Webpage")</f>
        <v>Ofsted School Webpage</v>
      </c>
      <c r="B153" s="237">
        <v>146277</v>
      </c>
      <c r="C153" s="237">
        <v>2096005</v>
      </c>
      <c r="D153" s="237" t="s">
        <v>1410</v>
      </c>
      <c r="E153" s="237" t="s">
        <v>248</v>
      </c>
      <c r="F153" s="237" t="s">
        <v>506</v>
      </c>
      <c r="G153" s="237" t="s">
        <v>506</v>
      </c>
      <c r="H153" s="237" t="s">
        <v>739</v>
      </c>
      <c r="I153" s="237" t="s">
        <v>1411</v>
      </c>
      <c r="J153" s="237" t="s">
        <v>93</v>
      </c>
      <c r="K153" s="237" t="s">
        <v>93</v>
      </c>
      <c r="L153" s="237" t="s">
        <v>93</v>
      </c>
      <c r="M153" s="237" t="s">
        <v>90</v>
      </c>
      <c r="N153" s="237" t="s">
        <v>486</v>
      </c>
      <c r="O153" s="237" t="s">
        <v>487</v>
      </c>
      <c r="P153" s="237">
        <v>10078752</v>
      </c>
      <c r="Q153" s="239">
        <v>43384</v>
      </c>
      <c r="R153" s="239">
        <v>43384</v>
      </c>
      <c r="S153" s="239">
        <v>43424</v>
      </c>
      <c r="T153" s="237" t="s">
        <v>1377</v>
      </c>
      <c r="U153" s="237" t="s">
        <v>1105</v>
      </c>
      <c r="V153" s="237" t="s">
        <v>490</v>
      </c>
      <c r="W153" s="237" t="s">
        <v>486</v>
      </c>
      <c r="X153" s="237" t="s">
        <v>486</v>
      </c>
      <c r="Y153" s="237" t="s">
        <v>486</v>
      </c>
      <c r="Z153" s="237" t="s">
        <v>486</v>
      </c>
      <c r="AA153" s="237" t="s">
        <v>486</v>
      </c>
      <c r="AB153" s="237" t="s">
        <v>486</v>
      </c>
      <c r="AC153" s="237" t="s">
        <v>486</v>
      </c>
      <c r="AD153" s="237" t="s">
        <v>1378</v>
      </c>
      <c r="AE153" s="237" t="s">
        <v>231</v>
      </c>
      <c r="AF153" s="237" t="s">
        <v>231</v>
      </c>
      <c r="AG153" s="237" t="s">
        <v>231</v>
      </c>
      <c r="AH153" s="237" t="s">
        <v>231</v>
      </c>
      <c r="AI153" s="237" t="s">
        <v>231</v>
      </c>
      <c r="AJ153" s="237" t="s">
        <v>231</v>
      </c>
      <c r="AK153" s="237" t="s">
        <v>231</v>
      </c>
      <c r="AL153" s="237" t="s">
        <v>231</v>
      </c>
      <c r="AM153" s="237" t="s">
        <v>492</v>
      </c>
      <c r="AN153" s="237" t="s">
        <v>231</v>
      </c>
      <c r="AO153" s="237" t="s">
        <v>231</v>
      </c>
      <c r="AP153" s="237" t="s">
        <v>231</v>
      </c>
      <c r="AQ153" s="237" t="s">
        <v>231</v>
      </c>
      <c r="AR153" s="237" t="s">
        <v>231</v>
      </c>
      <c r="AS153" s="237" t="s">
        <v>231</v>
      </c>
      <c r="AT153" s="237" t="s">
        <v>231</v>
      </c>
      <c r="AU153" s="237" t="s">
        <v>492</v>
      </c>
      <c r="AV153" s="237" t="s">
        <v>492</v>
      </c>
      <c r="AW153" s="237" t="s">
        <v>231</v>
      </c>
      <c r="AX153" s="237" t="s">
        <v>231</v>
      </c>
      <c r="AY153" s="237" t="s">
        <v>231</v>
      </c>
      <c r="AZ153" s="237" t="s">
        <v>231</v>
      </c>
      <c r="BA153" s="237" t="s">
        <v>231</v>
      </c>
      <c r="BB153" s="237" t="s">
        <v>231</v>
      </c>
      <c r="BC153" s="237" t="s">
        <v>231</v>
      </c>
      <c r="BD153" s="237" t="s">
        <v>231</v>
      </c>
      <c r="BE153" s="237" t="s">
        <v>231</v>
      </c>
      <c r="BF153" s="237" t="s">
        <v>231</v>
      </c>
      <c r="BG153" s="237" t="s">
        <v>231</v>
      </c>
      <c r="BH153" s="237" t="s">
        <v>231</v>
      </c>
      <c r="BI153" s="237" t="s">
        <v>231</v>
      </c>
      <c r="BJ153" s="237" t="s">
        <v>231</v>
      </c>
      <c r="BK153" s="237" t="s">
        <v>231</v>
      </c>
      <c r="BL153" s="237" t="s">
        <v>231</v>
      </c>
      <c r="BM153" s="237" t="s">
        <v>231</v>
      </c>
      <c r="BN153" s="237" t="s">
        <v>231</v>
      </c>
      <c r="BO153" s="237" t="s">
        <v>231</v>
      </c>
      <c r="BP153" s="237" t="s">
        <v>231</v>
      </c>
      <c r="BQ153" s="237" t="s">
        <v>231</v>
      </c>
      <c r="BR153" s="237" t="s">
        <v>231</v>
      </c>
      <c r="BS153" s="237" t="s">
        <v>231</v>
      </c>
      <c r="BT153" s="237" t="s">
        <v>231</v>
      </c>
      <c r="BU153" s="237" t="s">
        <v>231</v>
      </c>
      <c r="BV153" s="237" t="s">
        <v>231</v>
      </c>
      <c r="BW153" s="237" t="s">
        <v>231</v>
      </c>
      <c r="BX153" s="237" t="s">
        <v>231</v>
      </c>
      <c r="BY153" s="237" t="s">
        <v>231</v>
      </c>
      <c r="BZ153" s="237" t="s">
        <v>231</v>
      </c>
      <c r="CA153" s="237" t="s">
        <v>231</v>
      </c>
      <c r="CB153" s="237" t="s">
        <v>231</v>
      </c>
      <c r="CC153" s="237" t="s">
        <v>492</v>
      </c>
      <c r="CD153" s="237" t="s">
        <v>492</v>
      </c>
      <c r="CE153" s="237" t="s">
        <v>492</v>
      </c>
      <c r="CF153" s="237" t="s">
        <v>231</v>
      </c>
      <c r="CG153" s="237" t="s">
        <v>231</v>
      </c>
      <c r="CH153" s="237" t="s">
        <v>231</v>
      </c>
      <c r="CI153" s="237" t="s">
        <v>231</v>
      </c>
      <c r="CJ153" s="237" t="s">
        <v>231</v>
      </c>
      <c r="CK153" s="237" t="s">
        <v>231</v>
      </c>
      <c r="CL153" s="237" t="s">
        <v>231</v>
      </c>
      <c r="CM153" s="237" t="s">
        <v>231</v>
      </c>
      <c r="CN153" s="237" t="s">
        <v>231</v>
      </c>
      <c r="CO153" s="237" t="s">
        <v>231</v>
      </c>
      <c r="CP153" s="237" t="s">
        <v>231</v>
      </c>
      <c r="CQ153" s="237" t="s">
        <v>231</v>
      </c>
      <c r="CR153" s="237" t="s">
        <v>231</v>
      </c>
      <c r="CS153" s="237" t="s">
        <v>231</v>
      </c>
      <c r="CT153" s="237" t="s">
        <v>231</v>
      </c>
      <c r="CU153" s="237" t="s">
        <v>231</v>
      </c>
      <c r="CV153" s="237" t="s">
        <v>231</v>
      </c>
      <c r="CW153" s="237" t="s">
        <v>231</v>
      </c>
      <c r="CX153" s="237" t="s">
        <v>231</v>
      </c>
      <c r="CY153" s="237" t="s">
        <v>231</v>
      </c>
      <c r="CZ153" s="237" t="s">
        <v>231</v>
      </c>
      <c r="DA153" s="237" t="s">
        <v>231</v>
      </c>
      <c r="DB153" s="237" t="s">
        <v>231</v>
      </c>
      <c r="DC153" s="237" t="s">
        <v>231</v>
      </c>
      <c r="DD153" s="237" t="s">
        <v>231</v>
      </c>
      <c r="DE153" s="237" t="s">
        <v>492</v>
      </c>
      <c r="DF153" s="237" t="s">
        <v>492</v>
      </c>
      <c r="DG153" s="237" t="s">
        <v>492</v>
      </c>
      <c r="DH153" s="237" t="s">
        <v>492</v>
      </c>
      <c r="DI153" s="237" t="s">
        <v>492</v>
      </c>
      <c r="DJ153" s="237" t="s">
        <v>492</v>
      </c>
      <c r="DK153" s="237" t="s">
        <v>492</v>
      </c>
      <c r="DL153" s="237" t="s">
        <v>492</v>
      </c>
      <c r="DM153" s="237" t="s">
        <v>492</v>
      </c>
      <c r="DN153" s="237" t="s">
        <v>492</v>
      </c>
      <c r="DO153" s="237" t="s">
        <v>492</v>
      </c>
      <c r="DP153" s="237" t="s">
        <v>492</v>
      </c>
      <c r="DQ153" s="237" t="s">
        <v>492</v>
      </c>
      <c r="DR153" s="237" t="s">
        <v>231</v>
      </c>
      <c r="DS153" s="237" t="s">
        <v>231</v>
      </c>
      <c r="DT153" s="237" t="s">
        <v>231</v>
      </c>
      <c r="DU153" s="237" t="s">
        <v>231</v>
      </c>
      <c r="DV153" s="237" t="s">
        <v>231</v>
      </c>
      <c r="DW153" s="237" t="s">
        <v>231</v>
      </c>
      <c r="DX153" s="237" t="s">
        <v>231</v>
      </c>
      <c r="DY153" s="237" t="s">
        <v>231</v>
      </c>
      <c r="DZ153" s="237" t="s">
        <v>231</v>
      </c>
      <c r="EA153" s="237" t="s">
        <v>231</v>
      </c>
      <c r="EB153" s="237" t="s">
        <v>231</v>
      </c>
      <c r="EC153" s="237" t="s">
        <v>231</v>
      </c>
      <c r="ED153" s="237" t="s">
        <v>231</v>
      </c>
      <c r="EE153" s="237" t="s">
        <v>231</v>
      </c>
      <c r="EF153" s="237" t="s">
        <v>231</v>
      </c>
      <c r="EG153" s="237" t="s">
        <v>231</v>
      </c>
      <c r="EH153" s="237" t="s">
        <v>231</v>
      </c>
      <c r="EI153" s="237" t="s">
        <v>231</v>
      </c>
      <c r="EJ153" s="237" t="s">
        <v>231</v>
      </c>
      <c r="EK153" s="237" t="s">
        <v>231</v>
      </c>
      <c r="EL153" s="237" t="s">
        <v>231</v>
      </c>
      <c r="EM153" s="237" t="s">
        <v>231</v>
      </c>
      <c r="EN153" s="237" t="s">
        <v>231</v>
      </c>
      <c r="EO153" s="237" t="s">
        <v>231</v>
      </c>
      <c r="EP153" s="237" t="s">
        <v>492</v>
      </c>
      <c r="EQ153" s="237" t="s">
        <v>492</v>
      </c>
      <c r="ER153" s="237" t="s">
        <v>492</v>
      </c>
      <c r="ES153" s="237" t="s">
        <v>492</v>
      </c>
      <c r="ET153" s="237" t="s">
        <v>492</v>
      </c>
      <c r="EU153" s="237" t="s">
        <v>492</v>
      </c>
      <c r="EV153" s="237" t="s">
        <v>231</v>
      </c>
      <c r="EW153" s="237" t="s">
        <v>231</v>
      </c>
      <c r="EX153" s="237" t="s">
        <v>231</v>
      </c>
      <c r="EY153" s="237" t="s">
        <v>231</v>
      </c>
      <c r="EZ153" s="237" t="s">
        <v>231</v>
      </c>
      <c r="FA153" s="237" t="s">
        <v>231</v>
      </c>
      <c r="FB153" s="237" t="s">
        <v>231</v>
      </c>
      <c r="FC153" s="237" t="s">
        <v>231</v>
      </c>
      <c r="FD153" s="237" t="s">
        <v>231</v>
      </c>
      <c r="FE153" s="237" t="s">
        <v>231</v>
      </c>
      <c r="FF153" s="237" t="s">
        <v>231</v>
      </c>
      <c r="FG153" s="237" t="s">
        <v>492</v>
      </c>
      <c r="FH153" s="237" t="s">
        <v>231</v>
      </c>
      <c r="FI153" s="237" t="s">
        <v>231</v>
      </c>
      <c r="FJ153" s="237" t="s">
        <v>231</v>
      </c>
      <c r="FK153" s="237" t="s">
        <v>231</v>
      </c>
      <c r="FL153" s="237" t="s">
        <v>231</v>
      </c>
      <c r="FM153" s="237" t="s">
        <v>231</v>
      </c>
      <c r="FN153" s="237" t="s">
        <v>231</v>
      </c>
      <c r="FO153" s="237" t="s">
        <v>231</v>
      </c>
      <c r="FP153" s="237" t="s">
        <v>231</v>
      </c>
      <c r="FQ153" s="237" t="s">
        <v>231</v>
      </c>
      <c r="FR153" s="237" t="s">
        <v>231</v>
      </c>
      <c r="FS153" s="237" t="s">
        <v>231</v>
      </c>
      <c r="FT153" s="237" t="s">
        <v>231</v>
      </c>
      <c r="FU153" s="237" t="s">
        <v>231</v>
      </c>
      <c r="FV153" s="237" t="s">
        <v>231</v>
      </c>
      <c r="FW153" s="237" t="s">
        <v>231</v>
      </c>
      <c r="FX153" s="237" t="s">
        <v>231</v>
      </c>
      <c r="FY153" s="237" t="s">
        <v>492</v>
      </c>
      <c r="FZ153" s="237" t="s">
        <v>231</v>
      </c>
      <c r="GA153" s="237" t="s">
        <v>231</v>
      </c>
      <c r="GB153" s="237" t="s">
        <v>231</v>
      </c>
      <c r="GC153" s="237" t="s">
        <v>231</v>
      </c>
      <c r="GD153" s="237" t="s">
        <v>231</v>
      </c>
      <c r="GE153" s="237" t="s">
        <v>492</v>
      </c>
      <c r="GF153" s="237" t="s">
        <v>231</v>
      </c>
      <c r="GG153" s="237" t="s">
        <v>231</v>
      </c>
      <c r="GH153" s="237" t="s">
        <v>231</v>
      </c>
      <c r="GI153" s="237" t="s">
        <v>231</v>
      </c>
      <c r="GJ153" s="237" t="s">
        <v>231</v>
      </c>
      <c r="GK153" s="237" t="s">
        <v>231</v>
      </c>
      <c r="GL153" s="237" t="s">
        <v>231</v>
      </c>
      <c r="GM153" s="237" t="s">
        <v>231</v>
      </c>
      <c r="GN153" s="237" t="s">
        <v>231</v>
      </c>
      <c r="GO153" s="237" t="s">
        <v>231</v>
      </c>
      <c r="GP153" s="237" t="s">
        <v>231</v>
      </c>
      <c r="GQ153" s="237" t="s">
        <v>231</v>
      </c>
      <c r="GR153" s="237" t="s">
        <v>231</v>
      </c>
      <c r="GS153" s="237" t="s">
        <v>231</v>
      </c>
      <c r="GT153" s="237" t="s">
        <v>231</v>
      </c>
      <c r="GU153" s="237" t="s">
        <v>231</v>
      </c>
      <c r="GV153" s="237" t="s">
        <v>231</v>
      </c>
      <c r="GW153" s="237" t="s">
        <v>231</v>
      </c>
      <c r="GX153" s="237" t="s">
        <v>231</v>
      </c>
      <c r="GY153" s="237" t="s">
        <v>231</v>
      </c>
      <c r="GZ153" s="237" t="s">
        <v>231</v>
      </c>
      <c r="HA153" s="237" t="s">
        <v>492</v>
      </c>
      <c r="HB153" s="237" t="s">
        <v>492</v>
      </c>
      <c r="HC153" s="237" t="s">
        <v>492</v>
      </c>
      <c r="HD153" s="237" t="s">
        <v>231</v>
      </c>
      <c r="HE153" s="237" t="s">
        <v>231</v>
      </c>
      <c r="HF153" s="237" t="s">
        <v>231</v>
      </c>
      <c r="HG153" s="237" t="s">
        <v>231</v>
      </c>
      <c r="HH153" s="237" t="s">
        <v>231</v>
      </c>
      <c r="HI153" s="237" t="s">
        <v>231</v>
      </c>
      <c r="HJ153" s="237" t="s">
        <v>231</v>
      </c>
      <c r="HK153" s="237" t="s">
        <v>231</v>
      </c>
      <c r="HL153" s="237" t="s">
        <v>231</v>
      </c>
      <c r="HM153" s="237" t="s">
        <v>231</v>
      </c>
      <c r="HN153" s="237" t="s">
        <v>231</v>
      </c>
      <c r="HO153" s="237" t="s">
        <v>231</v>
      </c>
      <c r="HP153" s="237" t="s">
        <v>231</v>
      </c>
      <c r="HQ153" s="237" t="s">
        <v>231</v>
      </c>
      <c r="HR153" s="237" t="s">
        <v>231</v>
      </c>
      <c r="HS153" s="237" t="s">
        <v>231</v>
      </c>
      <c r="HT153" s="237" t="s">
        <v>231</v>
      </c>
      <c r="HU153" s="237" t="s">
        <v>231</v>
      </c>
      <c r="HV153" s="237" t="s">
        <v>231</v>
      </c>
      <c r="HW153" s="237" t="s">
        <v>231</v>
      </c>
      <c r="HX153" s="237" t="s">
        <v>220</v>
      </c>
      <c r="HY153" s="237" t="s">
        <v>493</v>
      </c>
      <c r="HZ153" s="237" t="s">
        <v>219</v>
      </c>
      <c r="IA153" s="237" t="s">
        <v>490</v>
      </c>
      <c r="IB153" s="237" t="s">
        <v>492</v>
      </c>
      <c r="IC153" s="237" t="s">
        <v>492</v>
      </c>
    </row>
    <row r="154" spans="1:237" ht="15" x14ac:dyDescent="0.25">
      <c r="A154" s="244" t="str">
        <f>HYPERLINK("http://www.ofsted.gov.uk/inspection-reports/find-inspection-report/provider/ELS/146524 ","Ofsted School Webpage")</f>
        <v>Ofsted School Webpage</v>
      </c>
      <c r="B154" s="240">
        <v>146524</v>
      </c>
      <c r="C154" s="240">
        <v>9166023</v>
      </c>
      <c r="D154" s="240" t="s">
        <v>1412</v>
      </c>
      <c r="E154" s="240" t="s">
        <v>248</v>
      </c>
      <c r="F154" s="240" t="s">
        <v>483</v>
      </c>
      <c r="G154" s="240" t="s">
        <v>483</v>
      </c>
      <c r="H154" s="240" t="s">
        <v>948</v>
      </c>
      <c r="I154" s="240" t="s">
        <v>1413</v>
      </c>
      <c r="J154" s="240" t="s">
        <v>498</v>
      </c>
      <c r="K154" s="240" t="s">
        <v>93</v>
      </c>
      <c r="L154" s="240" t="s">
        <v>498</v>
      </c>
      <c r="M154" s="240" t="s">
        <v>90</v>
      </c>
      <c r="N154" s="240" t="s">
        <v>486</v>
      </c>
      <c r="O154" s="240" t="s">
        <v>487</v>
      </c>
      <c r="P154" s="240">
        <v>10081293</v>
      </c>
      <c r="Q154" s="242">
        <v>43416</v>
      </c>
      <c r="R154" s="242">
        <v>43416</v>
      </c>
      <c r="S154" s="242">
        <v>43439</v>
      </c>
      <c r="T154" s="240" t="s">
        <v>1377</v>
      </c>
      <c r="U154" s="240" t="s">
        <v>1105</v>
      </c>
      <c r="V154" s="240" t="s">
        <v>490</v>
      </c>
      <c r="W154" s="240" t="s">
        <v>486</v>
      </c>
      <c r="X154" s="240" t="s">
        <v>486</v>
      </c>
      <c r="Y154" s="240" t="s">
        <v>486</v>
      </c>
      <c r="Z154" s="240" t="s">
        <v>486</v>
      </c>
      <c r="AA154" s="240" t="s">
        <v>486</v>
      </c>
      <c r="AB154" s="240" t="s">
        <v>486</v>
      </c>
      <c r="AC154" s="240" t="s">
        <v>486</v>
      </c>
      <c r="AD154" s="240" t="s">
        <v>1386</v>
      </c>
      <c r="AE154" s="240" t="s">
        <v>231</v>
      </c>
      <c r="AF154" s="240" t="s">
        <v>231</v>
      </c>
      <c r="AG154" s="240" t="s">
        <v>231</v>
      </c>
      <c r="AH154" s="240" t="s">
        <v>231</v>
      </c>
      <c r="AI154" s="240" t="s">
        <v>231</v>
      </c>
      <c r="AJ154" s="240" t="s">
        <v>231</v>
      </c>
      <c r="AK154" s="240" t="s">
        <v>231</v>
      </c>
      <c r="AL154" s="240" t="s">
        <v>231</v>
      </c>
      <c r="AM154" s="240" t="s">
        <v>492</v>
      </c>
      <c r="AN154" s="240" t="s">
        <v>231</v>
      </c>
      <c r="AO154" s="240" t="s">
        <v>231</v>
      </c>
      <c r="AP154" s="240" t="s">
        <v>231</v>
      </c>
      <c r="AQ154" s="240" t="s">
        <v>231</v>
      </c>
      <c r="AR154" s="240" t="s">
        <v>231</v>
      </c>
      <c r="AS154" s="240" t="s">
        <v>231</v>
      </c>
      <c r="AT154" s="240" t="s">
        <v>231</v>
      </c>
      <c r="AU154" s="240" t="s">
        <v>492</v>
      </c>
      <c r="AV154" s="240" t="s">
        <v>231</v>
      </c>
      <c r="AW154" s="240" t="s">
        <v>231</v>
      </c>
      <c r="AX154" s="240" t="s">
        <v>231</v>
      </c>
      <c r="AY154" s="240" t="s">
        <v>231</v>
      </c>
      <c r="AZ154" s="240" t="s">
        <v>231</v>
      </c>
      <c r="BA154" s="240" t="s">
        <v>231</v>
      </c>
      <c r="BB154" s="240" t="s">
        <v>231</v>
      </c>
      <c r="BC154" s="240" t="s">
        <v>231</v>
      </c>
      <c r="BD154" s="240" t="s">
        <v>231</v>
      </c>
      <c r="BE154" s="240" t="s">
        <v>231</v>
      </c>
      <c r="BF154" s="240" t="s">
        <v>231</v>
      </c>
      <c r="BG154" s="240" t="s">
        <v>231</v>
      </c>
      <c r="BH154" s="240" t="s">
        <v>231</v>
      </c>
      <c r="BI154" s="240" t="s">
        <v>231</v>
      </c>
      <c r="BJ154" s="240" t="s">
        <v>231</v>
      </c>
      <c r="BK154" s="240" t="s">
        <v>231</v>
      </c>
      <c r="BL154" s="240" t="s">
        <v>231</v>
      </c>
      <c r="BM154" s="240" t="s">
        <v>231</v>
      </c>
      <c r="BN154" s="240" t="s">
        <v>231</v>
      </c>
      <c r="BO154" s="240" t="s">
        <v>231</v>
      </c>
      <c r="BP154" s="240" t="s">
        <v>231</v>
      </c>
      <c r="BQ154" s="240" t="s">
        <v>231</v>
      </c>
      <c r="BR154" s="240" t="s">
        <v>231</v>
      </c>
      <c r="BS154" s="240" t="s">
        <v>231</v>
      </c>
      <c r="BT154" s="240" t="s">
        <v>231</v>
      </c>
      <c r="BU154" s="240" t="s">
        <v>231</v>
      </c>
      <c r="BV154" s="240" t="s">
        <v>231</v>
      </c>
      <c r="BW154" s="240" t="s">
        <v>231</v>
      </c>
      <c r="BX154" s="240" t="s">
        <v>231</v>
      </c>
      <c r="BY154" s="240" t="s">
        <v>231</v>
      </c>
      <c r="BZ154" s="240" t="s">
        <v>232</v>
      </c>
      <c r="CA154" s="240" t="s">
        <v>232</v>
      </c>
      <c r="CB154" s="240" t="s">
        <v>232</v>
      </c>
      <c r="CC154" s="240" t="s">
        <v>492</v>
      </c>
      <c r="CD154" s="240" t="s">
        <v>492</v>
      </c>
      <c r="CE154" s="240" t="s">
        <v>492</v>
      </c>
      <c r="CF154" s="240" t="s">
        <v>231</v>
      </c>
      <c r="CG154" s="240" t="s">
        <v>231</v>
      </c>
      <c r="CH154" s="240" t="s">
        <v>231</v>
      </c>
      <c r="CI154" s="240" t="s">
        <v>231</v>
      </c>
      <c r="CJ154" s="240" t="s">
        <v>231</v>
      </c>
      <c r="CK154" s="240" t="s">
        <v>232</v>
      </c>
      <c r="CL154" s="240" t="s">
        <v>232</v>
      </c>
      <c r="CM154" s="240" t="s">
        <v>231</v>
      </c>
      <c r="CN154" s="240" t="s">
        <v>231</v>
      </c>
      <c r="CO154" s="240" t="s">
        <v>231</v>
      </c>
      <c r="CP154" s="240" t="s">
        <v>232</v>
      </c>
      <c r="CQ154" s="240" t="s">
        <v>232</v>
      </c>
      <c r="CR154" s="240" t="s">
        <v>232</v>
      </c>
      <c r="CS154" s="240" t="s">
        <v>232</v>
      </c>
      <c r="CT154" s="240" t="s">
        <v>231</v>
      </c>
      <c r="CU154" s="240" t="s">
        <v>232</v>
      </c>
      <c r="CV154" s="240" t="s">
        <v>231</v>
      </c>
      <c r="CW154" s="240" t="s">
        <v>231</v>
      </c>
      <c r="CX154" s="240" t="s">
        <v>231</v>
      </c>
      <c r="CY154" s="240" t="s">
        <v>231</v>
      </c>
      <c r="CZ154" s="240" t="s">
        <v>231</v>
      </c>
      <c r="DA154" s="240" t="s">
        <v>231</v>
      </c>
      <c r="DB154" s="240" t="s">
        <v>232</v>
      </c>
      <c r="DC154" s="240" t="s">
        <v>492</v>
      </c>
      <c r="DD154" s="240" t="s">
        <v>231</v>
      </c>
      <c r="DE154" s="240" t="s">
        <v>492</v>
      </c>
      <c r="DF154" s="240" t="s">
        <v>492</v>
      </c>
      <c r="DG154" s="240" t="s">
        <v>492</v>
      </c>
      <c r="DH154" s="240" t="s">
        <v>492</v>
      </c>
      <c r="DI154" s="240" t="s">
        <v>492</v>
      </c>
      <c r="DJ154" s="240" t="s">
        <v>492</v>
      </c>
      <c r="DK154" s="240" t="s">
        <v>492</v>
      </c>
      <c r="DL154" s="240" t="s">
        <v>492</v>
      </c>
      <c r="DM154" s="240" t="s">
        <v>492</v>
      </c>
      <c r="DN154" s="240" t="s">
        <v>492</v>
      </c>
      <c r="DO154" s="240" t="s">
        <v>492</v>
      </c>
      <c r="DP154" s="240" t="s">
        <v>492</v>
      </c>
      <c r="DQ154" s="240" t="s">
        <v>492</v>
      </c>
      <c r="DR154" s="240" t="s">
        <v>492</v>
      </c>
      <c r="DS154" s="240" t="s">
        <v>232</v>
      </c>
      <c r="DT154" s="240" t="s">
        <v>232</v>
      </c>
      <c r="DU154" s="240" t="s">
        <v>231</v>
      </c>
      <c r="DV154" s="240" t="s">
        <v>232</v>
      </c>
      <c r="DW154" s="240" t="s">
        <v>232</v>
      </c>
      <c r="DX154" s="240" t="s">
        <v>231</v>
      </c>
      <c r="DY154" s="240" t="s">
        <v>231</v>
      </c>
      <c r="DZ154" s="240" t="s">
        <v>232</v>
      </c>
      <c r="EA154" s="240" t="s">
        <v>492</v>
      </c>
      <c r="EB154" s="240" t="s">
        <v>231</v>
      </c>
      <c r="EC154" s="240" t="s">
        <v>231</v>
      </c>
      <c r="ED154" s="240" t="s">
        <v>232</v>
      </c>
      <c r="EE154" s="240" t="s">
        <v>232</v>
      </c>
      <c r="EF154" s="240" t="s">
        <v>231</v>
      </c>
      <c r="EG154" s="240" t="s">
        <v>231</v>
      </c>
      <c r="EH154" s="240" t="s">
        <v>232</v>
      </c>
      <c r="EI154" s="240" t="s">
        <v>231</v>
      </c>
      <c r="EJ154" s="240" t="s">
        <v>231</v>
      </c>
      <c r="EK154" s="240" t="s">
        <v>231</v>
      </c>
      <c r="EL154" s="240" t="s">
        <v>231</v>
      </c>
      <c r="EM154" s="240" t="s">
        <v>232</v>
      </c>
      <c r="EN154" s="240" t="s">
        <v>231</v>
      </c>
      <c r="EO154" s="240" t="s">
        <v>492</v>
      </c>
      <c r="EP154" s="240" t="s">
        <v>492</v>
      </c>
      <c r="EQ154" s="240" t="s">
        <v>492</v>
      </c>
      <c r="ER154" s="240" t="s">
        <v>492</v>
      </c>
      <c r="ES154" s="240" t="s">
        <v>492</v>
      </c>
      <c r="ET154" s="240" t="s">
        <v>492</v>
      </c>
      <c r="EU154" s="240" t="s">
        <v>492</v>
      </c>
      <c r="EV154" s="240" t="s">
        <v>232</v>
      </c>
      <c r="EW154" s="240" t="s">
        <v>492</v>
      </c>
      <c r="EX154" s="240" t="s">
        <v>492</v>
      </c>
      <c r="EY154" s="240" t="s">
        <v>492</v>
      </c>
      <c r="EZ154" s="240" t="s">
        <v>232</v>
      </c>
      <c r="FA154" s="240" t="s">
        <v>231</v>
      </c>
      <c r="FB154" s="240" t="s">
        <v>231</v>
      </c>
      <c r="FC154" s="240" t="s">
        <v>232</v>
      </c>
      <c r="FD154" s="240" t="s">
        <v>231</v>
      </c>
      <c r="FE154" s="240" t="s">
        <v>231</v>
      </c>
      <c r="FF154" s="240" t="s">
        <v>231</v>
      </c>
      <c r="FG154" s="240" t="s">
        <v>492</v>
      </c>
      <c r="FH154" s="240" t="s">
        <v>231</v>
      </c>
      <c r="FI154" s="240" t="s">
        <v>232</v>
      </c>
      <c r="FJ154" s="240" t="s">
        <v>231</v>
      </c>
      <c r="FK154" s="240" t="s">
        <v>231</v>
      </c>
      <c r="FL154" s="240" t="s">
        <v>231</v>
      </c>
      <c r="FM154" s="240" t="s">
        <v>231</v>
      </c>
      <c r="FN154" s="240" t="s">
        <v>232</v>
      </c>
      <c r="FO154" s="240" t="s">
        <v>232</v>
      </c>
      <c r="FP154" s="240" t="s">
        <v>231</v>
      </c>
      <c r="FQ154" s="240" t="s">
        <v>232</v>
      </c>
      <c r="FR154" s="240" t="s">
        <v>232</v>
      </c>
      <c r="FS154" s="240" t="s">
        <v>232</v>
      </c>
      <c r="FT154" s="240" t="s">
        <v>232</v>
      </c>
      <c r="FU154" s="240" t="s">
        <v>232</v>
      </c>
      <c r="FV154" s="240" t="s">
        <v>231</v>
      </c>
      <c r="FW154" s="240" t="s">
        <v>231</v>
      </c>
      <c r="FX154" s="240" t="s">
        <v>231</v>
      </c>
      <c r="FY154" s="240" t="s">
        <v>492</v>
      </c>
      <c r="FZ154" s="240" t="s">
        <v>232</v>
      </c>
      <c r="GA154" s="240" t="s">
        <v>232</v>
      </c>
      <c r="GB154" s="240" t="s">
        <v>232</v>
      </c>
      <c r="GC154" s="240" t="s">
        <v>232</v>
      </c>
      <c r="GD154" s="240" t="s">
        <v>492</v>
      </c>
      <c r="GE154" s="240" t="s">
        <v>492</v>
      </c>
      <c r="GF154" s="240" t="s">
        <v>492</v>
      </c>
      <c r="GG154" s="240" t="s">
        <v>492</v>
      </c>
      <c r="GH154" s="240" t="s">
        <v>492</v>
      </c>
      <c r="GI154" s="240" t="s">
        <v>492</v>
      </c>
      <c r="GJ154" s="240" t="s">
        <v>492</v>
      </c>
      <c r="GK154" s="240" t="s">
        <v>232</v>
      </c>
      <c r="GL154" s="240" t="s">
        <v>232</v>
      </c>
      <c r="GM154" s="240" t="s">
        <v>231</v>
      </c>
      <c r="GN154" s="240" t="s">
        <v>492</v>
      </c>
      <c r="GO154" s="240" t="s">
        <v>231</v>
      </c>
      <c r="GP154" s="240" t="s">
        <v>232</v>
      </c>
      <c r="GQ154" s="240" t="s">
        <v>232</v>
      </c>
      <c r="GR154" s="240" t="s">
        <v>232</v>
      </c>
      <c r="GS154" s="240" t="s">
        <v>232</v>
      </c>
      <c r="GT154" s="240" t="s">
        <v>232</v>
      </c>
      <c r="GU154" s="240" t="s">
        <v>232</v>
      </c>
      <c r="GV154" s="240" t="s">
        <v>232</v>
      </c>
      <c r="GW154" s="240" t="s">
        <v>492</v>
      </c>
      <c r="GX154" s="240" t="s">
        <v>232</v>
      </c>
      <c r="GY154" s="240" t="s">
        <v>492</v>
      </c>
      <c r="GZ154" s="240" t="s">
        <v>492</v>
      </c>
      <c r="HA154" s="240" t="s">
        <v>492</v>
      </c>
      <c r="HB154" s="240" t="s">
        <v>492</v>
      </c>
      <c r="HC154" s="240" t="s">
        <v>492</v>
      </c>
      <c r="HD154" s="240" t="s">
        <v>232</v>
      </c>
      <c r="HE154" s="240" t="s">
        <v>231</v>
      </c>
      <c r="HF154" s="240" t="s">
        <v>232</v>
      </c>
      <c r="HG154" s="240" t="s">
        <v>231</v>
      </c>
      <c r="HH154" s="240" t="s">
        <v>231</v>
      </c>
      <c r="HI154" s="240" t="s">
        <v>231</v>
      </c>
      <c r="HJ154" s="240" t="s">
        <v>232</v>
      </c>
      <c r="HK154" s="240" t="s">
        <v>232</v>
      </c>
      <c r="HL154" s="240" t="s">
        <v>231</v>
      </c>
      <c r="HM154" s="240" t="s">
        <v>232</v>
      </c>
      <c r="HN154" s="240" t="s">
        <v>232</v>
      </c>
      <c r="HO154" s="240" t="s">
        <v>232</v>
      </c>
      <c r="HP154" s="240" t="s">
        <v>232</v>
      </c>
      <c r="HQ154" s="240" t="s">
        <v>232</v>
      </c>
      <c r="HR154" s="240" t="s">
        <v>231</v>
      </c>
      <c r="HS154" s="240" t="s">
        <v>232</v>
      </c>
      <c r="HT154" s="240" t="s">
        <v>232</v>
      </c>
      <c r="HU154" s="240" t="s">
        <v>232</v>
      </c>
      <c r="HV154" s="240" t="s">
        <v>232</v>
      </c>
      <c r="HW154" s="240" t="s">
        <v>232</v>
      </c>
      <c r="HX154" s="240" t="s">
        <v>220</v>
      </c>
      <c r="HY154" s="240" t="s">
        <v>493</v>
      </c>
      <c r="HZ154" s="240" t="s">
        <v>219</v>
      </c>
      <c r="IA154" s="240" t="s">
        <v>490</v>
      </c>
      <c r="IB154" s="240" t="s">
        <v>492</v>
      </c>
      <c r="IC154" s="240" t="s">
        <v>492</v>
      </c>
    </row>
    <row r="155" spans="1:237" ht="15" x14ac:dyDescent="0.25">
      <c r="A155" s="243" t="str">
        <f>HYPERLINK("http://www.ofsted.gov.uk/inspection-reports/find-inspection-report/provider/ELS/146289 ","Ofsted School Webpage")</f>
        <v>Ofsted School Webpage</v>
      </c>
      <c r="B155" s="237">
        <v>146289</v>
      </c>
      <c r="C155" s="237">
        <v>3146006</v>
      </c>
      <c r="D155" s="237" t="s">
        <v>1414</v>
      </c>
      <c r="E155" s="237" t="s">
        <v>247</v>
      </c>
      <c r="F155" s="237" t="s">
        <v>506</v>
      </c>
      <c r="G155" s="237" t="s">
        <v>506</v>
      </c>
      <c r="H155" s="237" t="s">
        <v>1415</v>
      </c>
      <c r="I155" s="237" t="s">
        <v>1416</v>
      </c>
      <c r="J155" s="237" t="s">
        <v>93</v>
      </c>
      <c r="K155" s="237" t="s">
        <v>93</v>
      </c>
      <c r="L155" s="237" t="s">
        <v>93</v>
      </c>
      <c r="M155" s="237" t="s">
        <v>90</v>
      </c>
      <c r="N155" s="237" t="s">
        <v>486</v>
      </c>
      <c r="O155" s="237" t="s">
        <v>487</v>
      </c>
      <c r="P155" s="237">
        <v>10078893</v>
      </c>
      <c r="Q155" s="239">
        <v>43417</v>
      </c>
      <c r="R155" s="239">
        <v>43417</v>
      </c>
      <c r="S155" s="239">
        <v>43446</v>
      </c>
      <c r="T155" s="237" t="s">
        <v>1377</v>
      </c>
      <c r="U155" s="237" t="s">
        <v>1105</v>
      </c>
      <c r="V155" s="237" t="s">
        <v>490</v>
      </c>
      <c r="W155" s="237" t="s">
        <v>486</v>
      </c>
      <c r="X155" s="237" t="s">
        <v>486</v>
      </c>
      <c r="Y155" s="237" t="s">
        <v>486</v>
      </c>
      <c r="Z155" s="237" t="s">
        <v>486</v>
      </c>
      <c r="AA155" s="237" t="s">
        <v>486</v>
      </c>
      <c r="AB155" s="237" t="s">
        <v>486</v>
      </c>
      <c r="AC155" s="237" t="s">
        <v>486</v>
      </c>
      <c r="AD155" s="237" t="s">
        <v>1386</v>
      </c>
      <c r="AE155" s="237" t="s">
        <v>231</v>
      </c>
      <c r="AF155" s="237" t="s">
        <v>231</v>
      </c>
      <c r="AG155" s="237" t="s">
        <v>231</v>
      </c>
      <c r="AH155" s="237" t="s">
        <v>231</v>
      </c>
      <c r="AI155" s="237" t="s">
        <v>231</v>
      </c>
      <c r="AJ155" s="237" t="s">
        <v>231</v>
      </c>
      <c r="AK155" s="237" t="s">
        <v>231</v>
      </c>
      <c r="AL155" s="237" t="s">
        <v>231</v>
      </c>
      <c r="AM155" s="237" t="s">
        <v>492</v>
      </c>
      <c r="AN155" s="237" t="s">
        <v>231</v>
      </c>
      <c r="AO155" s="237" t="s">
        <v>231</v>
      </c>
      <c r="AP155" s="237" t="s">
        <v>231</v>
      </c>
      <c r="AQ155" s="237" t="s">
        <v>231</v>
      </c>
      <c r="AR155" s="237" t="s">
        <v>231</v>
      </c>
      <c r="AS155" s="237" t="s">
        <v>231</v>
      </c>
      <c r="AT155" s="237" t="s">
        <v>231</v>
      </c>
      <c r="AU155" s="237" t="s">
        <v>492</v>
      </c>
      <c r="AV155" s="237" t="s">
        <v>492</v>
      </c>
      <c r="AW155" s="237" t="s">
        <v>231</v>
      </c>
      <c r="AX155" s="237" t="s">
        <v>231</v>
      </c>
      <c r="AY155" s="237" t="s">
        <v>231</v>
      </c>
      <c r="AZ155" s="237" t="s">
        <v>231</v>
      </c>
      <c r="BA155" s="237" t="s">
        <v>231</v>
      </c>
      <c r="BB155" s="237" t="s">
        <v>231</v>
      </c>
      <c r="BC155" s="237" t="s">
        <v>231</v>
      </c>
      <c r="BD155" s="237" t="s">
        <v>231</v>
      </c>
      <c r="BE155" s="237" t="s">
        <v>231</v>
      </c>
      <c r="BF155" s="237" t="s">
        <v>231</v>
      </c>
      <c r="BG155" s="237" t="s">
        <v>231</v>
      </c>
      <c r="BH155" s="237" t="s">
        <v>231</v>
      </c>
      <c r="BI155" s="237" t="s">
        <v>231</v>
      </c>
      <c r="BJ155" s="237" t="s">
        <v>231</v>
      </c>
      <c r="BK155" s="237" t="s">
        <v>231</v>
      </c>
      <c r="BL155" s="237" t="s">
        <v>231</v>
      </c>
      <c r="BM155" s="237" t="s">
        <v>231</v>
      </c>
      <c r="BN155" s="237" t="s">
        <v>231</v>
      </c>
      <c r="BO155" s="237" t="s">
        <v>231</v>
      </c>
      <c r="BP155" s="237" t="s">
        <v>231</v>
      </c>
      <c r="BQ155" s="237" t="s">
        <v>231</v>
      </c>
      <c r="BR155" s="237" t="s">
        <v>231</v>
      </c>
      <c r="BS155" s="237" t="s">
        <v>231</v>
      </c>
      <c r="BT155" s="237" t="s">
        <v>231</v>
      </c>
      <c r="BU155" s="237" t="s">
        <v>231</v>
      </c>
      <c r="BV155" s="237" t="s">
        <v>231</v>
      </c>
      <c r="BW155" s="237" t="s">
        <v>231</v>
      </c>
      <c r="BX155" s="237" t="s">
        <v>231</v>
      </c>
      <c r="BY155" s="237" t="s">
        <v>231</v>
      </c>
      <c r="BZ155" s="237" t="s">
        <v>232</v>
      </c>
      <c r="CA155" s="237" t="s">
        <v>232</v>
      </c>
      <c r="CB155" s="237" t="s">
        <v>232</v>
      </c>
      <c r="CC155" s="237" t="s">
        <v>492</v>
      </c>
      <c r="CD155" s="237" t="s">
        <v>492</v>
      </c>
      <c r="CE155" s="237" t="s">
        <v>492</v>
      </c>
      <c r="CF155" s="237" t="s">
        <v>231</v>
      </c>
      <c r="CG155" s="237" t="s">
        <v>231</v>
      </c>
      <c r="CH155" s="237" t="s">
        <v>231</v>
      </c>
      <c r="CI155" s="237" t="s">
        <v>231</v>
      </c>
      <c r="CJ155" s="237" t="s">
        <v>231</v>
      </c>
      <c r="CK155" s="237" t="s">
        <v>231</v>
      </c>
      <c r="CL155" s="237" t="s">
        <v>232</v>
      </c>
      <c r="CM155" s="237" t="s">
        <v>231</v>
      </c>
      <c r="CN155" s="237" t="s">
        <v>231</v>
      </c>
      <c r="CO155" s="237" t="s">
        <v>231</v>
      </c>
      <c r="CP155" s="237" t="s">
        <v>232</v>
      </c>
      <c r="CQ155" s="237" t="s">
        <v>232</v>
      </c>
      <c r="CR155" s="237" t="s">
        <v>232</v>
      </c>
      <c r="CS155" s="237" t="s">
        <v>231</v>
      </c>
      <c r="CT155" s="237" t="s">
        <v>231</v>
      </c>
      <c r="CU155" s="237" t="s">
        <v>231</v>
      </c>
      <c r="CV155" s="237" t="s">
        <v>231</v>
      </c>
      <c r="CW155" s="237" t="s">
        <v>231</v>
      </c>
      <c r="CX155" s="237" t="s">
        <v>231</v>
      </c>
      <c r="CY155" s="237" t="s">
        <v>231</v>
      </c>
      <c r="CZ155" s="237" t="s">
        <v>231</v>
      </c>
      <c r="DA155" s="237" t="s">
        <v>231</v>
      </c>
      <c r="DB155" s="237" t="s">
        <v>231</v>
      </c>
      <c r="DC155" s="237" t="s">
        <v>492</v>
      </c>
      <c r="DD155" s="237" t="s">
        <v>231</v>
      </c>
      <c r="DE155" s="237" t="s">
        <v>492</v>
      </c>
      <c r="DF155" s="237" t="s">
        <v>492</v>
      </c>
      <c r="DG155" s="237" t="s">
        <v>492</v>
      </c>
      <c r="DH155" s="237" t="s">
        <v>492</v>
      </c>
      <c r="DI155" s="237" t="s">
        <v>492</v>
      </c>
      <c r="DJ155" s="237" t="s">
        <v>492</v>
      </c>
      <c r="DK155" s="237" t="s">
        <v>492</v>
      </c>
      <c r="DL155" s="237" t="s">
        <v>492</v>
      </c>
      <c r="DM155" s="237" t="s">
        <v>492</v>
      </c>
      <c r="DN155" s="237" t="s">
        <v>492</v>
      </c>
      <c r="DO155" s="237" t="s">
        <v>492</v>
      </c>
      <c r="DP155" s="237" t="s">
        <v>492</v>
      </c>
      <c r="DQ155" s="237" t="s">
        <v>492</v>
      </c>
      <c r="DR155" s="237" t="s">
        <v>492</v>
      </c>
      <c r="DS155" s="237" t="s">
        <v>231</v>
      </c>
      <c r="DT155" s="237" t="s">
        <v>231</v>
      </c>
      <c r="DU155" s="237" t="s">
        <v>231</v>
      </c>
      <c r="DV155" s="237" t="s">
        <v>231</v>
      </c>
      <c r="DW155" s="237" t="s">
        <v>231</v>
      </c>
      <c r="DX155" s="237" t="s">
        <v>231</v>
      </c>
      <c r="DY155" s="237" t="s">
        <v>231</v>
      </c>
      <c r="DZ155" s="237" t="s">
        <v>231</v>
      </c>
      <c r="EA155" s="237" t="s">
        <v>231</v>
      </c>
      <c r="EB155" s="237" t="s">
        <v>231</v>
      </c>
      <c r="EC155" s="237" t="s">
        <v>231</v>
      </c>
      <c r="ED155" s="237" t="s">
        <v>231</v>
      </c>
      <c r="EE155" s="237" t="s">
        <v>231</v>
      </c>
      <c r="EF155" s="237" t="s">
        <v>231</v>
      </c>
      <c r="EG155" s="237" t="s">
        <v>231</v>
      </c>
      <c r="EH155" s="237" t="s">
        <v>231</v>
      </c>
      <c r="EI155" s="237" t="s">
        <v>231</v>
      </c>
      <c r="EJ155" s="237" t="s">
        <v>231</v>
      </c>
      <c r="EK155" s="237" t="s">
        <v>231</v>
      </c>
      <c r="EL155" s="237" t="s">
        <v>231</v>
      </c>
      <c r="EM155" s="237" t="s">
        <v>231</v>
      </c>
      <c r="EN155" s="237" t="s">
        <v>231</v>
      </c>
      <c r="EO155" s="237" t="s">
        <v>492</v>
      </c>
      <c r="EP155" s="237" t="s">
        <v>492</v>
      </c>
      <c r="EQ155" s="237" t="s">
        <v>492</v>
      </c>
      <c r="ER155" s="237" t="s">
        <v>492</v>
      </c>
      <c r="ES155" s="237" t="s">
        <v>492</v>
      </c>
      <c r="ET155" s="237" t="s">
        <v>492</v>
      </c>
      <c r="EU155" s="237" t="s">
        <v>492</v>
      </c>
      <c r="EV155" s="237" t="s">
        <v>231</v>
      </c>
      <c r="EW155" s="237" t="s">
        <v>492</v>
      </c>
      <c r="EX155" s="237" t="s">
        <v>492</v>
      </c>
      <c r="EY155" s="237" t="s">
        <v>492</v>
      </c>
      <c r="EZ155" s="237" t="s">
        <v>231</v>
      </c>
      <c r="FA155" s="237" t="s">
        <v>231</v>
      </c>
      <c r="FB155" s="237" t="s">
        <v>231</v>
      </c>
      <c r="FC155" s="237" t="s">
        <v>492</v>
      </c>
      <c r="FD155" s="237" t="s">
        <v>232</v>
      </c>
      <c r="FE155" s="237" t="s">
        <v>232</v>
      </c>
      <c r="FF155" s="237" t="s">
        <v>232</v>
      </c>
      <c r="FG155" s="237" t="s">
        <v>232</v>
      </c>
      <c r="FH155" s="237" t="s">
        <v>232</v>
      </c>
      <c r="FI155" s="237" t="s">
        <v>231</v>
      </c>
      <c r="FJ155" s="237" t="s">
        <v>231</v>
      </c>
      <c r="FK155" s="237" t="s">
        <v>231</v>
      </c>
      <c r="FL155" s="237" t="s">
        <v>231</v>
      </c>
      <c r="FM155" s="237" t="s">
        <v>231</v>
      </c>
      <c r="FN155" s="237" t="s">
        <v>232</v>
      </c>
      <c r="FO155" s="237" t="s">
        <v>231</v>
      </c>
      <c r="FP155" s="237" t="s">
        <v>232</v>
      </c>
      <c r="FQ155" s="237" t="s">
        <v>231</v>
      </c>
      <c r="FR155" s="237" t="s">
        <v>232</v>
      </c>
      <c r="FS155" s="237" t="s">
        <v>231</v>
      </c>
      <c r="FT155" s="237" t="s">
        <v>231</v>
      </c>
      <c r="FU155" s="237" t="s">
        <v>231</v>
      </c>
      <c r="FV155" s="237" t="s">
        <v>231</v>
      </c>
      <c r="FW155" s="237" t="s">
        <v>231</v>
      </c>
      <c r="FX155" s="237" t="s">
        <v>231</v>
      </c>
      <c r="FY155" s="237" t="s">
        <v>492</v>
      </c>
      <c r="FZ155" s="237" t="s">
        <v>231</v>
      </c>
      <c r="GA155" s="237" t="s">
        <v>231</v>
      </c>
      <c r="GB155" s="237" t="s">
        <v>231</v>
      </c>
      <c r="GC155" s="237" t="s">
        <v>231</v>
      </c>
      <c r="GD155" s="237" t="s">
        <v>492</v>
      </c>
      <c r="GE155" s="237" t="s">
        <v>492</v>
      </c>
      <c r="GF155" s="237" t="s">
        <v>231</v>
      </c>
      <c r="GG155" s="237" t="s">
        <v>231</v>
      </c>
      <c r="GH155" s="237" t="s">
        <v>492</v>
      </c>
      <c r="GI155" s="237" t="s">
        <v>492</v>
      </c>
      <c r="GJ155" s="237" t="s">
        <v>231</v>
      </c>
      <c r="GK155" s="237" t="s">
        <v>231</v>
      </c>
      <c r="GL155" s="237" t="s">
        <v>231</v>
      </c>
      <c r="GM155" s="237" t="s">
        <v>231</v>
      </c>
      <c r="GN155" s="237" t="s">
        <v>492</v>
      </c>
      <c r="GO155" s="237" t="s">
        <v>231</v>
      </c>
      <c r="GP155" s="237" t="s">
        <v>231</v>
      </c>
      <c r="GQ155" s="237" t="s">
        <v>231</v>
      </c>
      <c r="GR155" s="237" t="s">
        <v>231</v>
      </c>
      <c r="GS155" s="237" t="s">
        <v>231</v>
      </c>
      <c r="GT155" s="237" t="s">
        <v>231</v>
      </c>
      <c r="GU155" s="237" t="s">
        <v>231</v>
      </c>
      <c r="GV155" s="237" t="s">
        <v>231</v>
      </c>
      <c r="GW155" s="237" t="s">
        <v>492</v>
      </c>
      <c r="GX155" s="237" t="s">
        <v>231</v>
      </c>
      <c r="GY155" s="237" t="s">
        <v>492</v>
      </c>
      <c r="GZ155" s="237" t="s">
        <v>492</v>
      </c>
      <c r="HA155" s="237" t="s">
        <v>492</v>
      </c>
      <c r="HB155" s="237" t="s">
        <v>492</v>
      </c>
      <c r="HC155" s="237" t="s">
        <v>492</v>
      </c>
      <c r="HD155" s="237" t="s">
        <v>231</v>
      </c>
      <c r="HE155" s="237" t="s">
        <v>231</v>
      </c>
      <c r="HF155" s="237" t="s">
        <v>231</v>
      </c>
      <c r="HG155" s="237" t="s">
        <v>231</v>
      </c>
      <c r="HH155" s="237" t="s">
        <v>231</v>
      </c>
      <c r="HI155" s="237" t="s">
        <v>231</v>
      </c>
      <c r="HJ155" s="237" t="s">
        <v>231</v>
      </c>
      <c r="HK155" s="237" t="s">
        <v>231</v>
      </c>
      <c r="HL155" s="237" t="s">
        <v>231</v>
      </c>
      <c r="HM155" s="237" t="s">
        <v>231</v>
      </c>
      <c r="HN155" s="237" t="s">
        <v>231</v>
      </c>
      <c r="HO155" s="237" t="s">
        <v>231</v>
      </c>
      <c r="HP155" s="237" t="s">
        <v>231</v>
      </c>
      <c r="HQ155" s="237" t="s">
        <v>231</v>
      </c>
      <c r="HR155" s="237" t="s">
        <v>231</v>
      </c>
      <c r="HS155" s="237" t="s">
        <v>231</v>
      </c>
      <c r="HT155" s="237" t="s">
        <v>232</v>
      </c>
      <c r="HU155" s="237" t="s">
        <v>232</v>
      </c>
      <c r="HV155" s="237" t="s">
        <v>232</v>
      </c>
      <c r="HW155" s="237" t="s">
        <v>232</v>
      </c>
      <c r="HX155" s="237" t="s">
        <v>220</v>
      </c>
      <c r="HY155" s="237" t="s">
        <v>493</v>
      </c>
      <c r="HZ155" s="237" t="s">
        <v>219</v>
      </c>
      <c r="IA155" s="237" t="s">
        <v>512</v>
      </c>
      <c r="IB155" s="237" t="s">
        <v>492</v>
      </c>
      <c r="IC155" s="237" t="s">
        <v>492</v>
      </c>
    </row>
    <row r="156" spans="1:237" ht="15" x14ac:dyDescent="0.25">
      <c r="A156" s="244" t="str">
        <f>HYPERLINK("http://www.ofsted.gov.uk/inspection-reports/find-inspection-report/provider/ELS/146660 ","Ofsted School Webpage")</f>
        <v>Ofsted School Webpage</v>
      </c>
      <c r="B156" s="240">
        <v>146660</v>
      </c>
      <c r="C156" s="240">
        <v>3066018</v>
      </c>
      <c r="D156" s="240" t="s">
        <v>1417</v>
      </c>
      <c r="E156" s="240" t="s">
        <v>248</v>
      </c>
      <c r="F156" s="240" t="s">
        <v>506</v>
      </c>
      <c r="G156" s="240" t="s">
        <v>506</v>
      </c>
      <c r="H156" s="240" t="s">
        <v>826</v>
      </c>
      <c r="I156" s="240" t="s">
        <v>1418</v>
      </c>
      <c r="J156" s="240" t="s">
        <v>498</v>
      </c>
      <c r="K156" s="240" t="s">
        <v>93</v>
      </c>
      <c r="L156" s="240" t="s">
        <v>498</v>
      </c>
      <c r="M156" s="240" t="s">
        <v>90</v>
      </c>
      <c r="N156" s="240" t="s">
        <v>486</v>
      </c>
      <c r="O156" s="240" t="s">
        <v>487</v>
      </c>
      <c r="P156" s="240">
        <v>10084066</v>
      </c>
      <c r="Q156" s="242">
        <v>43426</v>
      </c>
      <c r="R156" s="242">
        <v>43426</v>
      </c>
      <c r="S156" s="242">
        <v>43447</v>
      </c>
      <c r="T156" s="240" t="s">
        <v>1377</v>
      </c>
      <c r="U156" s="240" t="s">
        <v>1105</v>
      </c>
      <c r="V156" s="240" t="s">
        <v>490</v>
      </c>
      <c r="W156" s="240" t="s">
        <v>486</v>
      </c>
      <c r="X156" s="240" t="s">
        <v>486</v>
      </c>
      <c r="Y156" s="240" t="s">
        <v>486</v>
      </c>
      <c r="Z156" s="240" t="s">
        <v>486</v>
      </c>
      <c r="AA156" s="240" t="s">
        <v>486</v>
      </c>
      <c r="AB156" s="240" t="s">
        <v>486</v>
      </c>
      <c r="AC156" s="240" t="s">
        <v>486</v>
      </c>
      <c r="AD156" s="240" t="s">
        <v>1378</v>
      </c>
      <c r="AE156" s="240" t="s">
        <v>231</v>
      </c>
      <c r="AF156" s="240" t="s">
        <v>231</v>
      </c>
      <c r="AG156" s="240" t="s">
        <v>231</v>
      </c>
      <c r="AH156" s="240" t="s">
        <v>231</v>
      </c>
      <c r="AI156" s="240" t="s">
        <v>231</v>
      </c>
      <c r="AJ156" s="240" t="s">
        <v>231</v>
      </c>
      <c r="AK156" s="240" t="s">
        <v>231</v>
      </c>
      <c r="AL156" s="240" t="s">
        <v>231</v>
      </c>
      <c r="AM156" s="240" t="s">
        <v>492</v>
      </c>
      <c r="AN156" s="240" t="s">
        <v>231</v>
      </c>
      <c r="AO156" s="240" t="s">
        <v>231</v>
      </c>
      <c r="AP156" s="240" t="s">
        <v>231</v>
      </c>
      <c r="AQ156" s="240" t="s">
        <v>231</v>
      </c>
      <c r="AR156" s="240" t="s">
        <v>231</v>
      </c>
      <c r="AS156" s="240" t="s">
        <v>231</v>
      </c>
      <c r="AT156" s="240" t="s">
        <v>231</v>
      </c>
      <c r="AU156" s="240" t="s">
        <v>492</v>
      </c>
      <c r="AV156" s="240" t="s">
        <v>492</v>
      </c>
      <c r="AW156" s="240" t="s">
        <v>231</v>
      </c>
      <c r="AX156" s="240" t="s">
        <v>231</v>
      </c>
      <c r="AY156" s="240" t="s">
        <v>231</v>
      </c>
      <c r="AZ156" s="240" t="s">
        <v>231</v>
      </c>
      <c r="BA156" s="240" t="s">
        <v>231</v>
      </c>
      <c r="BB156" s="240" t="s">
        <v>231</v>
      </c>
      <c r="BC156" s="240" t="s">
        <v>231</v>
      </c>
      <c r="BD156" s="240" t="s">
        <v>231</v>
      </c>
      <c r="BE156" s="240" t="s">
        <v>231</v>
      </c>
      <c r="BF156" s="240" t="s">
        <v>231</v>
      </c>
      <c r="BG156" s="240" t="s">
        <v>231</v>
      </c>
      <c r="BH156" s="240" t="s">
        <v>231</v>
      </c>
      <c r="BI156" s="240" t="s">
        <v>231</v>
      </c>
      <c r="BJ156" s="240" t="s">
        <v>231</v>
      </c>
      <c r="BK156" s="240" t="s">
        <v>231</v>
      </c>
      <c r="BL156" s="240" t="s">
        <v>231</v>
      </c>
      <c r="BM156" s="240" t="s">
        <v>231</v>
      </c>
      <c r="BN156" s="240" t="s">
        <v>231</v>
      </c>
      <c r="BO156" s="240" t="s">
        <v>231</v>
      </c>
      <c r="BP156" s="240" t="s">
        <v>231</v>
      </c>
      <c r="BQ156" s="240" t="s">
        <v>231</v>
      </c>
      <c r="BR156" s="240" t="s">
        <v>231</v>
      </c>
      <c r="BS156" s="240" t="s">
        <v>231</v>
      </c>
      <c r="BT156" s="240" t="s">
        <v>231</v>
      </c>
      <c r="BU156" s="240" t="s">
        <v>231</v>
      </c>
      <c r="BV156" s="240" t="s">
        <v>231</v>
      </c>
      <c r="BW156" s="240" t="s">
        <v>231</v>
      </c>
      <c r="BX156" s="240" t="s">
        <v>231</v>
      </c>
      <c r="BY156" s="240" t="s">
        <v>231</v>
      </c>
      <c r="BZ156" s="240" t="s">
        <v>231</v>
      </c>
      <c r="CA156" s="240" t="s">
        <v>231</v>
      </c>
      <c r="CB156" s="240" t="s">
        <v>231</v>
      </c>
      <c r="CC156" s="240" t="s">
        <v>492</v>
      </c>
      <c r="CD156" s="240" t="s">
        <v>492</v>
      </c>
      <c r="CE156" s="240" t="s">
        <v>492</v>
      </c>
      <c r="CF156" s="240" t="s">
        <v>231</v>
      </c>
      <c r="CG156" s="240" t="s">
        <v>231</v>
      </c>
      <c r="CH156" s="240" t="s">
        <v>231</v>
      </c>
      <c r="CI156" s="240" t="s">
        <v>231</v>
      </c>
      <c r="CJ156" s="240" t="s">
        <v>231</v>
      </c>
      <c r="CK156" s="240" t="s">
        <v>231</v>
      </c>
      <c r="CL156" s="240" t="s">
        <v>231</v>
      </c>
      <c r="CM156" s="240" t="s">
        <v>231</v>
      </c>
      <c r="CN156" s="240" t="s">
        <v>231</v>
      </c>
      <c r="CO156" s="240" t="s">
        <v>231</v>
      </c>
      <c r="CP156" s="240" t="s">
        <v>231</v>
      </c>
      <c r="CQ156" s="240" t="s">
        <v>231</v>
      </c>
      <c r="CR156" s="240" t="s">
        <v>231</v>
      </c>
      <c r="CS156" s="240" t="s">
        <v>231</v>
      </c>
      <c r="CT156" s="240" t="s">
        <v>231</v>
      </c>
      <c r="CU156" s="240" t="s">
        <v>231</v>
      </c>
      <c r="CV156" s="240" t="s">
        <v>231</v>
      </c>
      <c r="CW156" s="240" t="s">
        <v>231</v>
      </c>
      <c r="CX156" s="240" t="s">
        <v>231</v>
      </c>
      <c r="CY156" s="240" t="s">
        <v>231</v>
      </c>
      <c r="CZ156" s="240" t="s">
        <v>231</v>
      </c>
      <c r="DA156" s="240" t="s">
        <v>231</v>
      </c>
      <c r="DB156" s="240" t="s">
        <v>231</v>
      </c>
      <c r="DC156" s="240" t="s">
        <v>492</v>
      </c>
      <c r="DD156" s="240" t="s">
        <v>231</v>
      </c>
      <c r="DE156" s="240" t="s">
        <v>231</v>
      </c>
      <c r="DF156" s="240" t="s">
        <v>231</v>
      </c>
      <c r="DG156" s="240" t="s">
        <v>231</v>
      </c>
      <c r="DH156" s="240" t="s">
        <v>231</v>
      </c>
      <c r="DI156" s="240" t="s">
        <v>231</v>
      </c>
      <c r="DJ156" s="240" t="s">
        <v>231</v>
      </c>
      <c r="DK156" s="240" t="s">
        <v>231</v>
      </c>
      <c r="DL156" s="240" t="s">
        <v>231</v>
      </c>
      <c r="DM156" s="240" t="s">
        <v>231</v>
      </c>
      <c r="DN156" s="240" t="s">
        <v>231</v>
      </c>
      <c r="DO156" s="240" t="s">
        <v>231</v>
      </c>
      <c r="DP156" s="240" t="s">
        <v>231</v>
      </c>
      <c r="DQ156" s="240" t="s">
        <v>492</v>
      </c>
      <c r="DR156" s="240" t="s">
        <v>231</v>
      </c>
      <c r="DS156" s="240" t="s">
        <v>231</v>
      </c>
      <c r="DT156" s="240" t="s">
        <v>231</v>
      </c>
      <c r="DU156" s="240" t="s">
        <v>231</v>
      </c>
      <c r="DV156" s="240" t="s">
        <v>231</v>
      </c>
      <c r="DW156" s="240" t="s">
        <v>231</v>
      </c>
      <c r="DX156" s="240" t="s">
        <v>231</v>
      </c>
      <c r="DY156" s="240" t="s">
        <v>231</v>
      </c>
      <c r="DZ156" s="240" t="s">
        <v>231</v>
      </c>
      <c r="EA156" s="240" t="s">
        <v>231</v>
      </c>
      <c r="EB156" s="240" t="s">
        <v>231</v>
      </c>
      <c r="EC156" s="240" t="s">
        <v>231</v>
      </c>
      <c r="ED156" s="240" t="s">
        <v>231</v>
      </c>
      <c r="EE156" s="240" t="s">
        <v>231</v>
      </c>
      <c r="EF156" s="240" t="s">
        <v>231</v>
      </c>
      <c r="EG156" s="240" t="s">
        <v>231</v>
      </c>
      <c r="EH156" s="240" t="s">
        <v>231</v>
      </c>
      <c r="EI156" s="240" t="s">
        <v>231</v>
      </c>
      <c r="EJ156" s="240" t="s">
        <v>231</v>
      </c>
      <c r="EK156" s="240" t="s">
        <v>231</v>
      </c>
      <c r="EL156" s="240" t="s">
        <v>231</v>
      </c>
      <c r="EM156" s="240" t="s">
        <v>231</v>
      </c>
      <c r="EN156" s="240" t="s">
        <v>231</v>
      </c>
      <c r="EO156" s="240" t="s">
        <v>492</v>
      </c>
      <c r="EP156" s="240" t="s">
        <v>231</v>
      </c>
      <c r="EQ156" s="240" t="s">
        <v>231</v>
      </c>
      <c r="ER156" s="240" t="s">
        <v>231</v>
      </c>
      <c r="ES156" s="240" t="s">
        <v>231</v>
      </c>
      <c r="ET156" s="240" t="s">
        <v>231</v>
      </c>
      <c r="EU156" s="240" t="s">
        <v>231</v>
      </c>
      <c r="EV156" s="240" t="s">
        <v>231</v>
      </c>
      <c r="EW156" s="240" t="s">
        <v>492</v>
      </c>
      <c r="EX156" s="240" t="s">
        <v>492</v>
      </c>
      <c r="EY156" s="240" t="s">
        <v>492</v>
      </c>
      <c r="EZ156" s="240" t="s">
        <v>231</v>
      </c>
      <c r="FA156" s="240" t="s">
        <v>231</v>
      </c>
      <c r="FB156" s="240" t="s">
        <v>231</v>
      </c>
      <c r="FC156" s="240" t="s">
        <v>231</v>
      </c>
      <c r="FD156" s="240" t="s">
        <v>231</v>
      </c>
      <c r="FE156" s="240" t="s">
        <v>231</v>
      </c>
      <c r="FF156" s="240" t="s">
        <v>231</v>
      </c>
      <c r="FG156" s="240" t="s">
        <v>492</v>
      </c>
      <c r="FH156" s="240" t="s">
        <v>231</v>
      </c>
      <c r="FI156" s="240" t="s">
        <v>231</v>
      </c>
      <c r="FJ156" s="240" t="s">
        <v>231</v>
      </c>
      <c r="FK156" s="240" t="s">
        <v>231</v>
      </c>
      <c r="FL156" s="240" t="s">
        <v>231</v>
      </c>
      <c r="FM156" s="240" t="s">
        <v>231</v>
      </c>
      <c r="FN156" s="240" t="s">
        <v>231</v>
      </c>
      <c r="FO156" s="240" t="s">
        <v>231</v>
      </c>
      <c r="FP156" s="240" t="s">
        <v>231</v>
      </c>
      <c r="FQ156" s="240" t="s">
        <v>231</v>
      </c>
      <c r="FR156" s="240" t="s">
        <v>231</v>
      </c>
      <c r="FS156" s="240" t="s">
        <v>231</v>
      </c>
      <c r="FT156" s="240" t="s">
        <v>231</v>
      </c>
      <c r="FU156" s="240" t="s">
        <v>231</v>
      </c>
      <c r="FV156" s="240" t="s">
        <v>231</v>
      </c>
      <c r="FW156" s="240" t="s">
        <v>231</v>
      </c>
      <c r="FX156" s="240" t="s">
        <v>231</v>
      </c>
      <c r="FY156" s="240" t="s">
        <v>492</v>
      </c>
      <c r="FZ156" s="240" t="s">
        <v>231</v>
      </c>
      <c r="GA156" s="240" t="s">
        <v>231</v>
      </c>
      <c r="GB156" s="240" t="s">
        <v>231</v>
      </c>
      <c r="GC156" s="240" t="s">
        <v>231</v>
      </c>
      <c r="GD156" s="240" t="s">
        <v>231</v>
      </c>
      <c r="GE156" s="240" t="s">
        <v>492</v>
      </c>
      <c r="GF156" s="240" t="s">
        <v>231</v>
      </c>
      <c r="GG156" s="240" t="s">
        <v>231</v>
      </c>
      <c r="GH156" s="240" t="s">
        <v>231</v>
      </c>
      <c r="GI156" s="240" t="s">
        <v>231</v>
      </c>
      <c r="GJ156" s="240" t="s">
        <v>231</v>
      </c>
      <c r="GK156" s="240" t="s">
        <v>231</v>
      </c>
      <c r="GL156" s="240" t="s">
        <v>231</v>
      </c>
      <c r="GM156" s="240" t="s">
        <v>231</v>
      </c>
      <c r="GN156" s="240" t="s">
        <v>492</v>
      </c>
      <c r="GO156" s="240" t="s">
        <v>231</v>
      </c>
      <c r="GP156" s="240" t="s">
        <v>231</v>
      </c>
      <c r="GQ156" s="240" t="s">
        <v>231</v>
      </c>
      <c r="GR156" s="240" t="s">
        <v>231</v>
      </c>
      <c r="GS156" s="240" t="s">
        <v>231</v>
      </c>
      <c r="GT156" s="240" t="s">
        <v>231</v>
      </c>
      <c r="GU156" s="240" t="s">
        <v>231</v>
      </c>
      <c r="GV156" s="240" t="s">
        <v>231</v>
      </c>
      <c r="GW156" s="240" t="s">
        <v>231</v>
      </c>
      <c r="GX156" s="240" t="s">
        <v>231</v>
      </c>
      <c r="GY156" s="240" t="s">
        <v>492</v>
      </c>
      <c r="GZ156" s="240" t="s">
        <v>492</v>
      </c>
      <c r="HA156" s="240" t="s">
        <v>492</v>
      </c>
      <c r="HB156" s="240" t="s">
        <v>492</v>
      </c>
      <c r="HC156" s="240" t="s">
        <v>492</v>
      </c>
      <c r="HD156" s="240" t="s">
        <v>231</v>
      </c>
      <c r="HE156" s="240" t="s">
        <v>231</v>
      </c>
      <c r="HF156" s="240" t="s">
        <v>231</v>
      </c>
      <c r="HG156" s="240" t="s">
        <v>231</v>
      </c>
      <c r="HH156" s="240" t="s">
        <v>231</v>
      </c>
      <c r="HI156" s="240" t="s">
        <v>231</v>
      </c>
      <c r="HJ156" s="240" t="s">
        <v>231</v>
      </c>
      <c r="HK156" s="240" t="s">
        <v>231</v>
      </c>
      <c r="HL156" s="240" t="s">
        <v>231</v>
      </c>
      <c r="HM156" s="240" t="s">
        <v>231</v>
      </c>
      <c r="HN156" s="240" t="s">
        <v>231</v>
      </c>
      <c r="HO156" s="240" t="s">
        <v>231</v>
      </c>
      <c r="HP156" s="240" t="s">
        <v>231</v>
      </c>
      <c r="HQ156" s="240" t="s">
        <v>231</v>
      </c>
      <c r="HR156" s="240" t="s">
        <v>231</v>
      </c>
      <c r="HS156" s="240" t="s">
        <v>231</v>
      </c>
      <c r="HT156" s="240" t="s">
        <v>231</v>
      </c>
      <c r="HU156" s="240" t="s">
        <v>231</v>
      </c>
      <c r="HV156" s="240" t="s">
        <v>231</v>
      </c>
      <c r="HW156" s="240" t="s">
        <v>231</v>
      </c>
      <c r="HX156" s="240" t="s">
        <v>220</v>
      </c>
      <c r="HY156" s="240" t="s">
        <v>493</v>
      </c>
      <c r="HZ156" s="240" t="s">
        <v>219</v>
      </c>
      <c r="IA156" s="240" t="s">
        <v>490</v>
      </c>
      <c r="IB156" s="240" t="s">
        <v>492</v>
      </c>
      <c r="IC156" s="240" t="s">
        <v>492</v>
      </c>
    </row>
    <row r="157" spans="1:237" ht="15" x14ac:dyDescent="0.25">
      <c r="A157" s="243" t="str">
        <f>HYPERLINK("http://www.ofsted.gov.uk/inspection-reports/find-inspection-report/provider/ELS/146334 ","Ofsted School Webpage")</f>
        <v>Ofsted School Webpage</v>
      </c>
      <c r="B157" s="237">
        <v>146334</v>
      </c>
      <c r="C157" s="237">
        <v>3036003</v>
      </c>
      <c r="D157" s="237" t="s">
        <v>1419</v>
      </c>
      <c r="E157" s="237" t="s">
        <v>247</v>
      </c>
      <c r="F157" s="237" t="s">
        <v>506</v>
      </c>
      <c r="G157" s="237" t="s">
        <v>506</v>
      </c>
      <c r="H157" s="237" t="s">
        <v>1330</v>
      </c>
      <c r="I157" s="237" t="s">
        <v>1420</v>
      </c>
      <c r="J157" s="237" t="s">
        <v>93</v>
      </c>
      <c r="K157" s="237" t="s">
        <v>93</v>
      </c>
      <c r="L157" s="237" t="s">
        <v>93</v>
      </c>
      <c r="M157" s="237" t="s">
        <v>90</v>
      </c>
      <c r="N157" s="237" t="s">
        <v>486</v>
      </c>
      <c r="O157" s="237" t="s">
        <v>487</v>
      </c>
      <c r="P157" s="237">
        <v>10081295</v>
      </c>
      <c r="Q157" s="239">
        <v>43412</v>
      </c>
      <c r="R157" s="239">
        <v>43412</v>
      </c>
      <c r="S157" s="239">
        <v>43448</v>
      </c>
      <c r="T157" s="237" t="s">
        <v>1377</v>
      </c>
      <c r="U157" s="237" t="s">
        <v>1105</v>
      </c>
      <c r="V157" s="237" t="s">
        <v>490</v>
      </c>
      <c r="W157" s="237" t="s">
        <v>486</v>
      </c>
      <c r="X157" s="237" t="s">
        <v>486</v>
      </c>
      <c r="Y157" s="237" t="s">
        <v>486</v>
      </c>
      <c r="Z157" s="237" t="s">
        <v>486</v>
      </c>
      <c r="AA157" s="237" t="s">
        <v>486</v>
      </c>
      <c r="AB157" s="237" t="s">
        <v>486</v>
      </c>
      <c r="AC157" s="237" t="s">
        <v>486</v>
      </c>
      <c r="AD157" s="237" t="s">
        <v>1386</v>
      </c>
      <c r="AE157" s="237" t="s">
        <v>232</v>
      </c>
      <c r="AF157" s="237" t="s">
        <v>232</v>
      </c>
      <c r="AG157" s="237" t="s">
        <v>232</v>
      </c>
      <c r="AH157" s="237" t="s">
        <v>232</v>
      </c>
      <c r="AI157" s="237" t="s">
        <v>232</v>
      </c>
      <c r="AJ157" s="237" t="s">
        <v>232</v>
      </c>
      <c r="AK157" s="237" t="s">
        <v>232</v>
      </c>
      <c r="AL157" s="237" t="s">
        <v>232</v>
      </c>
      <c r="AM157" s="237" t="s">
        <v>492</v>
      </c>
      <c r="AN157" s="237" t="s">
        <v>232</v>
      </c>
      <c r="AO157" s="237" t="s">
        <v>232</v>
      </c>
      <c r="AP157" s="237" t="s">
        <v>232</v>
      </c>
      <c r="AQ157" s="237" t="s">
        <v>231</v>
      </c>
      <c r="AR157" s="237" t="s">
        <v>231</v>
      </c>
      <c r="AS157" s="237" t="s">
        <v>231</v>
      </c>
      <c r="AT157" s="237" t="s">
        <v>1107</v>
      </c>
      <c r="AU157" s="237" t="s">
        <v>492</v>
      </c>
      <c r="AV157" s="237" t="s">
        <v>492</v>
      </c>
      <c r="AW157" s="237" t="s">
        <v>232</v>
      </c>
      <c r="AX157" s="237" t="s">
        <v>231</v>
      </c>
      <c r="AY157" s="237" t="s">
        <v>232</v>
      </c>
      <c r="AZ157" s="237" t="s">
        <v>232</v>
      </c>
      <c r="BA157" s="237" t="s">
        <v>231</v>
      </c>
      <c r="BB157" s="237" t="s">
        <v>231</v>
      </c>
      <c r="BC157" s="237" t="s">
        <v>231</v>
      </c>
      <c r="BD157" s="237" t="s">
        <v>231</v>
      </c>
      <c r="BE157" s="237" t="s">
        <v>231</v>
      </c>
      <c r="BF157" s="237" t="s">
        <v>232</v>
      </c>
      <c r="BG157" s="237" t="s">
        <v>231</v>
      </c>
      <c r="BH157" s="237" t="s">
        <v>231</v>
      </c>
      <c r="BI157" s="237" t="s">
        <v>231</v>
      </c>
      <c r="BJ157" s="237" t="s">
        <v>232</v>
      </c>
      <c r="BK157" s="237" t="s">
        <v>231</v>
      </c>
      <c r="BL157" s="237" t="s">
        <v>231</v>
      </c>
      <c r="BM157" s="237" t="s">
        <v>231</v>
      </c>
      <c r="BN157" s="237" t="s">
        <v>231</v>
      </c>
      <c r="BO157" s="237" t="s">
        <v>231</v>
      </c>
      <c r="BP157" s="237" t="s">
        <v>231</v>
      </c>
      <c r="BQ157" s="237" t="s">
        <v>231</v>
      </c>
      <c r="BR157" s="237" t="s">
        <v>231</v>
      </c>
      <c r="BS157" s="237" t="s">
        <v>231</v>
      </c>
      <c r="BT157" s="237" t="s">
        <v>231</v>
      </c>
      <c r="BU157" s="237" t="s">
        <v>231</v>
      </c>
      <c r="BV157" s="237" t="s">
        <v>231</v>
      </c>
      <c r="BW157" s="237" t="s">
        <v>231</v>
      </c>
      <c r="BX157" s="237" t="s">
        <v>231</v>
      </c>
      <c r="BY157" s="237" t="s">
        <v>231</v>
      </c>
      <c r="BZ157" s="237" t="s">
        <v>232</v>
      </c>
      <c r="CA157" s="237" t="s">
        <v>232</v>
      </c>
      <c r="CB157" s="237" t="s">
        <v>232</v>
      </c>
      <c r="CC157" s="237" t="s">
        <v>492</v>
      </c>
      <c r="CD157" s="237" t="s">
        <v>492</v>
      </c>
      <c r="CE157" s="237" t="s">
        <v>492</v>
      </c>
      <c r="CF157" s="237" t="s">
        <v>232</v>
      </c>
      <c r="CG157" s="237" t="s">
        <v>232</v>
      </c>
      <c r="CH157" s="237" t="s">
        <v>232</v>
      </c>
      <c r="CI157" s="237" t="s">
        <v>232</v>
      </c>
      <c r="CJ157" s="237" t="s">
        <v>232</v>
      </c>
      <c r="CK157" s="237" t="s">
        <v>231</v>
      </c>
      <c r="CL157" s="237" t="s">
        <v>232</v>
      </c>
      <c r="CM157" s="237" t="s">
        <v>232</v>
      </c>
      <c r="CN157" s="237" t="s">
        <v>231</v>
      </c>
      <c r="CO157" s="237" t="s">
        <v>232</v>
      </c>
      <c r="CP157" s="237" t="s">
        <v>232</v>
      </c>
      <c r="CQ157" s="237" t="s">
        <v>232</v>
      </c>
      <c r="CR157" s="237" t="s">
        <v>231</v>
      </c>
      <c r="CS157" s="237" t="s">
        <v>232</v>
      </c>
      <c r="CT157" s="237" t="s">
        <v>231</v>
      </c>
      <c r="CU157" s="237" t="s">
        <v>232</v>
      </c>
      <c r="CV157" s="237" t="s">
        <v>232</v>
      </c>
      <c r="CW157" s="237" t="s">
        <v>232</v>
      </c>
      <c r="CX157" s="237" t="s">
        <v>232</v>
      </c>
      <c r="CY157" s="237" t="s">
        <v>232</v>
      </c>
      <c r="CZ157" s="237" t="s">
        <v>232</v>
      </c>
      <c r="DA157" s="237" t="s">
        <v>231</v>
      </c>
      <c r="DB157" s="237" t="s">
        <v>232</v>
      </c>
      <c r="DC157" s="237" t="s">
        <v>492</v>
      </c>
      <c r="DD157" s="237" t="s">
        <v>232</v>
      </c>
      <c r="DE157" s="237" t="s">
        <v>492</v>
      </c>
      <c r="DF157" s="237" t="s">
        <v>492</v>
      </c>
      <c r="DG157" s="237" t="s">
        <v>492</v>
      </c>
      <c r="DH157" s="237" t="s">
        <v>492</v>
      </c>
      <c r="DI157" s="237" t="s">
        <v>492</v>
      </c>
      <c r="DJ157" s="237" t="s">
        <v>492</v>
      </c>
      <c r="DK157" s="237" t="s">
        <v>492</v>
      </c>
      <c r="DL157" s="237" t="s">
        <v>492</v>
      </c>
      <c r="DM157" s="237" t="s">
        <v>492</v>
      </c>
      <c r="DN157" s="237" t="s">
        <v>492</v>
      </c>
      <c r="DO157" s="237" t="s">
        <v>492</v>
      </c>
      <c r="DP157" s="237" t="s">
        <v>492</v>
      </c>
      <c r="DQ157" s="237" t="s">
        <v>492</v>
      </c>
      <c r="DR157" s="237" t="s">
        <v>492</v>
      </c>
      <c r="DS157" s="237" t="s">
        <v>232</v>
      </c>
      <c r="DT157" s="237" t="s">
        <v>232</v>
      </c>
      <c r="DU157" s="237" t="s">
        <v>231</v>
      </c>
      <c r="DV157" s="237" t="s">
        <v>232</v>
      </c>
      <c r="DW157" s="237" t="s">
        <v>232</v>
      </c>
      <c r="DX157" s="237" t="s">
        <v>231</v>
      </c>
      <c r="DY157" s="237" t="s">
        <v>231</v>
      </c>
      <c r="DZ157" s="237" t="s">
        <v>232</v>
      </c>
      <c r="EA157" s="237" t="s">
        <v>231</v>
      </c>
      <c r="EB157" s="237" t="s">
        <v>232</v>
      </c>
      <c r="EC157" s="237" t="s">
        <v>232</v>
      </c>
      <c r="ED157" s="237" t="s">
        <v>232</v>
      </c>
      <c r="EE157" s="237" t="s">
        <v>232</v>
      </c>
      <c r="EF157" s="237" t="s">
        <v>232</v>
      </c>
      <c r="EG157" s="237" t="s">
        <v>232</v>
      </c>
      <c r="EH157" s="237" t="s">
        <v>232</v>
      </c>
      <c r="EI157" s="237" t="s">
        <v>232</v>
      </c>
      <c r="EJ157" s="237" t="s">
        <v>232</v>
      </c>
      <c r="EK157" s="237" t="s">
        <v>232</v>
      </c>
      <c r="EL157" s="237" t="s">
        <v>232</v>
      </c>
      <c r="EM157" s="237" t="s">
        <v>232</v>
      </c>
      <c r="EN157" s="237" t="s">
        <v>232</v>
      </c>
      <c r="EO157" s="237" t="s">
        <v>492</v>
      </c>
      <c r="EP157" s="237" t="s">
        <v>492</v>
      </c>
      <c r="EQ157" s="237" t="s">
        <v>492</v>
      </c>
      <c r="ER157" s="237" t="s">
        <v>492</v>
      </c>
      <c r="ES157" s="237" t="s">
        <v>492</v>
      </c>
      <c r="ET157" s="237" t="s">
        <v>492</v>
      </c>
      <c r="EU157" s="237" t="s">
        <v>492</v>
      </c>
      <c r="EV157" s="237" t="s">
        <v>232</v>
      </c>
      <c r="EW157" s="237" t="s">
        <v>492</v>
      </c>
      <c r="EX157" s="237" t="s">
        <v>492</v>
      </c>
      <c r="EY157" s="237" t="s">
        <v>492</v>
      </c>
      <c r="EZ157" s="237" t="s">
        <v>232</v>
      </c>
      <c r="FA157" s="237" t="s">
        <v>231</v>
      </c>
      <c r="FB157" s="237" t="s">
        <v>231</v>
      </c>
      <c r="FC157" s="237" t="s">
        <v>232</v>
      </c>
      <c r="FD157" s="237" t="s">
        <v>232</v>
      </c>
      <c r="FE157" s="237" t="s">
        <v>232</v>
      </c>
      <c r="FF157" s="237" t="s">
        <v>232</v>
      </c>
      <c r="FG157" s="237" t="s">
        <v>492</v>
      </c>
      <c r="FH157" s="237" t="s">
        <v>232</v>
      </c>
      <c r="FI157" s="237" t="s">
        <v>232</v>
      </c>
      <c r="FJ157" s="237" t="s">
        <v>231</v>
      </c>
      <c r="FK157" s="237" t="s">
        <v>232</v>
      </c>
      <c r="FL157" s="237" t="s">
        <v>232</v>
      </c>
      <c r="FM157" s="237" t="s">
        <v>232</v>
      </c>
      <c r="FN157" s="237" t="s">
        <v>232</v>
      </c>
      <c r="FO157" s="237" t="s">
        <v>231</v>
      </c>
      <c r="FP157" s="237" t="s">
        <v>232</v>
      </c>
      <c r="FQ157" s="237" t="s">
        <v>231</v>
      </c>
      <c r="FR157" s="237" t="s">
        <v>232</v>
      </c>
      <c r="FS157" s="237" t="s">
        <v>231</v>
      </c>
      <c r="FT157" s="237" t="s">
        <v>231</v>
      </c>
      <c r="FU157" s="237" t="s">
        <v>231</v>
      </c>
      <c r="FV157" s="237" t="s">
        <v>231</v>
      </c>
      <c r="FW157" s="237" t="s">
        <v>231</v>
      </c>
      <c r="FX157" s="237" t="s">
        <v>231</v>
      </c>
      <c r="FY157" s="237" t="s">
        <v>492</v>
      </c>
      <c r="FZ157" s="237" t="s">
        <v>232</v>
      </c>
      <c r="GA157" s="237" t="s">
        <v>231</v>
      </c>
      <c r="GB157" s="237" t="s">
        <v>232</v>
      </c>
      <c r="GC157" s="237" t="s">
        <v>231</v>
      </c>
      <c r="GD157" s="237" t="s">
        <v>231</v>
      </c>
      <c r="GE157" s="237" t="s">
        <v>492</v>
      </c>
      <c r="GF157" s="237" t="s">
        <v>232</v>
      </c>
      <c r="GG157" s="237" t="s">
        <v>231</v>
      </c>
      <c r="GH157" s="237" t="s">
        <v>231</v>
      </c>
      <c r="GI157" s="237" t="s">
        <v>231</v>
      </c>
      <c r="GJ157" s="237" t="s">
        <v>231</v>
      </c>
      <c r="GK157" s="237" t="s">
        <v>231</v>
      </c>
      <c r="GL157" s="237" t="s">
        <v>231</v>
      </c>
      <c r="GM157" s="237" t="s">
        <v>231</v>
      </c>
      <c r="GN157" s="237" t="s">
        <v>492</v>
      </c>
      <c r="GO157" s="237" t="s">
        <v>231</v>
      </c>
      <c r="GP157" s="237" t="s">
        <v>492</v>
      </c>
      <c r="GQ157" s="237" t="s">
        <v>231</v>
      </c>
      <c r="GR157" s="237" t="s">
        <v>232</v>
      </c>
      <c r="GS157" s="237" t="s">
        <v>231</v>
      </c>
      <c r="GT157" s="237" t="s">
        <v>232</v>
      </c>
      <c r="GU157" s="237" t="s">
        <v>232</v>
      </c>
      <c r="GV157" s="237" t="s">
        <v>232</v>
      </c>
      <c r="GW157" s="237" t="s">
        <v>492</v>
      </c>
      <c r="GX157" s="237" t="s">
        <v>231</v>
      </c>
      <c r="GY157" s="237" t="s">
        <v>492</v>
      </c>
      <c r="GZ157" s="237" t="s">
        <v>492</v>
      </c>
      <c r="HA157" s="237" t="s">
        <v>492</v>
      </c>
      <c r="HB157" s="237" t="s">
        <v>492</v>
      </c>
      <c r="HC157" s="237" t="s">
        <v>492</v>
      </c>
      <c r="HD157" s="237" t="s">
        <v>231</v>
      </c>
      <c r="HE157" s="237" t="s">
        <v>231</v>
      </c>
      <c r="HF157" s="237" t="s">
        <v>231</v>
      </c>
      <c r="HG157" s="237" t="s">
        <v>231</v>
      </c>
      <c r="HH157" s="237" t="s">
        <v>231</v>
      </c>
      <c r="HI157" s="237" t="s">
        <v>231</v>
      </c>
      <c r="HJ157" s="237" t="s">
        <v>231</v>
      </c>
      <c r="HK157" s="237" t="s">
        <v>231</v>
      </c>
      <c r="HL157" s="237" t="s">
        <v>231</v>
      </c>
      <c r="HM157" s="237" t="s">
        <v>231</v>
      </c>
      <c r="HN157" s="237" t="s">
        <v>231</v>
      </c>
      <c r="HO157" s="237" t="s">
        <v>231</v>
      </c>
      <c r="HP157" s="237" t="s">
        <v>231</v>
      </c>
      <c r="HQ157" s="237" t="s">
        <v>231</v>
      </c>
      <c r="HR157" s="237" t="s">
        <v>231</v>
      </c>
      <c r="HS157" s="237" t="s">
        <v>231</v>
      </c>
      <c r="HT157" s="237" t="s">
        <v>232</v>
      </c>
      <c r="HU157" s="237" t="s">
        <v>232</v>
      </c>
      <c r="HV157" s="237" t="s">
        <v>232</v>
      </c>
      <c r="HW157" s="237" t="s">
        <v>232</v>
      </c>
      <c r="HX157" s="237" t="s">
        <v>220</v>
      </c>
      <c r="HY157" s="237" t="s">
        <v>493</v>
      </c>
      <c r="HZ157" s="237" t="s">
        <v>219</v>
      </c>
      <c r="IA157" s="237" t="s">
        <v>512</v>
      </c>
      <c r="IB157" s="237" t="s">
        <v>492</v>
      </c>
      <c r="IC157" s="237" t="s">
        <v>492</v>
      </c>
    </row>
    <row r="158" spans="1:237" ht="15" x14ac:dyDescent="0.25">
      <c r="A158" s="244" t="str">
        <f>HYPERLINK("http://www.ofsted.gov.uk/inspection-reports/find-inspection-report/provider/ELS/146332 ","Ofsted School Webpage")</f>
        <v>Ofsted School Webpage</v>
      </c>
      <c r="B158" s="240">
        <v>146332</v>
      </c>
      <c r="C158" s="240">
        <v>9356013</v>
      </c>
      <c r="D158" s="240" t="s">
        <v>1421</v>
      </c>
      <c r="E158" s="240" t="s">
        <v>248</v>
      </c>
      <c r="F158" s="240" t="s">
        <v>516</v>
      </c>
      <c r="G158" s="240" t="s">
        <v>516</v>
      </c>
      <c r="H158" s="240" t="s">
        <v>937</v>
      </c>
      <c r="I158" s="240" t="s">
        <v>1422</v>
      </c>
      <c r="J158" s="240" t="s">
        <v>93</v>
      </c>
      <c r="K158" s="240" t="s">
        <v>93</v>
      </c>
      <c r="L158" s="240" t="s">
        <v>93</v>
      </c>
      <c r="M158" s="240" t="s">
        <v>90</v>
      </c>
      <c r="N158" s="240" t="s">
        <v>486</v>
      </c>
      <c r="O158" s="240" t="s">
        <v>487</v>
      </c>
      <c r="P158" s="240">
        <v>10081651</v>
      </c>
      <c r="Q158" s="242">
        <v>43427</v>
      </c>
      <c r="R158" s="242">
        <v>43427</v>
      </c>
      <c r="S158" s="242">
        <v>43451</v>
      </c>
      <c r="T158" s="240" t="s">
        <v>1377</v>
      </c>
      <c r="U158" s="240" t="s">
        <v>1105</v>
      </c>
      <c r="V158" s="240" t="s">
        <v>490</v>
      </c>
      <c r="W158" s="240" t="s">
        <v>486</v>
      </c>
      <c r="X158" s="240" t="s">
        <v>486</v>
      </c>
      <c r="Y158" s="240" t="s">
        <v>486</v>
      </c>
      <c r="Z158" s="240" t="s">
        <v>486</v>
      </c>
      <c r="AA158" s="240" t="s">
        <v>486</v>
      </c>
      <c r="AB158" s="240" t="s">
        <v>486</v>
      </c>
      <c r="AC158" s="240" t="s">
        <v>486</v>
      </c>
      <c r="AD158" s="240" t="s">
        <v>1378</v>
      </c>
      <c r="AE158" s="240" t="s">
        <v>231</v>
      </c>
      <c r="AF158" s="240" t="s">
        <v>231</v>
      </c>
      <c r="AG158" s="240" t="s">
        <v>231</v>
      </c>
      <c r="AH158" s="240" t="s">
        <v>231</v>
      </c>
      <c r="AI158" s="240" t="s">
        <v>231</v>
      </c>
      <c r="AJ158" s="240" t="s">
        <v>231</v>
      </c>
      <c r="AK158" s="240" t="s">
        <v>231</v>
      </c>
      <c r="AL158" s="240" t="s">
        <v>231</v>
      </c>
      <c r="AM158" s="240" t="s">
        <v>492</v>
      </c>
      <c r="AN158" s="240" t="s">
        <v>231</v>
      </c>
      <c r="AO158" s="240" t="s">
        <v>231</v>
      </c>
      <c r="AP158" s="240" t="s">
        <v>231</v>
      </c>
      <c r="AQ158" s="240" t="s">
        <v>231</v>
      </c>
      <c r="AR158" s="240" t="s">
        <v>231</v>
      </c>
      <c r="AS158" s="240" t="s">
        <v>231</v>
      </c>
      <c r="AT158" s="240" t="s">
        <v>231</v>
      </c>
      <c r="AU158" s="240" t="s">
        <v>492</v>
      </c>
      <c r="AV158" s="240" t="s">
        <v>492</v>
      </c>
      <c r="AW158" s="240" t="s">
        <v>231</v>
      </c>
      <c r="AX158" s="240" t="s">
        <v>231</v>
      </c>
      <c r="AY158" s="240" t="s">
        <v>231</v>
      </c>
      <c r="AZ158" s="240" t="s">
        <v>231</v>
      </c>
      <c r="BA158" s="240" t="s">
        <v>231</v>
      </c>
      <c r="BB158" s="240" t="s">
        <v>231</v>
      </c>
      <c r="BC158" s="240" t="s">
        <v>231</v>
      </c>
      <c r="BD158" s="240" t="s">
        <v>231</v>
      </c>
      <c r="BE158" s="240" t="s">
        <v>231</v>
      </c>
      <c r="BF158" s="240" t="s">
        <v>231</v>
      </c>
      <c r="BG158" s="240" t="s">
        <v>231</v>
      </c>
      <c r="BH158" s="240" t="s">
        <v>231</v>
      </c>
      <c r="BI158" s="240" t="s">
        <v>231</v>
      </c>
      <c r="BJ158" s="240" t="s">
        <v>231</v>
      </c>
      <c r="BK158" s="240" t="s">
        <v>231</v>
      </c>
      <c r="BL158" s="240" t="s">
        <v>231</v>
      </c>
      <c r="BM158" s="240" t="s">
        <v>231</v>
      </c>
      <c r="BN158" s="240" t="s">
        <v>231</v>
      </c>
      <c r="BO158" s="240" t="s">
        <v>231</v>
      </c>
      <c r="BP158" s="240" t="s">
        <v>231</v>
      </c>
      <c r="BQ158" s="240" t="s">
        <v>231</v>
      </c>
      <c r="BR158" s="240" t="s">
        <v>231</v>
      </c>
      <c r="BS158" s="240" t="s">
        <v>231</v>
      </c>
      <c r="BT158" s="240" t="s">
        <v>231</v>
      </c>
      <c r="BU158" s="240" t="s">
        <v>231</v>
      </c>
      <c r="BV158" s="240" t="s">
        <v>231</v>
      </c>
      <c r="BW158" s="240" t="s">
        <v>231</v>
      </c>
      <c r="BX158" s="240" t="s">
        <v>231</v>
      </c>
      <c r="BY158" s="240" t="s">
        <v>231</v>
      </c>
      <c r="BZ158" s="240" t="s">
        <v>231</v>
      </c>
      <c r="CA158" s="240" t="s">
        <v>231</v>
      </c>
      <c r="CB158" s="240" t="s">
        <v>231</v>
      </c>
      <c r="CC158" s="240" t="s">
        <v>492</v>
      </c>
      <c r="CD158" s="240" t="s">
        <v>492</v>
      </c>
      <c r="CE158" s="240" t="s">
        <v>492</v>
      </c>
      <c r="CF158" s="240" t="s">
        <v>231</v>
      </c>
      <c r="CG158" s="240" t="s">
        <v>231</v>
      </c>
      <c r="CH158" s="240" t="s">
        <v>231</v>
      </c>
      <c r="CI158" s="240" t="s">
        <v>231</v>
      </c>
      <c r="CJ158" s="240" t="s">
        <v>231</v>
      </c>
      <c r="CK158" s="240" t="s">
        <v>231</v>
      </c>
      <c r="CL158" s="240" t="s">
        <v>231</v>
      </c>
      <c r="CM158" s="240" t="s">
        <v>231</v>
      </c>
      <c r="CN158" s="240" t="s">
        <v>231</v>
      </c>
      <c r="CO158" s="240" t="s">
        <v>231</v>
      </c>
      <c r="CP158" s="240" t="s">
        <v>231</v>
      </c>
      <c r="CQ158" s="240" t="s">
        <v>231</v>
      </c>
      <c r="CR158" s="240" t="s">
        <v>231</v>
      </c>
      <c r="CS158" s="240" t="s">
        <v>231</v>
      </c>
      <c r="CT158" s="240" t="s">
        <v>231</v>
      </c>
      <c r="CU158" s="240" t="s">
        <v>231</v>
      </c>
      <c r="CV158" s="240" t="s">
        <v>231</v>
      </c>
      <c r="CW158" s="240" t="s">
        <v>231</v>
      </c>
      <c r="CX158" s="240" t="s">
        <v>231</v>
      </c>
      <c r="CY158" s="240" t="s">
        <v>231</v>
      </c>
      <c r="CZ158" s="240" t="s">
        <v>231</v>
      </c>
      <c r="DA158" s="240" t="s">
        <v>231</v>
      </c>
      <c r="DB158" s="240" t="s">
        <v>231</v>
      </c>
      <c r="DC158" s="240" t="s">
        <v>492</v>
      </c>
      <c r="DD158" s="240" t="s">
        <v>231</v>
      </c>
      <c r="DE158" s="240" t="s">
        <v>492</v>
      </c>
      <c r="DF158" s="240" t="s">
        <v>492</v>
      </c>
      <c r="DG158" s="240" t="s">
        <v>492</v>
      </c>
      <c r="DH158" s="240" t="s">
        <v>492</v>
      </c>
      <c r="DI158" s="240" t="s">
        <v>492</v>
      </c>
      <c r="DJ158" s="240" t="s">
        <v>492</v>
      </c>
      <c r="DK158" s="240" t="s">
        <v>492</v>
      </c>
      <c r="DL158" s="240" t="s">
        <v>492</v>
      </c>
      <c r="DM158" s="240" t="s">
        <v>492</v>
      </c>
      <c r="DN158" s="240" t="s">
        <v>492</v>
      </c>
      <c r="DO158" s="240" t="s">
        <v>492</v>
      </c>
      <c r="DP158" s="240" t="s">
        <v>492</v>
      </c>
      <c r="DQ158" s="240" t="s">
        <v>492</v>
      </c>
      <c r="DR158" s="240" t="s">
        <v>492</v>
      </c>
      <c r="DS158" s="240" t="s">
        <v>231</v>
      </c>
      <c r="DT158" s="240" t="s">
        <v>231</v>
      </c>
      <c r="DU158" s="240" t="s">
        <v>231</v>
      </c>
      <c r="DV158" s="240" t="s">
        <v>231</v>
      </c>
      <c r="DW158" s="240" t="s">
        <v>231</v>
      </c>
      <c r="DX158" s="240" t="s">
        <v>231</v>
      </c>
      <c r="DY158" s="240" t="s">
        <v>231</v>
      </c>
      <c r="DZ158" s="240" t="s">
        <v>231</v>
      </c>
      <c r="EA158" s="240" t="s">
        <v>231</v>
      </c>
      <c r="EB158" s="240" t="s">
        <v>231</v>
      </c>
      <c r="EC158" s="240" t="s">
        <v>231</v>
      </c>
      <c r="ED158" s="240" t="s">
        <v>231</v>
      </c>
      <c r="EE158" s="240" t="s">
        <v>231</v>
      </c>
      <c r="EF158" s="240" t="s">
        <v>231</v>
      </c>
      <c r="EG158" s="240" t="s">
        <v>231</v>
      </c>
      <c r="EH158" s="240" t="s">
        <v>231</v>
      </c>
      <c r="EI158" s="240" t="s">
        <v>231</v>
      </c>
      <c r="EJ158" s="240" t="s">
        <v>231</v>
      </c>
      <c r="EK158" s="240" t="s">
        <v>231</v>
      </c>
      <c r="EL158" s="240" t="s">
        <v>231</v>
      </c>
      <c r="EM158" s="240" t="s">
        <v>231</v>
      </c>
      <c r="EN158" s="240" t="s">
        <v>231</v>
      </c>
      <c r="EO158" s="240" t="s">
        <v>231</v>
      </c>
      <c r="EP158" s="240" t="s">
        <v>492</v>
      </c>
      <c r="EQ158" s="240" t="s">
        <v>492</v>
      </c>
      <c r="ER158" s="240" t="s">
        <v>492</v>
      </c>
      <c r="ES158" s="240" t="s">
        <v>492</v>
      </c>
      <c r="ET158" s="240" t="s">
        <v>492</v>
      </c>
      <c r="EU158" s="240" t="s">
        <v>492</v>
      </c>
      <c r="EV158" s="240" t="s">
        <v>231</v>
      </c>
      <c r="EW158" s="240" t="s">
        <v>231</v>
      </c>
      <c r="EX158" s="240" t="s">
        <v>231</v>
      </c>
      <c r="EY158" s="240" t="s">
        <v>231</v>
      </c>
      <c r="EZ158" s="240" t="s">
        <v>231</v>
      </c>
      <c r="FA158" s="240" t="s">
        <v>231</v>
      </c>
      <c r="FB158" s="240" t="s">
        <v>231</v>
      </c>
      <c r="FC158" s="240" t="s">
        <v>231</v>
      </c>
      <c r="FD158" s="240" t="s">
        <v>231</v>
      </c>
      <c r="FE158" s="240" t="s">
        <v>231</v>
      </c>
      <c r="FF158" s="240" t="s">
        <v>231</v>
      </c>
      <c r="FG158" s="240" t="s">
        <v>492</v>
      </c>
      <c r="FH158" s="240" t="s">
        <v>231</v>
      </c>
      <c r="FI158" s="240" t="s">
        <v>231</v>
      </c>
      <c r="FJ158" s="240" t="s">
        <v>231</v>
      </c>
      <c r="FK158" s="240" t="s">
        <v>231</v>
      </c>
      <c r="FL158" s="240" t="s">
        <v>231</v>
      </c>
      <c r="FM158" s="240" t="s">
        <v>231</v>
      </c>
      <c r="FN158" s="240" t="s">
        <v>231</v>
      </c>
      <c r="FO158" s="240" t="s">
        <v>231</v>
      </c>
      <c r="FP158" s="240" t="s">
        <v>231</v>
      </c>
      <c r="FQ158" s="240" t="s">
        <v>231</v>
      </c>
      <c r="FR158" s="240" t="s">
        <v>231</v>
      </c>
      <c r="FS158" s="240" t="s">
        <v>231</v>
      </c>
      <c r="FT158" s="240" t="s">
        <v>231</v>
      </c>
      <c r="FU158" s="240" t="s">
        <v>231</v>
      </c>
      <c r="FV158" s="240" t="s">
        <v>231</v>
      </c>
      <c r="FW158" s="240" t="s">
        <v>231</v>
      </c>
      <c r="FX158" s="240" t="s">
        <v>231</v>
      </c>
      <c r="FY158" s="240" t="s">
        <v>492</v>
      </c>
      <c r="FZ158" s="240" t="s">
        <v>231</v>
      </c>
      <c r="GA158" s="240" t="s">
        <v>231</v>
      </c>
      <c r="GB158" s="240" t="s">
        <v>231</v>
      </c>
      <c r="GC158" s="240" t="s">
        <v>231</v>
      </c>
      <c r="GD158" s="240" t="s">
        <v>231</v>
      </c>
      <c r="GE158" s="240" t="s">
        <v>492</v>
      </c>
      <c r="GF158" s="240" t="s">
        <v>231</v>
      </c>
      <c r="GG158" s="240" t="s">
        <v>231</v>
      </c>
      <c r="GH158" s="240" t="s">
        <v>231</v>
      </c>
      <c r="GI158" s="240" t="s">
        <v>231</v>
      </c>
      <c r="GJ158" s="240" t="s">
        <v>231</v>
      </c>
      <c r="GK158" s="240" t="s">
        <v>231</v>
      </c>
      <c r="GL158" s="240" t="s">
        <v>231</v>
      </c>
      <c r="GM158" s="240" t="s">
        <v>231</v>
      </c>
      <c r="GN158" s="240" t="s">
        <v>492</v>
      </c>
      <c r="GO158" s="240" t="s">
        <v>231</v>
      </c>
      <c r="GP158" s="240" t="s">
        <v>231</v>
      </c>
      <c r="GQ158" s="240" t="s">
        <v>231</v>
      </c>
      <c r="GR158" s="240" t="s">
        <v>231</v>
      </c>
      <c r="GS158" s="240" t="s">
        <v>231</v>
      </c>
      <c r="GT158" s="240" t="s">
        <v>231</v>
      </c>
      <c r="GU158" s="240" t="s">
        <v>231</v>
      </c>
      <c r="GV158" s="240" t="s">
        <v>231</v>
      </c>
      <c r="GW158" s="240" t="s">
        <v>231</v>
      </c>
      <c r="GX158" s="240" t="s">
        <v>231</v>
      </c>
      <c r="GY158" s="240" t="s">
        <v>231</v>
      </c>
      <c r="GZ158" s="240" t="s">
        <v>231</v>
      </c>
      <c r="HA158" s="240" t="s">
        <v>231</v>
      </c>
      <c r="HB158" s="240" t="s">
        <v>231</v>
      </c>
      <c r="HC158" s="240" t="s">
        <v>231</v>
      </c>
      <c r="HD158" s="240" t="s">
        <v>231</v>
      </c>
      <c r="HE158" s="240" t="s">
        <v>231</v>
      </c>
      <c r="HF158" s="240" t="s">
        <v>231</v>
      </c>
      <c r="HG158" s="240" t="s">
        <v>231</v>
      </c>
      <c r="HH158" s="240" t="s">
        <v>231</v>
      </c>
      <c r="HI158" s="240" t="s">
        <v>231</v>
      </c>
      <c r="HJ158" s="240" t="s">
        <v>231</v>
      </c>
      <c r="HK158" s="240" t="s">
        <v>231</v>
      </c>
      <c r="HL158" s="240" t="s">
        <v>231</v>
      </c>
      <c r="HM158" s="240" t="s">
        <v>231</v>
      </c>
      <c r="HN158" s="240" t="s">
        <v>231</v>
      </c>
      <c r="HO158" s="240" t="s">
        <v>231</v>
      </c>
      <c r="HP158" s="240" t="s">
        <v>231</v>
      </c>
      <c r="HQ158" s="240" t="s">
        <v>231</v>
      </c>
      <c r="HR158" s="240" t="s">
        <v>231</v>
      </c>
      <c r="HS158" s="240" t="s">
        <v>231</v>
      </c>
      <c r="HT158" s="240" t="s">
        <v>231</v>
      </c>
      <c r="HU158" s="240" t="s">
        <v>231</v>
      </c>
      <c r="HV158" s="240" t="s">
        <v>231</v>
      </c>
      <c r="HW158" s="240" t="s">
        <v>231</v>
      </c>
      <c r="HX158" s="240" t="s">
        <v>220</v>
      </c>
      <c r="HY158" s="240" t="s">
        <v>493</v>
      </c>
      <c r="HZ158" s="240" t="s">
        <v>219</v>
      </c>
      <c r="IA158" s="240" t="s">
        <v>490</v>
      </c>
      <c r="IB158" s="240" t="s">
        <v>492</v>
      </c>
      <c r="IC158" s="240" t="s">
        <v>492</v>
      </c>
    </row>
    <row r="159" spans="1:237" ht="15" x14ac:dyDescent="0.25">
      <c r="A159" s="243" t="str">
        <f>HYPERLINK("http://www.ofsted.gov.uk/inspection-reports/find-inspection-report/provider/ELS/145980 ","Ofsted School Webpage")</f>
        <v>Ofsted School Webpage</v>
      </c>
      <c r="B159" s="237">
        <v>145980</v>
      </c>
      <c r="C159" s="237">
        <v>8456065</v>
      </c>
      <c r="D159" s="237" t="s">
        <v>1423</v>
      </c>
      <c r="E159" s="237" t="s">
        <v>248</v>
      </c>
      <c r="F159" s="237" t="s">
        <v>581</v>
      </c>
      <c r="G159" s="237" t="s">
        <v>581</v>
      </c>
      <c r="H159" s="237" t="s">
        <v>761</v>
      </c>
      <c r="I159" s="237" t="s">
        <v>1424</v>
      </c>
      <c r="J159" s="237" t="s">
        <v>93</v>
      </c>
      <c r="K159" s="237" t="s">
        <v>93</v>
      </c>
      <c r="L159" s="237" t="s">
        <v>93</v>
      </c>
      <c r="M159" s="237" t="s">
        <v>90</v>
      </c>
      <c r="N159" s="237" t="s">
        <v>486</v>
      </c>
      <c r="O159" s="237" t="s">
        <v>487</v>
      </c>
      <c r="P159" s="237">
        <v>10081831</v>
      </c>
      <c r="Q159" s="239">
        <v>43433</v>
      </c>
      <c r="R159" s="239">
        <v>43433</v>
      </c>
      <c r="S159" s="239">
        <v>43452</v>
      </c>
      <c r="T159" s="237" t="s">
        <v>1377</v>
      </c>
      <c r="U159" s="237" t="s">
        <v>1105</v>
      </c>
      <c r="V159" s="237" t="s">
        <v>490</v>
      </c>
      <c r="W159" s="237" t="s">
        <v>486</v>
      </c>
      <c r="X159" s="237" t="s">
        <v>486</v>
      </c>
      <c r="Y159" s="237" t="s">
        <v>486</v>
      </c>
      <c r="Z159" s="237" t="s">
        <v>486</v>
      </c>
      <c r="AA159" s="237" t="s">
        <v>486</v>
      </c>
      <c r="AB159" s="237" t="s">
        <v>486</v>
      </c>
      <c r="AC159" s="237" t="s">
        <v>486</v>
      </c>
      <c r="AD159" s="237" t="s">
        <v>1378</v>
      </c>
      <c r="AE159" s="237" t="s">
        <v>231</v>
      </c>
      <c r="AF159" s="237" t="s">
        <v>231</v>
      </c>
      <c r="AG159" s="237" t="s">
        <v>231</v>
      </c>
      <c r="AH159" s="237" t="s">
        <v>231</v>
      </c>
      <c r="AI159" s="237" t="s">
        <v>231</v>
      </c>
      <c r="AJ159" s="237" t="s">
        <v>231</v>
      </c>
      <c r="AK159" s="237" t="s">
        <v>231</v>
      </c>
      <c r="AL159" s="237" t="s">
        <v>231</v>
      </c>
      <c r="AM159" s="237" t="s">
        <v>492</v>
      </c>
      <c r="AN159" s="237" t="s">
        <v>231</v>
      </c>
      <c r="AO159" s="237" t="s">
        <v>231</v>
      </c>
      <c r="AP159" s="237" t="s">
        <v>231</v>
      </c>
      <c r="AQ159" s="237" t="s">
        <v>492</v>
      </c>
      <c r="AR159" s="237" t="s">
        <v>492</v>
      </c>
      <c r="AS159" s="237" t="s">
        <v>492</v>
      </c>
      <c r="AT159" s="237" t="s">
        <v>492</v>
      </c>
      <c r="AU159" s="237" t="s">
        <v>492</v>
      </c>
      <c r="AV159" s="237" t="s">
        <v>492</v>
      </c>
      <c r="AW159" s="237" t="s">
        <v>231</v>
      </c>
      <c r="AX159" s="237" t="s">
        <v>231</v>
      </c>
      <c r="AY159" s="237" t="s">
        <v>231</v>
      </c>
      <c r="AZ159" s="237" t="s">
        <v>231</v>
      </c>
      <c r="BA159" s="237" t="s">
        <v>231</v>
      </c>
      <c r="BB159" s="237" t="s">
        <v>231</v>
      </c>
      <c r="BC159" s="237" t="s">
        <v>231</v>
      </c>
      <c r="BD159" s="237" t="s">
        <v>231</v>
      </c>
      <c r="BE159" s="237" t="s">
        <v>231</v>
      </c>
      <c r="BF159" s="237" t="s">
        <v>231</v>
      </c>
      <c r="BG159" s="237" t="s">
        <v>231</v>
      </c>
      <c r="BH159" s="237" t="s">
        <v>231</v>
      </c>
      <c r="BI159" s="237" t="s">
        <v>231</v>
      </c>
      <c r="BJ159" s="237" t="s">
        <v>231</v>
      </c>
      <c r="BK159" s="237" t="s">
        <v>231</v>
      </c>
      <c r="BL159" s="237" t="s">
        <v>231</v>
      </c>
      <c r="BM159" s="237" t="s">
        <v>231</v>
      </c>
      <c r="BN159" s="237" t="s">
        <v>231</v>
      </c>
      <c r="BO159" s="237" t="s">
        <v>231</v>
      </c>
      <c r="BP159" s="237" t="s">
        <v>231</v>
      </c>
      <c r="BQ159" s="237" t="s">
        <v>231</v>
      </c>
      <c r="BR159" s="237" t="s">
        <v>231</v>
      </c>
      <c r="BS159" s="237" t="s">
        <v>231</v>
      </c>
      <c r="BT159" s="237" t="s">
        <v>231</v>
      </c>
      <c r="BU159" s="237" t="s">
        <v>231</v>
      </c>
      <c r="BV159" s="237" t="s">
        <v>231</v>
      </c>
      <c r="BW159" s="237" t="s">
        <v>231</v>
      </c>
      <c r="BX159" s="237" t="s">
        <v>231</v>
      </c>
      <c r="BY159" s="237" t="s">
        <v>231</v>
      </c>
      <c r="BZ159" s="237" t="s">
        <v>231</v>
      </c>
      <c r="CA159" s="237" t="s">
        <v>231</v>
      </c>
      <c r="CB159" s="237" t="s">
        <v>231</v>
      </c>
      <c r="CC159" s="237" t="s">
        <v>492</v>
      </c>
      <c r="CD159" s="237" t="s">
        <v>492</v>
      </c>
      <c r="CE159" s="237" t="s">
        <v>492</v>
      </c>
      <c r="CF159" s="237" t="s">
        <v>231</v>
      </c>
      <c r="CG159" s="237" t="s">
        <v>231</v>
      </c>
      <c r="CH159" s="237" t="s">
        <v>231</v>
      </c>
      <c r="CI159" s="237" t="s">
        <v>231</v>
      </c>
      <c r="CJ159" s="237" t="s">
        <v>231</v>
      </c>
      <c r="CK159" s="237" t="s">
        <v>231</v>
      </c>
      <c r="CL159" s="237" t="s">
        <v>231</v>
      </c>
      <c r="CM159" s="237" t="s">
        <v>231</v>
      </c>
      <c r="CN159" s="237" t="s">
        <v>231</v>
      </c>
      <c r="CO159" s="237" t="s">
        <v>231</v>
      </c>
      <c r="CP159" s="237" t="s">
        <v>231</v>
      </c>
      <c r="CQ159" s="237" t="s">
        <v>231</v>
      </c>
      <c r="CR159" s="237" t="s">
        <v>231</v>
      </c>
      <c r="CS159" s="237" t="s">
        <v>231</v>
      </c>
      <c r="CT159" s="237" t="s">
        <v>231</v>
      </c>
      <c r="CU159" s="237" t="s">
        <v>231</v>
      </c>
      <c r="CV159" s="237" t="s">
        <v>231</v>
      </c>
      <c r="CW159" s="237" t="s">
        <v>231</v>
      </c>
      <c r="CX159" s="237" t="s">
        <v>231</v>
      </c>
      <c r="CY159" s="237" t="s">
        <v>231</v>
      </c>
      <c r="CZ159" s="237" t="s">
        <v>231</v>
      </c>
      <c r="DA159" s="237" t="s">
        <v>231</v>
      </c>
      <c r="DB159" s="237" t="s">
        <v>231</v>
      </c>
      <c r="DC159" s="237" t="s">
        <v>492</v>
      </c>
      <c r="DD159" s="237" t="s">
        <v>231</v>
      </c>
      <c r="DE159" s="237" t="s">
        <v>492</v>
      </c>
      <c r="DF159" s="237" t="s">
        <v>492</v>
      </c>
      <c r="DG159" s="237" t="s">
        <v>492</v>
      </c>
      <c r="DH159" s="237" t="s">
        <v>492</v>
      </c>
      <c r="DI159" s="237" t="s">
        <v>492</v>
      </c>
      <c r="DJ159" s="237" t="s">
        <v>492</v>
      </c>
      <c r="DK159" s="237" t="s">
        <v>492</v>
      </c>
      <c r="DL159" s="237" t="s">
        <v>492</v>
      </c>
      <c r="DM159" s="237" t="s">
        <v>492</v>
      </c>
      <c r="DN159" s="237" t="s">
        <v>492</v>
      </c>
      <c r="DO159" s="237" t="s">
        <v>492</v>
      </c>
      <c r="DP159" s="237" t="s">
        <v>492</v>
      </c>
      <c r="DQ159" s="237" t="s">
        <v>492</v>
      </c>
      <c r="DR159" s="237" t="s">
        <v>492</v>
      </c>
      <c r="DS159" s="237" t="s">
        <v>231</v>
      </c>
      <c r="DT159" s="237" t="s">
        <v>231</v>
      </c>
      <c r="DU159" s="237" t="s">
        <v>231</v>
      </c>
      <c r="DV159" s="237" t="s">
        <v>231</v>
      </c>
      <c r="DW159" s="237" t="s">
        <v>231</v>
      </c>
      <c r="DX159" s="237" t="s">
        <v>231</v>
      </c>
      <c r="DY159" s="237" t="s">
        <v>231</v>
      </c>
      <c r="DZ159" s="237" t="s">
        <v>231</v>
      </c>
      <c r="EA159" s="237" t="s">
        <v>231</v>
      </c>
      <c r="EB159" s="237" t="s">
        <v>231</v>
      </c>
      <c r="EC159" s="237" t="s">
        <v>231</v>
      </c>
      <c r="ED159" s="237" t="s">
        <v>231</v>
      </c>
      <c r="EE159" s="237" t="s">
        <v>231</v>
      </c>
      <c r="EF159" s="237" t="s">
        <v>231</v>
      </c>
      <c r="EG159" s="237" t="s">
        <v>231</v>
      </c>
      <c r="EH159" s="237" t="s">
        <v>231</v>
      </c>
      <c r="EI159" s="237" t="s">
        <v>231</v>
      </c>
      <c r="EJ159" s="237" t="s">
        <v>231</v>
      </c>
      <c r="EK159" s="237" t="s">
        <v>231</v>
      </c>
      <c r="EL159" s="237" t="s">
        <v>231</v>
      </c>
      <c r="EM159" s="237" t="s">
        <v>231</v>
      </c>
      <c r="EN159" s="237" t="s">
        <v>231</v>
      </c>
      <c r="EO159" s="237" t="s">
        <v>231</v>
      </c>
      <c r="EP159" s="237" t="s">
        <v>492</v>
      </c>
      <c r="EQ159" s="237" t="s">
        <v>492</v>
      </c>
      <c r="ER159" s="237" t="s">
        <v>492</v>
      </c>
      <c r="ES159" s="237" t="s">
        <v>492</v>
      </c>
      <c r="ET159" s="237" t="s">
        <v>492</v>
      </c>
      <c r="EU159" s="237" t="s">
        <v>492</v>
      </c>
      <c r="EV159" s="237" t="s">
        <v>231</v>
      </c>
      <c r="EW159" s="237" t="s">
        <v>231</v>
      </c>
      <c r="EX159" s="237" t="s">
        <v>231</v>
      </c>
      <c r="EY159" s="237" t="s">
        <v>231</v>
      </c>
      <c r="EZ159" s="237" t="s">
        <v>231</v>
      </c>
      <c r="FA159" s="237" t="s">
        <v>231</v>
      </c>
      <c r="FB159" s="237" t="s">
        <v>231</v>
      </c>
      <c r="FC159" s="237" t="s">
        <v>492</v>
      </c>
      <c r="FD159" s="237" t="s">
        <v>231</v>
      </c>
      <c r="FE159" s="237" t="s">
        <v>231</v>
      </c>
      <c r="FF159" s="237" t="s">
        <v>231</v>
      </c>
      <c r="FG159" s="237" t="s">
        <v>492</v>
      </c>
      <c r="FH159" s="237" t="s">
        <v>231</v>
      </c>
      <c r="FI159" s="237" t="s">
        <v>231</v>
      </c>
      <c r="FJ159" s="237" t="s">
        <v>231</v>
      </c>
      <c r="FK159" s="237" t="s">
        <v>231</v>
      </c>
      <c r="FL159" s="237" t="s">
        <v>231</v>
      </c>
      <c r="FM159" s="237" t="s">
        <v>231</v>
      </c>
      <c r="FN159" s="237" t="s">
        <v>231</v>
      </c>
      <c r="FO159" s="237" t="s">
        <v>231</v>
      </c>
      <c r="FP159" s="237" t="s">
        <v>231</v>
      </c>
      <c r="FQ159" s="237" t="s">
        <v>231</v>
      </c>
      <c r="FR159" s="237" t="s">
        <v>231</v>
      </c>
      <c r="FS159" s="237" t="s">
        <v>231</v>
      </c>
      <c r="FT159" s="237" t="s">
        <v>231</v>
      </c>
      <c r="FU159" s="237" t="s">
        <v>231</v>
      </c>
      <c r="FV159" s="237" t="s">
        <v>231</v>
      </c>
      <c r="FW159" s="237" t="s">
        <v>231</v>
      </c>
      <c r="FX159" s="237" t="s">
        <v>231</v>
      </c>
      <c r="FY159" s="237" t="s">
        <v>492</v>
      </c>
      <c r="FZ159" s="237" t="s">
        <v>231</v>
      </c>
      <c r="GA159" s="237" t="s">
        <v>231</v>
      </c>
      <c r="GB159" s="237" t="s">
        <v>231</v>
      </c>
      <c r="GC159" s="237" t="s">
        <v>231</v>
      </c>
      <c r="GD159" s="237" t="s">
        <v>231</v>
      </c>
      <c r="GE159" s="237" t="s">
        <v>492</v>
      </c>
      <c r="GF159" s="237" t="s">
        <v>231</v>
      </c>
      <c r="GG159" s="237" t="s">
        <v>231</v>
      </c>
      <c r="GH159" s="237" t="s">
        <v>231</v>
      </c>
      <c r="GI159" s="237" t="s">
        <v>231</v>
      </c>
      <c r="GJ159" s="237" t="s">
        <v>231</v>
      </c>
      <c r="GK159" s="237" t="s">
        <v>231</v>
      </c>
      <c r="GL159" s="237" t="s">
        <v>231</v>
      </c>
      <c r="GM159" s="237" t="s">
        <v>231</v>
      </c>
      <c r="GN159" s="237" t="s">
        <v>492</v>
      </c>
      <c r="GO159" s="237" t="s">
        <v>231</v>
      </c>
      <c r="GP159" s="237" t="s">
        <v>231</v>
      </c>
      <c r="GQ159" s="237" t="s">
        <v>231</v>
      </c>
      <c r="GR159" s="237" t="s">
        <v>231</v>
      </c>
      <c r="GS159" s="237" t="s">
        <v>231</v>
      </c>
      <c r="GT159" s="237" t="s">
        <v>231</v>
      </c>
      <c r="GU159" s="237" t="s">
        <v>231</v>
      </c>
      <c r="GV159" s="237" t="s">
        <v>231</v>
      </c>
      <c r="GW159" s="237" t="s">
        <v>231</v>
      </c>
      <c r="GX159" s="237" t="s">
        <v>231</v>
      </c>
      <c r="GY159" s="237" t="s">
        <v>231</v>
      </c>
      <c r="GZ159" s="237" t="s">
        <v>231</v>
      </c>
      <c r="HA159" s="237" t="s">
        <v>231</v>
      </c>
      <c r="HB159" s="237" t="s">
        <v>231</v>
      </c>
      <c r="HC159" s="237" t="s">
        <v>231</v>
      </c>
      <c r="HD159" s="237" t="s">
        <v>231</v>
      </c>
      <c r="HE159" s="237" t="s">
        <v>231</v>
      </c>
      <c r="HF159" s="237" t="s">
        <v>231</v>
      </c>
      <c r="HG159" s="237" t="s">
        <v>231</v>
      </c>
      <c r="HH159" s="237" t="s">
        <v>231</v>
      </c>
      <c r="HI159" s="237" t="s">
        <v>231</v>
      </c>
      <c r="HJ159" s="237" t="s">
        <v>231</v>
      </c>
      <c r="HK159" s="237" t="s">
        <v>231</v>
      </c>
      <c r="HL159" s="237" t="s">
        <v>231</v>
      </c>
      <c r="HM159" s="237" t="s">
        <v>231</v>
      </c>
      <c r="HN159" s="237" t="s">
        <v>231</v>
      </c>
      <c r="HO159" s="237" t="s">
        <v>231</v>
      </c>
      <c r="HP159" s="237" t="s">
        <v>231</v>
      </c>
      <c r="HQ159" s="237" t="s">
        <v>231</v>
      </c>
      <c r="HR159" s="237" t="s">
        <v>231</v>
      </c>
      <c r="HS159" s="237" t="s">
        <v>231</v>
      </c>
      <c r="HT159" s="237" t="s">
        <v>231</v>
      </c>
      <c r="HU159" s="237" t="s">
        <v>231</v>
      </c>
      <c r="HV159" s="237" t="s">
        <v>231</v>
      </c>
      <c r="HW159" s="237" t="s">
        <v>231</v>
      </c>
      <c r="HX159" s="237" t="s">
        <v>220</v>
      </c>
      <c r="HY159" s="237" t="s">
        <v>493</v>
      </c>
      <c r="HZ159" s="237" t="s">
        <v>219</v>
      </c>
      <c r="IA159" s="237" t="s">
        <v>490</v>
      </c>
      <c r="IB159" s="237" t="s">
        <v>492</v>
      </c>
      <c r="IC159" s="237" t="s">
        <v>492</v>
      </c>
    </row>
    <row r="160" spans="1:237" ht="15" x14ac:dyDescent="0.25">
      <c r="A160" s="244" t="str">
        <f>HYPERLINK("http://www.ofsted.gov.uk/inspection-reports/find-inspection-report/provider/ELS/146517 ","Ofsted School Webpage")</f>
        <v>Ofsted School Webpage</v>
      </c>
      <c r="B160" s="240">
        <v>146517</v>
      </c>
      <c r="C160" s="240">
        <v>3826010</v>
      </c>
      <c r="D160" s="240" t="s">
        <v>1425</v>
      </c>
      <c r="E160" s="240" t="s">
        <v>248</v>
      </c>
      <c r="F160" s="240" t="s">
        <v>523</v>
      </c>
      <c r="G160" s="240" t="s">
        <v>524</v>
      </c>
      <c r="H160" s="240" t="s">
        <v>767</v>
      </c>
      <c r="I160" s="240" t="s">
        <v>1426</v>
      </c>
      <c r="J160" s="240" t="s">
        <v>498</v>
      </c>
      <c r="K160" s="240" t="s">
        <v>93</v>
      </c>
      <c r="L160" s="240" t="s">
        <v>498</v>
      </c>
      <c r="M160" s="240" t="s">
        <v>90</v>
      </c>
      <c r="N160" s="240" t="s">
        <v>486</v>
      </c>
      <c r="O160" s="240" t="s">
        <v>487</v>
      </c>
      <c r="P160" s="240">
        <v>10081299</v>
      </c>
      <c r="Q160" s="242">
        <v>43412</v>
      </c>
      <c r="R160" s="242">
        <v>43412</v>
      </c>
      <c r="S160" s="242">
        <v>43453</v>
      </c>
      <c r="T160" s="240" t="s">
        <v>1377</v>
      </c>
      <c r="U160" s="240" t="s">
        <v>1105</v>
      </c>
      <c r="V160" s="240" t="s">
        <v>490</v>
      </c>
      <c r="W160" s="240" t="s">
        <v>486</v>
      </c>
      <c r="X160" s="240" t="s">
        <v>486</v>
      </c>
      <c r="Y160" s="240" t="s">
        <v>486</v>
      </c>
      <c r="Z160" s="240" t="s">
        <v>486</v>
      </c>
      <c r="AA160" s="240" t="s">
        <v>486</v>
      </c>
      <c r="AB160" s="240" t="s">
        <v>486</v>
      </c>
      <c r="AC160" s="240" t="s">
        <v>486</v>
      </c>
      <c r="AD160" s="240" t="s">
        <v>1386</v>
      </c>
      <c r="AE160" s="240" t="s">
        <v>232</v>
      </c>
      <c r="AF160" s="240" t="s">
        <v>232</v>
      </c>
      <c r="AG160" s="240" t="s">
        <v>232</v>
      </c>
      <c r="AH160" s="240" t="s">
        <v>232</v>
      </c>
      <c r="AI160" s="240" t="s">
        <v>231</v>
      </c>
      <c r="AJ160" s="240" t="s">
        <v>231</v>
      </c>
      <c r="AK160" s="240" t="s">
        <v>231</v>
      </c>
      <c r="AL160" s="240" t="s">
        <v>231</v>
      </c>
      <c r="AM160" s="240" t="s">
        <v>492</v>
      </c>
      <c r="AN160" s="240" t="s">
        <v>231</v>
      </c>
      <c r="AO160" s="240" t="s">
        <v>231</v>
      </c>
      <c r="AP160" s="240" t="s">
        <v>231</v>
      </c>
      <c r="AQ160" s="240" t="s">
        <v>231</v>
      </c>
      <c r="AR160" s="240" t="s">
        <v>231</v>
      </c>
      <c r="AS160" s="240" t="s">
        <v>231</v>
      </c>
      <c r="AT160" s="240" t="s">
        <v>231</v>
      </c>
      <c r="AU160" s="240" t="s">
        <v>492</v>
      </c>
      <c r="AV160" s="240" t="s">
        <v>492</v>
      </c>
      <c r="AW160" s="240" t="s">
        <v>232</v>
      </c>
      <c r="AX160" s="240" t="s">
        <v>231</v>
      </c>
      <c r="AY160" s="240" t="s">
        <v>231</v>
      </c>
      <c r="AZ160" s="240" t="s">
        <v>231</v>
      </c>
      <c r="BA160" s="240" t="s">
        <v>231</v>
      </c>
      <c r="BB160" s="240" t="s">
        <v>231</v>
      </c>
      <c r="BC160" s="240" t="s">
        <v>231</v>
      </c>
      <c r="BD160" s="240" t="s">
        <v>231</v>
      </c>
      <c r="BE160" s="240" t="s">
        <v>231</v>
      </c>
      <c r="BF160" s="240" t="s">
        <v>231</v>
      </c>
      <c r="BG160" s="240" t="s">
        <v>231</v>
      </c>
      <c r="BH160" s="240" t="s">
        <v>231</v>
      </c>
      <c r="BI160" s="240" t="s">
        <v>231</v>
      </c>
      <c r="BJ160" s="240" t="s">
        <v>231</v>
      </c>
      <c r="BK160" s="240" t="s">
        <v>231</v>
      </c>
      <c r="BL160" s="240" t="s">
        <v>231</v>
      </c>
      <c r="BM160" s="240" t="s">
        <v>231</v>
      </c>
      <c r="BN160" s="240" t="s">
        <v>231</v>
      </c>
      <c r="BO160" s="240" t="s">
        <v>231</v>
      </c>
      <c r="BP160" s="240" t="s">
        <v>231</v>
      </c>
      <c r="BQ160" s="240" t="s">
        <v>231</v>
      </c>
      <c r="BR160" s="240" t="s">
        <v>231</v>
      </c>
      <c r="BS160" s="240" t="s">
        <v>231</v>
      </c>
      <c r="BT160" s="240" t="s">
        <v>231</v>
      </c>
      <c r="BU160" s="240" t="s">
        <v>231</v>
      </c>
      <c r="BV160" s="240" t="s">
        <v>231</v>
      </c>
      <c r="BW160" s="240" t="s">
        <v>231</v>
      </c>
      <c r="BX160" s="240" t="s">
        <v>231</v>
      </c>
      <c r="BY160" s="240" t="s">
        <v>231</v>
      </c>
      <c r="BZ160" s="240" t="s">
        <v>232</v>
      </c>
      <c r="CA160" s="240" t="s">
        <v>232</v>
      </c>
      <c r="CB160" s="240" t="s">
        <v>231</v>
      </c>
      <c r="CC160" s="240" t="s">
        <v>231</v>
      </c>
      <c r="CD160" s="240" t="s">
        <v>492</v>
      </c>
      <c r="CE160" s="240" t="s">
        <v>492</v>
      </c>
      <c r="CF160" s="240" t="s">
        <v>231</v>
      </c>
      <c r="CG160" s="240" t="s">
        <v>231</v>
      </c>
      <c r="CH160" s="240" t="s">
        <v>231</v>
      </c>
      <c r="CI160" s="240" t="s">
        <v>231</v>
      </c>
      <c r="CJ160" s="240" t="s">
        <v>231</v>
      </c>
      <c r="CK160" s="240" t="s">
        <v>231</v>
      </c>
      <c r="CL160" s="240" t="s">
        <v>231</v>
      </c>
      <c r="CM160" s="240" t="s">
        <v>231</v>
      </c>
      <c r="CN160" s="240" t="s">
        <v>231</v>
      </c>
      <c r="CO160" s="240" t="s">
        <v>231</v>
      </c>
      <c r="CP160" s="240" t="s">
        <v>231</v>
      </c>
      <c r="CQ160" s="240" t="s">
        <v>231</v>
      </c>
      <c r="CR160" s="240" t="s">
        <v>231</v>
      </c>
      <c r="CS160" s="240" t="s">
        <v>231</v>
      </c>
      <c r="CT160" s="240" t="s">
        <v>231</v>
      </c>
      <c r="CU160" s="240" t="s">
        <v>231</v>
      </c>
      <c r="CV160" s="240" t="s">
        <v>231</v>
      </c>
      <c r="CW160" s="240" t="s">
        <v>231</v>
      </c>
      <c r="CX160" s="240" t="s">
        <v>231</v>
      </c>
      <c r="CY160" s="240" t="s">
        <v>231</v>
      </c>
      <c r="CZ160" s="240" t="s">
        <v>231</v>
      </c>
      <c r="DA160" s="240" t="s">
        <v>231</v>
      </c>
      <c r="DB160" s="240" t="s">
        <v>231</v>
      </c>
      <c r="DC160" s="240" t="s">
        <v>492</v>
      </c>
      <c r="DD160" s="240" t="s">
        <v>231</v>
      </c>
      <c r="DE160" s="240" t="s">
        <v>231</v>
      </c>
      <c r="DF160" s="240" t="s">
        <v>231</v>
      </c>
      <c r="DG160" s="240" t="s">
        <v>231</v>
      </c>
      <c r="DH160" s="240" t="s">
        <v>231</v>
      </c>
      <c r="DI160" s="240" t="s">
        <v>231</v>
      </c>
      <c r="DJ160" s="240" t="s">
        <v>231</v>
      </c>
      <c r="DK160" s="240" t="s">
        <v>231</v>
      </c>
      <c r="DL160" s="240" t="s">
        <v>231</v>
      </c>
      <c r="DM160" s="240" t="s">
        <v>231</v>
      </c>
      <c r="DN160" s="240" t="s">
        <v>231</v>
      </c>
      <c r="DO160" s="240" t="s">
        <v>231</v>
      </c>
      <c r="DP160" s="240" t="s">
        <v>231</v>
      </c>
      <c r="DQ160" s="240" t="s">
        <v>231</v>
      </c>
      <c r="DR160" s="240" t="s">
        <v>231</v>
      </c>
      <c r="DS160" s="240" t="s">
        <v>492</v>
      </c>
      <c r="DT160" s="240" t="s">
        <v>492</v>
      </c>
      <c r="DU160" s="240" t="s">
        <v>492</v>
      </c>
      <c r="DV160" s="240" t="s">
        <v>492</v>
      </c>
      <c r="DW160" s="240" t="s">
        <v>492</v>
      </c>
      <c r="DX160" s="240" t="s">
        <v>492</v>
      </c>
      <c r="DY160" s="240" t="s">
        <v>492</v>
      </c>
      <c r="DZ160" s="240" t="s">
        <v>492</v>
      </c>
      <c r="EA160" s="240" t="s">
        <v>492</v>
      </c>
      <c r="EB160" s="240" t="s">
        <v>231</v>
      </c>
      <c r="EC160" s="240" t="s">
        <v>231</v>
      </c>
      <c r="ED160" s="240" t="s">
        <v>231</v>
      </c>
      <c r="EE160" s="240" t="s">
        <v>231</v>
      </c>
      <c r="EF160" s="240" t="s">
        <v>231</v>
      </c>
      <c r="EG160" s="240" t="s">
        <v>231</v>
      </c>
      <c r="EH160" s="240" t="s">
        <v>231</v>
      </c>
      <c r="EI160" s="240" t="s">
        <v>231</v>
      </c>
      <c r="EJ160" s="240" t="s">
        <v>231</v>
      </c>
      <c r="EK160" s="240" t="s">
        <v>231</v>
      </c>
      <c r="EL160" s="240" t="s">
        <v>231</v>
      </c>
      <c r="EM160" s="240" t="s">
        <v>231</v>
      </c>
      <c r="EN160" s="240" t="s">
        <v>231</v>
      </c>
      <c r="EO160" s="240" t="s">
        <v>231</v>
      </c>
      <c r="EP160" s="240" t="s">
        <v>231</v>
      </c>
      <c r="EQ160" s="240" t="s">
        <v>231</v>
      </c>
      <c r="ER160" s="240" t="s">
        <v>231</v>
      </c>
      <c r="ES160" s="240" t="s">
        <v>231</v>
      </c>
      <c r="ET160" s="240" t="s">
        <v>231</v>
      </c>
      <c r="EU160" s="240" t="s">
        <v>231</v>
      </c>
      <c r="EV160" s="240" t="s">
        <v>492</v>
      </c>
      <c r="EW160" s="240" t="s">
        <v>492</v>
      </c>
      <c r="EX160" s="240" t="s">
        <v>492</v>
      </c>
      <c r="EY160" s="240" t="s">
        <v>492</v>
      </c>
      <c r="EZ160" s="240" t="s">
        <v>231</v>
      </c>
      <c r="FA160" s="240" t="s">
        <v>231</v>
      </c>
      <c r="FB160" s="240" t="s">
        <v>231</v>
      </c>
      <c r="FC160" s="240" t="s">
        <v>231</v>
      </c>
      <c r="FD160" s="240" t="s">
        <v>231</v>
      </c>
      <c r="FE160" s="240" t="s">
        <v>231</v>
      </c>
      <c r="FF160" s="240" t="s">
        <v>231</v>
      </c>
      <c r="FG160" s="240" t="s">
        <v>492</v>
      </c>
      <c r="FH160" s="240" t="s">
        <v>231</v>
      </c>
      <c r="FI160" s="240" t="s">
        <v>232</v>
      </c>
      <c r="FJ160" s="240" t="s">
        <v>231</v>
      </c>
      <c r="FK160" s="240" t="s">
        <v>231</v>
      </c>
      <c r="FL160" s="240" t="s">
        <v>231</v>
      </c>
      <c r="FM160" s="240" t="s">
        <v>231</v>
      </c>
      <c r="FN160" s="240" t="s">
        <v>231</v>
      </c>
      <c r="FO160" s="240" t="s">
        <v>231</v>
      </c>
      <c r="FP160" s="240" t="s">
        <v>231</v>
      </c>
      <c r="FQ160" s="240" t="s">
        <v>231</v>
      </c>
      <c r="FR160" s="240" t="s">
        <v>231</v>
      </c>
      <c r="FS160" s="240" t="s">
        <v>231</v>
      </c>
      <c r="FT160" s="240" t="s">
        <v>231</v>
      </c>
      <c r="FU160" s="240" t="s">
        <v>231</v>
      </c>
      <c r="FV160" s="240" t="s">
        <v>232</v>
      </c>
      <c r="FW160" s="240" t="s">
        <v>231</v>
      </c>
      <c r="FX160" s="240" t="s">
        <v>232</v>
      </c>
      <c r="FY160" s="240" t="s">
        <v>492</v>
      </c>
      <c r="FZ160" s="240" t="s">
        <v>231</v>
      </c>
      <c r="GA160" s="240" t="s">
        <v>231</v>
      </c>
      <c r="GB160" s="240" t="s">
        <v>231</v>
      </c>
      <c r="GC160" s="240" t="s">
        <v>231</v>
      </c>
      <c r="GD160" s="240" t="s">
        <v>492</v>
      </c>
      <c r="GE160" s="240" t="s">
        <v>231</v>
      </c>
      <c r="GF160" s="240" t="s">
        <v>231</v>
      </c>
      <c r="GG160" s="240" t="s">
        <v>231</v>
      </c>
      <c r="GH160" s="240" t="s">
        <v>231</v>
      </c>
      <c r="GI160" s="240" t="s">
        <v>231</v>
      </c>
      <c r="GJ160" s="240" t="s">
        <v>231</v>
      </c>
      <c r="GK160" s="240" t="s">
        <v>231</v>
      </c>
      <c r="GL160" s="240" t="s">
        <v>231</v>
      </c>
      <c r="GM160" s="240" t="s">
        <v>231</v>
      </c>
      <c r="GN160" s="240" t="s">
        <v>231</v>
      </c>
      <c r="GO160" s="240" t="s">
        <v>231</v>
      </c>
      <c r="GP160" s="240" t="s">
        <v>492</v>
      </c>
      <c r="GQ160" s="240" t="s">
        <v>231</v>
      </c>
      <c r="GR160" s="240" t="s">
        <v>231</v>
      </c>
      <c r="GS160" s="240" t="s">
        <v>231</v>
      </c>
      <c r="GT160" s="240" t="s">
        <v>231</v>
      </c>
      <c r="GU160" s="240" t="s">
        <v>231</v>
      </c>
      <c r="GV160" s="240" t="s">
        <v>231</v>
      </c>
      <c r="GW160" s="240" t="s">
        <v>492</v>
      </c>
      <c r="GX160" s="240" t="s">
        <v>231</v>
      </c>
      <c r="GY160" s="240" t="s">
        <v>231</v>
      </c>
      <c r="GZ160" s="240" t="s">
        <v>231</v>
      </c>
      <c r="HA160" s="240" t="s">
        <v>492</v>
      </c>
      <c r="HB160" s="240" t="s">
        <v>492</v>
      </c>
      <c r="HC160" s="240" t="s">
        <v>492</v>
      </c>
      <c r="HD160" s="240" t="s">
        <v>231</v>
      </c>
      <c r="HE160" s="240" t="s">
        <v>231</v>
      </c>
      <c r="HF160" s="240" t="s">
        <v>231</v>
      </c>
      <c r="HG160" s="240" t="s">
        <v>231</v>
      </c>
      <c r="HH160" s="240" t="s">
        <v>231</v>
      </c>
      <c r="HI160" s="240" t="s">
        <v>231</v>
      </c>
      <c r="HJ160" s="240" t="s">
        <v>231</v>
      </c>
      <c r="HK160" s="240" t="s">
        <v>231</v>
      </c>
      <c r="HL160" s="240" t="s">
        <v>231</v>
      </c>
      <c r="HM160" s="240" t="s">
        <v>231</v>
      </c>
      <c r="HN160" s="240" t="s">
        <v>231</v>
      </c>
      <c r="HO160" s="240" t="s">
        <v>231</v>
      </c>
      <c r="HP160" s="240" t="s">
        <v>231</v>
      </c>
      <c r="HQ160" s="240" t="s">
        <v>231</v>
      </c>
      <c r="HR160" s="240" t="s">
        <v>231</v>
      </c>
      <c r="HS160" s="240" t="s">
        <v>231</v>
      </c>
      <c r="HT160" s="240" t="s">
        <v>232</v>
      </c>
      <c r="HU160" s="240" t="s">
        <v>232</v>
      </c>
      <c r="HV160" s="240" t="s">
        <v>232</v>
      </c>
      <c r="HW160" s="240" t="s">
        <v>232</v>
      </c>
      <c r="HX160" s="240" t="s">
        <v>220</v>
      </c>
      <c r="HY160" s="240" t="s">
        <v>493</v>
      </c>
      <c r="HZ160" s="240" t="s">
        <v>219</v>
      </c>
      <c r="IA160" s="240" t="s">
        <v>490</v>
      </c>
      <c r="IB160" s="240" t="s">
        <v>492</v>
      </c>
      <c r="IC160" s="240" t="s">
        <v>492</v>
      </c>
    </row>
    <row r="161" spans="1:237" ht="15" x14ac:dyDescent="0.25">
      <c r="A161" s="243" t="str">
        <f>HYPERLINK("http://www.ofsted.gov.uk/inspection-reports/find-inspection-report/provider/ELS/146301 ","Ofsted School Webpage")</f>
        <v>Ofsted School Webpage</v>
      </c>
      <c r="B161" s="237">
        <v>146301</v>
      </c>
      <c r="C161" s="237">
        <v>8736056</v>
      </c>
      <c r="D161" s="237" t="s">
        <v>1427</v>
      </c>
      <c r="E161" s="237" t="s">
        <v>247</v>
      </c>
      <c r="F161" s="237" t="s">
        <v>516</v>
      </c>
      <c r="G161" s="237" t="s">
        <v>516</v>
      </c>
      <c r="H161" s="237" t="s">
        <v>867</v>
      </c>
      <c r="I161" s="237" t="s">
        <v>1428</v>
      </c>
      <c r="J161" s="237" t="s">
        <v>93</v>
      </c>
      <c r="K161" s="237" t="s">
        <v>93</v>
      </c>
      <c r="L161" s="237" t="s">
        <v>93</v>
      </c>
      <c r="M161" s="237" t="s">
        <v>90</v>
      </c>
      <c r="N161" s="237" t="s">
        <v>486</v>
      </c>
      <c r="O161" s="237" t="s">
        <v>487</v>
      </c>
      <c r="P161" s="237">
        <v>10077491</v>
      </c>
      <c r="Q161" s="239">
        <v>43417</v>
      </c>
      <c r="R161" s="239">
        <v>43417</v>
      </c>
      <c r="S161" s="239">
        <v>43453</v>
      </c>
      <c r="T161" s="237" t="s">
        <v>1377</v>
      </c>
      <c r="U161" s="237" t="s">
        <v>1105</v>
      </c>
      <c r="V161" s="237" t="s">
        <v>490</v>
      </c>
      <c r="W161" s="237" t="s">
        <v>486</v>
      </c>
      <c r="X161" s="237" t="s">
        <v>486</v>
      </c>
      <c r="Y161" s="237" t="s">
        <v>486</v>
      </c>
      <c r="Z161" s="237" t="s">
        <v>486</v>
      </c>
      <c r="AA161" s="237" t="s">
        <v>486</v>
      </c>
      <c r="AB161" s="237" t="s">
        <v>486</v>
      </c>
      <c r="AC161" s="237" t="s">
        <v>486</v>
      </c>
      <c r="AD161" s="237" t="s">
        <v>1378</v>
      </c>
      <c r="AE161" s="237" t="s">
        <v>231</v>
      </c>
      <c r="AF161" s="237" t="s">
        <v>231</v>
      </c>
      <c r="AG161" s="237" t="s">
        <v>231</v>
      </c>
      <c r="AH161" s="237" t="s">
        <v>231</v>
      </c>
      <c r="AI161" s="237" t="s">
        <v>231</v>
      </c>
      <c r="AJ161" s="237" t="s">
        <v>231</v>
      </c>
      <c r="AK161" s="237" t="s">
        <v>231</v>
      </c>
      <c r="AL161" s="237" t="s">
        <v>231</v>
      </c>
      <c r="AM161" s="237" t="s">
        <v>492</v>
      </c>
      <c r="AN161" s="237" t="s">
        <v>231</v>
      </c>
      <c r="AO161" s="237" t="s">
        <v>231</v>
      </c>
      <c r="AP161" s="237" t="s">
        <v>231</v>
      </c>
      <c r="AQ161" s="237" t="s">
        <v>492</v>
      </c>
      <c r="AR161" s="237" t="s">
        <v>492</v>
      </c>
      <c r="AS161" s="237" t="s">
        <v>492</v>
      </c>
      <c r="AT161" s="237" t="s">
        <v>492</v>
      </c>
      <c r="AU161" s="237" t="s">
        <v>231</v>
      </c>
      <c r="AV161" s="237" t="s">
        <v>492</v>
      </c>
      <c r="AW161" s="237" t="s">
        <v>231</v>
      </c>
      <c r="AX161" s="237" t="s">
        <v>231</v>
      </c>
      <c r="AY161" s="237" t="s">
        <v>231</v>
      </c>
      <c r="AZ161" s="237" t="s">
        <v>231</v>
      </c>
      <c r="BA161" s="237" t="s">
        <v>231</v>
      </c>
      <c r="BB161" s="237" t="s">
        <v>231</v>
      </c>
      <c r="BC161" s="237" t="s">
        <v>231</v>
      </c>
      <c r="BD161" s="237" t="s">
        <v>231</v>
      </c>
      <c r="BE161" s="237" t="s">
        <v>231</v>
      </c>
      <c r="BF161" s="237" t="s">
        <v>231</v>
      </c>
      <c r="BG161" s="237" t="s">
        <v>231</v>
      </c>
      <c r="BH161" s="237" t="s">
        <v>231</v>
      </c>
      <c r="BI161" s="237" t="s">
        <v>231</v>
      </c>
      <c r="BJ161" s="237" t="s">
        <v>231</v>
      </c>
      <c r="BK161" s="237" t="s">
        <v>231</v>
      </c>
      <c r="BL161" s="237" t="s">
        <v>231</v>
      </c>
      <c r="BM161" s="237" t="s">
        <v>231</v>
      </c>
      <c r="BN161" s="237" t="s">
        <v>231</v>
      </c>
      <c r="BO161" s="237" t="s">
        <v>231</v>
      </c>
      <c r="BP161" s="237" t="s">
        <v>231</v>
      </c>
      <c r="BQ161" s="237" t="s">
        <v>231</v>
      </c>
      <c r="BR161" s="237" t="s">
        <v>231</v>
      </c>
      <c r="BS161" s="237" t="s">
        <v>231</v>
      </c>
      <c r="BT161" s="237" t="s">
        <v>231</v>
      </c>
      <c r="BU161" s="237" t="s">
        <v>231</v>
      </c>
      <c r="BV161" s="237" t="s">
        <v>231</v>
      </c>
      <c r="BW161" s="237" t="s">
        <v>231</v>
      </c>
      <c r="BX161" s="237" t="s">
        <v>231</v>
      </c>
      <c r="BY161" s="237" t="s">
        <v>231</v>
      </c>
      <c r="BZ161" s="237" t="s">
        <v>231</v>
      </c>
      <c r="CA161" s="237" t="s">
        <v>231</v>
      </c>
      <c r="CB161" s="237" t="s">
        <v>231</v>
      </c>
      <c r="CC161" s="237" t="s">
        <v>492</v>
      </c>
      <c r="CD161" s="237" t="s">
        <v>492</v>
      </c>
      <c r="CE161" s="237" t="s">
        <v>492</v>
      </c>
      <c r="CF161" s="237" t="s">
        <v>231</v>
      </c>
      <c r="CG161" s="237" t="s">
        <v>231</v>
      </c>
      <c r="CH161" s="237" t="s">
        <v>231</v>
      </c>
      <c r="CI161" s="237" t="s">
        <v>231</v>
      </c>
      <c r="CJ161" s="237" t="s">
        <v>231</v>
      </c>
      <c r="CK161" s="237" t="s">
        <v>231</v>
      </c>
      <c r="CL161" s="237" t="s">
        <v>231</v>
      </c>
      <c r="CM161" s="237" t="s">
        <v>231</v>
      </c>
      <c r="CN161" s="237" t="s">
        <v>231</v>
      </c>
      <c r="CO161" s="237" t="s">
        <v>231</v>
      </c>
      <c r="CP161" s="237" t="s">
        <v>231</v>
      </c>
      <c r="CQ161" s="237" t="s">
        <v>231</v>
      </c>
      <c r="CR161" s="237" t="s">
        <v>231</v>
      </c>
      <c r="CS161" s="237" t="s">
        <v>231</v>
      </c>
      <c r="CT161" s="237" t="s">
        <v>231</v>
      </c>
      <c r="CU161" s="237" t="s">
        <v>231</v>
      </c>
      <c r="CV161" s="237" t="s">
        <v>231</v>
      </c>
      <c r="CW161" s="237" t="s">
        <v>231</v>
      </c>
      <c r="CX161" s="237" t="s">
        <v>231</v>
      </c>
      <c r="CY161" s="237" t="s">
        <v>231</v>
      </c>
      <c r="CZ161" s="237" t="s">
        <v>231</v>
      </c>
      <c r="DA161" s="237" t="s">
        <v>231</v>
      </c>
      <c r="DB161" s="237" t="s">
        <v>231</v>
      </c>
      <c r="DC161" s="237" t="s">
        <v>492</v>
      </c>
      <c r="DD161" s="237" t="s">
        <v>231</v>
      </c>
      <c r="DE161" s="237" t="s">
        <v>231</v>
      </c>
      <c r="DF161" s="237" t="s">
        <v>231</v>
      </c>
      <c r="DG161" s="237" t="s">
        <v>231</v>
      </c>
      <c r="DH161" s="237" t="s">
        <v>231</v>
      </c>
      <c r="DI161" s="237" t="s">
        <v>231</v>
      </c>
      <c r="DJ161" s="237" t="s">
        <v>231</v>
      </c>
      <c r="DK161" s="237" t="s">
        <v>231</v>
      </c>
      <c r="DL161" s="237" t="s">
        <v>231</v>
      </c>
      <c r="DM161" s="237" t="s">
        <v>231</v>
      </c>
      <c r="DN161" s="237" t="s">
        <v>231</v>
      </c>
      <c r="DO161" s="237" t="s">
        <v>231</v>
      </c>
      <c r="DP161" s="237" t="s">
        <v>231</v>
      </c>
      <c r="DQ161" s="237" t="s">
        <v>492</v>
      </c>
      <c r="DR161" s="237" t="s">
        <v>492</v>
      </c>
      <c r="DS161" s="237" t="s">
        <v>492</v>
      </c>
      <c r="DT161" s="237" t="s">
        <v>492</v>
      </c>
      <c r="DU161" s="237" t="s">
        <v>492</v>
      </c>
      <c r="DV161" s="237" t="s">
        <v>492</v>
      </c>
      <c r="DW161" s="237" t="s">
        <v>492</v>
      </c>
      <c r="DX161" s="237" t="s">
        <v>492</v>
      </c>
      <c r="DY161" s="237" t="s">
        <v>492</v>
      </c>
      <c r="DZ161" s="237" t="s">
        <v>492</v>
      </c>
      <c r="EA161" s="237" t="s">
        <v>492</v>
      </c>
      <c r="EB161" s="237" t="s">
        <v>231</v>
      </c>
      <c r="EC161" s="237" t="s">
        <v>231</v>
      </c>
      <c r="ED161" s="237" t="s">
        <v>231</v>
      </c>
      <c r="EE161" s="237" t="s">
        <v>231</v>
      </c>
      <c r="EF161" s="237" t="s">
        <v>231</v>
      </c>
      <c r="EG161" s="237" t="s">
        <v>231</v>
      </c>
      <c r="EH161" s="237" t="s">
        <v>231</v>
      </c>
      <c r="EI161" s="237" t="s">
        <v>231</v>
      </c>
      <c r="EJ161" s="237" t="s">
        <v>231</v>
      </c>
      <c r="EK161" s="237" t="s">
        <v>231</v>
      </c>
      <c r="EL161" s="237" t="s">
        <v>231</v>
      </c>
      <c r="EM161" s="237" t="s">
        <v>231</v>
      </c>
      <c r="EN161" s="237" t="s">
        <v>231</v>
      </c>
      <c r="EO161" s="237" t="s">
        <v>231</v>
      </c>
      <c r="EP161" s="237" t="s">
        <v>231</v>
      </c>
      <c r="EQ161" s="237" t="s">
        <v>231</v>
      </c>
      <c r="ER161" s="237" t="s">
        <v>231</v>
      </c>
      <c r="ES161" s="237" t="s">
        <v>231</v>
      </c>
      <c r="ET161" s="237" t="s">
        <v>231</v>
      </c>
      <c r="EU161" s="237" t="s">
        <v>231</v>
      </c>
      <c r="EV161" s="237" t="s">
        <v>231</v>
      </c>
      <c r="EW161" s="237" t="s">
        <v>231</v>
      </c>
      <c r="EX161" s="237" t="s">
        <v>231</v>
      </c>
      <c r="EY161" s="237" t="s">
        <v>231</v>
      </c>
      <c r="EZ161" s="237" t="s">
        <v>231</v>
      </c>
      <c r="FA161" s="237" t="s">
        <v>231</v>
      </c>
      <c r="FB161" s="237" t="s">
        <v>231</v>
      </c>
      <c r="FC161" s="237" t="s">
        <v>492</v>
      </c>
      <c r="FD161" s="237" t="s">
        <v>231</v>
      </c>
      <c r="FE161" s="237" t="s">
        <v>231</v>
      </c>
      <c r="FF161" s="237" t="s">
        <v>231</v>
      </c>
      <c r="FG161" s="237" t="s">
        <v>492</v>
      </c>
      <c r="FH161" s="237" t="s">
        <v>231</v>
      </c>
      <c r="FI161" s="237" t="s">
        <v>231</v>
      </c>
      <c r="FJ161" s="237" t="s">
        <v>231</v>
      </c>
      <c r="FK161" s="237" t="s">
        <v>231</v>
      </c>
      <c r="FL161" s="237" t="s">
        <v>231</v>
      </c>
      <c r="FM161" s="237" t="s">
        <v>231</v>
      </c>
      <c r="FN161" s="237" t="s">
        <v>231</v>
      </c>
      <c r="FO161" s="237" t="s">
        <v>231</v>
      </c>
      <c r="FP161" s="237" t="s">
        <v>231</v>
      </c>
      <c r="FQ161" s="237" t="s">
        <v>231</v>
      </c>
      <c r="FR161" s="237" t="s">
        <v>231</v>
      </c>
      <c r="FS161" s="237" t="s">
        <v>231</v>
      </c>
      <c r="FT161" s="237" t="s">
        <v>231</v>
      </c>
      <c r="FU161" s="237" t="s">
        <v>231</v>
      </c>
      <c r="FV161" s="237" t="s">
        <v>231</v>
      </c>
      <c r="FW161" s="237" t="s">
        <v>231</v>
      </c>
      <c r="FX161" s="237" t="s">
        <v>231</v>
      </c>
      <c r="FY161" s="237" t="s">
        <v>492</v>
      </c>
      <c r="FZ161" s="237" t="s">
        <v>231</v>
      </c>
      <c r="GA161" s="237" t="s">
        <v>231</v>
      </c>
      <c r="GB161" s="237" t="s">
        <v>231</v>
      </c>
      <c r="GC161" s="237" t="s">
        <v>231</v>
      </c>
      <c r="GD161" s="237" t="s">
        <v>492</v>
      </c>
      <c r="GE161" s="237" t="s">
        <v>492</v>
      </c>
      <c r="GF161" s="237" t="s">
        <v>231</v>
      </c>
      <c r="GG161" s="237" t="s">
        <v>231</v>
      </c>
      <c r="GH161" s="237" t="s">
        <v>492</v>
      </c>
      <c r="GI161" s="237" t="s">
        <v>231</v>
      </c>
      <c r="GJ161" s="237" t="s">
        <v>231</v>
      </c>
      <c r="GK161" s="237" t="s">
        <v>231</v>
      </c>
      <c r="GL161" s="237" t="s">
        <v>231</v>
      </c>
      <c r="GM161" s="237" t="s">
        <v>231</v>
      </c>
      <c r="GN161" s="237" t="s">
        <v>231</v>
      </c>
      <c r="GO161" s="237" t="s">
        <v>231</v>
      </c>
      <c r="GP161" s="237" t="s">
        <v>492</v>
      </c>
      <c r="GQ161" s="237" t="s">
        <v>231</v>
      </c>
      <c r="GR161" s="237" t="s">
        <v>231</v>
      </c>
      <c r="GS161" s="237" t="s">
        <v>231</v>
      </c>
      <c r="GT161" s="237" t="s">
        <v>231</v>
      </c>
      <c r="GU161" s="237" t="s">
        <v>231</v>
      </c>
      <c r="GV161" s="237" t="s">
        <v>231</v>
      </c>
      <c r="GW161" s="237" t="s">
        <v>231</v>
      </c>
      <c r="GX161" s="237" t="s">
        <v>231</v>
      </c>
      <c r="GY161" s="237" t="s">
        <v>492</v>
      </c>
      <c r="GZ161" s="237" t="s">
        <v>492</v>
      </c>
      <c r="HA161" s="237" t="s">
        <v>492</v>
      </c>
      <c r="HB161" s="237" t="s">
        <v>492</v>
      </c>
      <c r="HC161" s="237" t="s">
        <v>492</v>
      </c>
      <c r="HD161" s="237" t="s">
        <v>231</v>
      </c>
      <c r="HE161" s="237" t="s">
        <v>231</v>
      </c>
      <c r="HF161" s="237" t="s">
        <v>231</v>
      </c>
      <c r="HG161" s="237" t="s">
        <v>231</v>
      </c>
      <c r="HH161" s="237" t="s">
        <v>231</v>
      </c>
      <c r="HI161" s="237" t="s">
        <v>231</v>
      </c>
      <c r="HJ161" s="237" t="s">
        <v>231</v>
      </c>
      <c r="HK161" s="237" t="s">
        <v>231</v>
      </c>
      <c r="HL161" s="237" t="s">
        <v>231</v>
      </c>
      <c r="HM161" s="237" t="s">
        <v>231</v>
      </c>
      <c r="HN161" s="237" t="s">
        <v>231</v>
      </c>
      <c r="HO161" s="237" t="s">
        <v>231</v>
      </c>
      <c r="HP161" s="237" t="s">
        <v>231</v>
      </c>
      <c r="HQ161" s="237" t="s">
        <v>231</v>
      </c>
      <c r="HR161" s="237" t="s">
        <v>231</v>
      </c>
      <c r="HS161" s="237" t="s">
        <v>231</v>
      </c>
      <c r="HT161" s="237" t="s">
        <v>231</v>
      </c>
      <c r="HU161" s="237" t="s">
        <v>231</v>
      </c>
      <c r="HV161" s="237" t="s">
        <v>231</v>
      </c>
      <c r="HW161" s="237" t="s">
        <v>231</v>
      </c>
      <c r="HX161" s="237" t="s">
        <v>220</v>
      </c>
      <c r="HY161" s="237" t="s">
        <v>493</v>
      </c>
      <c r="HZ161" s="237" t="s">
        <v>219</v>
      </c>
      <c r="IA161" s="237" t="s">
        <v>490</v>
      </c>
      <c r="IB161" s="237" t="s">
        <v>231</v>
      </c>
      <c r="IC161" s="237" t="s">
        <v>231</v>
      </c>
    </row>
    <row r="162" spans="1:237" ht="15" x14ac:dyDescent="0.25">
      <c r="A162" s="244" t="str">
        <f>HYPERLINK("http://www.ofsted.gov.uk/inspection-reports/find-inspection-report/provider/ELS/146360 ","Ofsted School Webpage")</f>
        <v>Ofsted School Webpage</v>
      </c>
      <c r="B162" s="240">
        <v>146360</v>
      </c>
      <c r="C162" s="240">
        <v>8556043</v>
      </c>
      <c r="D162" s="240" t="s">
        <v>1429</v>
      </c>
      <c r="E162" s="240" t="s">
        <v>248</v>
      </c>
      <c r="F162" s="240" t="s">
        <v>572</v>
      </c>
      <c r="G162" s="240" t="s">
        <v>572</v>
      </c>
      <c r="H162" s="240" t="s">
        <v>966</v>
      </c>
      <c r="I162" s="240" t="s">
        <v>1430</v>
      </c>
      <c r="J162" s="240" t="s">
        <v>498</v>
      </c>
      <c r="K162" s="240" t="s">
        <v>93</v>
      </c>
      <c r="L162" s="240" t="s">
        <v>498</v>
      </c>
      <c r="M162" s="240" t="s">
        <v>90</v>
      </c>
      <c r="N162" s="240" t="s">
        <v>486</v>
      </c>
      <c r="O162" s="240" t="s">
        <v>487</v>
      </c>
      <c r="P162" s="240">
        <v>10068068</v>
      </c>
      <c r="Q162" s="242">
        <v>43424</v>
      </c>
      <c r="R162" s="242">
        <v>43424</v>
      </c>
      <c r="S162" s="242">
        <v>43453</v>
      </c>
      <c r="T162" s="240" t="s">
        <v>1377</v>
      </c>
      <c r="U162" s="240" t="s">
        <v>1105</v>
      </c>
      <c r="V162" s="240" t="s">
        <v>490</v>
      </c>
      <c r="W162" s="240" t="s">
        <v>486</v>
      </c>
      <c r="X162" s="240" t="s">
        <v>486</v>
      </c>
      <c r="Y162" s="240" t="s">
        <v>486</v>
      </c>
      <c r="Z162" s="240" t="s">
        <v>486</v>
      </c>
      <c r="AA162" s="240" t="s">
        <v>486</v>
      </c>
      <c r="AB162" s="240" t="s">
        <v>486</v>
      </c>
      <c r="AC162" s="240" t="s">
        <v>486</v>
      </c>
      <c r="AD162" s="240" t="s">
        <v>1378</v>
      </c>
      <c r="AE162" s="240" t="s">
        <v>231</v>
      </c>
      <c r="AF162" s="240" t="s">
        <v>231</v>
      </c>
      <c r="AG162" s="240" t="s">
        <v>231</v>
      </c>
      <c r="AH162" s="240" t="s">
        <v>231</v>
      </c>
      <c r="AI162" s="240" t="s">
        <v>231</v>
      </c>
      <c r="AJ162" s="240" t="s">
        <v>231</v>
      </c>
      <c r="AK162" s="240" t="s">
        <v>231</v>
      </c>
      <c r="AL162" s="240" t="s">
        <v>231</v>
      </c>
      <c r="AM162" s="240" t="s">
        <v>492</v>
      </c>
      <c r="AN162" s="240" t="s">
        <v>231</v>
      </c>
      <c r="AO162" s="240" t="s">
        <v>231</v>
      </c>
      <c r="AP162" s="240" t="s">
        <v>231</v>
      </c>
      <c r="AQ162" s="240" t="s">
        <v>231</v>
      </c>
      <c r="AR162" s="240" t="s">
        <v>231</v>
      </c>
      <c r="AS162" s="240" t="s">
        <v>231</v>
      </c>
      <c r="AT162" s="240" t="s">
        <v>231</v>
      </c>
      <c r="AU162" s="240" t="s">
        <v>492</v>
      </c>
      <c r="AV162" s="240" t="s">
        <v>231</v>
      </c>
      <c r="AW162" s="240" t="s">
        <v>231</v>
      </c>
      <c r="AX162" s="240" t="s">
        <v>231</v>
      </c>
      <c r="AY162" s="240" t="s">
        <v>231</v>
      </c>
      <c r="AZ162" s="240" t="s">
        <v>231</v>
      </c>
      <c r="BA162" s="240" t="s">
        <v>231</v>
      </c>
      <c r="BB162" s="240" t="s">
        <v>231</v>
      </c>
      <c r="BC162" s="240" t="s">
        <v>231</v>
      </c>
      <c r="BD162" s="240" t="s">
        <v>231</v>
      </c>
      <c r="BE162" s="240" t="s">
        <v>231</v>
      </c>
      <c r="BF162" s="240" t="s">
        <v>231</v>
      </c>
      <c r="BG162" s="240" t="s">
        <v>231</v>
      </c>
      <c r="BH162" s="240" t="s">
        <v>231</v>
      </c>
      <c r="BI162" s="240" t="s">
        <v>231</v>
      </c>
      <c r="BJ162" s="240" t="s">
        <v>231</v>
      </c>
      <c r="BK162" s="240" t="s">
        <v>231</v>
      </c>
      <c r="BL162" s="240" t="s">
        <v>231</v>
      </c>
      <c r="BM162" s="240" t="s">
        <v>231</v>
      </c>
      <c r="BN162" s="240" t="s">
        <v>231</v>
      </c>
      <c r="BO162" s="240" t="s">
        <v>231</v>
      </c>
      <c r="BP162" s="240" t="s">
        <v>231</v>
      </c>
      <c r="BQ162" s="240" t="s">
        <v>231</v>
      </c>
      <c r="BR162" s="240" t="s">
        <v>231</v>
      </c>
      <c r="BS162" s="240" t="s">
        <v>231</v>
      </c>
      <c r="BT162" s="240" t="s">
        <v>231</v>
      </c>
      <c r="BU162" s="240" t="s">
        <v>231</v>
      </c>
      <c r="BV162" s="240" t="s">
        <v>231</v>
      </c>
      <c r="BW162" s="240" t="s">
        <v>231</v>
      </c>
      <c r="BX162" s="240" t="s">
        <v>231</v>
      </c>
      <c r="BY162" s="240" t="s">
        <v>231</v>
      </c>
      <c r="BZ162" s="240" t="s">
        <v>231</v>
      </c>
      <c r="CA162" s="240" t="s">
        <v>231</v>
      </c>
      <c r="CB162" s="240" t="s">
        <v>231</v>
      </c>
      <c r="CC162" s="240" t="s">
        <v>492</v>
      </c>
      <c r="CD162" s="240" t="s">
        <v>492</v>
      </c>
      <c r="CE162" s="240" t="s">
        <v>492</v>
      </c>
      <c r="CF162" s="240" t="s">
        <v>231</v>
      </c>
      <c r="CG162" s="240" t="s">
        <v>231</v>
      </c>
      <c r="CH162" s="240" t="s">
        <v>231</v>
      </c>
      <c r="CI162" s="240" t="s">
        <v>231</v>
      </c>
      <c r="CJ162" s="240" t="s">
        <v>231</v>
      </c>
      <c r="CK162" s="240" t="s">
        <v>231</v>
      </c>
      <c r="CL162" s="240" t="s">
        <v>231</v>
      </c>
      <c r="CM162" s="240" t="s">
        <v>231</v>
      </c>
      <c r="CN162" s="240" t="s">
        <v>231</v>
      </c>
      <c r="CO162" s="240" t="s">
        <v>231</v>
      </c>
      <c r="CP162" s="240" t="s">
        <v>231</v>
      </c>
      <c r="CQ162" s="240" t="s">
        <v>231</v>
      </c>
      <c r="CR162" s="240" t="s">
        <v>231</v>
      </c>
      <c r="CS162" s="240" t="s">
        <v>231</v>
      </c>
      <c r="CT162" s="240" t="s">
        <v>231</v>
      </c>
      <c r="CU162" s="240" t="s">
        <v>231</v>
      </c>
      <c r="CV162" s="240" t="s">
        <v>231</v>
      </c>
      <c r="CW162" s="240" t="s">
        <v>231</v>
      </c>
      <c r="CX162" s="240" t="s">
        <v>231</v>
      </c>
      <c r="CY162" s="240" t="s">
        <v>231</v>
      </c>
      <c r="CZ162" s="240" t="s">
        <v>231</v>
      </c>
      <c r="DA162" s="240" t="s">
        <v>231</v>
      </c>
      <c r="DB162" s="240" t="s">
        <v>231</v>
      </c>
      <c r="DC162" s="240" t="s">
        <v>492</v>
      </c>
      <c r="DD162" s="240" t="s">
        <v>231</v>
      </c>
      <c r="DE162" s="240" t="s">
        <v>492</v>
      </c>
      <c r="DF162" s="240" t="s">
        <v>492</v>
      </c>
      <c r="DG162" s="240" t="s">
        <v>492</v>
      </c>
      <c r="DH162" s="240" t="s">
        <v>492</v>
      </c>
      <c r="DI162" s="240" t="s">
        <v>492</v>
      </c>
      <c r="DJ162" s="240" t="s">
        <v>492</v>
      </c>
      <c r="DK162" s="240" t="s">
        <v>492</v>
      </c>
      <c r="DL162" s="240" t="s">
        <v>492</v>
      </c>
      <c r="DM162" s="240" t="s">
        <v>492</v>
      </c>
      <c r="DN162" s="240" t="s">
        <v>492</v>
      </c>
      <c r="DO162" s="240" t="s">
        <v>492</v>
      </c>
      <c r="DP162" s="240" t="s">
        <v>492</v>
      </c>
      <c r="DQ162" s="240" t="s">
        <v>492</v>
      </c>
      <c r="DR162" s="240" t="s">
        <v>231</v>
      </c>
      <c r="DS162" s="240" t="s">
        <v>231</v>
      </c>
      <c r="DT162" s="240" t="s">
        <v>231</v>
      </c>
      <c r="DU162" s="240" t="s">
        <v>231</v>
      </c>
      <c r="DV162" s="240" t="s">
        <v>231</v>
      </c>
      <c r="DW162" s="240" t="s">
        <v>231</v>
      </c>
      <c r="DX162" s="240" t="s">
        <v>231</v>
      </c>
      <c r="DY162" s="240" t="s">
        <v>231</v>
      </c>
      <c r="DZ162" s="240" t="s">
        <v>231</v>
      </c>
      <c r="EA162" s="240" t="s">
        <v>231</v>
      </c>
      <c r="EB162" s="240" t="s">
        <v>231</v>
      </c>
      <c r="EC162" s="240" t="s">
        <v>231</v>
      </c>
      <c r="ED162" s="240" t="s">
        <v>231</v>
      </c>
      <c r="EE162" s="240" t="s">
        <v>231</v>
      </c>
      <c r="EF162" s="240" t="s">
        <v>231</v>
      </c>
      <c r="EG162" s="240" t="s">
        <v>231</v>
      </c>
      <c r="EH162" s="240" t="s">
        <v>231</v>
      </c>
      <c r="EI162" s="240" t="s">
        <v>231</v>
      </c>
      <c r="EJ162" s="240" t="s">
        <v>231</v>
      </c>
      <c r="EK162" s="240" t="s">
        <v>231</v>
      </c>
      <c r="EL162" s="240" t="s">
        <v>231</v>
      </c>
      <c r="EM162" s="240" t="s">
        <v>231</v>
      </c>
      <c r="EN162" s="240" t="s">
        <v>231</v>
      </c>
      <c r="EO162" s="240" t="s">
        <v>492</v>
      </c>
      <c r="EP162" s="240" t="s">
        <v>492</v>
      </c>
      <c r="EQ162" s="240" t="s">
        <v>492</v>
      </c>
      <c r="ER162" s="240" t="s">
        <v>492</v>
      </c>
      <c r="ES162" s="240" t="s">
        <v>492</v>
      </c>
      <c r="ET162" s="240" t="s">
        <v>492</v>
      </c>
      <c r="EU162" s="240" t="s">
        <v>492</v>
      </c>
      <c r="EV162" s="240" t="s">
        <v>231</v>
      </c>
      <c r="EW162" s="240" t="s">
        <v>231</v>
      </c>
      <c r="EX162" s="240" t="s">
        <v>231</v>
      </c>
      <c r="EY162" s="240" t="s">
        <v>231</v>
      </c>
      <c r="EZ162" s="240" t="s">
        <v>231</v>
      </c>
      <c r="FA162" s="240" t="s">
        <v>231</v>
      </c>
      <c r="FB162" s="240" t="s">
        <v>231</v>
      </c>
      <c r="FC162" s="240" t="s">
        <v>231</v>
      </c>
      <c r="FD162" s="240" t="s">
        <v>231</v>
      </c>
      <c r="FE162" s="240" t="s">
        <v>231</v>
      </c>
      <c r="FF162" s="240" t="s">
        <v>231</v>
      </c>
      <c r="FG162" s="240" t="s">
        <v>492</v>
      </c>
      <c r="FH162" s="240" t="s">
        <v>231</v>
      </c>
      <c r="FI162" s="240" t="s">
        <v>231</v>
      </c>
      <c r="FJ162" s="240" t="s">
        <v>231</v>
      </c>
      <c r="FK162" s="240" t="s">
        <v>231</v>
      </c>
      <c r="FL162" s="240" t="s">
        <v>231</v>
      </c>
      <c r="FM162" s="240" t="s">
        <v>231</v>
      </c>
      <c r="FN162" s="240" t="s">
        <v>231</v>
      </c>
      <c r="FO162" s="240" t="s">
        <v>231</v>
      </c>
      <c r="FP162" s="240" t="s">
        <v>231</v>
      </c>
      <c r="FQ162" s="240" t="s">
        <v>231</v>
      </c>
      <c r="FR162" s="240" t="s">
        <v>231</v>
      </c>
      <c r="FS162" s="240" t="s">
        <v>231</v>
      </c>
      <c r="FT162" s="240" t="s">
        <v>231</v>
      </c>
      <c r="FU162" s="240" t="s">
        <v>231</v>
      </c>
      <c r="FV162" s="240" t="s">
        <v>231</v>
      </c>
      <c r="FW162" s="240" t="s">
        <v>231</v>
      </c>
      <c r="FX162" s="240" t="s">
        <v>231</v>
      </c>
      <c r="FY162" s="240" t="s">
        <v>492</v>
      </c>
      <c r="FZ162" s="240" t="s">
        <v>231</v>
      </c>
      <c r="GA162" s="240" t="s">
        <v>231</v>
      </c>
      <c r="GB162" s="240" t="s">
        <v>231</v>
      </c>
      <c r="GC162" s="240" t="s">
        <v>231</v>
      </c>
      <c r="GD162" s="240" t="s">
        <v>231</v>
      </c>
      <c r="GE162" s="240" t="s">
        <v>492</v>
      </c>
      <c r="GF162" s="240" t="s">
        <v>231</v>
      </c>
      <c r="GG162" s="240" t="s">
        <v>231</v>
      </c>
      <c r="GH162" s="240" t="s">
        <v>231</v>
      </c>
      <c r="GI162" s="240" t="s">
        <v>231</v>
      </c>
      <c r="GJ162" s="240" t="s">
        <v>492</v>
      </c>
      <c r="GK162" s="240" t="s">
        <v>231</v>
      </c>
      <c r="GL162" s="240" t="s">
        <v>231</v>
      </c>
      <c r="GM162" s="240" t="s">
        <v>231</v>
      </c>
      <c r="GN162" s="240" t="s">
        <v>492</v>
      </c>
      <c r="GO162" s="240" t="s">
        <v>231</v>
      </c>
      <c r="GP162" s="240" t="s">
        <v>231</v>
      </c>
      <c r="GQ162" s="240" t="s">
        <v>231</v>
      </c>
      <c r="GR162" s="240" t="s">
        <v>231</v>
      </c>
      <c r="GS162" s="240" t="s">
        <v>231</v>
      </c>
      <c r="GT162" s="240" t="s">
        <v>231</v>
      </c>
      <c r="GU162" s="240" t="s">
        <v>231</v>
      </c>
      <c r="GV162" s="240" t="s">
        <v>231</v>
      </c>
      <c r="GW162" s="240" t="s">
        <v>231</v>
      </c>
      <c r="GX162" s="240" t="s">
        <v>231</v>
      </c>
      <c r="GY162" s="240" t="s">
        <v>231</v>
      </c>
      <c r="GZ162" s="240" t="s">
        <v>492</v>
      </c>
      <c r="HA162" s="240" t="s">
        <v>492</v>
      </c>
      <c r="HB162" s="240" t="s">
        <v>492</v>
      </c>
      <c r="HC162" s="240" t="s">
        <v>492</v>
      </c>
      <c r="HD162" s="240" t="s">
        <v>231</v>
      </c>
      <c r="HE162" s="240" t="s">
        <v>231</v>
      </c>
      <c r="HF162" s="240" t="s">
        <v>231</v>
      </c>
      <c r="HG162" s="240" t="s">
        <v>231</v>
      </c>
      <c r="HH162" s="240" t="s">
        <v>231</v>
      </c>
      <c r="HI162" s="240" t="s">
        <v>231</v>
      </c>
      <c r="HJ162" s="240" t="s">
        <v>231</v>
      </c>
      <c r="HK162" s="240" t="s">
        <v>231</v>
      </c>
      <c r="HL162" s="240" t="s">
        <v>231</v>
      </c>
      <c r="HM162" s="240" t="s">
        <v>231</v>
      </c>
      <c r="HN162" s="240" t="s">
        <v>231</v>
      </c>
      <c r="HO162" s="240" t="s">
        <v>231</v>
      </c>
      <c r="HP162" s="240" t="s">
        <v>231</v>
      </c>
      <c r="HQ162" s="240" t="s">
        <v>231</v>
      </c>
      <c r="HR162" s="240" t="s">
        <v>231</v>
      </c>
      <c r="HS162" s="240" t="s">
        <v>231</v>
      </c>
      <c r="HT162" s="240" t="s">
        <v>231</v>
      </c>
      <c r="HU162" s="240" t="s">
        <v>231</v>
      </c>
      <c r="HV162" s="240" t="s">
        <v>231</v>
      </c>
      <c r="HW162" s="240" t="s">
        <v>231</v>
      </c>
      <c r="HX162" s="240" t="s">
        <v>220</v>
      </c>
      <c r="HY162" s="240" t="s">
        <v>493</v>
      </c>
      <c r="HZ162" s="240" t="s">
        <v>219</v>
      </c>
      <c r="IA162" s="240" t="s">
        <v>490</v>
      </c>
      <c r="IB162" s="240" t="s">
        <v>492</v>
      </c>
      <c r="IC162" s="240" t="s">
        <v>492</v>
      </c>
    </row>
    <row r="163" spans="1:237" ht="15" x14ac:dyDescent="0.25">
      <c r="A163" s="243" t="str">
        <f>HYPERLINK("http://www.ofsted.gov.uk/inspection-reports/find-inspection-report/provider/ELS/146333 ","Ofsted School Webpage")</f>
        <v>Ofsted School Webpage</v>
      </c>
      <c r="B163" s="237">
        <v>146333</v>
      </c>
      <c r="C163" s="237">
        <v>8116018</v>
      </c>
      <c r="D163" s="237" t="s">
        <v>1431</v>
      </c>
      <c r="E163" s="237" t="s">
        <v>248</v>
      </c>
      <c r="F163" s="237" t="s">
        <v>523</v>
      </c>
      <c r="G163" s="237" t="s">
        <v>524</v>
      </c>
      <c r="H163" s="237" t="s">
        <v>961</v>
      </c>
      <c r="I163" s="237" t="s">
        <v>1432</v>
      </c>
      <c r="J163" s="237" t="s">
        <v>93</v>
      </c>
      <c r="K163" s="237" t="s">
        <v>93</v>
      </c>
      <c r="L163" s="237" t="s">
        <v>93</v>
      </c>
      <c r="M163" s="237" t="s">
        <v>90</v>
      </c>
      <c r="N163" s="237" t="s">
        <v>486</v>
      </c>
      <c r="O163" s="237" t="s">
        <v>487</v>
      </c>
      <c r="P163" s="237">
        <v>10070488</v>
      </c>
      <c r="Q163" s="239">
        <v>43438</v>
      </c>
      <c r="R163" s="239">
        <v>43438</v>
      </c>
      <c r="S163" s="239">
        <v>43476</v>
      </c>
      <c r="T163" s="237" t="s">
        <v>1377</v>
      </c>
      <c r="U163" s="237" t="s">
        <v>1105</v>
      </c>
      <c r="V163" s="237" t="s">
        <v>490</v>
      </c>
      <c r="W163" s="237" t="s">
        <v>486</v>
      </c>
      <c r="X163" s="237" t="s">
        <v>486</v>
      </c>
      <c r="Y163" s="237" t="s">
        <v>486</v>
      </c>
      <c r="Z163" s="237" t="s">
        <v>486</v>
      </c>
      <c r="AA163" s="237" t="s">
        <v>486</v>
      </c>
      <c r="AB163" s="237" t="s">
        <v>486</v>
      </c>
      <c r="AC163" s="237" t="s">
        <v>486</v>
      </c>
      <c r="AD163" s="237" t="s">
        <v>1378</v>
      </c>
      <c r="AE163" s="237" t="s">
        <v>231</v>
      </c>
      <c r="AF163" s="237" t="s">
        <v>231</v>
      </c>
      <c r="AG163" s="237" t="s">
        <v>231</v>
      </c>
      <c r="AH163" s="237" t="s">
        <v>231</v>
      </c>
      <c r="AI163" s="237" t="s">
        <v>231</v>
      </c>
      <c r="AJ163" s="237" t="s">
        <v>231</v>
      </c>
      <c r="AK163" s="237" t="s">
        <v>231</v>
      </c>
      <c r="AL163" s="237" t="s">
        <v>231</v>
      </c>
      <c r="AM163" s="237" t="s">
        <v>492</v>
      </c>
      <c r="AN163" s="237" t="s">
        <v>231</v>
      </c>
      <c r="AO163" s="237" t="s">
        <v>231</v>
      </c>
      <c r="AP163" s="237" t="s">
        <v>231</v>
      </c>
      <c r="AQ163" s="237" t="s">
        <v>231</v>
      </c>
      <c r="AR163" s="237" t="s">
        <v>231</v>
      </c>
      <c r="AS163" s="237" t="s">
        <v>231</v>
      </c>
      <c r="AT163" s="237" t="s">
        <v>231</v>
      </c>
      <c r="AU163" s="237" t="s">
        <v>492</v>
      </c>
      <c r="AV163" s="237" t="s">
        <v>231</v>
      </c>
      <c r="AW163" s="237" t="s">
        <v>231</v>
      </c>
      <c r="AX163" s="237" t="s">
        <v>231</v>
      </c>
      <c r="AY163" s="237" t="s">
        <v>231</v>
      </c>
      <c r="AZ163" s="237" t="s">
        <v>231</v>
      </c>
      <c r="BA163" s="237" t="s">
        <v>231</v>
      </c>
      <c r="BB163" s="237" t="s">
        <v>231</v>
      </c>
      <c r="BC163" s="237" t="s">
        <v>231</v>
      </c>
      <c r="BD163" s="237" t="s">
        <v>231</v>
      </c>
      <c r="BE163" s="237" t="s">
        <v>231</v>
      </c>
      <c r="BF163" s="237" t="s">
        <v>231</v>
      </c>
      <c r="BG163" s="237" t="s">
        <v>231</v>
      </c>
      <c r="BH163" s="237" t="s">
        <v>231</v>
      </c>
      <c r="BI163" s="237" t="s">
        <v>231</v>
      </c>
      <c r="BJ163" s="237" t="s">
        <v>231</v>
      </c>
      <c r="BK163" s="237" t="s">
        <v>231</v>
      </c>
      <c r="BL163" s="237" t="s">
        <v>231</v>
      </c>
      <c r="BM163" s="237" t="s">
        <v>231</v>
      </c>
      <c r="BN163" s="237" t="s">
        <v>231</v>
      </c>
      <c r="BO163" s="237" t="s">
        <v>231</v>
      </c>
      <c r="BP163" s="237" t="s">
        <v>231</v>
      </c>
      <c r="BQ163" s="237" t="s">
        <v>231</v>
      </c>
      <c r="BR163" s="237" t="s">
        <v>231</v>
      </c>
      <c r="BS163" s="237" t="s">
        <v>231</v>
      </c>
      <c r="BT163" s="237" t="s">
        <v>231</v>
      </c>
      <c r="BU163" s="237" t="s">
        <v>231</v>
      </c>
      <c r="BV163" s="237" t="s">
        <v>231</v>
      </c>
      <c r="BW163" s="237" t="s">
        <v>231</v>
      </c>
      <c r="BX163" s="237" t="s">
        <v>231</v>
      </c>
      <c r="BY163" s="237" t="s">
        <v>231</v>
      </c>
      <c r="BZ163" s="237" t="s">
        <v>231</v>
      </c>
      <c r="CA163" s="237" t="s">
        <v>231</v>
      </c>
      <c r="CB163" s="237" t="s">
        <v>231</v>
      </c>
      <c r="CC163" s="237" t="s">
        <v>492</v>
      </c>
      <c r="CD163" s="237" t="s">
        <v>492</v>
      </c>
      <c r="CE163" s="237" t="s">
        <v>492</v>
      </c>
      <c r="CF163" s="237" t="s">
        <v>231</v>
      </c>
      <c r="CG163" s="237" t="s">
        <v>231</v>
      </c>
      <c r="CH163" s="237" t="s">
        <v>231</v>
      </c>
      <c r="CI163" s="237" t="s">
        <v>231</v>
      </c>
      <c r="CJ163" s="237" t="s">
        <v>231</v>
      </c>
      <c r="CK163" s="237" t="s">
        <v>231</v>
      </c>
      <c r="CL163" s="237" t="s">
        <v>231</v>
      </c>
      <c r="CM163" s="237" t="s">
        <v>231</v>
      </c>
      <c r="CN163" s="237" t="s">
        <v>231</v>
      </c>
      <c r="CO163" s="237" t="s">
        <v>231</v>
      </c>
      <c r="CP163" s="237" t="s">
        <v>231</v>
      </c>
      <c r="CQ163" s="237" t="s">
        <v>231</v>
      </c>
      <c r="CR163" s="237" t="s">
        <v>231</v>
      </c>
      <c r="CS163" s="237" t="s">
        <v>231</v>
      </c>
      <c r="CT163" s="237" t="s">
        <v>231</v>
      </c>
      <c r="CU163" s="237" t="s">
        <v>231</v>
      </c>
      <c r="CV163" s="237" t="s">
        <v>231</v>
      </c>
      <c r="CW163" s="237" t="s">
        <v>231</v>
      </c>
      <c r="CX163" s="237" t="s">
        <v>231</v>
      </c>
      <c r="CY163" s="237" t="s">
        <v>231</v>
      </c>
      <c r="CZ163" s="237" t="s">
        <v>231</v>
      </c>
      <c r="DA163" s="237" t="s">
        <v>231</v>
      </c>
      <c r="DB163" s="237" t="s">
        <v>231</v>
      </c>
      <c r="DC163" s="237" t="s">
        <v>492</v>
      </c>
      <c r="DD163" s="237" t="s">
        <v>231</v>
      </c>
      <c r="DE163" s="237" t="s">
        <v>492</v>
      </c>
      <c r="DF163" s="237" t="s">
        <v>492</v>
      </c>
      <c r="DG163" s="237" t="s">
        <v>492</v>
      </c>
      <c r="DH163" s="237" t="s">
        <v>492</v>
      </c>
      <c r="DI163" s="237" t="s">
        <v>492</v>
      </c>
      <c r="DJ163" s="237" t="s">
        <v>492</v>
      </c>
      <c r="DK163" s="237" t="s">
        <v>492</v>
      </c>
      <c r="DL163" s="237" t="s">
        <v>492</v>
      </c>
      <c r="DM163" s="237" t="s">
        <v>492</v>
      </c>
      <c r="DN163" s="237" t="s">
        <v>492</v>
      </c>
      <c r="DO163" s="237" t="s">
        <v>492</v>
      </c>
      <c r="DP163" s="237" t="s">
        <v>492</v>
      </c>
      <c r="DQ163" s="237" t="s">
        <v>492</v>
      </c>
      <c r="DR163" s="237" t="s">
        <v>492</v>
      </c>
      <c r="DS163" s="237" t="s">
        <v>492</v>
      </c>
      <c r="DT163" s="237" t="s">
        <v>492</v>
      </c>
      <c r="DU163" s="237" t="s">
        <v>492</v>
      </c>
      <c r="DV163" s="237" t="s">
        <v>492</v>
      </c>
      <c r="DW163" s="237" t="s">
        <v>492</v>
      </c>
      <c r="DX163" s="237" t="s">
        <v>492</v>
      </c>
      <c r="DY163" s="237" t="s">
        <v>492</v>
      </c>
      <c r="DZ163" s="237" t="s">
        <v>492</v>
      </c>
      <c r="EA163" s="237" t="s">
        <v>492</v>
      </c>
      <c r="EB163" s="237" t="s">
        <v>231</v>
      </c>
      <c r="EC163" s="237" t="s">
        <v>231</v>
      </c>
      <c r="ED163" s="237" t="s">
        <v>231</v>
      </c>
      <c r="EE163" s="237" t="s">
        <v>231</v>
      </c>
      <c r="EF163" s="237" t="s">
        <v>231</v>
      </c>
      <c r="EG163" s="237" t="s">
        <v>231</v>
      </c>
      <c r="EH163" s="237" t="s">
        <v>231</v>
      </c>
      <c r="EI163" s="237" t="s">
        <v>231</v>
      </c>
      <c r="EJ163" s="237" t="s">
        <v>231</v>
      </c>
      <c r="EK163" s="237" t="s">
        <v>231</v>
      </c>
      <c r="EL163" s="237" t="s">
        <v>231</v>
      </c>
      <c r="EM163" s="237" t="s">
        <v>231</v>
      </c>
      <c r="EN163" s="237" t="s">
        <v>231</v>
      </c>
      <c r="EO163" s="237" t="s">
        <v>492</v>
      </c>
      <c r="EP163" s="237" t="s">
        <v>492</v>
      </c>
      <c r="EQ163" s="237" t="s">
        <v>492</v>
      </c>
      <c r="ER163" s="237" t="s">
        <v>492</v>
      </c>
      <c r="ES163" s="237" t="s">
        <v>492</v>
      </c>
      <c r="ET163" s="237" t="s">
        <v>492</v>
      </c>
      <c r="EU163" s="237" t="s">
        <v>492</v>
      </c>
      <c r="EV163" s="237" t="s">
        <v>492</v>
      </c>
      <c r="EW163" s="237" t="s">
        <v>492</v>
      </c>
      <c r="EX163" s="237" t="s">
        <v>492</v>
      </c>
      <c r="EY163" s="237" t="s">
        <v>492</v>
      </c>
      <c r="EZ163" s="237" t="s">
        <v>231</v>
      </c>
      <c r="FA163" s="237" t="s">
        <v>231</v>
      </c>
      <c r="FB163" s="237" t="s">
        <v>231</v>
      </c>
      <c r="FC163" s="237" t="s">
        <v>231</v>
      </c>
      <c r="FD163" s="237" t="s">
        <v>231</v>
      </c>
      <c r="FE163" s="237" t="s">
        <v>231</v>
      </c>
      <c r="FF163" s="237" t="s">
        <v>231</v>
      </c>
      <c r="FG163" s="237" t="s">
        <v>492</v>
      </c>
      <c r="FH163" s="237" t="s">
        <v>231</v>
      </c>
      <c r="FI163" s="237" t="s">
        <v>231</v>
      </c>
      <c r="FJ163" s="237" t="s">
        <v>231</v>
      </c>
      <c r="FK163" s="237" t="s">
        <v>231</v>
      </c>
      <c r="FL163" s="237" t="s">
        <v>231</v>
      </c>
      <c r="FM163" s="237" t="s">
        <v>231</v>
      </c>
      <c r="FN163" s="237" t="s">
        <v>231</v>
      </c>
      <c r="FO163" s="237" t="s">
        <v>231</v>
      </c>
      <c r="FP163" s="237" t="s">
        <v>231</v>
      </c>
      <c r="FQ163" s="237" t="s">
        <v>231</v>
      </c>
      <c r="FR163" s="237" t="s">
        <v>231</v>
      </c>
      <c r="FS163" s="237" t="s">
        <v>231</v>
      </c>
      <c r="FT163" s="237" t="s">
        <v>231</v>
      </c>
      <c r="FU163" s="237" t="s">
        <v>231</v>
      </c>
      <c r="FV163" s="237" t="s">
        <v>231</v>
      </c>
      <c r="FW163" s="237" t="s">
        <v>231</v>
      </c>
      <c r="FX163" s="237" t="s">
        <v>231</v>
      </c>
      <c r="FY163" s="237" t="s">
        <v>492</v>
      </c>
      <c r="FZ163" s="237" t="s">
        <v>231</v>
      </c>
      <c r="GA163" s="237" t="s">
        <v>231</v>
      </c>
      <c r="GB163" s="237" t="s">
        <v>231</v>
      </c>
      <c r="GC163" s="237" t="s">
        <v>231</v>
      </c>
      <c r="GD163" s="237" t="s">
        <v>492</v>
      </c>
      <c r="GE163" s="237" t="s">
        <v>492</v>
      </c>
      <c r="GF163" s="237" t="s">
        <v>231</v>
      </c>
      <c r="GG163" s="237" t="s">
        <v>231</v>
      </c>
      <c r="GH163" s="237" t="s">
        <v>231</v>
      </c>
      <c r="GI163" s="237" t="s">
        <v>231</v>
      </c>
      <c r="GJ163" s="237" t="s">
        <v>231</v>
      </c>
      <c r="GK163" s="237" t="s">
        <v>231</v>
      </c>
      <c r="GL163" s="237" t="s">
        <v>231</v>
      </c>
      <c r="GM163" s="237" t="s">
        <v>231</v>
      </c>
      <c r="GN163" s="237" t="s">
        <v>231</v>
      </c>
      <c r="GO163" s="237" t="s">
        <v>492</v>
      </c>
      <c r="GP163" s="237" t="s">
        <v>492</v>
      </c>
      <c r="GQ163" s="237" t="s">
        <v>231</v>
      </c>
      <c r="GR163" s="237" t="s">
        <v>231</v>
      </c>
      <c r="GS163" s="237" t="s">
        <v>231</v>
      </c>
      <c r="GT163" s="237" t="s">
        <v>231</v>
      </c>
      <c r="GU163" s="237" t="s">
        <v>231</v>
      </c>
      <c r="GV163" s="237" t="s">
        <v>231</v>
      </c>
      <c r="GW163" s="237" t="s">
        <v>231</v>
      </c>
      <c r="GX163" s="237" t="s">
        <v>231</v>
      </c>
      <c r="GY163" s="237" t="s">
        <v>492</v>
      </c>
      <c r="GZ163" s="237" t="s">
        <v>492</v>
      </c>
      <c r="HA163" s="237" t="s">
        <v>492</v>
      </c>
      <c r="HB163" s="237" t="s">
        <v>492</v>
      </c>
      <c r="HC163" s="237" t="s">
        <v>492</v>
      </c>
      <c r="HD163" s="237" t="s">
        <v>231</v>
      </c>
      <c r="HE163" s="237" t="s">
        <v>231</v>
      </c>
      <c r="HF163" s="237" t="s">
        <v>231</v>
      </c>
      <c r="HG163" s="237" t="s">
        <v>231</v>
      </c>
      <c r="HH163" s="237" t="s">
        <v>231</v>
      </c>
      <c r="HI163" s="237" t="s">
        <v>231</v>
      </c>
      <c r="HJ163" s="237" t="s">
        <v>231</v>
      </c>
      <c r="HK163" s="237" t="s">
        <v>231</v>
      </c>
      <c r="HL163" s="237" t="s">
        <v>231</v>
      </c>
      <c r="HM163" s="237" t="s">
        <v>231</v>
      </c>
      <c r="HN163" s="237" t="s">
        <v>231</v>
      </c>
      <c r="HO163" s="237" t="s">
        <v>231</v>
      </c>
      <c r="HP163" s="237" t="s">
        <v>231</v>
      </c>
      <c r="HQ163" s="237" t="s">
        <v>231</v>
      </c>
      <c r="HR163" s="237" t="s">
        <v>231</v>
      </c>
      <c r="HS163" s="237" t="s">
        <v>231</v>
      </c>
      <c r="HT163" s="237" t="s">
        <v>231</v>
      </c>
      <c r="HU163" s="237" t="s">
        <v>231</v>
      </c>
      <c r="HV163" s="237" t="s">
        <v>231</v>
      </c>
      <c r="HW163" s="237" t="s">
        <v>231</v>
      </c>
      <c r="HX163" s="237" t="s">
        <v>220</v>
      </c>
      <c r="HY163" s="237" t="s">
        <v>493</v>
      </c>
      <c r="HZ163" s="237" t="s">
        <v>219</v>
      </c>
      <c r="IA163" s="237" t="s">
        <v>490</v>
      </c>
      <c r="IB163" s="237" t="s">
        <v>492</v>
      </c>
      <c r="IC163" s="237" t="s">
        <v>492</v>
      </c>
    </row>
    <row r="164" spans="1:237" ht="15" x14ac:dyDescent="0.25">
      <c r="A164" s="244" t="str">
        <f>HYPERLINK("http://www.ofsted.gov.uk/inspection-reports/find-inspection-report/provider/ELS/146182 ","Ofsted School Webpage")</f>
        <v>Ofsted School Webpage</v>
      </c>
      <c r="B164" s="240">
        <v>146182</v>
      </c>
      <c r="C164" s="240">
        <v>3576006</v>
      </c>
      <c r="D164" s="240" t="s">
        <v>558</v>
      </c>
      <c r="E164" s="240" t="s">
        <v>247</v>
      </c>
      <c r="F164" s="240" t="s">
        <v>495</v>
      </c>
      <c r="G164" s="240" t="s">
        <v>495</v>
      </c>
      <c r="H164" s="240" t="s">
        <v>834</v>
      </c>
      <c r="I164" s="240" t="s">
        <v>1433</v>
      </c>
      <c r="J164" s="240" t="s">
        <v>93</v>
      </c>
      <c r="K164" s="240" t="s">
        <v>93</v>
      </c>
      <c r="L164" s="240" t="s">
        <v>93</v>
      </c>
      <c r="M164" s="240" t="s">
        <v>90</v>
      </c>
      <c r="N164" s="240" t="s">
        <v>486</v>
      </c>
      <c r="O164" s="240" t="s">
        <v>487</v>
      </c>
      <c r="P164" s="240">
        <v>10077473</v>
      </c>
      <c r="Q164" s="242">
        <v>43444</v>
      </c>
      <c r="R164" s="242">
        <v>43444</v>
      </c>
      <c r="S164" s="242">
        <v>43476</v>
      </c>
      <c r="T164" s="240" t="s">
        <v>1377</v>
      </c>
      <c r="U164" s="240" t="s">
        <v>1105</v>
      </c>
      <c r="V164" s="240" t="s">
        <v>490</v>
      </c>
      <c r="W164" s="240" t="s">
        <v>486</v>
      </c>
      <c r="X164" s="240" t="s">
        <v>486</v>
      </c>
      <c r="Y164" s="240" t="s">
        <v>486</v>
      </c>
      <c r="Z164" s="240" t="s">
        <v>486</v>
      </c>
      <c r="AA164" s="240" t="s">
        <v>486</v>
      </c>
      <c r="AB164" s="240" t="s">
        <v>486</v>
      </c>
      <c r="AC164" s="240" t="s">
        <v>486</v>
      </c>
      <c r="AD164" s="240" t="s">
        <v>1378</v>
      </c>
      <c r="AE164" s="240" t="s">
        <v>231</v>
      </c>
      <c r="AF164" s="240" t="s">
        <v>231</v>
      </c>
      <c r="AG164" s="240" t="s">
        <v>231</v>
      </c>
      <c r="AH164" s="240" t="s">
        <v>231</v>
      </c>
      <c r="AI164" s="240" t="s">
        <v>231</v>
      </c>
      <c r="AJ164" s="240" t="s">
        <v>231</v>
      </c>
      <c r="AK164" s="240" t="s">
        <v>231</v>
      </c>
      <c r="AL164" s="240" t="s">
        <v>231</v>
      </c>
      <c r="AM164" s="240" t="s">
        <v>231</v>
      </c>
      <c r="AN164" s="240" t="s">
        <v>231</v>
      </c>
      <c r="AO164" s="240" t="s">
        <v>231</v>
      </c>
      <c r="AP164" s="240" t="s">
        <v>231</v>
      </c>
      <c r="AQ164" s="240" t="s">
        <v>231</v>
      </c>
      <c r="AR164" s="240" t="s">
        <v>231</v>
      </c>
      <c r="AS164" s="240" t="s">
        <v>231</v>
      </c>
      <c r="AT164" s="240" t="s">
        <v>231</v>
      </c>
      <c r="AU164" s="240" t="s">
        <v>492</v>
      </c>
      <c r="AV164" s="240" t="s">
        <v>231</v>
      </c>
      <c r="AW164" s="240" t="s">
        <v>231</v>
      </c>
      <c r="AX164" s="240" t="s">
        <v>231</v>
      </c>
      <c r="AY164" s="240" t="s">
        <v>231</v>
      </c>
      <c r="AZ164" s="240" t="s">
        <v>231</v>
      </c>
      <c r="BA164" s="240" t="s">
        <v>231</v>
      </c>
      <c r="BB164" s="240" t="s">
        <v>231</v>
      </c>
      <c r="BC164" s="240" t="s">
        <v>231</v>
      </c>
      <c r="BD164" s="240" t="s">
        <v>231</v>
      </c>
      <c r="BE164" s="240" t="s">
        <v>231</v>
      </c>
      <c r="BF164" s="240" t="s">
        <v>231</v>
      </c>
      <c r="BG164" s="240" t="s">
        <v>231</v>
      </c>
      <c r="BH164" s="240" t="s">
        <v>231</v>
      </c>
      <c r="BI164" s="240" t="s">
        <v>231</v>
      </c>
      <c r="BJ164" s="240" t="s">
        <v>231</v>
      </c>
      <c r="BK164" s="240" t="s">
        <v>231</v>
      </c>
      <c r="BL164" s="240" t="s">
        <v>231</v>
      </c>
      <c r="BM164" s="240" t="s">
        <v>231</v>
      </c>
      <c r="BN164" s="240" t="s">
        <v>231</v>
      </c>
      <c r="BO164" s="240" t="s">
        <v>231</v>
      </c>
      <c r="BP164" s="240" t="s">
        <v>231</v>
      </c>
      <c r="BQ164" s="240" t="s">
        <v>231</v>
      </c>
      <c r="BR164" s="240" t="s">
        <v>231</v>
      </c>
      <c r="BS164" s="240" t="s">
        <v>231</v>
      </c>
      <c r="BT164" s="240" t="s">
        <v>231</v>
      </c>
      <c r="BU164" s="240" t="s">
        <v>231</v>
      </c>
      <c r="BV164" s="240" t="s">
        <v>231</v>
      </c>
      <c r="BW164" s="240" t="s">
        <v>231</v>
      </c>
      <c r="BX164" s="240" t="s">
        <v>231</v>
      </c>
      <c r="BY164" s="240" t="s">
        <v>231</v>
      </c>
      <c r="BZ164" s="240" t="s">
        <v>231</v>
      </c>
      <c r="CA164" s="240" t="s">
        <v>231</v>
      </c>
      <c r="CB164" s="240" t="s">
        <v>231</v>
      </c>
      <c r="CC164" s="240" t="s">
        <v>492</v>
      </c>
      <c r="CD164" s="240" t="s">
        <v>492</v>
      </c>
      <c r="CE164" s="240" t="s">
        <v>492</v>
      </c>
      <c r="CF164" s="240" t="s">
        <v>231</v>
      </c>
      <c r="CG164" s="240" t="s">
        <v>231</v>
      </c>
      <c r="CH164" s="240" t="s">
        <v>231</v>
      </c>
      <c r="CI164" s="240" t="s">
        <v>231</v>
      </c>
      <c r="CJ164" s="240" t="s">
        <v>231</v>
      </c>
      <c r="CK164" s="240" t="s">
        <v>231</v>
      </c>
      <c r="CL164" s="240" t="s">
        <v>231</v>
      </c>
      <c r="CM164" s="240" t="s">
        <v>231</v>
      </c>
      <c r="CN164" s="240" t="s">
        <v>231</v>
      </c>
      <c r="CO164" s="240" t="s">
        <v>231</v>
      </c>
      <c r="CP164" s="240" t="s">
        <v>231</v>
      </c>
      <c r="CQ164" s="240" t="s">
        <v>231</v>
      </c>
      <c r="CR164" s="240" t="s">
        <v>231</v>
      </c>
      <c r="CS164" s="240" t="s">
        <v>231</v>
      </c>
      <c r="CT164" s="240" t="s">
        <v>231</v>
      </c>
      <c r="CU164" s="240" t="s">
        <v>231</v>
      </c>
      <c r="CV164" s="240" t="s">
        <v>231</v>
      </c>
      <c r="CW164" s="240" t="s">
        <v>231</v>
      </c>
      <c r="CX164" s="240" t="s">
        <v>231</v>
      </c>
      <c r="CY164" s="240" t="s">
        <v>231</v>
      </c>
      <c r="CZ164" s="240" t="s">
        <v>231</v>
      </c>
      <c r="DA164" s="240" t="s">
        <v>231</v>
      </c>
      <c r="DB164" s="240" t="s">
        <v>231</v>
      </c>
      <c r="DC164" s="240" t="s">
        <v>492</v>
      </c>
      <c r="DD164" s="240" t="s">
        <v>231</v>
      </c>
      <c r="DE164" s="240" t="s">
        <v>492</v>
      </c>
      <c r="DF164" s="240" t="s">
        <v>492</v>
      </c>
      <c r="DG164" s="240" t="s">
        <v>492</v>
      </c>
      <c r="DH164" s="240" t="s">
        <v>492</v>
      </c>
      <c r="DI164" s="240" t="s">
        <v>492</v>
      </c>
      <c r="DJ164" s="240" t="s">
        <v>492</v>
      </c>
      <c r="DK164" s="240" t="s">
        <v>492</v>
      </c>
      <c r="DL164" s="240" t="s">
        <v>492</v>
      </c>
      <c r="DM164" s="240" t="s">
        <v>492</v>
      </c>
      <c r="DN164" s="240" t="s">
        <v>492</v>
      </c>
      <c r="DO164" s="240" t="s">
        <v>492</v>
      </c>
      <c r="DP164" s="240" t="s">
        <v>492</v>
      </c>
      <c r="DQ164" s="240" t="s">
        <v>492</v>
      </c>
      <c r="DR164" s="240" t="s">
        <v>492</v>
      </c>
      <c r="DS164" s="240" t="s">
        <v>231</v>
      </c>
      <c r="DT164" s="240" t="s">
        <v>231</v>
      </c>
      <c r="DU164" s="240" t="s">
        <v>231</v>
      </c>
      <c r="DV164" s="240" t="s">
        <v>231</v>
      </c>
      <c r="DW164" s="240" t="s">
        <v>231</v>
      </c>
      <c r="DX164" s="240" t="s">
        <v>231</v>
      </c>
      <c r="DY164" s="240" t="s">
        <v>231</v>
      </c>
      <c r="DZ164" s="240" t="s">
        <v>231</v>
      </c>
      <c r="EA164" s="240" t="s">
        <v>231</v>
      </c>
      <c r="EB164" s="240" t="s">
        <v>231</v>
      </c>
      <c r="EC164" s="240" t="s">
        <v>231</v>
      </c>
      <c r="ED164" s="240" t="s">
        <v>231</v>
      </c>
      <c r="EE164" s="240" t="s">
        <v>231</v>
      </c>
      <c r="EF164" s="240" t="s">
        <v>231</v>
      </c>
      <c r="EG164" s="240" t="s">
        <v>231</v>
      </c>
      <c r="EH164" s="240" t="s">
        <v>231</v>
      </c>
      <c r="EI164" s="240" t="s">
        <v>231</v>
      </c>
      <c r="EJ164" s="240" t="s">
        <v>231</v>
      </c>
      <c r="EK164" s="240" t="s">
        <v>231</v>
      </c>
      <c r="EL164" s="240" t="s">
        <v>231</v>
      </c>
      <c r="EM164" s="240" t="s">
        <v>231</v>
      </c>
      <c r="EN164" s="240" t="s">
        <v>231</v>
      </c>
      <c r="EO164" s="240" t="s">
        <v>231</v>
      </c>
      <c r="EP164" s="240" t="s">
        <v>492</v>
      </c>
      <c r="EQ164" s="240" t="s">
        <v>492</v>
      </c>
      <c r="ER164" s="240" t="s">
        <v>492</v>
      </c>
      <c r="ES164" s="240" t="s">
        <v>492</v>
      </c>
      <c r="ET164" s="240" t="s">
        <v>492</v>
      </c>
      <c r="EU164" s="240" t="s">
        <v>492</v>
      </c>
      <c r="EV164" s="240" t="s">
        <v>231</v>
      </c>
      <c r="EW164" s="240" t="s">
        <v>231</v>
      </c>
      <c r="EX164" s="240" t="s">
        <v>231</v>
      </c>
      <c r="EY164" s="240" t="s">
        <v>231</v>
      </c>
      <c r="EZ164" s="240" t="s">
        <v>231</v>
      </c>
      <c r="FA164" s="240" t="s">
        <v>231</v>
      </c>
      <c r="FB164" s="240" t="s">
        <v>231</v>
      </c>
      <c r="FC164" s="240" t="s">
        <v>231</v>
      </c>
      <c r="FD164" s="240" t="s">
        <v>231</v>
      </c>
      <c r="FE164" s="240" t="s">
        <v>231</v>
      </c>
      <c r="FF164" s="240" t="s">
        <v>231</v>
      </c>
      <c r="FG164" s="240" t="s">
        <v>492</v>
      </c>
      <c r="FH164" s="240" t="s">
        <v>231</v>
      </c>
      <c r="FI164" s="240" t="s">
        <v>231</v>
      </c>
      <c r="FJ164" s="240" t="s">
        <v>231</v>
      </c>
      <c r="FK164" s="240" t="s">
        <v>231</v>
      </c>
      <c r="FL164" s="240" t="s">
        <v>231</v>
      </c>
      <c r="FM164" s="240" t="s">
        <v>231</v>
      </c>
      <c r="FN164" s="240" t="s">
        <v>231</v>
      </c>
      <c r="FO164" s="240" t="s">
        <v>231</v>
      </c>
      <c r="FP164" s="240" t="s">
        <v>231</v>
      </c>
      <c r="FQ164" s="240" t="s">
        <v>231</v>
      </c>
      <c r="FR164" s="240" t="s">
        <v>231</v>
      </c>
      <c r="FS164" s="240" t="s">
        <v>231</v>
      </c>
      <c r="FT164" s="240" t="s">
        <v>231</v>
      </c>
      <c r="FU164" s="240" t="s">
        <v>231</v>
      </c>
      <c r="FV164" s="240" t="s">
        <v>231</v>
      </c>
      <c r="FW164" s="240" t="s">
        <v>231</v>
      </c>
      <c r="FX164" s="240" t="s">
        <v>231</v>
      </c>
      <c r="FY164" s="240" t="s">
        <v>492</v>
      </c>
      <c r="FZ164" s="240" t="s">
        <v>231</v>
      </c>
      <c r="GA164" s="240" t="s">
        <v>231</v>
      </c>
      <c r="GB164" s="240" t="s">
        <v>231</v>
      </c>
      <c r="GC164" s="240" t="s">
        <v>231</v>
      </c>
      <c r="GD164" s="240" t="s">
        <v>492</v>
      </c>
      <c r="GE164" s="240" t="s">
        <v>492</v>
      </c>
      <c r="GF164" s="240" t="s">
        <v>231</v>
      </c>
      <c r="GG164" s="240" t="s">
        <v>1107</v>
      </c>
      <c r="GH164" s="240" t="s">
        <v>231</v>
      </c>
      <c r="GI164" s="240" t="s">
        <v>231</v>
      </c>
      <c r="GJ164" s="240" t="s">
        <v>231</v>
      </c>
      <c r="GK164" s="240" t="s">
        <v>231</v>
      </c>
      <c r="GL164" s="240" t="s">
        <v>231</v>
      </c>
      <c r="GM164" s="240" t="s">
        <v>231</v>
      </c>
      <c r="GN164" s="240" t="s">
        <v>492</v>
      </c>
      <c r="GO164" s="240" t="s">
        <v>231</v>
      </c>
      <c r="GP164" s="240" t="s">
        <v>231</v>
      </c>
      <c r="GQ164" s="240" t="s">
        <v>231</v>
      </c>
      <c r="GR164" s="240" t="s">
        <v>231</v>
      </c>
      <c r="GS164" s="240" t="s">
        <v>231</v>
      </c>
      <c r="GT164" s="240" t="s">
        <v>231</v>
      </c>
      <c r="GU164" s="240" t="s">
        <v>231</v>
      </c>
      <c r="GV164" s="240" t="s">
        <v>231</v>
      </c>
      <c r="GW164" s="240" t="s">
        <v>231</v>
      </c>
      <c r="GX164" s="240" t="s">
        <v>231</v>
      </c>
      <c r="GY164" s="240" t="s">
        <v>492</v>
      </c>
      <c r="GZ164" s="240" t="s">
        <v>492</v>
      </c>
      <c r="HA164" s="240" t="s">
        <v>492</v>
      </c>
      <c r="HB164" s="240" t="s">
        <v>492</v>
      </c>
      <c r="HC164" s="240" t="s">
        <v>492</v>
      </c>
      <c r="HD164" s="240" t="s">
        <v>231</v>
      </c>
      <c r="HE164" s="240" t="s">
        <v>231</v>
      </c>
      <c r="HF164" s="240" t="s">
        <v>231</v>
      </c>
      <c r="HG164" s="240" t="s">
        <v>231</v>
      </c>
      <c r="HH164" s="240" t="s">
        <v>231</v>
      </c>
      <c r="HI164" s="240" t="s">
        <v>231</v>
      </c>
      <c r="HJ164" s="240" t="s">
        <v>231</v>
      </c>
      <c r="HK164" s="240" t="s">
        <v>231</v>
      </c>
      <c r="HL164" s="240" t="s">
        <v>231</v>
      </c>
      <c r="HM164" s="240" t="s">
        <v>231</v>
      </c>
      <c r="HN164" s="240" t="s">
        <v>231</v>
      </c>
      <c r="HO164" s="240" t="s">
        <v>231</v>
      </c>
      <c r="HP164" s="240" t="s">
        <v>231</v>
      </c>
      <c r="HQ164" s="240" t="s">
        <v>231</v>
      </c>
      <c r="HR164" s="240" t="s">
        <v>231</v>
      </c>
      <c r="HS164" s="240" t="s">
        <v>231</v>
      </c>
      <c r="HT164" s="240" t="s">
        <v>231</v>
      </c>
      <c r="HU164" s="240" t="s">
        <v>231</v>
      </c>
      <c r="HV164" s="240" t="s">
        <v>231</v>
      </c>
      <c r="HW164" s="240" t="s">
        <v>231</v>
      </c>
      <c r="HX164" s="240" t="s">
        <v>220</v>
      </c>
      <c r="HY164" s="240" t="s">
        <v>493</v>
      </c>
      <c r="HZ164" s="240" t="s">
        <v>219</v>
      </c>
      <c r="IA164" s="240" t="s">
        <v>490</v>
      </c>
      <c r="IB164" s="240" t="s">
        <v>492</v>
      </c>
      <c r="IC164" s="240" t="s">
        <v>492</v>
      </c>
    </row>
    <row r="165" spans="1:237" ht="15" x14ac:dyDescent="0.25">
      <c r="A165" s="243" t="str">
        <f>HYPERLINK("http://www.ofsted.gov.uk/inspection-reports/find-inspection-report/provider/ELS/146569 ","Ofsted School Webpage")</f>
        <v>Ofsted School Webpage</v>
      </c>
      <c r="B165" s="237">
        <v>146569</v>
      </c>
      <c r="C165" s="237">
        <v>3436002</v>
      </c>
      <c r="D165" s="237" t="s">
        <v>1434</v>
      </c>
      <c r="E165" s="237" t="s">
        <v>247</v>
      </c>
      <c r="F165" s="237" t="s">
        <v>495</v>
      </c>
      <c r="G165" s="237" t="s">
        <v>495</v>
      </c>
      <c r="H165" s="237" t="s">
        <v>1435</v>
      </c>
      <c r="I165" s="237" t="s">
        <v>1436</v>
      </c>
      <c r="J165" s="237" t="s">
        <v>498</v>
      </c>
      <c r="K165" s="237" t="s">
        <v>93</v>
      </c>
      <c r="L165" s="237" t="s">
        <v>498</v>
      </c>
      <c r="M165" s="237" t="s">
        <v>90</v>
      </c>
      <c r="N165" s="237" t="s">
        <v>486</v>
      </c>
      <c r="O165" s="237" t="s">
        <v>487</v>
      </c>
      <c r="P165" s="237">
        <v>10085720</v>
      </c>
      <c r="Q165" s="239">
        <v>43445</v>
      </c>
      <c r="R165" s="239">
        <v>43445</v>
      </c>
      <c r="S165" s="239">
        <v>43479</v>
      </c>
      <c r="T165" s="237" t="s">
        <v>1377</v>
      </c>
      <c r="U165" s="237" t="s">
        <v>1105</v>
      </c>
      <c r="V165" s="237" t="s">
        <v>490</v>
      </c>
      <c r="W165" s="237" t="s">
        <v>486</v>
      </c>
      <c r="X165" s="237" t="s">
        <v>486</v>
      </c>
      <c r="Y165" s="237" t="s">
        <v>486</v>
      </c>
      <c r="Z165" s="237" t="s">
        <v>486</v>
      </c>
      <c r="AA165" s="237" t="s">
        <v>486</v>
      </c>
      <c r="AB165" s="237" t="s">
        <v>486</v>
      </c>
      <c r="AC165" s="237" t="s">
        <v>486</v>
      </c>
      <c r="AD165" s="237" t="s">
        <v>1378</v>
      </c>
      <c r="AE165" s="237" t="s">
        <v>231</v>
      </c>
      <c r="AF165" s="237" t="s">
        <v>231</v>
      </c>
      <c r="AG165" s="237" t="s">
        <v>231</v>
      </c>
      <c r="AH165" s="237" t="s">
        <v>231</v>
      </c>
      <c r="AI165" s="237" t="s">
        <v>231</v>
      </c>
      <c r="AJ165" s="237" t="s">
        <v>231</v>
      </c>
      <c r="AK165" s="237" t="s">
        <v>231</v>
      </c>
      <c r="AL165" s="237" t="s">
        <v>231</v>
      </c>
      <c r="AM165" s="237" t="s">
        <v>492</v>
      </c>
      <c r="AN165" s="237" t="s">
        <v>231</v>
      </c>
      <c r="AO165" s="237" t="s">
        <v>231</v>
      </c>
      <c r="AP165" s="237" t="s">
        <v>231</v>
      </c>
      <c r="AQ165" s="237" t="s">
        <v>231</v>
      </c>
      <c r="AR165" s="237" t="s">
        <v>231</v>
      </c>
      <c r="AS165" s="237" t="s">
        <v>231</v>
      </c>
      <c r="AT165" s="237" t="s">
        <v>231</v>
      </c>
      <c r="AU165" s="237" t="s">
        <v>492</v>
      </c>
      <c r="AV165" s="237" t="s">
        <v>492</v>
      </c>
      <c r="AW165" s="237" t="s">
        <v>231</v>
      </c>
      <c r="AX165" s="237" t="s">
        <v>231</v>
      </c>
      <c r="AY165" s="237" t="s">
        <v>231</v>
      </c>
      <c r="AZ165" s="237" t="s">
        <v>231</v>
      </c>
      <c r="BA165" s="237" t="s">
        <v>231</v>
      </c>
      <c r="BB165" s="237" t="s">
        <v>231</v>
      </c>
      <c r="BC165" s="237" t="s">
        <v>231</v>
      </c>
      <c r="BD165" s="237" t="s">
        <v>231</v>
      </c>
      <c r="BE165" s="237" t="s">
        <v>231</v>
      </c>
      <c r="BF165" s="237" t="s">
        <v>231</v>
      </c>
      <c r="BG165" s="237" t="s">
        <v>231</v>
      </c>
      <c r="BH165" s="237" t="s">
        <v>231</v>
      </c>
      <c r="BI165" s="237" t="s">
        <v>231</v>
      </c>
      <c r="BJ165" s="237" t="s">
        <v>231</v>
      </c>
      <c r="BK165" s="237" t="s">
        <v>231</v>
      </c>
      <c r="BL165" s="237" t="s">
        <v>231</v>
      </c>
      <c r="BM165" s="237" t="s">
        <v>231</v>
      </c>
      <c r="BN165" s="237" t="s">
        <v>231</v>
      </c>
      <c r="BO165" s="237" t="s">
        <v>231</v>
      </c>
      <c r="BP165" s="237" t="s">
        <v>231</v>
      </c>
      <c r="BQ165" s="237" t="s">
        <v>231</v>
      </c>
      <c r="BR165" s="237" t="s">
        <v>231</v>
      </c>
      <c r="BS165" s="237" t="s">
        <v>231</v>
      </c>
      <c r="BT165" s="237" t="s">
        <v>231</v>
      </c>
      <c r="BU165" s="237" t="s">
        <v>231</v>
      </c>
      <c r="BV165" s="237" t="s">
        <v>231</v>
      </c>
      <c r="BW165" s="237" t="s">
        <v>231</v>
      </c>
      <c r="BX165" s="237" t="s">
        <v>231</v>
      </c>
      <c r="BY165" s="237" t="s">
        <v>231</v>
      </c>
      <c r="BZ165" s="237" t="s">
        <v>231</v>
      </c>
      <c r="CA165" s="237" t="s">
        <v>231</v>
      </c>
      <c r="CB165" s="237" t="s">
        <v>231</v>
      </c>
      <c r="CC165" s="237" t="s">
        <v>492</v>
      </c>
      <c r="CD165" s="237" t="s">
        <v>492</v>
      </c>
      <c r="CE165" s="237" t="s">
        <v>492</v>
      </c>
      <c r="CF165" s="237" t="s">
        <v>231</v>
      </c>
      <c r="CG165" s="237" t="s">
        <v>231</v>
      </c>
      <c r="CH165" s="237" t="s">
        <v>231</v>
      </c>
      <c r="CI165" s="237" t="s">
        <v>231</v>
      </c>
      <c r="CJ165" s="237" t="s">
        <v>231</v>
      </c>
      <c r="CK165" s="237" t="s">
        <v>231</v>
      </c>
      <c r="CL165" s="237" t="s">
        <v>231</v>
      </c>
      <c r="CM165" s="237" t="s">
        <v>231</v>
      </c>
      <c r="CN165" s="237" t="s">
        <v>231</v>
      </c>
      <c r="CO165" s="237" t="s">
        <v>231</v>
      </c>
      <c r="CP165" s="237" t="s">
        <v>231</v>
      </c>
      <c r="CQ165" s="237" t="s">
        <v>231</v>
      </c>
      <c r="CR165" s="237" t="s">
        <v>231</v>
      </c>
      <c r="CS165" s="237" t="s">
        <v>231</v>
      </c>
      <c r="CT165" s="237" t="s">
        <v>231</v>
      </c>
      <c r="CU165" s="237" t="s">
        <v>231</v>
      </c>
      <c r="CV165" s="237" t="s">
        <v>231</v>
      </c>
      <c r="CW165" s="237" t="s">
        <v>231</v>
      </c>
      <c r="CX165" s="237" t="s">
        <v>231</v>
      </c>
      <c r="CY165" s="237" t="s">
        <v>231</v>
      </c>
      <c r="CZ165" s="237" t="s">
        <v>231</v>
      </c>
      <c r="DA165" s="237" t="s">
        <v>231</v>
      </c>
      <c r="DB165" s="237" t="s">
        <v>231</v>
      </c>
      <c r="DC165" s="237" t="s">
        <v>492</v>
      </c>
      <c r="DD165" s="237" t="s">
        <v>231</v>
      </c>
      <c r="DE165" s="237" t="s">
        <v>231</v>
      </c>
      <c r="DF165" s="237" t="s">
        <v>231</v>
      </c>
      <c r="DG165" s="237" t="s">
        <v>231</v>
      </c>
      <c r="DH165" s="237" t="s">
        <v>231</v>
      </c>
      <c r="DI165" s="237" t="s">
        <v>231</v>
      </c>
      <c r="DJ165" s="237" t="s">
        <v>231</v>
      </c>
      <c r="DK165" s="237" t="s">
        <v>231</v>
      </c>
      <c r="DL165" s="237" t="s">
        <v>231</v>
      </c>
      <c r="DM165" s="237" t="s">
        <v>231</v>
      </c>
      <c r="DN165" s="237" t="s">
        <v>231</v>
      </c>
      <c r="DO165" s="237" t="s">
        <v>231</v>
      </c>
      <c r="DP165" s="237" t="s">
        <v>231</v>
      </c>
      <c r="DQ165" s="237" t="s">
        <v>492</v>
      </c>
      <c r="DR165" s="237" t="s">
        <v>231</v>
      </c>
      <c r="DS165" s="237" t="s">
        <v>231</v>
      </c>
      <c r="DT165" s="237" t="s">
        <v>231</v>
      </c>
      <c r="DU165" s="237" t="s">
        <v>231</v>
      </c>
      <c r="DV165" s="237" t="s">
        <v>231</v>
      </c>
      <c r="DW165" s="237" t="s">
        <v>231</v>
      </c>
      <c r="DX165" s="237" t="s">
        <v>231</v>
      </c>
      <c r="DY165" s="237" t="s">
        <v>231</v>
      </c>
      <c r="DZ165" s="237" t="s">
        <v>231</v>
      </c>
      <c r="EA165" s="237" t="s">
        <v>231</v>
      </c>
      <c r="EB165" s="237" t="s">
        <v>231</v>
      </c>
      <c r="EC165" s="237" t="s">
        <v>231</v>
      </c>
      <c r="ED165" s="237" t="s">
        <v>231</v>
      </c>
      <c r="EE165" s="237" t="s">
        <v>231</v>
      </c>
      <c r="EF165" s="237" t="s">
        <v>231</v>
      </c>
      <c r="EG165" s="237" t="s">
        <v>231</v>
      </c>
      <c r="EH165" s="237" t="s">
        <v>231</v>
      </c>
      <c r="EI165" s="237" t="s">
        <v>231</v>
      </c>
      <c r="EJ165" s="237" t="s">
        <v>231</v>
      </c>
      <c r="EK165" s="237" t="s">
        <v>231</v>
      </c>
      <c r="EL165" s="237" t="s">
        <v>231</v>
      </c>
      <c r="EM165" s="237" t="s">
        <v>231</v>
      </c>
      <c r="EN165" s="237" t="s">
        <v>231</v>
      </c>
      <c r="EO165" s="237" t="s">
        <v>492</v>
      </c>
      <c r="EP165" s="237" t="s">
        <v>231</v>
      </c>
      <c r="EQ165" s="237" t="s">
        <v>231</v>
      </c>
      <c r="ER165" s="237" t="s">
        <v>231</v>
      </c>
      <c r="ES165" s="237" t="s">
        <v>231</v>
      </c>
      <c r="ET165" s="237" t="s">
        <v>231</v>
      </c>
      <c r="EU165" s="237" t="s">
        <v>231</v>
      </c>
      <c r="EV165" s="237" t="s">
        <v>231</v>
      </c>
      <c r="EW165" s="237" t="s">
        <v>492</v>
      </c>
      <c r="EX165" s="237" t="s">
        <v>492</v>
      </c>
      <c r="EY165" s="237" t="s">
        <v>492</v>
      </c>
      <c r="EZ165" s="237" t="s">
        <v>231</v>
      </c>
      <c r="FA165" s="237" t="s">
        <v>231</v>
      </c>
      <c r="FB165" s="237" t="s">
        <v>231</v>
      </c>
      <c r="FC165" s="237" t="s">
        <v>231</v>
      </c>
      <c r="FD165" s="237" t="s">
        <v>231</v>
      </c>
      <c r="FE165" s="237" t="s">
        <v>231</v>
      </c>
      <c r="FF165" s="237" t="s">
        <v>231</v>
      </c>
      <c r="FG165" s="237" t="s">
        <v>492</v>
      </c>
      <c r="FH165" s="237" t="s">
        <v>492</v>
      </c>
      <c r="FI165" s="237" t="s">
        <v>231</v>
      </c>
      <c r="FJ165" s="237" t="s">
        <v>231</v>
      </c>
      <c r="FK165" s="237" t="s">
        <v>231</v>
      </c>
      <c r="FL165" s="237" t="s">
        <v>231</v>
      </c>
      <c r="FM165" s="237" t="s">
        <v>231</v>
      </c>
      <c r="FN165" s="237" t="s">
        <v>231</v>
      </c>
      <c r="FO165" s="237" t="s">
        <v>231</v>
      </c>
      <c r="FP165" s="237" t="s">
        <v>231</v>
      </c>
      <c r="FQ165" s="237" t="s">
        <v>231</v>
      </c>
      <c r="FR165" s="237" t="s">
        <v>231</v>
      </c>
      <c r="FS165" s="237" t="s">
        <v>231</v>
      </c>
      <c r="FT165" s="237" t="s">
        <v>231</v>
      </c>
      <c r="FU165" s="237" t="s">
        <v>231</v>
      </c>
      <c r="FV165" s="237" t="s">
        <v>231</v>
      </c>
      <c r="FW165" s="237" t="s">
        <v>231</v>
      </c>
      <c r="FX165" s="237" t="s">
        <v>231</v>
      </c>
      <c r="FY165" s="237" t="s">
        <v>492</v>
      </c>
      <c r="FZ165" s="237" t="s">
        <v>231</v>
      </c>
      <c r="GA165" s="237" t="s">
        <v>231</v>
      </c>
      <c r="GB165" s="237" t="s">
        <v>231</v>
      </c>
      <c r="GC165" s="237" t="s">
        <v>231</v>
      </c>
      <c r="GD165" s="237" t="s">
        <v>492</v>
      </c>
      <c r="GE165" s="237" t="s">
        <v>492</v>
      </c>
      <c r="GF165" s="237" t="s">
        <v>231</v>
      </c>
      <c r="GG165" s="237" t="s">
        <v>231</v>
      </c>
      <c r="GH165" s="237" t="s">
        <v>492</v>
      </c>
      <c r="GI165" s="237" t="s">
        <v>492</v>
      </c>
      <c r="GJ165" s="237" t="s">
        <v>231</v>
      </c>
      <c r="GK165" s="237" t="s">
        <v>231</v>
      </c>
      <c r="GL165" s="237" t="s">
        <v>231</v>
      </c>
      <c r="GM165" s="237" t="s">
        <v>231</v>
      </c>
      <c r="GN165" s="237" t="s">
        <v>231</v>
      </c>
      <c r="GO165" s="237" t="s">
        <v>492</v>
      </c>
      <c r="GP165" s="237" t="s">
        <v>231</v>
      </c>
      <c r="GQ165" s="237" t="s">
        <v>231</v>
      </c>
      <c r="GR165" s="237" t="s">
        <v>231</v>
      </c>
      <c r="GS165" s="237" t="s">
        <v>231</v>
      </c>
      <c r="GT165" s="237" t="s">
        <v>231</v>
      </c>
      <c r="GU165" s="237" t="s">
        <v>231</v>
      </c>
      <c r="GV165" s="237" t="s">
        <v>231</v>
      </c>
      <c r="GW165" s="237" t="s">
        <v>231</v>
      </c>
      <c r="GX165" s="237" t="s">
        <v>231</v>
      </c>
      <c r="GY165" s="237" t="s">
        <v>492</v>
      </c>
      <c r="GZ165" s="237" t="s">
        <v>492</v>
      </c>
      <c r="HA165" s="237" t="s">
        <v>492</v>
      </c>
      <c r="HB165" s="237" t="s">
        <v>492</v>
      </c>
      <c r="HC165" s="237" t="s">
        <v>492</v>
      </c>
      <c r="HD165" s="237" t="s">
        <v>231</v>
      </c>
      <c r="HE165" s="237" t="s">
        <v>231</v>
      </c>
      <c r="HF165" s="237" t="s">
        <v>231</v>
      </c>
      <c r="HG165" s="237" t="s">
        <v>231</v>
      </c>
      <c r="HH165" s="237" t="s">
        <v>231</v>
      </c>
      <c r="HI165" s="237" t="s">
        <v>231</v>
      </c>
      <c r="HJ165" s="237" t="s">
        <v>231</v>
      </c>
      <c r="HK165" s="237" t="s">
        <v>231</v>
      </c>
      <c r="HL165" s="237" t="s">
        <v>231</v>
      </c>
      <c r="HM165" s="237" t="s">
        <v>231</v>
      </c>
      <c r="HN165" s="237" t="s">
        <v>231</v>
      </c>
      <c r="HO165" s="237" t="s">
        <v>231</v>
      </c>
      <c r="HP165" s="237" t="s">
        <v>231</v>
      </c>
      <c r="HQ165" s="237" t="s">
        <v>231</v>
      </c>
      <c r="HR165" s="237" t="s">
        <v>231</v>
      </c>
      <c r="HS165" s="237" t="s">
        <v>231</v>
      </c>
      <c r="HT165" s="237" t="s">
        <v>231</v>
      </c>
      <c r="HU165" s="237" t="s">
        <v>231</v>
      </c>
      <c r="HV165" s="237" t="s">
        <v>231</v>
      </c>
      <c r="HW165" s="237" t="s">
        <v>231</v>
      </c>
      <c r="HX165" s="237" t="s">
        <v>220</v>
      </c>
      <c r="HY165" s="237" t="s">
        <v>493</v>
      </c>
      <c r="HZ165" s="237" t="s">
        <v>219</v>
      </c>
      <c r="IA165" s="237" t="s">
        <v>490</v>
      </c>
      <c r="IB165" s="237" t="s">
        <v>492</v>
      </c>
      <c r="IC165" s="237" t="s">
        <v>492</v>
      </c>
    </row>
    <row r="166" spans="1:237" ht="15" x14ac:dyDescent="0.25">
      <c r="A166" s="244" t="str">
        <f>HYPERLINK("http://www.ofsted.gov.uk/inspection-reports/find-inspection-report/provider/ELS/146631 ","Ofsted School Webpage")</f>
        <v>Ofsted School Webpage</v>
      </c>
      <c r="B166" s="240">
        <v>146631</v>
      </c>
      <c r="C166" s="240">
        <v>8016034</v>
      </c>
      <c r="D166" s="240" t="s">
        <v>1437</v>
      </c>
      <c r="E166" s="240" t="s">
        <v>247</v>
      </c>
      <c r="F166" s="240" t="s">
        <v>483</v>
      </c>
      <c r="G166" s="240" t="s">
        <v>483</v>
      </c>
      <c r="H166" s="240" t="s">
        <v>564</v>
      </c>
      <c r="I166" s="240" t="s">
        <v>1438</v>
      </c>
      <c r="J166" s="240" t="s">
        <v>498</v>
      </c>
      <c r="K166" s="240" t="s">
        <v>93</v>
      </c>
      <c r="L166" s="240" t="s">
        <v>498</v>
      </c>
      <c r="M166" s="240" t="s">
        <v>90</v>
      </c>
      <c r="N166" s="240" t="s">
        <v>486</v>
      </c>
      <c r="O166" s="240" t="s">
        <v>487</v>
      </c>
      <c r="P166" s="240">
        <v>10085460</v>
      </c>
      <c r="Q166" s="242">
        <v>43451</v>
      </c>
      <c r="R166" s="242">
        <v>43451</v>
      </c>
      <c r="S166" s="242">
        <v>43481</v>
      </c>
      <c r="T166" s="240" t="s">
        <v>1377</v>
      </c>
      <c r="U166" s="240" t="s">
        <v>1105</v>
      </c>
      <c r="V166" s="240" t="s">
        <v>490</v>
      </c>
      <c r="W166" s="240" t="s">
        <v>486</v>
      </c>
      <c r="X166" s="240" t="s">
        <v>486</v>
      </c>
      <c r="Y166" s="240" t="s">
        <v>486</v>
      </c>
      <c r="Z166" s="240" t="s">
        <v>486</v>
      </c>
      <c r="AA166" s="240" t="s">
        <v>486</v>
      </c>
      <c r="AB166" s="240" t="s">
        <v>486</v>
      </c>
      <c r="AC166" s="240" t="s">
        <v>486</v>
      </c>
      <c r="AD166" s="240" t="s">
        <v>1386</v>
      </c>
      <c r="AE166" s="240" t="s">
        <v>231</v>
      </c>
      <c r="AF166" s="240" t="s">
        <v>231</v>
      </c>
      <c r="AG166" s="240" t="s">
        <v>231</v>
      </c>
      <c r="AH166" s="240" t="s">
        <v>231</v>
      </c>
      <c r="AI166" s="240" t="s">
        <v>231</v>
      </c>
      <c r="AJ166" s="240" t="s">
        <v>231</v>
      </c>
      <c r="AK166" s="240" t="s">
        <v>231</v>
      </c>
      <c r="AL166" s="240" t="s">
        <v>231</v>
      </c>
      <c r="AM166" s="240" t="s">
        <v>492</v>
      </c>
      <c r="AN166" s="240" t="s">
        <v>231</v>
      </c>
      <c r="AO166" s="240" t="s">
        <v>231</v>
      </c>
      <c r="AP166" s="240" t="s">
        <v>231</v>
      </c>
      <c r="AQ166" s="240" t="s">
        <v>231</v>
      </c>
      <c r="AR166" s="240" t="s">
        <v>231</v>
      </c>
      <c r="AS166" s="240" t="s">
        <v>231</v>
      </c>
      <c r="AT166" s="240" t="s">
        <v>231</v>
      </c>
      <c r="AU166" s="240" t="s">
        <v>492</v>
      </c>
      <c r="AV166" s="240" t="s">
        <v>231</v>
      </c>
      <c r="AW166" s="240" t="s">
        <v>231</v>
      </c>
      <c r="AX166" s="240" t="s">
        <v>231</v>
      </c>
      <c r="AY166" s="240" t="s">
        <v>231</v>
      </c>
      <c r="AZ166" s="240" t="s">
        <v>231</v>
      </c>
      <c r="BA166" s="240" t="s">
        <v>231</v>
      </c>
      <c r="BB166" s="240" t="s">
        <v>231</v>
      </c>
      <c r="BC166" s="240" t="s">
        <v>231</v>
      </c>
      <c r="BD166" s="240" t="s">
        <v>231</v>
      </c>
      <c r="BE166" s="240" t="s">
        <v>231</v>
      </c>
      <c r="BF166" s="240" t="s">
        <v>231</v>
      </c>
      <c r="BG166" s="240" t="s">
        <v>231</v>
      </c>
      <c r="BH166" s="240" t="s">
        <v>231</v>
      </c>
      <c r="BI166" s="240" t="s">
        <v>231</v>
      </c>
      <c r="BJ166" s="240" t="s">
        <v>231</v>
      </c>
      <c r="BK166" s="240" t="s">
        <v>231</v>
      </c>
      <c r="BL166" s="240" t="s">
        <v>231</v>
      </c>
      <c r="BM166" s="240" t="s">
        <v>231</v>
      </c>
      <c r="BN166" s="240" t="s">
        <v>231</v>
      </c>
      <c r="BO166" s="240" t="s">
        <v>231</v>
      </c>
      <c r="BP166" s="240" t="s">
        <v>231</v>
      </c>
      <c r="BQ166" s="240" t="s">
        <v>231</v>
      </c>
      <c r="BR166" s="240" t="s">
        <v>231</v>
      </c>
      <c r="BS166" s="240" t="s">
        <v>231</v>
      </c>
      <c r="BT166" s="240" t="s">
        <v>231</v>
      </c>
      <c r="BU166" s="240" t="s">
        <v>231</v>
      </c>
      <c r="BV166" s="240" t="s">
        <v>231</v>
      </c>
      <c r="BW166" s="240" t="s">
        <v>231</v>
      </c>
      <c r="BX166" s="240" t="s">
        <v>231</v>
      </c>
      <c r="BY166" s="240" t="s">
        <v>231</v>
      </c>
      <c r="BZ166" s="240" t="s">
        <v>232</v>
      </c>
      <c r="CA166" s="240" t="s">
        <v>232</v>
      </c>
      <c r="CB166" s="240" t="s">
        <v>232</v>
      </c>
      <c r="CC166" s="240" t="s">
        <v>492</v>
      </c>
      <c r="CD166" s="240" t="s">
        <v>492</v>
      </c>
      <c r="CE166" s="240" t="s">
        <v>492</v>
      </c>
      <c r="CF166" s="240" t="s">
        <v>231</v>
      </c>
      <c r="CG166" s="240" t="s">
        <v>231</v>
      </c>
      <c r="CH166" s="240" t="s">
        <v>231</v>
      </c>
      <c r="CI166" s="240" t="s">
        <v>231</v>
      </c>
      <c r="CJ166" s="240" t="s">
        <v>231</v>
      </c>
      <c r="CK166" s="240" t="s">
        <v>232</v>
      </c>
      <c r="CL166" s="240" t="s">
        <v>232</v>
      </c>
      <c r="CM166" s="240" t="s">
        <v>232</v>
      </c>
      <c r="CN166" s="240" t="s">
        <v>231</v>
      </c>
      <c r="CO166" s="240" t="s">
        <v>231</v>
      </c>
      <c r="CP166" s="240" t="s">
        <v>232</v>
      </c>
      <c r="CQ166" s="240" t="s">
        <v>232</v>
      </c>
      <c r="CR166" s="240" t="s">
        <v>232</v>
      </c>
      <c r="CS166" s="240" t="s">
        <v>231</v>
      </c>
      <c r="CT166" s="240" t="s">
        <v>231</v>
      </c>
      <c r="CU166" s="240" t="s">
        <v>231</v>
      </c>
      <c r="CV166" s="240" t="s">
        <v>231</v>
      </c>
      <c r="CW166" s="240" t="s">
        <v>231</v>
      </c>
      <c r="CX166" s="240" t="s">
        <v>231</v>
      </c>
      <c r="CY166" s="240" t="s">
        <v>231</v>
      </c>
      <c r="CZ166" s="240" t="s">
        <v>231</v>
      </c>
      <c r="DA166" s="240" t="s">
        <v>231</v>
      </c>
      <c r="DB166" s="240" t="s">
        <v>231</v>
      </c>
      <c r="DC166" s="240" t="s">
        <v>492</v>
      </c>
      <c r="DD166" s="240" t="s">
        <v>231</v>
      </c>
      <c r="DE166" s="240" t="s">
        <v>492</v>
      </c>
      <c r="DF166" s="240" t="s">
        <v>492</v>
      </c>
      <c r="DG166" s="240" t="s">
        <v>492</v>
      </c>
      <c r="DH166" s="240" t="s">
        <v>492</v>
      </c>
      <c r="DI166" s="240" t="s">
        <v>492</v>
      </c>
      <c r="DJ166" s="240" t="s">
        <v>492</v>
      </c>
      <c r="DK166" s="240" t="s">
        <v>492</v>
      </c>
      <c r="DL166" s="240" t="s">
        <v>492</v>
      </c>
      <c r="DM166" s="240" t="s">
        <v>492</v>
      </c>
      <c r="DN166" s="240" t="s">
        <v>492</v>
      </c>
      <c r="DO166" s="240" t="s">
        <v>492</v>
      </c>
      <c r="DP166" s="240" t="s">
        <v>492</v>
      </c>
      <c r="DQ166" s="240" t="s">
        <v>492</v>
      </c>
      <c r="DR166" s="240" t="s">
        <v>492</v>
      </c>
      <c r="DS166" s="240" t="s">
        <v>231</v>
      </c>
      <c r="DT166" s="240" t="s">
        <v>231</v>
      </c>
      <c r="DU166" s="240" t="s">
        <v>231</v>
      </c>
      <c r="DV166" s="240" t="s">
        <v>231</v>
      </c>
      <c r="DW166" s="240" t="s">
        <v>231</v>
      </c>
      <c r="DX166" s="240" t="s">
        <v>231</v>
      </c>
      <c r="DY166" s="240" t="s">
        <v>231</v>
      </c>
      <c r="DZ166" s="240" t="s">
        <v>231</v>
      </c>
      <c r="EA166" s="240" t="s">
        <v>231</v>
      </c>
      <c r="EB166" s="240" t="s">
        <v>231</v>
      </c>
      <c r="EC166" s="240" t="s">
        <v>231</v>
      </c>
      <c r="ED166" s="240" t="s">
        <v>231</v>
      </c>
      <c r="EE166" s="240" t="s">
        <v>231</v>
      </c>
      <c r="EF166" s="240" t="s">
        <v>231</v>
      </c>
      <c r="EG166" s="240" t="s">
        <v>231</v>
      </c>
      <c r="EH166" s="240" t="s">
        <v>231</v>
      </c>
      <c r="EI166" s="240" t="s">
        <v>231</v>
      </c>
      <c r="EJ166" s="240" t="s">
        <v>231</v>
      </c>
      <c r="EK166" s="240" t="s">
        <v>231</v>
      </c>
      <c r="EL166" s="240" t="s">
        <v>231</v>
      </c>
      <c r="EM166" s="240" t="s">
        <v>231</v>
      </c>
      <c r="EN166" s="240" t="s">
        <v>231</v>
      </c>
      <c r="EO166" s="240" t="s">
        <v>492</v>
      </c>
      <c r="EP166" s="240" t="s">
        <v>492</v>
      </c>
      <c r="EQ166" s="240" t="s">
        <v>492</v>
      </c>
      <c r="ER166" s="240" t="s">
        <v>492</v>
      </c>
      <c r="ES166" s="240" t="s">
        <v>492</v>
      </c>
      <c r="ET166" s="240" t="s">
        <v>492</v>
      </c>
      <c r="EU166" s="240" t="s">
        <v>492</v>
      </c>
      <c r="EV166" s="240" t="s">
        <v>231</v>
      </c>
      <c r="EW166" s="240" t="s">
        <v>492</v>
      </c>
      <c r="EX166" s="240" t="s">
        <v>492</v>
      </c>
      <c r="EY166" s="240" t="s">
        <v>492</v>
      </c>
      <c r="EZ166" s="240" t="s">
        <v>231</v>
      </c>
      <c r="FA166" s="240" t="s">
        <v>231</v>
      </c>
      <c r="FB166" s="240" t="s">
        <v>231</v>
      </c>
      <c r="FC166" s="240" t="s">
        <v>231</v>
      </c>
      <c r="FD166" s="240" t="s">
        <v>231</v>
      </c>
      <c r="FE166" s="240" t="s">
        <v>231</v>
      </c>
      <c r="FF166" s="240" t="s">
        <v>231</v>
      </c>
      <c r="FG166" s="240" t="s">
        <v>231</v>
      </c>
      <c r="FH166" s="240" t="s">
        <v>231</v>
      </c>
      <c r="FI166" s="240" t="s">
        <v>232</v>
      </c>
      <c r="FJ166" s="240" t="s">
        <v>231</v>
      </c>
      <c r="FK166" s="240" t="s">
        <v>231</v>
      </c>
      <c r="FL166" s="240" t="s">
        <v>231</v>
      </c>
      <c r="FM166" s="240" t="s">
        <v>231</v>
      </c>
      <c r="FN166" s="240" t="s">
        <v>231</v>
      </c>
      <c r="FO166" s="240" t="s">
        <v>231</v>
      </c>
      <c r="FP166" s="240" t="s">
        <v>231</v>
      </c>
      <c r="FQ166" s="240" t="s">
        <v>231</v>
      </c>
      <c r="FR166" s="240" t="s">
        <v>231</v>
      </c>
      <c r="FS166" s="240" t="s">
        <v>231</v>
      </c>
      <c r="FT166" s="240" t="s">
        <v>231</v>
      </c>
      <c r="FU166" s="240" t="s">
        <v>231</v>
      </c>
      <c r="FV166" s="240" t="s">
        <v>231</v>
      </c>
      <c r="FW166" s="240" t="s">
        <v>231</v>
      </c>
      <c r="FX166" s="240" t="s">
        <v>231</v>
      </c>
      <c r="FY166" s="240" t="s">
        <v>492</v>
      </c>
      <c r="FZ166" s="240" t="s">
        <v>231</v>
      </c>
      <c r="GA166" s="240" t="s">
        <v>231</v>
      </c>
      <c r="GB166" s="240" t="s">
        <v>231</v>
      </c>
      <c r="GC166" s="240" t="s">
        <v>231</v>
      </c>
      <c r="GD166" s="240" t="s">
        <v>492</v>
      </c>
      <c r="GE166" s="240" t="s">
        <v>492</v>
      </c>
      <c r="GF166" s="240" t="s">
        <v>492</v>
      </c>
      <c r="GG166" s="240" t="s">
        <v>492</v>
      </c>
      <c r="GH166" s="240" t="s">
        <v>492</v>
      </c>
      <c r="GI166" s="240" t="s">
        <v>492</v>
      </c>
      <c r="GJ166" s="240" t="s">
        <v>492</v>
      </c>
      <c r="GK166" s="240" t="s">
        <v>231</v>
      </c>
      <c r="GL166" s="240" t="s">
        <v>231</v>
      </c>
      <c r="GM166" s="240" t="s">
        <v>231</v>
      </c>
      <c r="GN166" s="240" t="s">
        <v>492</v>
      </c>
      <c r="GO166" s="240" t="s">
        <v>231</v>
      </c>
      <c r="GP166" s="240" t="s">
        <v>492</v>
      </c>
      <c r="GQ166" s="240" t="s">
        <v>231</v>
      </c>
      <c r="GR166" s="240" t="s">
        <v>231</v>
      </c>
      <c r="GS166" s="240" t="s">
        <v>231</v>
      </c>
      <c r="GT166" s="240" t="s">
        <v>231</v>
      </c>
      <c r="GU166" s="240" t="s">
        <v>231</v>
      </c>
      <c r="GV166" s="240" t="s">
        <v>231</v>
      </c>
      <c r="GW166" s="240" t="s">
        <v>492</v>
      </c>
      <c r="GX166" s="240" t="s">
        <v>231</v>
      </c>
      <c r="GY166" s="240" t="s">
        <v>492</v>
      </c>
      <c r="GZ166" s="240" t="s">
        <v>492</v>
      </c>
      <c r="HA166" s="240" t="s">
        <v>492</v>
      </c>
      <c r="HB166" s="240" t="s">
        <v>492</v>
      </c>
      <c r="HC166" s="240" t="s">
        <v>492</v>
      </c>
      <c r="HD166" s="240" t="s">
        <v>231</v>
      </c>
      <c r="HE166" s="240" t="s">
        <v>231</v>
      </c>
      <c r="HF166" s="240" t="s">
        <v>231</v>
      </c>
      <c r="HG166" s="240" t="s">
        <v>231</v>
      </c>
      <c r="HH166" s="240" t="s">
        <v>231</v>
      </c>
      <c r="HI166" s="240" t="s">
        <v>231</v>
      </c>
      <c r="HJ166" s="240" t="s">
        <v>231</v>
      </c>
      <c r="HK166" s="240" t="s">
        <v>231</v>
      </c>
      <c r="HL166" s="240" t="s">
        <v>231</v>
      </c>
      <c r="HM166" s="240" t="s">
        <v>231</v>
      </c>
      <c r="HN166" s="240" t="s">
        <v>231</v>
      </c>
      <c r="HO166" s="240" t="s">
        <v>231</v>
      </c>
      <c r="HP166" s="240" t="s">
        <v>231</v>
      </c>
      <c r="HQ166" s="240" t="s">
        <v>231</v>
      </c>
      <c r="HR166" s="240" t="s">
        <v>231</v>
      </c>
      <c r="HS166" s="240" t="s">
        <v>231</v>
      </c>
      <c r="HT166" s="240" t="s">
        <v>232</v>
      </c>
      <c r="HU166" s="240" t="s">
        <v>232</v>
      </c>
      <c r="HV166" s="240" t="s">
        <v>232</v>
      </c>
      <c r="HW166" s="240" t="s">
        <v>232</v>
      </c>
      <c r="HX166" s="240" t="s">
        <v>597</v>
      </c>
      <c r="HY166" s="240" t="s">
        <v>493</v>
      </c>
      <c r="HZ166" s="240" t="s">
        <v>219</v>
      </c>
      <c r="IA166" s="240" t="s">
        <v>490</v>
      </c>
      <c r="IB166" s="240" t="s">
        <v>492</v>
      </c>
      <c r="IC166" s="240" t="s">
        <v>492</v>
      </c>
    </row>
    <row r="167" spans="1:237" ht="15" x14ac:dyDescent="0.25">
      <c r="A167" s="243" t="str">
        <f>HYPERLINK("http://www.ofsted.gov.uk/inspection-reports/find-inspection-report/provider/ELS/146525 ","Ofsted School Webpage")</f>
        <v>Ofsted School Webpage</v>
      </c>
      <c r="B167" s="237">
        <v>146525</v>
      </c>
      <c r="C167" s="237">
        <v>3906010</v>
      </c>
      <c r="D167" s="237" t="s">
        <v>1439</v>
      </c>
      <c r="E167" s="237" t="s">
        <v>247</v>
      </c>
      <c r="F167" s="237" t="s">
        <v>523</v>
      </c>
      <c r="G167" s="237" t="s">
        <v>539</v>
      </c>
      <c r="H167" s="237" t="s">
        <v>883</v>
      </c>
      <c r="I167" s="237" t="s">
        <v>1440</v>
      </c>
      <c r="J167" s="237" t="s">
        <v>498</v>
      </c>
      <c r="K167" s="237" t="s">
        <v>81</v>
      </c>
      <c r="L167" s="237" t="s">
        <v>81</v>
      </c>
      <c r="M167" s="237" t="s">
        <v>81</v>
      </c>
      <c r="N167" s="237" t="s">
        <v>486</v>
      </c>
      <c r="O167" s="237" t="s">
        <v>487</v>
      </c>
      <c r="P167" s="237">
        <v>10085623</v>
      </c>
      <c r="Q167" s="239">
        <v>43432</v>
      </c>
      <c r="R167" s="239">
        <v>43432</v>
      </c>
      <c r="S167" s="239">
        <v>43483</v>
      </c>
      <c r="T167" s="237" t="s">
        <v>1377</v>
      </c>
      <c r="U167" s="237" t="s">
        <v>1105</v>
      </c>
      <c r="V167" s="237" t="s">
        <v>490</v>
      </c>
      <c r="W167" s="237" t="s">
        <v>486</v>
      </c>
      <c r="X167" s="237" t="s">
        <v>486</v>
      </c>
      <c r="Y167" s="237" t="s">
        <v>486</v>
      </c>
      <c r="Z167" s="237" t="s">
        <v>486</v>
      </c>
      <c r="AA167" s="237" t="s">
        <v>486</v>
      </c>
      <c r="AB167" s="237" t="s">
        <v>486</v>
      </c>
      <c r="AC167" s="237" t="s">
        <v>486</v>
      </c>
      <c r="AD167" s="237" t="s">
        <v>1386</v>
      </c>
      <c r="AE167" s="237" t="s">
        <v>231</v>
      </c>
      <c r="AF167" s="237" t="s">
        <v>231</v>
      </c>
      <c r="AG167" s="237" t="s">
        <v>231</v>
      </c>
      <c r="AH167" s="237" t="s">
        <v>231</v>
      </c>
      <c r="AI167" s="237" t="s">
        <v>231</v>
      </c>
      <c r="AJ167" s="237" t="s">
        <v>231</v>
      </c>
      <c r="AK167" s="237" t="s">
        <v>231</v>
      </c>
      <c r="AL167" s="237" t="s">
        <v>231</v>
      </c>
      <c r="AM167" s="237" t="s">
        <v>492</v>
      </c>
      <c r="AN167" s="237" t="s">
        <v>231</v>
      </c>
      <c r="AO167" s="237" t="s">
        <v>231</v>
      </c>
      <c r="AP167" s="237" t="s">
        <v>231</v>
      </c>
      <c r="AQ167" s="237" t="s">
        <v>492</v>
      </c>
      <c r="AR167" s="237" t="s">
        <v>492</v>
      </c>
      <c r="AS167" s="237" t="s">
        <v>492</v>
      </c>
      <c r="AT167" s="237" t="s">
        <v>492</v>
      </c>
      <c r="AU167" s="237" t="s">
        <v>492</v>
      </c>
      <c r="AV167" s="237" t="s">
        <v>492</v>
      </c>
      <c r="AW167" s="237" t="s">
        <v>231</v>
      </c>
      <c r="AX167" s="237" t="s">
        <v>231</v>
      </c>
      <c r="AY167" s="237" t="s">
        <v>231</v>
      </c>
      <c r="AZ167" s="237" t="s">
        <v>231</v>
      </c>
      <c r="BA167" s="237" t="s">
        <v>231</v>
      </c>
      <c r="BB167" s="237" t="s">
        <v>231</v>
      </c>
      <c r="BC167" s="237" t="s">
        <v>231</v>
      </c>
      <c r="BD167" s="237" t="s">
        <v>231</v>
      </c>
      <c r="BE167" s="237" t="s">
        <v>231</v>
      </c>
      <c r="BF167" s="237" t="s">
        <v>231</v>
      </c>
      <c r="BG167" s="237" t="s">
        <v>231</v>
      </c>
      <c r="BH167" s="237" t="s">
        <v>231</v>
      </c>
      <c r="BI167" s="237" t="s">
        <v>231</v>
      </c>
      <c r="BJ167" s="237" t="s">
        <v>231</v>
      </c>
      <c r="BK167" s="237" t="s">
        <v>231</v>
      </c>
      <c r="BL167" s="237" t="s">
        <v>231</v>
      </c>
      <c r="BM167" s="237" t="s">
        <v>231</v>
      </c>
      <c r="BN167" s="237" t="s">
        <v>231</v>
      </c>
      <c r="BO167" s="237" t="s">
        <v>231</v>
      </c>
      <c r="BP167" s="237" t="s">
        <v>231</v>
      </c>
      <c r="BQ167" s="237" t="s">
        <v>231</v>
      </c>
      <c r="BR167" s="237" t="s">
        <v>231</v>
      </c>
      <c r="BS167" s="237" t="s">
        <v>231</v>
      </c>
      <c r="BT167" s="237" t="s">
        <v>231</v>
      </c>
      <c r="BU167" s="237" t="s">
        <v>231</v>
      </c>
      <c r="BV167" s="237" t="s">
        <v>231</v>
      </c>
      <c r="BW167" s="237" t="s">
        <v>231</v>
      </c>
      <c r="BX167" s="237" t="s">
        <v>231</v>
      </c>
      <c r="BY167" s="237" t="s">
        <v>231</v>
      </c>
      <c r="BZ167" s="237" t="s">
        <v>231</v>
      </c>
      <c r="CA167" s="237" t="s">
        <v>231</v>
      </c>
      <c r="CB167" s="237" t="s">
        <v>231</v>
      </c>
      <c r="CC167" s="237" t="s">
        <v>492</v>
      </c>
      <c r="CD167" s="237" t="s">
        <v>492</v>
      </c>
      <c r="CE167" s="237" t="s">
        <v>492</v>
      </c>
      <c r="CF167" s="237" t="s">
        <v>231</v>
      </c>
      <c r="CG167" s="237" t="s">
        <v>231</v>
      </c>
      <c r="CH167" s="237" t="s">
        <v>231</v>
      </c>
      <c r="CI167" s="237" t="s">
        <v>231</v>
      </c>
      <c r="CJ167" s="237" t="s">
        <v>231</v>
      </c>
      <c r="CK167" s="237" t="s">
        <v>231</v>
      </c>
      <c r="CL167" s="237" t="s">
        <v>231</v>
      </c>
      <c r="CM167" s="237" t="s">
        <v>231</v>
      </c>
      <c r="CN167" s="237" t="s">
        <v>231</v>
      </c>
      <c r="CO167" s="237" t="s">
        <v>231</v>
      </c>
      <c r="CP167" s="237" t="s">
        <v>231</v>
      </c>
      <c r="CQ167" s="237" t="s">
        <v>231</v>
      </c>
      <c r="CR167" s="237" t="s">
        <v>231</v>
      </c>
      <c r="CS167" s="237" t="s">
        <v>231</v>
      </c>
      <c r="CT167" s="237" t="s">
        <v>231</v>
      </c>
      <c r="CU167" s="237" t="s">
        <v>231</v>
      </c>
      <c r="CV167" s="237" t="s">
        <v>231</v>
      </c>
      <c r="CW167" s="237" t="s">
        <v>231</v>
      </c>
      <c r="CX167" s="237" t="s">
        <v>231</v>
      </c>
      <c r="CY167" s="237" t="s">
        <v>231</v>
      </c>
      <c r="CZ167" s="237" t="s">
        <v>231</v>
      </c>
      <c r="DA167" s="237" t="s">
        <v>231</v>
      </c>
      <c r="DB167" s="237" t="s">
        <v>231</v>
      </c>
      <c r="DC167" s="237" t="s">
        <v>492</v>
      </c>
      <c r="DD167" s="237" t="s">
        <v>231</v>
      </c>
      <c r="DE167" s="237" t="s">
        <v>492</v>
      </c>
      <c r="DF167" s="237" t="s">
        <v>492</v>
      </c>
      <c r="DG167" s="237" t="s">
        <v>492</v>
      </c>
      <c r="DH167" s="237" t="s">
        <v>492</v>
      </c>
      <c r="DI167" s="237" t="s">
        <v>492</v>
      </c>
      <c r="DJ167" s="237" t="s">
        <v>492</v>
      </c>
      <c r="DK167" s="237" t="s">
        <v>492</v>
      </c>
      <c r="DL167" s="237" t="s">
        <v>492</v>
      </c>
      <c r="DM167" s="237" t="s">
        <v>492</v>
      </c>
      <c r="DN167" s="237" t="s">
        <v>492</v>
      </c>
      <c r="DO167" s="237" t="s">
        <v>492</v>
      </c>
      <c r="DP167" s="237" t="s">
        <v>492</v>
      </c>
      <c r="DQ167" s="237" t="s">
        <v>492</v>
      </c>
      <c r="DR167" s="237" t="s">
        <v>492</v>
      </c>
      <c r="DS167" s="237" t="s">
        <v>231</v>
      </c>
      <c r="DT167" s="237" t="s">
        <v>231</v>
      </c>
      <c r="DU167" s="237" t="s">
        <v>231</v>
      </c>
      <c r="DV167" s="237" t="s">
        <v>231</v>
      </c>
      <c r="DW167" s="237" t="s">
        <v>231</v>
      </c>
      <c r="DX167" s="237" t="s">
        <v>231</v>
      </c>
      <c r="DY167" s="237" t="s">
        <v>231</v>
      </c>
      <c r="DZ167" s="237" t="s">
        <v>231</v>
      </c>
      <c r="EA167" s="237" t="s">
        <v>231</v>
      </c>
      <c r="EB167" s="237" t="s">
        <v>231</v>
      </c>
      <c r="EC167" s="237" t="s">
        <v>231</v>
      </c>
      <c r="ED167" s="237" t="s">
        <v>231</v>
      </c>
      <c r="EE167" s="237" t="s">
        <v>231</v>
      </c>
      <c r="EF167" s="237" t="s">
        <v>231</v>
      </c>
      <c r="EG167" s="237" t="s">
        <v>231</v>
      </c>
      <c r="EH167" s="237" t="s">
        <v>231</v>
      </c>
      <c r="EI167" s="237" t="s">
        <v>231</v>
      </c>
      <c r="EJ167" s="237" t="s">
        <v>231</v>
      </c>
      <c r="EK167" s="237" t="s">
        <v>231</v>
      </c>
      <c r="EL167" s="237" t="s">
        <v>231</v>
      </c>
      <c r="EM167" s="237" t="s">
        <v>231</v>
      </c>
      <c r="EN167" s="237" t="s">
        <v>231</v>
      </c>
      <c r="EO167" s="237" t="s">
        <v>231</v>
      </c>
      <c r="EP167" s="237" t="s">
        <v>492</v>
      </c>
      <c r="EQ167" s="237" t="s">
        <v>492</v>
      </c>
      <c r="ER167" s="237" t="s">
        <v>492</v>
      </c>
      <c r="ES167" s="237" t="s">
        <v>492</v>
      </c>
      <c r="ET167" s="237" t="s">
        <v>492</v>
      </c>
      <c r="EU167" s="237" t="s">
        <v>492</v>
      </c>
      <c r="EV167" s="237" t="s">
        <v>231</v>
      </c>
      <c r="EW167" s="237" t="s">
        <v>231</v>
      </c>
      <c r="EX167" s="237" t="s">
        <v>231</v>
      </c>
      <c r="EY167" s="237" t="s">
        <v>231</v>
      </c>
      <c r="EZ167" s="237" t="s">
        <v>231</v>
      </c>
      <c r="FA167" s="237" t="s">
        <v>231</v>
      </c>
      <c r="FB167" s="237" t="s">
        <v>492</v>
      </c>
      <c r="FC167" s="237" t="s">
        <v>492</v>
      </c>
      <c r="FD167" s="237" t="s">
        <v>231</v>
      </c>
      <c r="FE167" s="237" t="s">
        <v>231</v>
      </c>
      <c r="FF167" s="237" t="s">
        <v>231</v>
      </c>
      <c r="FG167" s="237" t="s">
        <v>492</v>
      </c>
      <c r="FH167" s="237" t="s">
        <v>231</v>
      </c>
      <c r="FI167" s="237" t="s">
        <v>231</v>
      </c>
      <c r="FJ167" s="237" t="s">
        <v>231</v>
      </c>
      <c r="FK167" s="237" t="s">
        <v>231</v>
      </c>
      <c r="FL167" s="237" t="s">
        <v>231</v>
      </c>
      <c r="FM167" s="237" t="s">
        <v>231</v>
      </c>
      <c r="FN167" s="237" t="s">
        <v>232</v>
      </c>
      <c r="FO167" s="237" t="s">
        <v>231</v>
      </c>
      <c r="FP167" s="237" t="s">
        <v>232</v>
      </c>
      <c r="FQ167" s="237" t="s">
        <v>231</v>
      </c>
      <c r="FR167" s="237" t="s">
        <v>232</v>
      </c>
      <c r="FS167" s="237" t="s">
        <v>231</v>
      </c>
      <c r="FT167" s="237" t="s">
        <v>231</v>
      </c>
      <c r="FU167" s="237" t="s">
        <v>231</v>
      </c>
      <c r="FV167" s="237" t="s">
        <v>231</v>
      </c>
      <c r="FW167" s="237" t="s">
        <v>231</v>
      </c>
      <c r="FX167" s="237" t="s">
        <v>231</v>
      </c>
      <c r="FY167" s="237" t="s">
        <v>492</v>
      </c>
      <c r="FZ167" s="237" t="s">
        <v>231</v>
      </c>
      <c r="GA167" s="237" t="s">
        <v>231</v>
      </c>
      <c r="GB167" s="237" t="s">
        <v>231</v>
      </c>
      <c r="GC167" s="237" t="s">
        <v>231</v>
      </c>
      <c r="GD167" s="237" t="s">
        <v>231</v>
      </c>
      <c r="GE167" s="237" t="s">
        <v>231</v>
      </c>
      <c r="GF167" s="237" t="s">
        <v>231</v>
      </c>
      <c r="GG167" s="237" t="s">
        <v>231</v>
      </c>
      <c r="GH167" s="237" t="s">
        <v>231</v>
      </c>
      <c r="GI167" s="237" t="s">
        <v>231</v>
      </c>
      <c r="GJ167" s="237" t="s">
        <v>231</v>
      </c>
      <c r="GK167" s="237" t="s">
        <v>231</v>
      </c>
      <c r="GL167" s="237" t="s">
        <v>231</v>
      </c>
      <c r="GM167" s="237" t="s">
        <v>231</v>
      </c>
      <c r="GN167" s="237" t="s">
        <v>492</v>
      </c>
      <c r="GO167" s="237" t="s">
        <v>231</v>
      </c>
      <c r="GP167" s="237" t="s">
        <v>231</v>
      </c>
      <c r="GQ167" s="237" t="s">
        <v>231</v>
      </c>
      <c r="GR167" s="237" t="s">
        <v>231</v>
      </c>
      <c r="GS167" s="237" t="s">
        <v>231</v>
      </c>
      <c r="GT167" s="237" t="s">
        <v>231</v>
      </c>
      <c r="GU167" s="237" t="s">
        <v>231</v>
      </c>
      <c r="GV167" s="237" t="s">
        <v>231</v>
      </c>
      <c r="GW167" s="237" t="s">
        <v>231</v>
      </c>
      <c r="GX167" s="237" t="s">
        <v>231</v>
      </c>
      <c r="GY167" s="237" t="s">
        <v>231</v>
      </c>
      <c r="GZ167" s="237" t="s">
        <v>231</v>
      </c>
      <c r="HA167" s="237" t="s">
        <v>231</v>
      </c>
      <c r="HB167" s="237" t="s">
        <v>231</v>
      </c>
      <c r="HC167" s="237" t="s">
        <v>231</v>
      </c>
      <c r="HD167" s="237" t="s">
        <v>231</v>
      </c>
      <c r="HE167" s="237" t="s">
        <v>231</v>
      </c>
      <c r="HF167" s="237" t="s">
        <v>231</v>
      </c>
      <c r="HG167" s="237" t="s">
        <v>231</v>
      </c>
      <c r="HH167" s="237" t="s">
        <v>231</v>
      </c>
      <c r="HI167" s="237" t="s">
        <v>231</v>
      </c>
      <c r="HJ167" s="237" t="s">
        <v>231</v>
      </c>
      <c r="HK167" s="237" t="s">
        <v>231</v>
      </c>
      <c r="HL167" s="237" t="s">
        <v>231</v>
      </c>
      <c r="HM167" s="237" t="s">
        <v>231</v>
      </c>
      <c r="HN167" s="237" t="s">
        <v>231</v>
      </c>
      <c r="HO167" s="237" t="s">
        <v>231</v>
      </c>
      <c r="HP167" s="237" t="s">
        <v>231</v>
      </c>
      <c r="HQ167" s="237" t="s">
        <v>231</v>
      </c>
      <c r="HR167" s="237" t="s">
        <v>231</v>
      </c>
      <c r="HS167" s="237" t="s">
        <v>231</v>
      </c>
      <c r="HT167" s="237" t="s">
        <v>232</v>
      </c>
      <c r="HU167" s="237" t="s">
        <v>232</v>
      </c>
      <c r="HV167" s="237" t="s">
        <v>232</v>
      </c>
      <c r="HW167" s="237" t="s">
        <v>232</v>
      </c>
      <c r="HX167" s="237" t="s">
        <v>220</v>
      </c>
      <c r="HY167" s="237" t="s">
        <v>493</v>
      </c>
      <c r="HZ167" s="237" t="s">
        <v>219</v>
      </c>
      <c r="IA167" s="237" t="s">
        <v>490</v>
      </c>
      <c r="IB167" s="237" t="s">
        <v>492</v>
      </c>
      <c r="IC167" s="237" t="s">
        <v>492</v>
      </c>
    </row>
    <row r="168" spans="1:237" ht="15" x14ac:dyDescent="0.25">
      <c r="A168" s="244" t="str">
        <f>HYPERLINK("http://www.ofsted.gov.uk/inspection-reports/find-inspection-report/provider/ELS/146516 ","Ofsted School Webpage")</f>
        <v>Ofsted School Webpage</v>
      </c>
      <c r="B168" s="240">
        <v>146516</v>
      </c>
      <c r="C168" s="240">
        <v>9316022</v>
      </c>
      <c r="D168" s="240" t="s">
        <v>1441</v>
      </c>
      <c r="E168" s="240" t="s">
        <v>247</v>
      </c>
      <c r="F168" s="240" t="s">
        <v>581</v>
      </c>
      <c r="G168" s="240" t="s">
        <v>581</v>
      </c>
      <c r="H168" s="240" t="s">
        <v>1150</v>
      </c>
      <c r="I168" s="240" t="s">
        <v>1442</v>
      </c>
      <c r="J168" s="240" t="s">
        <v>498</v>
      </c>
      <c r="K168" s="240" t="s">
        <v>93</v>
      </c>
      <c r="L168" s="240" t="s">
        <v>498</v>
      </c>
      <c r="M168" s="240" t="s">
        <v>90</v>
      </c>
      <c r="N168" s="240" t="s">
        <v>486</v>
      </c>
      <c r="O168" s="240" t="s">
        <v>487</v>
      </c>
      <c r="P168" s="240">
        <v>10086091</v>
      </c>
      <c r="Q168" s="242">
        <v>43451</v>
      </c>
      <c r="R168" s="242">
        <v>43451</v>
      </c>
      <c r="S168" s="242">
        <v>43483</v>
      </c>
      <c r="T168" s="240" t="s">
        <v>1377</v>
      </c>
      <c r="U168" s="240" t="s">
        <v>1105</v>
      </c>
      <c r="V168" s="240" t="s">
        <v>490</v>
      </c>
      <c r="W168" s="240" t="s">
        <v>486</v>
      </c>
      <c r="X168" s="240" t="s">
        <v>486</v>
      </c>
      <c r="Y168" s="240" t="s">
        <v>486</v>
      </c>
      <c r="Z168" s="240" t="s">
        <v>486</v>
      </c>
      <c r="AA168" s="240" t="s">
        <v>486</v>
      </c>
      <c r="AB168" s="240" t="s">
        <v>486</v>
      </c>
      <c r="AC168" s="240" t="s">
        <v>486</v>
      </c>
      <c r="AD168" s="240" t="s">
        <v>1378</v>
      </c>
      <c r="AE168" s="240" t="s">
        <v>231</v>
      </c>
      <c r="AF168" s="240" t="s">
        <v>231</v>
      </c>
      <c r="AG168" s="240" t="s">
        <v>231</v>
      </c>
      <c r="AH168" s="240" t="s">
        <v>231</v>
      </c>
      <c r="AI168" s="240" t="s">
        <v>231</v>
      </c>
      <c r="AJ168" s="240" t="s">
        <v>231</v>
      </c>
      <c r="AK168" s="240" t="s">
        <v>231</v>
      </c>
      <c r="AL168" s="240" t="s">
        <v>231</v>
      </c>
      <c r="AM168" s="240" t="s">
        <v>231</v>
      </c>
      <c r="AN168" s="240" t="s">
        <v>231</v>
      </c>
      <c r="AO168" s="240" t="s">
        <v>231</v>
      </c>
      <c r="AP168" s="240" t="s">
        <v>231</v>
      </c>
      <c r="AQ168" s="240" t="s">
        <v>231</v>
      </c>
      <c r="AR168" s="240" t="s">
        <v>231</v>
      </c>
      <c r="AS168" s="240" t="s">
        <v>231</v>
      </c>
      <c r="AT168" s="240" t="s">
        <v>231</v>
      </c>
      <c r="AU168" s="240" t="s">
        <v>492</v>
      </c>
      <c r="AV168" s="240" t="s">
        <v>492</v>
      </c>
      <c r="AW168" s="240" t="s">
        <v>231</v>
      </c>
      <c r="AX168" s="240" t="s">
        <v>231</v>
      </c>
      <c r="AY168" s="240" t="s">
        <v>231</v>
      </c>
      <c r="AZ168" s="240" t="s">
        <v>231</v>
      </c>
      <c r="BA168" s="240" t="s">
        <v>231</v>
      </c>
      <c r="BB168" s="240" t="s">
        <v>231</v>
      </c>
      <c r="BC168" s="240" t="s">
        <v>231</v>
      </c>
      <c r="BD168" s="240" t="s">
        <v>231</v>
      </c>
      <c r="BE168" s="240" t="s">
        <v>231</v>
      </c>
      <c r="BF168" s="240" t="s">
        <v>231</v>
      </c>
      <c r="BG168" s="240" t="s">
        <v>231</v>
      </c>
      <c r="BH168" s="240" t="s">
        <v>231</v>
      </c>
      <c r="BI168" s="240" t="s">
        <v>231</v>
      </c>
      <c r="BJ168" s="240" t="s">
        <v>231</v>
      </c>
      <c r="BK168" s="240" t="s">
        <v>231</v>
      </c>
      <c r="BL168" s="240" t="s">
        <v>231</v>
      </c>
      <c r="BM168" s="240" t="s">
        <v>231</v>
      </c>
      <c r="BN168" s="240" t="s">
        <v>231</v>
      </c>
      <c r="BO168" s="240" t="s">
        <v>231</v>
      </c>
      <c r="BP168" s="240" t="s">
        <v>231</v>
      </c>
      <c r="BQ168" s="240" t="s">
        <v>231</v>
      </c>
      <c r="BR168" s="240" t="s">
        <v>231</v>
      </c>
      <c r="BS168" s="240" t="s">
        <v>231</v>
      </c>
      <c r="BT168" s="240" t="s">
        <v>231</v>
      </c>
      <c r="BU168" s="240" t="s">
        <v>231</v>
      </c>
      <c r="BV168" s="240" t="s">
        <v>231</v>
      </c>
      <c r="BW168" s="240" t="s">
        <v>231</v>
      </c>
      <c r="BX168" s="240" t="s">
        <v>231</v>
      </c>
      <c r="BY168" s="240" t="s">
        <v>231</v>
      </c>
      <c r="BZ168" s="240" t="s">
        <v>231</v>
      </c>
      <c r="CA168" s="240" t="s">
        <v>231</v>
      </c>
      <c r="CB168" s="240" t="s">
        <v>231</v>
      </c>
      <c r="CC168" s="240" t="s">
        <v>1107</v>
      </c>
      <c r="CD168" s="240" t="s">
        <v>1107</v>
      </c>
      <c r="CE168" s="240" t="s">
        <v>1107</v>
      </c>
      <c r="CF168" s="240" t="s">
        <v>231</v>
      </c>
      <c r="CG168" s="240" t="s">
        <v>231</v>
      </c>
      <c r="CH168" s="240" t="s">
        <v>231</v>
      </c>
      <c r="CI168" s="240" t="s">
        <v>231</v>
      </c>
      <c r="CJ168" s="240" t="s">
        <v>231</v>
      </c>
      <c r="CK168" s="240" t="s">
        <v>231</v>
      </c>
      <c r="CL168" s="240" t="s">
        <v>231</v>
      </c>
      <c r="CM168" s="240" t="s">
        <v>231</v>
      </c>
      <c r="CN168" s="240" t="s">
        <v>231</v>
      </c>
      <c r="CO168" s="240" t="s">
        <v>231</v>
      </c>
      <c r="CP168" s="240" t="s">
        <v>231</v>
      </c>
      <c r="CQ168" s="240" t="s">
        <v>231</v>
      </c>
      <c r="CR168" s="240" t="s">
        <v>231</v>
      </c>
      <c r="CS168" s="240" t="s">
        <v>231</v>
      </c>
      <c r="CT168" s="240" t="s">
        <v>231</v>
      </c>
      <c r="CU168" s="240" t="s">
        <v>231</v>
      </c>
      <c r="CV168" s="240" t="s">
        <v>231</v>
      </c>
      <c r="CW168" s="240" t="s">
        <v>231</v>
      </c>
      <c r="CX168" s="240" t="s">
        <v>231</v>
      </c>
      <c r="CY168" s="240" t="s">
        <v>231</v>
      </c>
      <c r="CZ168" s="240" t="s">
        <v>231</v>
      </c>
      <c r="DA168" s="240" t="s">
        <v>231</v>
      </c>
      <c r="DB168" s="240" t="s">
        <v>231</v>
      </c>
      <c r="DC168" s="240" t="s">
        <v>1107</v>
      </c>
      <c r="DD168" s="240" t="s">
        <v>231</v>
      </c>
      <c r="DE168" s="240" t="s">
        <v>492</v>
      </c>
      <c r="DF168" s="240" t="s">
        <v>492</v>
      </c>
      <c r="DG168" s="240" t="s">
        <v>492</v>
      </c>
      <c r="DH168" s="240" t="s">
        <v>492</v>
      </c>
      <c r="DI168" s="240" t="s">
        <v>492</v>
      </c>
      <c r="DJ168" s="240" t="s">
        <v>492</v>
      </c>
      <c r="DK168" s="240" t="s">
        <v>492</v>
      </c>
      <c r="DL168" s="240" t="s">
        <v>492</v>
      </c>
      <c r="DM168" s="240" t="s">
        <v>492</v>
      </c>
      <c r="DN168" s="240" t="s">
        <v>492</v>
      </c>
      <c r="DO168" s="240" t="s">
        <v>492</v>
      </c>
      <c r="DP168" s="240" t="s">
        <v>492</v>
      </c>
      <c r="DQ168" s="240" t="s">
        <v>492</v>
      </c>
      <c r="DR168" s="240" t="s">
        <v>492</v>
      </c>
      <c r="DS168" s="240" t="s">
        <v>231</v>
      </c>
      <c r="DT168" s="240" t="s">
        <v>231</v>
      </c>
      <c r="DU168" s="240" t="s">
        <v>231</v>
      </c>
      <c r="DV168" s="240" t="s">
        <v>231</v>
      </c>
      <c r="DW168" s="240" t="s">
        <v>231</v>
      </c>
      <c r="DX168" s="240" t="s">
        <v>231</v>
      </c>
      <c r="DY168" s="240" t="s">
        <v>231</v>
      </c>
      <c r="DZ168" s="240" t="s">
        <v>231</v>
      </c>
      <c r="EA168" s="240" t="s">
        <v>231</v>
      </c>
      <c r="EB168" s="240" t="s">
        <v>231</v>
      </c>
      <c r="EC168" s="240" t="s">
        <v>231</v>
      </c>
      <c r="ED168" s="240" t="s">
        <v>231</v>
      </c>
      <c r="EE168" s="240" t="s">
        <v>231</v>
      </c>
      <c r="EF168" s="240" t="s">
        <v>231</v>
      </c>
      <c r="EG168" s="240" t="s">
        <v>231</v>
      </c>
      <c r="EH168" s="240" t="s">
        <v>231</v>
      </c>
      <c r="EI168" s="240" t="s">
        <v>231</v>
      </c>
      <c r="EJ168" s="240" t="s">
        <v>231</v>
      </c>
      <c r="EK168" s="240" t="s">
        <v>231</v>
      </c>
      <c r="EL168" s="240" t="s">
        <v>231</v>
      </c>
      <c r="EM168" s="240" t="s">
        <v>231</v>
      </c>
      <c r="EN168" s="240" t="s">
        <v>231</v>
      </c>
      <c r="EO168" s="240" t="s">
        <v>231</v>
      </c>
      <c r="EP168" s="240" t="s">
        <v>231</v>
      </c>
      <c r="EQ168" s="240" t="s">
        <v>231</v>
      </c>
      <c r="ER168" s="240" t="s">
        <v>231</v>
      </c>
      <c r="ES168" s="240" t="s">
        <v>231</v>
      </c>
      <c r="ET168" s="240" t="s">
        <v>231</v>
      </c>
      <c r="EU168" s="240" t="s">
        <v>231</v>
      </c>
      <c r="EV168" s="240" t="s">
        <v>231</v>
      </c>
      <c r="EW168" s="240" t="s">
        <v>231</v>
      </c>
      <c r="EX168" s="240" t="s">
        <v>231</v>
      </c>
      <c r="EY168" s="240" t="s">
        <v>231</v>
      </c>
      <c r="EZ168" s="240" t="s">
        <v>231</v>
      </c>
      <c r="FA168" s="240" t="s">
        <v>231</v>
      </c>
      <c r="FB168" s="240" t="s">
        <v>231</v>
      </c>
      <c r="FC168" s="240" t="s">
        <v>231</v>
      </c>
      <c r="FD168" s="240" t="s">
        <v>231</v>
      </c>
      <c r="FE168" s="240" t="s">
        <v>231</v>
      </c>
      <c r="FF168" s="240" t="s">
        <v>231</v>
      </c>
      <c r="FG168" s="240" t="s">
        <v>492</v>
      </c>
      <c r="FH168" s="240" t="s">
        <v>492</v>
      </c>
      <c r="FI168" s="240" t="s">
        <v>231</v>
      </c>
      <c r="FJ168" s="240" t="s">
        <v>231</v>
      </c>
      <c r="FK168" s="240" t="s">
        <v>231</v>
      </c>
      <c r="FL168" s="240" t="s">
        <v>231</v>
      </c>
      <c r="FM168" s="240" t="s">
        <v>231</v>
      </c>
      <c r="FN168" s="240" t="s">
        <v>231</v>
      </c>
      <c r="FO168" s="240" t="s">
        <v>231</v>
      </c>
      <c r="FP168" s="240" t="s">
        <v>231</v>
      </c>
      <c r="FQ168" s="240" t="s">
        <v>231</v>
      </c>
      <c r="FR168" s="240" t="s">
        <v>231</v>
      </c>
      <c r="FS168" s="240" t="s">
        <v>231</v>
      </c>
      <c r="FT168" s="240" t="s">
        <v>231</v>
      </c>
      <c r="FU168" s="240" t="s">
        <v>231</v>
      </c>
      <c r="FV168" s="240" t="s">
        <v>231</v>
      </c>
      <c r="FW168" s="240" t="s">
        <v>231</v>
      </c>
      <c r="FX168" s="240" t="s">
        <v>231</v>
      </c>
      <c r="FY168" s="240" t="s">
        <v>1107</v>
      </c>
      <c r="FZ168" s="240" t="s">
        <v>231</v>
      </c>
      <c r="GA168" s="240" t="s">
        <v>231</v>
      </c>
      <c r="GB168" s="240" t="s">
        <v>231</v>
      </c>
      <c r="GC168" s="240" t="s">
        <v>231</v>
      </c>
      <c r="GD168" s="240" t="s">
        <v>231</v>
      </c>
      <c r="GE168" s="240" t="s">
        <v>231</v>
      </c>
      <c r="GF168" s="240" t="s">
        <v>231</v>
      </c>
      <c r="GG168" s="240" t="s">
        <v>231</v>
      </c>
      <c r="GH168" s="240" t="s">
        <v>231</v>
      </c>
      <c r="GI168" s="240" t="s">
        <v>231</v>
      </c>
      <c r="GJ168" s="240" t="s">
        <v>231</v>
      </c>
      <c r="GK168" s="240" t="s">
        <v>231</v>
      </c>
      <c r="GL168" s="240" t="s">
        <v>231</v>
      </c>
      <c r="GM168" s="240" t="s">
        <v>231</v>
      </c>
      <c r="GN168" s="240" t="s">
        <v>231</v>
      </c>
      <c r="GO168" s="240" t="s">
        <v>492</v>
      </c>
      <c r="GP168" s="240" t="s">
        <v>231</v>
      </c>
      <c r="GQ168" s="240" t="s">
        <v>231</v>
      </c>
      <c r="GR168" s="240" t="s">
        <v>231</v>
      </c>
      <c r="GS168" s="240" t="s">
        <v>231</v>
      </c>
      <c r="GT168" s="240" t="s">
        <v>231</v>
      </c>
      <c r="GU168" s="240" t="s">
        <v>231</v>
      </c>
      <c r="GV168" s="240" t="s">
        <v>231</v>
      </c>
      <c r="GW168" s="240" t="s">
        <v>231</v>
      </c>
      <c r="GX168" s="240" t="s">
        <v>231</v>
      </c>
      <c r="GY168" s="240" t="s">
        <v>231</v>
      </c>
      <c r="GZ168" s="240" t="s">
        <v>231</v>
      </c>
      <c r="HA168" s="240" t="s">
        <v>231</v>
      </c>
      <c r="HB168" s="240" t="s">
        <v>231</v>
      </c>
      <c r="HC168" s="240" t="s">
        <v>231</v>
      </c>
      <c r="HD168" s="240" t="s">
        <v>231</v>
      </c>
      <c r="HE168" s="240" t="s">
        <v>231</v>
      </c>
      <c r="HF168" s="240" t="s">
        <v>231</v>
      </c>
      <c r="HG168" s="240" t="s">
        <v>231</v>
      </c>
      <c r="HH168" s="240" t="s">
        <v>231</v>
      </c>
      <c r="HI168" s="240" t="s">
        <v>231</v>
      </c>
      <c r="HJ168" s="240" t="s">
        <v>231</v>
      </c>
      <c r="HK168" s="240" t="s">
        <v>231</v>
      </c>
      <c r="HL168" s="240" t="s">
        <v>231</v>
      </c>
      <c r="HM168" s="240" t="s">
        <v>231</v>
      </c>
      <c r="HN168" s="240" t="s">
        <v>231</v>
      </c>
      <c r="HO168" s="240" t="s">
        <v>231</v>
      </c>
      <c r="HP168" s="240" t="s">
        <v>231</v>
      </c>
      <c r="HQ168" s="240" t="s">
        <v>231</v>
      </c>
      <c r="HR168" s="240" t="s">
        <v>231</v>
      </c>
      <c r="HS168" s="240" t="s">
        <v>231</v>
      </c>
      <c r="HT168" s="240" t="s">
        <v>231</v>
      </c>
      <c r="HU168" s="240" t="s">
        <v>231</v>
      </c>
      <c r="HV168" s="240" t="s">
        <v>231</v>
      </c>
      <c r="HW168" s="240" t="s">
        <v>231</v>
      </c>
      <c r="HX168" s="240" t="s">
        <v>220</v>
      </c>
      <c r="HY168" s="240" t="s">
        <v>493</v>
      </c>
      <c r="HZ168" s="240" t="s">
        <v>219</v>
      </c>
      <c r="IA168" s="240" t="s">
        <v>490</v>
      </c>
      <c r="IB168" s="240" t="s">
        <v>492</v>
      </c>
      <c r="IC168" s="240" t="s">
        <v>492</v>
      </c>
    </row>
    <row r="169" spans="1:237" ht="15" x14ac:dyDescent="0.25">
      <c r="A169" s="243" t="str">
        <f>HYPERLINK("http://www.ofsted.gov.uk/inspection-reports/find-inspection-report/provider/ELS/146671 ","Ofsted School Webpage")</f>
        <v>Ofsted School Webpage</v>
      </c>
      <c r="B169" s="237">
        <v>146671</v>
      </c>
      <c r="C169" s="237">
        <v>9166025</v>
      </c>
      <c r="D169" s="237" t="s">
        <v>1443</v>
      </c>
      <c r="E169" s="237" t="s">
        <v>247</v>
      </c>
      <c r="F169" s="237" t="s">
        <v>483</v>
      </c>
      <c r="G169" s="237" t="s">
        <v>483</v>
      </c>
      <c r="H169" s="237" t="s">
        <v>948</v>
      </c>
      <c r="I169" s="237" t="s">
        <v>1444</v>
      </c>
      <c r="J169" s="237" t="s">
        <v>498</v>
      </c>
      <c r="K169" s="237" t="s">
        <v>93</v>
      </c>
      <c r="L169" s="237" t="s">
        <v>498</v>
      </c>
      <c r="M169" s="237" t="s">
        <v>90</v>
      </c>
      <c r="N169" s="237" t="s">
        <v>486</v>
      </c>
      <c r="O169" s="237" t="s">
        <v>487</v>
      </c>
      <c r="P169" s="237">
        <v>10085629</v>
      </c>
      <c r="Q169" s="239">
        <v>43453</v>
      </c>
      <c r="R169" s="239">
        <v>43453</v>
      </c>
      <c r="S169" s="239">
        <v>43487</v>
      </c>
      <c r="T169" s="237" t="s">
        <v>1377</v>
      </c>
      <c r="U169" s="237" t="s">
        <v>1105</v>
      </c>
      <c r="V169" s="237" t="s">
        <v>490</v>
      </c>
      <c r="W169" s="237" t="s">
        <v>486</v>
      </c>
      <c r="X169" s="237" t="s">
        <v>486</v>
      </c>
      <c r="Y169" s="237" t="s">
        <v>486</v>
      </c>
      <c r="Z169" s="237" t="s">
        <v>486</v>
      </c>
      <c r="AA169" s="237" t="s">
        <v>486</v>
      </c>
      <c r="AB169" s="237" t="s">
        <v>486</v>
      </c>
      <c r="AC169" s="237" t="s">
        <v>486</v>
      </c>
      <c r="AD169" s="237" t="s">
        <v>1378</v>
      </c>
      <c r="AE169" s="237" t="s">
        <v>231</v>
      </c>
      <c r="AF169" s="237" t="s">
        <v>231</v>
      </c>
      <c r="AG169" s="237" t="s">
        <v>231</v>
      </c>
      <c r="AH169" s="237" t="s">
        <v>231</v>
      </c>
      <c r="AI169" s="237" t="s">
        <v>231</v>
      </c>
      <c r="AJ169" s="237" t="s">
        <v>231</v>
      </c>
      <c r="AK169" s="237" t="s">
        <v>231</v>
      </c>
      <c r="AL169" s="237" t="s">
        <v>231</v>
      </c>
      <c r="AM169" s="237" t="s">
        <v>492</v>
      </c>
      <c r="AN169" s="237" t="s">
        <v>231</v>
      </c>
      <c r="AO169" s="237" t="s">
        <v>231</v>
      </c>
      <c r="AP169" s="237" t="s">
        <v>231</v>
      </c>
      <c r="AQ169" s="237" t="s">
        <v>231</v>
      </c>
      <c r="AR169" s="237" t="s">
        <v>231</v>
      </c>
      <c r="AS169" s="237" t="s">
        <v>231</v>
      </c>
      <c r="AT169" s="237" t="s">
        <v>231</v>
      </c>
      <c r="AU169" s="237" t="s">
        <v>492</v>
      </c>
      <c r="AV169" s="237" t="s">
        <v>492</v>
      </c>
      <c r="AW169" s="237" t="s">
        <v>231</v>
      </c>
      <c r="AX169" s="237" t="s">
        <v>231</v>
      </c>
      <c r="AY169" s="237" t="s">
        <v>231</v>
      </c>
      <c r="AZ169" s="237" t="s">
        <v>231</v>
      </c>
      <c r="BA169" s="237" t="s">
        <v>231</v>
      </c>
      <c r="BB169" s="237" t="s">
        <v>231</v>
      </c>
      <c r="BC169" s="237" t="s">
        <v>231</v>
      </c>
      <c r="BD169" s="237" t="s">
        <v>231</v>
      </c>
      <c r="BE169" s="237" t="s">
        <v>231</v>
      </c>
      <c r="BF169" s="237" t="s">
        <v>231</v>
      </c>
      <c r="BG169" s="237" t="s">
        <v>231</v>
      </c>
      <c r="BH169" s="237" t="s">
        <v>231</v>
      </c>
      <c r="BI169" s="237" t="s">
        <v>231</v>
      </c>
      <c r="BJ169" s="237" t="s">
        <v>231</v>
      </c>
      <c r="BK169" s="237" t="s">
        <v>231</v>
      </c>
      <c r="BL169" s="237" t="s">
        <v>231</v>
      </c>
      <c r="BM169" s="237" t="s">
        <v>231</v>
      </c>
      <c r="BN169" s="237" t="s">
        <v>231</v>
      </c>
      <c r="BO169" s="237" t="s">
        <v>231</v>
      </c>
      <c r="BP169" s="237" t="s">
        <v>231</v>
      </c>
      <c r="BQ169" s="237" t="s">
        <v>231</v>
      </c>
      <c r="BR169" s="237" t="s">
        <v>231</v>
      </c>
      <c r="BS169" s="237" t="s">
        <v>231</v>
      </c>
      <c r="BT169" s="237" t="s">
        <v>231</v>
      </c>
      <c r="BU169" s="237" t="s">
        <v>231</v>
      </c>
      <c r="BV169" s="237" t="s">
        <v>231</v>
      </c>
      <c r="BW169" s="237" t="s">
        <v>231</v>
      </c>
      <c r="BX169" s="237" t="s">
        <v>231</v>
      </c>
      <c r="BY169" s="237" t="s">
        <v>231</v>
      </c>
      <c r="BZ169" s="237" t="s">
        <v>231</v>
      </c>
      <c r="CA169" s="237" t="s">
        <v>231</v>
      </c>
      <c r="CB169" s="237" t="s">
        <v>231</v>
      </c>
      <c r="CC169" s="237" t="s">
        <v>492</v>
      </c>
      <c r="CD169" s="237" t="s">
        <v>492</v>
      </c>
      <c r="CE169" s="237" t="s">
        <v>492</v>
      </c>
      <c r="CF169" s="237" t="s">
        <v>231</v>
      </c>
      <c r="CG169" s="237" t="s">
        <v>231</v>
      </c>
      <c r="CH169" s="237" t="s">
        <v>231</v>
      </c>
      <c r="CI169" s="237" t="s">
        <v>231</v>
      </c>
      <c r="CJ169" s="237" t="s">
        <v>231</v>
      </c>
      <c r="CK169" s="237" t="s">
        <v>231</v>
      </c>
      <c r="CL169" s="237" t="s">
        <v>231</v>
      </c>
      <c r="CM169" s="237" t="s">
        <v>231</v>
      </c>
      <c r="CN169" s="237" t="s">
        <v>231</v>
      </c>
      <c r="CO169" s="237" t="s">
        <v>231</v>
      </c>
      <c r="CP169" s="237" t="s">
        <v>231</v>
      </c>
      <c r="CQ169" s="237" t="s">
        <v>231</v>
      </c>
      <c r="CR169" s="237" t="s">
        <v>231</v>
      </c>
      <c r="CS169" s="237" t="s">
        <v>231</v>
      </c>
      <c r="CT169" s="237" t="s">
        <v>231</v>
      </c>
      <c r="CU169" s="237" t="s">
        <v>231</v>
      </c>
      <c r="CV169" s="237" t="s">
        <v>231</v>
      </c>
      <c r="CW169" s="237" t="s">
        <v>231</v>
      </c>
      <c r="CX169" s="237" t="s">
        <v>231</v>
      </c>
      <c r="CY169" s="237" t="s">
        <v>231</v>
      </c>
      <c r="CZ169" s="237" t="s">
        <v>231</v>
      </c>
      <c r="DA169" s="237" t="s">
        <v>231</v>
      </c>
      <c r="DB169" s="237" t="s">
        <v>231</v>
      </c>
      <c r="DC169" s="237" t="s">
        <v>492</v>
      </c>
      <c r="DD169" s="237" t="s">
        <v>231</v>
      </c>
      <c r="DE169" s="237" t="s">
        <v>492</v>
      </c>
      <c r="DF169" s="237" t="s">
        <v>492</v>
      </c>
      <c r="DG169" s="237" t="s">
        <v>492</v>
      </c>
      <c r="DH169" s="237" t="s">
        <v>492</v>
      </c>
      <c r="DI169" s="237" t="s">
        <v>492</v>
      </c>
      <c r="DJ169" s="237" t="s">
        <v>492</v>
      </c>
      <c r="DK169" s="237" t="s">
        <v>492</v>
      </c>
      <c r="DL169" s="237" t="s">
        <v>492</v>
      </c>
      <c r="DM169" s="237" t="s">
        <v>492</v>
      </c>
      <c r="DN169" s="237" t="s">
        <v>492</v>
      </c>
      <c r="DO169" s="237" t="s">
        <v>492</v>
      </c>
      <c r="DP169" s="237" t="s">
        <v>492</v>
      </c>
      <c r="DQ169" s="237" t="s">
        <v>492</v>
      </c>
      <c r="DR169" s="237" t="s">
        <v>492</v>
      </c>
      <c r="DS169" s="237" t="s">
        <v>231</v>
      </c>
      <c r="DT169" s="237" t="s">
        <v>231</v>
      </c>
      <c r="DU169" s="237" t="s">
        <v>231</v>
      </c>
      <c r="DV169" s="237" t="s">
        <v>231</v>
      </c>
      <c r="DW169" s="237" t="s">
        <v>231</v>
      </c>
      <c r="DX169" s="237" t="s">
        <v>231</v>
      </c>
      <c r="DY169" s="237" t="s">
        <v>231</v>
      </c>
      <c r="DZ169" s="237" t="s">
        <v>231</v>
      </c>
      <c r="EA169" s="237" t="s">
        <v>231</v>
      </c>
      <c r="EB169" s="237" t="s">
        <v>231</v>
      </c>
      <c r="EC169" s="237" t="s">
        <v>231</v>
      </c>
      <c r="ED169" s="237" t="s">
        <v>231</v>
      </c>
      <c r="EE169" s="237" t="s">
        <v>231</v>
      </c>
      <c r="EF169" s="237" t="s">
        <v>231</v>
      </c>
      <c r="EG169" s="237" t="s">
        <v>231</v>
      </c>
      <c r="EH169" s="237" t="s">
        <v>231</v>
      </c>
      <c r="EI169" s="237" t="s">
        <v>231</v>
      </c>
      <c r="EJ169" s="237" t="s">
        <v>231</v>
      </c>
      <c r="EK169" s="237" t="s">
        <v>231</v>
      </c>
      <c r="EL169" s="237" t="s">
        <v>231</v>
      </c>
      <c r="EM169" s="237" t="s">
        <v>231</v>
      </c>
      <c r="EN169" s="237" t="s">
        <v>231</v>
      </c>
      <c r="EO169" s="237" t="s">
        <v>492</v>
      </c>
      <c r="EP169" s="237" t="s">
        <v>492</v>
      </c>
      <c r="EQ169" s="237" t="s">
        <v>492</v>
      </c>
      <c r="ER169" s="237" t="s">
        <v>492</v>
      </c>
      <c r="ES169" s="237" t="s">
        <v>492</v>
      </c>
      <c r="ET169" s="237" t="s">
        <v>492</v>
      </c>
      <c r="EU169" s="237" t="s">
        <v>492</v>
      </c>
      <c r="EV169" s="237" t="s">
        <v>231</v>
      </c>
      <c r="EW169" s="237" t="s">
        <v>492</v>
      </c>
      <c r="EX169" s="237" t="s">
        <v>492</v>
      </c>
      <c r="EY169" s="237" t="s">
        <v>492</v>
      </c>
      <c r="EZ169" s="237" t="s">
        <v>231</v>
      </c>
      <c r="FA169" s="237" t="s">
        <v>231</v>
      </c>
      <c r="FB169" s="237" t="s">
        <v>231</v>
      </c>
      <c r="FC169" s="237" t="s">
        <v>231</v>
      </c>
      <c r="FD169" s="237" t="s">
        <v>231</v>
      </c>
      <c r="FE169" s="237" t="s">
        <v>231</v>
      </c>
      <c r="FF169" s="237" t="s">
        <v>231</v>
      </c>
      <c r="FG169" s="237" t="s">
        <v>492</v>
      </c>
      <c r="FH169" s="237" t="s">
        <v>231</v>
      </c>
      <c r="FI169" s="237" t="s">
        <v>231</v>
      </c>
      <c r="FJ169" s="237" t="s">
        <v>231</v>
      </c>
      <c r="FK169" s="237" t="s">
        <v>231</v>
      </c>
      <c r="FL169" s="237" t="s">
        <v>231</v>
      </c>
      <c r="FM169" s="237" t="s">
        <v>231</v>
      </c>
      <c r="FN169" s="237" t="s">
        <v>231</v>
      </c>
      <c r="FO169" s="237" t="s">
        <v>231</v>
      </c>
      <c r="FP169" s="237" t="s">
        <v>231</v>
      </c>
      <c r="FQ169" s="237" t="s">
        <v>231</v>
      </c>
      <c r="FR169" s="237" t="s">
        <v>231</v>
      </c>
      <c r="FS169" s="237" t="s">
        <v>231</v>
      </c>
      <c r="FT169" s="237" t="s">
        <v>231</v>
      </c>
      <c r="FU169" s="237" t="s">
        <v>231</v>
      </c>
      <c r="FV169" s="237" t="s">
        <v>231</v>
      </c>
      <c r="FW169" s="237" t="s">
        <v>231</v>
      </c>
      <c r="FX169" s="237" t="s">
        <v>231</v>
      </c>
      <c r="FY169" s="237" t="s">
        <v>492</v>
      </c>
      <c r="FZ169" s="237" t="s">
        <v>231</v>
      </c>
      <c r="GA169" s="237" t="s">
        <v>231</v>
      </c>
      <c r="GB169" s="237" t="s">
        <v>231</v>
      </c>
      <c r="GC169" s="237" t="s">
        <v>231</v>
      </c>
      <c r="GD169" s="237" t="s">
        <v>492</v>
      </c>
      <c r="GE169" s="237" t="s">
        <v>492</v>
      </c>
      <c r="GF169" s="237" t="s">
        <v>492</v>
      </c>
      <c r="GG169" s="237" t="s">
        <v>492</v>
      </c>
      <c r="GH169" s="237" t="s">
        <v>492</v>
      </c>
      <c r="GI169" s="237" t="s">
        <v>231</v>
      </c>
      <c r="GJ169" s="237" t="s">
        <v>492</v>
      </c>
      <c r="GK169" s="237" t="s">
        <v>231</v>
      </c>
      <c r="GL169" s="237" t="s">
        <v>231</v>
      </c>
      <c r="GM169" s="237" t="s">
        <v>231</v>
      </c>
      <c r="GN169" s="237" t="s">
        <v>492</v>
      </c>
      <c r="GO169" s="237" t="s">
        <v>231</v>
      </c>
      <c r="GP169" s="237" t="s">
        <v>492</v>
      </c>
      <c r="GQ169" s="237" t="s">
        <v>231</v>
      </c>
      <c r="GR169" s="237" t="s">
        <v>231</v>
      </c>
      <c r="GS169" s="237" t="s">
        <v>231</v>
      </c>
      <c r="GT169" s="237" t="s">
        <v>231</v>
      </c>
      <c r="GU169" s="237" t="s">
        <v>231</v>
      </c>
      <c r="GV169" s="237" t="s">
        <v>231</v>
      </c>
      <c r="GW169" s="237" t="s">
        <v>492</v>
      </c>
      <c r="GX169" s="237" t="s">
        <v>231</v>
      </c>
      <c r="GY169" s="237" t="s">
        <v>492</v>
      </c>
      <c r="GZ169" s="237" t="s">
        <v>492</v>
      </c>
      <c r="HA169" s="237" t="s">
        <v>492</v>
      </c>
      <c r="HB169" s="237" t="s">
        <v>492</v>
      </c>
      <c r="HC169" s="237" t="s">
        <v>492</v>
      </c>
      <c r="HD169" s="237" t="s">
        <v>231</v>
      </c>
      <c r="HE169" s="237" t="s">
        <v>231</v>
      </c>
      <c r="HF169" s="237" t="s">
        <v>231</v>
      </c>
      <c r="HG169" s="237" t="s">
        <v>231</v>
      </c>
      <c r="HH169" s="237" t="s">
        <v>231</v>
      </c>
      <c r="HI169" s="237" t="s">
        <v>231</v>
      </c>
      <c r="HJ169" s="237" t="s">
        <v>231</v>
      </c>
      <c r="HK169" s="237" t="s">
        <v>231</v>
      </c>
      <c r="HL169" s="237" t="s">
        <v>231</v>
      </c>
      <c r="HM169" s="237" t="s">
        <v>231</v>
      </c>
      <c r="HN169" s="237" t="s">
        <v>231</v>
      </c>
      <c r="HO169" s="237" t="s">
        <v>231</v>
      </c>
      <c r="HP169" s="237" t="s">
        <v>231</v>
      </c>
      <c r="HQ169" s="237" t="s">
        <v>231</v>
      </c>
      <c r="HR169" s="237" t="s">
        <v>231</v>
      </c>
      <c r="HS169" s="237" t="s">
        <v>231</v>
      </c>
      <c r="HT169" s="237" t="s">
        <v>231</v>
      </c>
      <c r="HU169" s="237" t="s">
        <v>231</v>
      </c>
      <c r="HV169" s="237" t="s">
        <v>231</v>
      </c>
      <c r="HW169" s="237" t="s">
        <v>231</v>
      </c>
      <c r="HX169" s="237" t="s">
        <v>597</v>
      </c>
      <c r="HY169" s="237" t="s">
        <v>493</v>
      </c>
      <c r="HZ169" s="237" t="s">
        <v>219</v>
      </c>
      <c r="IA169" s="237" t="s">
        <v>490</v>
      </c>
      <c r="IB169" s="237" t="s">
        <v>492</v>
      </c>
      <c r="IC169" s="237" t="s">
        <v>492</v>
      </c>
    </row>
    <row r="170" spans="1:237" ht="15" x14ac:dyDescent="0.25">
      <c r="A170" s="244" t="str">
        <f>HYPERLINK("http://www.ofsted.gov.uk/inspection-reports/find-inspection-report/provider/ELS/146522 ","Ofsted School Webpage")</f>
        <v>Ofsted School Webpage</v>
      </c>
      <c r="B170" s="240">
        <v>146522</v>
      </c>
      <c r="C170" s="240">
        <v>8936037</v>
      </c>
      <c r="D170" s="240" t="s">
        <v>1445</v>
      </c>
      <c r="E170" s="240" t="s">
        <v>248</v>
      </c>
      <c r="F170" s="240" t="s">
        <v>502</v>
      </c>
      <c r="G170" s="240" t="s">
        <v>502</v>
      </c>
      <c r="H170" s="240" t="s">
        <v>666</v>
      </c>
      <c r="I170" s="240" t="s">
        <v>1446</v>
      </c>
      <c r="J170" s="240" t="s">
        <v>498</v>
      </c>
      <c r="K170" s="240" t="s">
        <v>93</v>
      </c>
      <c r="L170" s="240" t="s">
        <v>498</v>
      </c>
      <c r="M170" s="240" t="s">
        <v>90</v>
      </c>
      <c r="N170" s="240" t="s">
        <v>486</v>
      </c>
      <c r="O170" s="240" t="s">
        <v>487</v>
      </c>
      <c r="P170" s="240">
        <v>10085986</v>
      </c>
      <c r="Q170" s="242">
        <v>43452</v>
      </c>
      <c r="R170" s="242">
        <v>43452</v>
      </c>
      <c r="S170" s="242">
        <v>43488</v>
      </c>
      <c r="T170" s="240" t="s">
        <v>1377</v>
      </c>
      <c r="U170" s="240" t="s">
        <v>1105</v>
      </c>
      <c r="V170" s="240" t="s">
        <v>490</v>
      </c>
      <c r="W170" s="240" t="s">
        <v>486</v>
      </c>
      <c r="X170" s="240" t="s">
        <v>486</v>
      </c>
      <c r="Y170" s="240" t="s">
        <v>486</v>
      </c>
      <c r="Z170" s="240" t="s">
        <v>486</v>
      </c>
      <c r="AA170" s="240" t="s">
        <v>486</v>
      </c>
      <c r="AB170" s="240" t="s">
        <v>486</v>
      </c>
      <c r="AC170" s="240" t="s">
        <v>486</v>
      </c>
      <c r="AD170" s="240" t="s">
        <v>1378</v>
      </c>
      <c r="AE170" s="240" t="s">
        <v>231</v>
      </c>
      <c r="AF170" s="240" t="s">
        <v>231</v>
      </c>
      <c r="AG170" s="240" t="s">
        <v>231</v>
      </c>
      <c r="AH170" s="240" t="s">
        <v>231</v>
      </c>
      <c r="AI170" s="240" t="s">
        <v>231</v>
      </c>
      <c r="AJ170" s="240" t="s">
        <v>231</v>
      </c>
      <c r="AK170" s="240" t="s">
        <v>231</v>
      </c>
      <c r="AL170" s="240" t="s">
        <v>231</v>
      </c>
      <c r="AM170" s="240" t="s">
        <v>492</v>
      </c>
      <c r="AN170" s="240" t="s">
        <v>231</v>
      </c>
      <c r="AO170" s="240" t="s">
        <v>231</v>
      </c>
      <c r="AP170" s="240" t="s">
        <v>231</v>
      </c>
      <c r="AQ170" s="240" t="s">
        <v>231</v>
      </c>
      <c r="AR170" s="240" t="s">
        <v>231</v>
      </c>
      <c r="AS170" s="240" t="s">
        <v>231</v>
      </c>
      <c r="AT170" s="240" t="s">
        <v>231</v>
      </c>
      <c r="AU170" s="240" t="s">
        <v>492</v>
      </c>
      <c r="AV170" s="240" t="s">
        <v>231</v>
      </c>
      <c r="AW170" s="240" t="s">
        <v>231</v>
      </c>
      <c r="AX170" s="240" t="s">
        <v>231</v>
      </c>
      <c r="AY170" s="240" t="s">
        <v>231</v>
      </c>
      <c r="AZ170" s="240" t="s">
        <v>231</v>
      </c>
      <c r="BA170" s="240" t="s">
        <v>231</v>
      </c>
      <c r="BB170" s="240" t="s">
        <v>231</v>
      </c>
      <c r="BC170" s="240" t="s">
        <v>231</v>
      </c>
      <c r="BD170" s="240" t="s">
        <v>231</v>
      </c>
      <c r="BE170" s="240" t="s">
        <v>231</v>
      </c>
      <c r="BF170" s="240" t="s">
        <v>231</v>
      </c>
      <c r="BG170" s="240" t="s">
        <v>231</v>
      </c>
      <c r="BH170" s="240" t="s">
        <v>231</v>
      </c>
      <c r="BI170" s="240" t="s">
        <v>231</v>
      </c>
      <c r="BJ170" s="240" t="s">
        <v>231</v>
      </c>
      <c r="BK170" s="240" t="s">
        <v>231</v>
      </c>
      <c r="BL170" s="240" t="s">
        <v>231</v>
      </c>
      <c r="BM170" s="240" t="s">
        <v>231</v>
      </c>
      <c r="BN170" s="240" t="s">
        <v>231</v>
      </c>
      <c r="BO170" s="240" t="s">
        <v>231</v>
      </c>
      <c r="BP170" s="240" t="s">
        <v>231</v>
      </c>
      <c r="BQ170" s="240" t="s">
        <v>231</v>
      </c>
      <c r="BR170" s="240" t="s">
        <v>231</v>
      </c>
      <c r="BS170" s="240" t="s">
        <v>231</v>
      </c>
      <c r="BT170" s="240" t="s">
        <v>231</v>
      </c>
      <c r="BU170" s="240" t="s">
        <v>231</v>
      </c>
      <c r="BV170" s="240" t="s">
        <v>231</v>
      </c>
      <c r="BW170" s="240" t="s">
        <v>231</v>
      </c>
      <c r="BX170" s="240" t="s">
        <v>231</v>
      </c>
      <c r="BY170" s="240" t="s">
        <v>231</v>
      </c>
      <c r="BZ170" s="240" t="s">
        <v>231</v>
      </c>
      <c r="CA170" s="240" t="s">
        <v>231</v>
      </c>
      <c r="CB170" s="240" t="s">
        <v>231</v>
      </c>
      <c r="CC170" s="240" t="s">
        <v>231</v>
      </c>
      <c r="CD170" s="240" t="s">
        <v>231</v>
      </c>
      <c r="CE170" s="240" t="s">
        <v>231</v>
      </c>
      <c r="CF170" s="240" t="s">
        <v>231</v>
      </c>
      <c r="CG170" s="240" t="s">
        <v>231</v>
      </c>
      <c r="CH170" s="240" t="s">
        <v>231</v>
      </c>
      <c r="CI170" s="240" t="s">
        <v>231</v>
      </c>
      <c r="CJ170" s="240" t="s">
        <v>231</v>
      </c>
      <c r="CK170" s="240" t="s">
        <v>231</v>
      </c>
      <c r="CL170" s="240" t="s">
        <v>231</v>
      </c>
      <c r="CM170" s="240" t="s">
        <v>231</v>
      </c>
      <c r="CN170" s="240" t="s">
        <v>231</v>
      </c>
      <c r="CO170" s="240" t="s">
        <v>231</v>
      </c>
      <c r="CP170" s="240" t="s">
        <v>231</v>
      </c>
      <c r="CQ170" s="240" t="s">
        <v>231</v>
      </c>
      <c r="CR170" s="240" t="s">
        <v>231</v>
      </c>
      <c r="CS170" s="240" t="s">
        <v>231</v>
      </c>
      <c r="CT170" s="240" t="s">
        <v>231</v>
      </c>
      <c r="CU170" s="240" t="s">
        <v>231</v>
      </c>
      <c r="CV170" s="240" t="s">
        <v>231</v>
      </c>
      <c r="CW170" s="240" t="s">
        <v>231</v>
      </c>
      <c r="CX170" s="240" t="s">
        <v>231</v>
      </c>
      <c r="CY170" s="240" t="s">
        <v>231</v>
      </c>
      <c r="CZ170" s="240" t="s">
        <v>231</v>
      </c>
      <c r="DA170" s="240" t="s">
        <v>231</v>
      </c>
      <c r="DB170" s="240" t="s">
        <v>231</v>
      </c>
      <c r="DC170" s="240" t="s">
        <v>231</v>
      </c>
      <c r="DD170" s="240" t="s">
        <v>231</v>
      </c>
      <c r="DE170" s="240" t="s">
        <v>492</v>
      </c>
      <c r="DF170" s="240" t="s">
        <v>492</v>
      </c>
      <c r="DG170" s="240" t="s">
        <v>492</v>
      </c>
      <c r="DH170" s="240" t="s">
        <v>492</v>
      </c>
      <c r="DI170" s="240" t="s">
        <v>492</v>
      </c>
      <c r="DJ170" s="240" t="s">
        <v>492</v>
      </c>
      <c r="DK170" s="240" t="s">
        <v>492</v>
      </c>
      <c r="DL170" s="240" t="s">
        <v>492</v>
      </c>
      <c r="DM170" s="240" t="s">
        <v>492</v>
      </c>
      <c r="DN170" s="240" t="s">
        <v>492</v>
      </c>
      <c r="DO170" s="240" t="s">
        <v>492</v>
      </c>
      <c r="DP170" s="240" t="s">
        <v>492</v>
      </c>
      <c r="DQ170" s="240" t="s">
        <v>492</v>
      </c>
      <c r="DR170" s="240" t="s">
        <v>492</v>
      </c>
      <c r="DS170" s="240" t="s">
        <v>231</v>
      </c>
      <c r="DT170" s="240" t="s">
        <v>231</v>
      </c>
      <c r="DU170" s="240" t="s">
        <v>231</v>
      </c>
      <c r="DV170" s="240" t="s">
        <v>231</v>
      </c>
      <c r="DW170" s="240" t="s">
        <v>231</v>
      </c>
      <c r="DX170" s="240" t="s">
        <v>231</v>
      </c>
      <c r="DY170" s="240" t="s">
        <v>231</v>
      </c>
      <c r="DZ170" s="240" t="s">
        <v>231</v>
      </c>
      <c r="EA170" s="240" t="s">
        <v>231</v>
      </c>
      <c r="EB170" s="240" t="s">
        <v>231</v>
      </c>
      <c r="EC170" s="240" t="s">
        <v>231</v>
      </c>
      <c r="ED170" s="240" t="s">
        <v>231</v>
      </c>
      <c r="EE170" s="240" t="s">
        <v>231</v>
      </c>
      <c r="EF170" s="240" t="s">
        <v>231</v>
      </c>
      <c r="EG170" s="240" t="s">
        <v>231</v>
      </c>
      <c r="EH170" s="240" t="s">
        <v>231</v>
      </c>
      <c r="EI170" s="240" t="s">
        <v>231</v>
      </c>
      <c r="EJ170" s="240" t="s">
        <v>231</v>
      </c>
      <c r="EK170" s="240" t="s">
        <v>231</v>
      </c>
      <c r="EL170" s="240" t="s">
        <v>231</v>
      </c>
      <c r="EM170" s="240" t="s">
        <v>231</v>
      </c>
      <c r="EN170" s="240" t="s">
        <v>231</v>
      </c>
      <c r="EO170" s="240" t="s">
        <v>492</v>
      </c>
      <c r="EP170" s="240" t="s">
        <v>492</v>
      </c>
      <c r="EQ170" s="240" t="s">
        <v>492</v>
      </c>
      <c r="ER170" s="240" t="s">
        <v>492</v>
      </c>
      <c r="ES170" s="240" t="s">
        <v>492</v>
      </c>
      <c r="ET170" s="240" t="s">
        <v>492</v>
      </c>
      <c r="EU170" s="240" t="s">
        <v>492</v>
      </c>
      <c r="EV170" s="240" t="s">
        <v>231</v>
      </c>
      <c r="EW170" s="240" t="s">
        <v>231</v>
      </c>
      <c r="EX170" s="240" t="s">
        <v>231</v>
      </c>
      <c r="EY170" s="240" t="s">
        <v>231</v>
      </c>
      <c r="EZ170" s="240" t="s">
        <v>231</v>
      </c>
      <c r="FA170" s="240" t="s">
        <v>231</v>
      </c>
      <c r="FB170" s="240" t="s">
        <v>231</v>
      </c>
      <c r="FC170" s="240" t="s">
        <v>231</v>
      </c>
      <c r="FD170" s="240" t="s">
        <v>231</v>
      </c>
      <c r="FE170" s="240" t="s">
        <v>231</v>
      </c>
      <c r="FF170" s="240" t="s">
        <v>231</v>
      </c>
      <c r="FG170" s="240" t="s">
        <v>492</v>
      </c>
      <c r="FH170" s="240" t="s">
        <v>231</v>
      </c>
      <c r="FI170" s="240" t="s">
        <v>231</v>
      </c>
      <c r="FJ170" s="240" t="s">
        <v>231</v>
      </c>
      <c r="FK170" s="240" t="s">
        <v>231</v>
      </c>
      <c r="FL170" s="240" t="s">
        <v>231</v>
      </c>
      <c r="FM170" s="240" t="s">
        <v>231</v>
      </c>
      <c r="FN170" s="240" t="s">
        <v>231</v>
      </c>
      <c r="FO170" s="240" t="s">
        <v>231</v>
      </c>
      <c r="FP170" s="240" t="s">
        <v>231</v>
      </c>
      <c r="FQ170" s="240" t="s">
        <v>231</v>
      </c>
      <c r="FR170" s="240" t="s">
        <v>231</v>
      </c>
      <c r="FS170" s="240" t="s">
        <v>231</v>
      </c>
      <c r="FT170" s="240" t="s">
        <v>231</v>
      </c>
      <c r="FU170" s="240" t="s">
        <v>231</v>
      </c>
      <c r="FV170" s="240" t="s">
        <v>231</v>
      </c>
      <c r="FW170" s="240" t="s">
        <v>231</v>
      </c>
      <c r="FX170" s="240" t="s">
        <v>231</v>
      </c>
      <c r="FY170" s="240" t="s">
        <v>231</v>
      </c>
      <c r="FZ170" s="240" t="s">
        <v>231</v>
      </c>
      <c r="GA170" s="240" t="s">
        <v>231</v>
      </c>
      <c r="GB170" s="240" t="s">
        <v>231</v>
      </c>
      <c r="GC170" s="240" t="s">
        <v>231</v>
      </c>
      <c r="GD170" s="240" t="s">
        <v>231</v>
      </c>
      <c r="GE170" s="240" t="s">
        <v>231</v>
      </c>
      <c r="GF170" s="240" t="s">
        <v>231</v>
      </c>
      <c r="GG170" s="240" t="s">
        <v>231</v>
      </c>
      <c r="GH170" s="240" t="s">
        <v>231</v>
      </c>
      <c r="GI170" s="240" t="s">
        <v>231</v>
      </c>
      <c r="GJ170" s="240" t="s">
        <v>231</v>
      </c>
      <c r="GK170" s="240" t="s">
        <v>231</v>
      </c>
      <c r="GL170" s="240" t="s">
        <v>231</v>
      </c>
      <c r="GM170" s="240" t="s">
        <v>231</v>
      </c>
      <c r="GN170" s="240" t="s">
        <v>492</v>
      </c>
      <c r="GO170" s="240" t="s">
        <v>231</v>
      </c>
      <c r="GP170" s="240" t="s">
        <v>492</v>
      </c>
      <c r="GQ170" s="240" t="s">
        <v>231</v>
      </c>
      <c r="GR170" s="240" t="s">
        <v>231</v>
      </c>
      <c r="GS170" s="240" t="s">
        <v>231</v>
      </c>
      <c r="GT170" s="240" t="s">
        <v>231</v>
      </c>
      <c r="GU170" s="240" t="s">
        <v>231</v>
      </c>
      <c r="GV170" s="240" t="s">
        <v>231</v>
      </c>
      <c r="GW170" s="240" t="s">
        <v>231</v>
      </c>
      <c r="GX170" s="240" t="s">
        <v>231</v>
      </c>
      <c r="GY170" s="240" t="s">
        <v>231</v>
      </c>
      <c r="GZ170" s="240" t="s">
        <v>231</v>
      </c>
      <c r="HA170" s="240" t="s">
        <v>492</v>
      </c>
      <c r="HB170" s="240" t="s">
        <v>492</v>
      </c>
      <c r="HC170" s="240" t="s">
        <v>492</v>
      </c>
      <c r="HD170" s="240" t="s">
        <v>231</v>
      </c>
      <c r="HE170" s="240" t="s">
        <v>231</v>
      </c>
      <c r="HF170" s="240" t="s">
        <v>231</v>
      </c>
      <c r="HG170" s="240" t="s">
        <v>231</v>
      </c>
      <c r="HH170" s="240" t="s">
        <v>231</v>
      </c>
      <c r="HI170" s="240" t="s">
        <v>231</v>
      </c>
      <c r="HJ170" s="240" t="s">
        <v>231</v>
      </c>
      <c r="HK170" s="240" t="s">
        <v>231</v>
      </c>
      <c r="HL170" s="240" t="s">
        <v>231</v>
      </c>
      <c r="HM170" s="240" t="s">
        <v>231</v>
      </c>
      <c r="HN170" s="240" t="s">
        <v>231</v>
      </c>
      <c r="HO170" s="240" t="s">
        <v>231</v>
      </c>
      <c r="HP170" s="240" t="s">
        <v>231</v>
      </c>
      <c r="HQ170" s="240" t="s">
        <v>231</v>
      </c>
      <c r="HR170" s="240" t="s">
        <v>231</v>
      </c>
      <c r="HS170" s="240" t="s">
        <v>231</v>
      </c>
      <c r="HT170" s="240" t="s">
        <v>231</v>
      </c>
      <c r="HU170" s="240" t="s">
        <v>231</v>
      </c>
      <c r="HV170" s="240" t="s">
        <v>231</v>
      </c>
      <c r="HW170" s="240" t="s">
        <v>231</v>
      </c>
      <c r="HX170" s="240" t="s">
        <v>220</v>
      </c>
      <c r="HY170" s="240" t="s">
        <v>493</v>
      </c>
      <c r="HZ170" s="240" t="s">
        <v>219</v>
      </c>
      <c r="IA170" s="240" t="s">
        <v>490</v>
      </c>
      <c r="IB170" s="240" t="s">
        <v>492</v>
      </c>
      <c r="IC170" s="240" t="s">
        <v>492</v>
      </c>
    </row>
    <row r="171" spans="1:237" ht="15" x14ac:dyDescent="0.25">
      <c r="A171" s="243" t="str">
        <f>HYPERLINK("http://www.ofsted.gov.uk/inspection-reports/find-inspection-report/provider/ELS/146736 ","Ofsted School Webpage")</f>
        <v>Ofsted School Webpage</v>
      </c>
      <c r="B171" s="237">
        <v>146736</v>
      </c>
      <c r="C171" s="237">
        <v>8866153</v>
      </c>
      <c r="D171" s="237" t="s">
        <v>1447</v>
      </c>
      <c r="E171" s="237" t="s">
        <v>247</v>
      </c>
      <c r="F171" s="237" t="s">
        <v>581</v>
      </c>
      <c r="G171" s="237" t="s">
        <v>581</v>
      </c>
      <c r="H171" s="237" t="s">
        <v>694</v>
      </c>
      <c r="I171" s="237" t="s">
        <v>1448</v>
      </c>
      <c r="J171" s="237" t="s">
        <v>498</v>
      </c>
      <c r="K171" s="237" t="s">
        <v>93</v>
      </c>
      <c r="L171" s="237" t="s">
        <v>498</v>
      </c>
      <c r="M171" s="237" t="s">
        <v>90</v>
      </c>
      <c r="N171" s="237" t="s">
        <v>486</v>
      </c>
      <c r="O171" s="237" t="s">
        <v>487</v>
      </c>
      <c r="P171" s="237">
        <v>10084599</v>
      </c>
      <c r="Q171" s="239">
        <v>43453</v>
      </c>
      <c r="R171" s="239">
        <v>43453</v>
      </c>
      <c r="S171" s="239">
        <v>43488</v>
      </c>
      <c r="T171" s="237" t="s">
        <v>1377</v>
      </c>
      <c r="U171" s="237" t="s">
        <v>1105</v>
      </c>
      <c r="V171" s="237" t="s">
        <v>490</v>
      </c>
      <c r="W171" s="237" t="s">
        <v>486</v>
      </c>
      <c r="X171" s="237" t="s">
        <v>486</v>
      </c>
      <c r="Y171" s="237" t="s">
        <v>486</v>
      </c>
      <c r="Z171" s="237" t="s">
        <v>486</v>
      </c>
      <c r="AA171" s="237" t="s">
        <v>486</v>
      </c>
      <c r="AB171" s="237" t="s">
        <v>486</v>
      </c>
      <c r="AC171" s="237" t="s">
        <v>486</v>
      </c>
      <c r="AD171" s="237" t="s">
        <v>1378</v>
      </c>
      <c r="AE171" s="237" t="s">
        <v>231</v>
      </c>
      <c r="AF171" s="237" t="s">
        <v>231</v>
      </c>
      <c r="AG171" s="237" t="s">
        <v>231</v>
      </c>
      <c r="AH171" s="237" t="s">
        <v>231</v>
      </c>
      <c r="AI171" s="237" t="s">
        <v>231</v>
      </c>
      <c r="AJ171" s="237" t="s">
        <v>231</v>
      </c>
      <c r="AK171" s="237" t="s">
        <v>231</v>
      </c>
      <c r="AL171" s="237" t="s">
        <v>231</v>
      </c>
      <c r="AM171" s="237" t="s">
        <v>492</v>
      </c>
      <c r="AN171" s="237" t="s">
        <v>231</v>
      </c>
      <c r="AO171" s="237" t="s">
        <v>231</v>
      </c>
      <c r="AP171" s="237" t="s">
        <v>231</v>
      </c>
      <c r="AQ171" s="237" t="s">
        <v>231</v>
      </c>
      <c r="AR171" s="237" t="s">
        <v>231</v>
      </c>
      <c r="AS171" s="237" t="s">
        <v>231</v>
      </c>
      <c r="AT171" s="237" t="s">
        <v>231</v>
      </c>
      <c r="AU171" s="237" t="s">
        <v>492</v>
      </c>
      <c r="AV171" s="237" t="s">
        <v>231</v>
      </c>
      <c r="AW171" s="237" t="s">
        <v>231</v>
      </c>
      <c r="AX171" s="237" t="s">
        <v>231</v>
      </c>
      <c r="AY171" s="237" t="s">
        <v>231</v>
      </c>
      <c r="AZ171" s="237" t="s">
        <v>231</v>
      </c>
      <c r="BA171" s="237" t="s">
        <v>231</v>
      </c>
      <c r="BB171" s="237" t="s">
        <v>231</v>
      </c>
      <c r="BC171" s="237" t="s">
        <v>231</v>
      </c>
      <c r="BD171" s="237" t="s">
        <v>231</v>
      </c>
      <c r="BE171" s="237" t="s">
        <v>231</v>
      </c>
      <c r="BF171" s="237" t="s">
        <v>231</v>
      </c>
      <c r="BG171" s="237" t="s">
        <v>231</v>
      </c>
      <c r="BH171" s="237" t="s">
        <v>231</v>
      </c>
      <c r="BI171" s="237" t="s">
        <v>231</v>
      </c>
      <c r="BJ171" s="237" t="s">
        <v>231</v>
      </c>
      <c r="BK171" s="237" t="s">
        <v>231</v>
      </c>
      <c r="BL171" s="237" t="s">
        <v>231</v>
      </c>
      <c r="BM171" s="237" t="s">
        <v>231</v>
      </c>
      <c r="BN171" s="237" t="s">
        <v>231</v>
      </c>
      <c r="BO171" s="237" t="s">
        <v>231</v>
      </c>
      <c r="BP171" s="237" t="s">
        <v>231</v>
      </c>
      <c r="BQ171" s="237" t="s">
        <v>231</v>
      </c>
      <c r="BR171" s="237" t="s">
        <v>231</v>
      </c>
      <c r="BS171" s="237" t="s">
        <v>231</v>
      </c>
      <c r="BT171" s="237" t="s">
        <v>231</v>
      </c>
      <c r="BU171" s="237" t="s">
        <v>231</v>
      </c>
      <c r="BV171" s="237" t="s">
        <v>231</v>
      </c>
      <c r="BW171" s="237" t="s">
        <v>231</v>
      </c>
      <c r="BX171" s="237" t="s">
        <v>231</v>
      </c>
      <c r="BY171" s="237" t="s">
        <v>231</v>
      </c>
      <c r="BZ171" s="237" t="s">
        <v>231</v>
      </c>
      <c r="CA171" s="237" t="s">
        <v>231</v>
      </c>
      <c r="CB171" s="237" t="s">
        <v>231</v>
      </c>
      <c r="CC171" s="237" t="s">
        <v>492</v>
      </c>
      <c r="CD171" s="237" t="s">
        <v>492</v>
      </c>
      <c r="CE171" s="237" t="s">
        <v>492</v>
      </c>
      <c r="CF171" s="237" t="s">
        <v>231</v>
      </c>
      <c r="CG171" s="237" t="s">
        <v>231</v>
      </c>
      <c r="CH171" s="237" t="s">
        <v>231</v>
      </c>
      <c r="CI171" s="237" t="s">
        <v>231</v>
      </c>
      <c r="CJ171" s="237" t="s">
        <v>231</v>
      </c>
      <c r="CK171" s="237" t="s">
        <v>231</v>
      </c>
      <c r="CL171" s="237" t="s">
        <v>231</v>
      </c>
      <c r="CM171" s="237" t="s">
        <v>231</v>
      </c>
      <c r="CN171" s="237" t="s">
        <v>231</v>
      </c>
      <c r="CO171" s="237" t="s">
        <v>231</v>
      </c>
      <c r="CP171" s="237" t="s">
        <v>231</v>
      </c>
      <c r="CQ171" s="237" t="s">
        <v>231</v>
      </c>
      <c r="CR171" s="237" t="s">
        <v>231</v>
      </c>
      <c r="CS171" s="237" t="s">
        <v>231</v>
      </c>
      <c r="CT171" s="237" t="s">
        <v>231</v>
      </c>
      <c r="CU171" s="237" t="s">
        <v>231</v>
      </c>
      <c r="CV171" s="237" t="s">
        <v>231</v>
      </c>
      <c r="CW171" s="237" t="s">
        <v>231</v>
      </c>
      <c r="CX171" s="237" t="s">
        <v>231</v>
      </c>
      <c r="CY171" s="237" t="s">
        <v>231</v>
      </c>
      <c r="CZ171" s="237" t="s">
        <v>231</v>
      </c>
      <c r="DA171" s="237" t="s">
        <v>231</v>
      </c>
      <c r="DB171" s="237" t="s">
        <v>231</v>
      </c>
      <c r="DC171" s="237" t="s">
        <v>492</v>
      </c>
      <c r="DD171" s="237" t="s">
        <v>231</v>
      </c>
      <c r="DE171" s="237" t="s">
        <v>231</v>
      </c>
      <c r="DF171" s="237" t="s">
        <v>231</v>
      </c>
      <c r="DG171" s="237" t="s">
        <v>231</v>
      </c>
      <c r="DH171" s="237" t="s">
        <v>231</v>
      </c>
      <c r="DI171" s="237" t="s">
        <v>231</v>
      </c>
      <c r="DJ171" s="237" t="s">
        <v>231</v>
      </c>
      <c r="DK171" s="237" t="s">
        <v>231</v>
      </c>
      <c r="DL171" s="237" t="s">
        <v>231</v>
      </c>
      <c r="DM171" s="237" t="s">
        <v>231</v>
      </c>
      <c r="DN171" s="237" t="s">
        <v>231</v>
      </c>
      <c r="DO171" s="237" t="s">
        <v>231</v>
      </c>
      <c r="DP171" s="237" t="s">
        <v>231</v>
      </c>
      <c r="DQ171" s="237" t="s">
        <v>492</v>
      </c>
      <c r="DR171" s="237" t="s">
        <v>231</v>
      </c>
      <c r="DS171" s="237" t="s">
        <v>231</v>
      </c>
      <c r="DT171" s="237" t="s">
        <v>231</v>
      </c>
      <c r="DU171" s="237" t="s">
        <v>231</v>
      </c>
      <c r="DV171" s="237" t="s">
        <v>231</v>
      </c>
      <c r="DW171" s="237" t="s">
        <v>231</v>
      </c>
      <c r="DX171" s="237" t="s">
        <v>231</v>
      </c>
      <c r="DY171" s="237" t="s">
        <v>231</v>
      </c>
      <c r="DZ171" s="237" t="s">
        <v>231</v>
      </c>
      <c r="EA171" s="237" t="s">
        <v>231</v>
      </c>
      <c r="EB171" s="237" t="s">
        <v>231</v>
      </c>
      <c r="EC171" s="237" t="s">
        <v>231</v>
      </c>
      <c r="ED171" s="237" t="s">
        <v>231</v>
      </c>
      <c r="EE171" s="237" t="s">
        <v>231</v>
      </c>
      <c r="EF171" s="237" t="s">
        <v>231</v>
      </c>
      <c r="EG171" s="237" t="s">
        <v>231</v>
      </c>
      <c r="EH171" s="237" t="s">
        <v>231</v>
      </c>
      <c r="EI171" s="237" t="s">
        <v>231</v>
      </c>
      <c r="EJ171" s="237" t="s">
        <v>231</v>
      </c>
      <c r="EK171" s="237" t="s">
        <v>231</v>
      </c>
      <c r="EL171" s="237" t="s">
        <v>231</v>
      </c>
      <c r="EM171" s="237" t="s">
        <v>231</v>
      </c>
      <c r="EN171" s="237" t="s">
        <v>231</v>
      </c>
      <c r="EO171" s="237" t="s">
        <v>492</v>
      </c>
      <c r="EP171" s="237" t="s">
        <v>231</v>
      </c>
      <c r="EQ171" s="237" t="s">
        <v>231</v>
      </c>
      <c r="ER171" s="237" t="s">
        <v>231</v>
      </c>
      <c r="ES171" s="237" t="s">
        <v>231</v>
      </c>
      <c r="ET171" s="237" t="s">
        <v>231</v>
      </c>
      <c r="EU171" s="237" t="s">
        <v>231</v>
      </c>
      <c r="EV171" s="237" t="s">
        <v>231</v>
      </c>
      <c r="EW171" s="237" t="s">
        <v>492</v>
      </c>
      <c r="EX171" s="237" t="s">
        <v>492</v>
      </c>
      <c r="EY171" s="237" t="s">
        <v>492</v>
      </c>
      <c r="EZ171" s="237" t="s">
        <v>231</v>
      </c>
      <c r="FA171" s="237" t="s">
        <v>231</v>
      </c>
      <c r="FB171" s="237" t="s">
        <v>231</v>
      </c>
      <c r="FC171" s="237" t="s">
        <v>231</v>
      </c>
      <c r="FD171" s="237" t="s">
        <v>231</v>
      </c>
      <c r="FE171" s="237" t="s">
        <v>231</v>
      </c>
      <c r="FF171" s="237" t="s">
        <v>231</v>
      </c>
      <c r="FG171" s="237" t="s">
        <v>492</v>
      </c>
      <c r="FH171" s="237" t="s">
        <v>231</v>
      </c>
      <c r="FI171" s="237" t="s">
        <v>231</v>
      </c>
      <c r="FJ171" s="237" t="s">
        <v>231</v>
      </c>
      <c r="FK171" s="237" t="s">
        <v>231</v>
      </c>
      <c r="FL171" s="237" t="s">
        <v>231</v>
      </c>
      <c r="FM171" s="237" t="s">
        <v>231</v>
      </c>
      <c r="FN171" s="237" t="s">
        <v>231</v>
      </c>
      <c r="FO171" s="237" t="s">
        <v>231</v>
      </c>
      <c r="FP171" s="237" t="s">
        <v>231</v>
      </c>
      <c r="FQ171" s="237" t="s">
        <v>231</v>
      </c>
      <c r="FR171" s="237" t="s">
        <v>231</v>
      </c>
      <c r="FS171" s="237" t="s">
        <v>231</v>
      </c>
      <c r="FT171" s="237" t="s">
        <v>231</v>
      </c>
      <c r="FU171" s="237" t="s">
        <v>231</v>
      </c>
      <c r="FV171" s="237" t="s">
        <v>231</v>
      </c>
      <c r="FW171" s="237" t="s">
        <v>231</v>
      </c>
      <c r="FX171" s="237" t="s">
        <v>231</v>
      </c>
      <c r="FY171" s="237" t="s">
        <v>492</v>
      </c>
      <c r="FZ171" s="237" t="s">
        <v>231</v>
      </c>
      <c r="GA171" s="237" t="s">
        <v>231</v>
      </c>
      <c r="GB171" s="237" t="s">
        <v>231</v>
      </c>
      <c r="GC171" s="237" t="s">
        <v>231</v>
      </c>
      <c r="GD171" s="237" t="s">
        <v>231</v>
      </c>
      <c r="GE171" s="237" t="s">
        <v>492</v>
      </c>
      <c r="GF171" s="237" t="s">
        <v>231</v>
      </c>
      <c r="GG171" s="237" t="s">
        <v>231</v>
      </c>
      <c r="GH171" s="237" t="s">
        <v>231</v>
      </c>
      <c r="GI171" s="237" t="s">
        <v>231</v>
      </c>
      <c r="GJ171" s="237" t="s">
        <v>231</v>
      </c>
      <c r="GK171" s="237" t="s">
        <v>231</v>
      </c>
      <c r="GL171" s="237" t="s">
        <v>231</v>
      </c>
      <c r="GM171" s="237" t="s">
        <v>231</v>
      </c>
      <c r="GN171" s="237" t="s">
        <v>492</v>
      </c>
      <c r="GO171" s="237" t="s">
        <v>231</v>
      </c>
      <c r="GP171" s="237" t="s">
        <v>231</v>
      </c>
      <c r="GQ171" s="237" t="s">
        <v>231</v>
      </c>
      <c r="GR171" s="237" t="s">
        <v>231</v>
      </c>
      <c r="GS171" s="237" t="s">
        <v>231</v>
      </c>
      <c r="GT171" s="237" t="s">
        <v>231</v>
      </c>
      <c r="GU171" s="237" t="s">
        <v>231</v>
      </c>
      <c r="GV171" s="237" t="s">
        <v>231</v>
      </c>
      <c r="GW171" s="237" t="s">
        <v>231</v>
      </c>
      <c r="GX171" s="237" t="s">
        <v>231</v>
      </c>
      <c r="GY171" s="237" t="s">
        <v>231</v>
      </c>
      <c r="GZ171" s="237" t="s">
        <v>492</v>
      </c>
      <c r="HA171" s="237" t="s">
        <v>492</v>
      </c>
      <c r="HB171" s="237" t="s">
        <v>492</v>
      </c>
      <c r="HC171" s="237" t="s">
        <v>492</v>
      </c>
      <c r="HD171" s="237" t="s">
        <v>231</v>
      </c>
      <c r="HE171" s="237" t="s">
        <v>231</v>
      </c>
      <c r="HF171" s="237" t="s">
        <v>231</v>
      </c>
      <c r="HG171" s="237" t="s">
        <v>231</v>
      </c>
      <c r="HH171" s="237" t="s">
        <v>231</v>
      </c>
      <c r="HI171" s="237" t="s">
        <v>231</v>
      </c>
      <c r="HJ171" s="237" t="s">
        <v>231</v>
      </c>
      <c r="HK171" s="237" t="s">
        <v>231</v>
      </c>
      <c r="HL171" s="237" t="s">
        <v>231</v>
      </c>
      <c r="HM171" s="237" t="s">
        <v>231</v>
      </c>
      <c r="HN171" s="237" t="s">
        <v>231</v>
      </c>
      <c r="HO171" s="237" t="s">
        <v>231</v>
      </c>
      <c r="HP171" s="237" t="s">
        <v>231</v>
      </c>
      <c r="HQ171" s="237" t="s">
        <v>231</v>
      </c>
      <c r="HR171" s="237" t="s">
        <v>231</v>
      </c>
      <c r="HS171" s="237" t="s">
        <v>231</v>
      </c>
      <c r="HT171" s="237" t="s">
        <v>231</v>
      </c>
      <c r="HU171" s="237" t="s">
        <v>231</v>
      </c>
      <c r="HV171" s="237" t="s">
        <v>231</v>
      </c>
      <c r="HW171" s="237" t="s">
        <v>231</v>
      </c>
      <c r="HX171" s="237" t="s">
        <v>220</v>
      </c>
      <c r="HY171" s="237" t="s">
        <v>493</v>
      </c>
      <c r="HZ171" s="237" t="s">
        <v>219</v>
      </c>
      <c r="IA171" s="237" t="s">
        <v>490</v>
      </c>
      <c r="IB171" s="237" t="s">
        <v>492</v>
      </c>
      <c r="IC171" s="237" t="s">
        <v>492</v>
      </c>
    </row>
    <row r="172" spans="1:237" ht="15" x14ac:dyDescent="0.25">
      <c r="A172" s="244" t="str">
        <f>HYPERLINK("http://www.ofsted.gov.uk/inspection-reports/find-inspection-report/provider/ELS/146163 ","Ofsted School Webpage")</f>
        <v>Ofsted School Webpage</v>
      </c>
      <c r="B172" s="240">
        <v>146163</v>
      </c>
      <c r="C172" s="240">
        <v>8866150</v>
      </c>
      <c r="D172" s="240" t="s">
        <v>1449</v>
      </c>
      <c r="E172" s="240" t="s">
        <v>247</v>
      </c>
      <c r="F172" s="240" t="s">
        <v>581</v>
      </c>
      <c r="G172" s="240" t="s">
        <v>581</v>
      </c>
      <c r="H172" s="240" t="s">
        <v>694</v>
      </c>
      <c r="I172" s="240" t="s">
        <v>1450</v>
      </c>
      <c r="J172" s="240" t="s">
        <v>93</v>
      </c>
      <c r="K172" s="240" t="s">
        <v>93</v>
      </c>
      <c r="L172" s="240" t="s">
        <v>93</v>
      </c>
      <c r="M172" s="240" t="s">
        <v>90</v>
      </c>
      <c r="N172" s="240" t="s">
        <v>486</v>
      </c>
      <c r="O172" s="240" t="s">
        <v>487</v>
      </c>
      <c r="P172" s="240">
        <v>10084062</v>
      </c>
      <c r="Q172" s="242">
        <v>43454</v>
      </c>
      <c r="R172" s="242">
        <v>43454</v>
      </c>
      <c r="S172" s="242">
        <v>43488</v>
      </c>
      <c r="T172" s="240" t="s">
        <v>1377</v>
      </c>
      <c r="U172" s="240" t="s">
        <v>1105</v>
      </c>
      <c r="V172" s="240" t="s">
        <v>490</v>
      </c>
      <c r="W172" s="240" t="s">
        <v>486</v>
      </c>
      <c r="X172" s="240" t="s">
        <v>486</v>
      </c>
      <c r="Y172" s="240" t="s">
        <v>486</v>
      </c>
      <c r="Z172" s="240" t="s">
        <v>486</v>
      </c>
      <c r="AA172" s="240" t="s">
        <v>486</v>
      </c>
      <c r="AB172" s="240" t="s">
        <v>486</v>
      </c>
      <c r="AC172" s="240" t="s">
        <v>486</v>
      </c>
      <c r="AD172" s="240" t="s">
        <v>1386</v>
      </c>
      <c r="AE172" s="240" t="s">
        <v>231</v>
      </c>
      <c r="AF172" s="240" t="s">
        <v>231</v>
      </c>
      <c r="AG172" s="240" t="s">
        <v>231</v>
      </c>
      <c r="AH172" s="240" t="s">
        <v>231</v>
      </c>
      <c r="AI172" s="240" t="s">
        <v>231</v>
      </c>
      <c r="AJ172" s="240" t="s">
        <v>231</v>
      </c>
      <c r="AK172" s="240" t="s">
        <v>231</v>
      </c>
      <c r="AL172" s="240" t="s">
        <v>231</v>
      </c>
      <c r="AM172" s="240" t="s">
        <v>492</v>
      </c>
      <c r="AN172" s="240" t="s">
        <v>231</v>
      </c>
      <c r="AO172" s="240" t="s">
        <v>231</v>
      </c>
      <c r="AP172" s="240" t="s">
        <v>231</v>
      </c>
      <c r="AQ172" s="240" t="s">
        <v>492</v>
      </c>
      <c r="AR172" s="240" t="s">
        <v>492</v>
      </c>
      <c r="AS172" s="240" t="s">
        <v>492</v>
      </c>
      <c r="AT172" s="240" t="s">
        <v>492</v>
      </c>
      <c r="AU172" s="240" t="s">
        <v>231</v>
      </c>
      <c r="AV172" s="240" t="s">
        <v>492</v>
      </c>
      <c r="AW172" s="240" t="s">
        <v>231</v>
      </c>
      <c r="AX172" s="240" t="s">
        <v>231</v>
      </c>
      <c r="AY172" s="240" t="s">
        <v>231</v>
      </c>
      <c r="AZ172" s="240" t="s">
        <v>231</v>
      </c>
      <c r="BA172" s="240" t="s">
        <v>231</v>
      </c>
      <c r="BB172" s="240" t="s">
        <v>231</v>
      </c>
      <c r="BC172" s="240" t="s">
        <v>231</v>
      </c>
      <c r="BD172" s="240" t="s">
        <v>231</v>
      </c>
      <c r="BE172" s="240" t="s">
        <v>231</v>
      </c>
      <c r="BF172" s="240" t="s">
        <v>231</v>
      </c>
      <c r="BG172" s="240" t="s">
        <v>231</v>
      </c>
      <c r="BH172" s="240" t="s">
        <v>231</v>
      </c>
      <c r="BI172" s="240" t="s">
        <v>231</v>
      </c>
      <c r="BJ172" s="240" t="s">
        <v>231</v>
      </c>
      <c r="BK172" s="240" t="s">
        <v>231</v>
      </c>
      <c r="BL172" s="240" t="s">
        <v>231</v>
      </c>
      <c r="BM172" s="240" t="s">
        <v>231</v>
      </c>
      <c r="BN172" s="240" t="s">
        <v>231</v>
      </c>
      <c r="BO172" s="240" t="s">
        <v>231</v>
      </c>
      <c r="BP172" s="240" t="s">
        <v>231</v>
      </c>
      <c r="BQ172" s="240" t="s">
        <v>231</v>
      </c>
      <c r="BR172" s="240" t="s">
        <v>231</v>
      </c>
      <c r="BS172" s="240" t="s">
        <v>231</v>
      </c>
      <c r="BT172" s="240" t="s">
        <v>231</v>
      </c>
      <c r="BU172" s="240" t="s">
        <v>231</v>
      </c>
      <c r="BV172" s="240" t="s">
        <v>231</v>
      </c>
      <c r="BW172" s="240" t="s">
        <v>231</v>
      </c>
      <c r="BX172" s="240" t="s">
        <v>231</v>
      </c>
      <c r="BY172" s="240" t="s">
        <v>231</v>
      </c>
      <c r="BZ172" s="240" t="s">
        <v>232</v>
      </c>
      <c r="CA172" s="240" t="s">
        <v>232</v>
      </c>
      <c r="CB172" s="240" t="s">
        <v>232</v>
      </c>
      <c r="CC172" s="240" t="s">
        <v>492</v>
      </c>
      <c r="CD172" s="240" t="s">
        <v>492</v>
      </c>
      <c r="CE172" s="240" t="s">
        <v>492</v>
      </c>
      <c r="CF172" s="240" t="s">
        <v>232</v>
      </c>
      <c r="CG172" s="240" t="s">
        <v>231</v>
      </c>
      <c r="CH172" s="240" t="s">
        <v>231</v>
      </c>
      <c r="CI172" s="240" t="s">
        <v>232</v>
      </c>
      <c r="CJ172" s="240" t="s">
        <v>231</v>
      </c>
      <c r="CK172" s="240" t="s">
        <v>231</v>
      </c>
      <c r="CL172" s="240" t="s">
        <v>232</v>
      </c>
      <c r="CM172" s="240" t="s">
        <v>231</v>
      </c>
      <c r="CN172" s="240" t="s">
        <v>231</v>
      </c>
      <c r="CO172" s="240" t="s">
        <v>232</v>
      </c>
      <c r="CP172" s="240" t="s">
        <v>232</v>
      </c>
      <c r="CQ172" s="240" t="s">
        <v>232</v>
      </c>
      <c r="CR172" s="240" t="s">
        <v>232</v>
      </c>
      <c r="CS172" s="240" t="s">
        <v>231</v>
      </c>
      <c r="CT172" s="240" t="s">
        <v>231</v>
      </c>
      <c r="CU172" s="240" t="s">
        <v>231</v>
      </c>
      <c r="CV172" s="240" t="s">
        <v>231</v>
      </c>
      <c r="CW172" s="240" t="s">
        <v>231</v>
      </c>
      <c r="CX172" s="240" t="s">
        <v>231</v>
      </c>
      <c r="CY172" s="240" t="s">
        <v>231</v>
      </c>
      <c r="CZ172" s="240" t="s">
        <v>231</v>
      </c>
      <c r="DA172" s="240" t="s">
        <v>231</v>
      </c>
      <c r="DB172" s="240" t="s">
        <v>231</v>
      </c>
      <c r="DC172" s="240" t="s">
        <v>492</v>
      </c>
      <c r="DD172" s="240" t="s">
        <v>231</v>
      </c>
      <c r="DE172" s="240" t="s">
        <v>492</v>
      </c>
      <c r="DF172" s="240" t="s">
        <v>492</v>
      </c>
      <c r="DG172" s="240" t="s">
        <v>492</v>
      </c>
      <c r="DH172" s="240" t="s">
        <v>492</v>
      </c>
      <c r="DI172" s="240" t="s">
        <v>492</v>
      </c>
      <c r="DJ172" s="240" t="s">
        <v>492</v>
      </c>
      <c r="DK172" s="240" t="s">
        <v>492</v>
      </c>
      <c r="DL172" s="240" t="s">
        <v>492</v>
      </c>
      <c r="DM172" s="240" t="s">
        <v>492</v>
      </c>
      <c r="DN172" s="240" t="s">
        <v>492</v>
      </c>
      <c r="DO172" s="240" t="s">
        <v>492</v>
      </c>
      <c r="DP172" s="240" t="s">
        <v>492</v>
      </c>
      <c r="DQ172" s="240" t="s">
        <v>492</v>
      </c>
      <c r="DR172" s="240" t="s">
        <v>492</v>
      </c>
      <c r="DS172" s="240" t="s">
        <v>231</v>
      </c>
      <c r="DT172" s="240" t="s">
        <v>231</v>
      </c>
      <c r="DU172" s="240" t="s">
        <v>231</v>
      </c>
      <c r="DV172" s="240" t="s">
        <v>231</v>
      </c>
      <c r="DW172" s="240" t="s">
        <v>231</v>
      </c>
      <c r="DX172" s="240" t="s">
        <v>231</v>
      </c>
      <c r="DY172" s="240" t="s">
        <v>231</v>
      </c>
      <c r="DZ172" s="240" t="s">
        <v>231</v>
      </c>
      <c r="EA172" s="240" t="s">
        <v>231</v>
      </c>
      <c r="EB172" s="240" t="s">
        <v>231</v>
      </c>
      <c r="EC172" s="240" t="s">
        <v>231</v>
      </c>
      <c r="ED172" s="240" t="s">
        <v>231</v>
      </c>
      <c r="EE172" s="240" t="s">
        <v>231</v>
      </c>
      <c r="EF172" s="240" t="s">
        <v>231</v>
      </c>
      <c r="EG172" s="240" t="s">
        <v>231</v>
      </c>
      <c r="EH172" s="240" t="s">
        <v>231</v>
      </c>
      <c r="EI172" s="240" t="s">
        <v>231</v>
      </c>
      <c r="EJ172" s="240" t="s">
        <v>231</v>
      </c>
      <c r="EK172" s="240" t="s">
        <v>231</v>
      </c>
      <c r="EL172" s="240" t="s">
        <v>231</v>
      </c>
      <c r="EM172" s="240" t="s">
        <v>231</v>
      </c>
      <c r="EN172" s="240" t="s">
        <v>231</v>
      </c>
      <c r="EO172" s="240" t="s">
        <v>492</v>
      </c>
      <c r="EP172" s="240" t="s">
        <v>492</v>
      </c>
      <c r="EQ172" s="240" t="s">
        <v>492</v>
      </c>
      <c r="ER172" s="240" t="s">
        <v>492</v>
      </c>
      <c r="ES172" s="240" t="s">
        <v>492</v>
      </c>
      <c r="ET172" s="240" t="s">
        <v>492</v>
      </c>
      <c r="EU172" s="240" t="s">
        <v>492</v>
      </c>
      <c r="EV172" s="240" t="s">
        <v>231</v>
      </c>
      <c r="EW172" s="240" t="s">
        <v>492</v>
      </c>
      <c r="EX172" s="240" t="s">
        <v>492</v>
      </c>
      <c r="EY172" s="240" t="s">
        <v>492</v>
      </c>
      <c r="EZ172" s="240" t="s">
        <v>231</v>
      </c>
      <c r="FA172" s="240" t="s">
        <v>231</v>
      </c>
      <c r="FB172" s="240" t="s">
        <v>231</v>
      </c>
      <c r="FC172" s="240" t="s">
        <v>492</v>
      </c>
      <c r="FD172" s="240" t="s">
        <v>232</v>
      </c>
      <c r="FE172" s="240" t="s">
        <v>232</v>
      </c>
      <c r="FF172" s="240" t="s">
        <v>232</v>
      </c>
      <c r="FG172" s="240" t="s">
        <v>492</v>
      </c>
      <c r="FH172" s="240" t="s">
        <v>232</v>
      </c>
      <c r="FI172" s="240" t="s">
        <v>232</v>
      </c>
      <c r="FJ172" s="240" t="s">
        <v>231</v>
      </c>
      <c r="FK172" s="240" t="s">
        <v>231</v>
      </c>
      <c r="FL172" s="240" t="s">
        <v>231</v>
      </c>
      <c r="FM172" s="240" t="s">
        <v>231</v>
      </c>
      <c r="FN172" s="240" t="s">
        <v>231</v>
      </c>
      <c r="FO172" s="240" t="s">
        <v>231</v>
      </c>
      <c r="FP172" s="240" t="s">
        <v>231</v>
      </c>
      <c r="FQ172" s="240" t="s">
        <v>231</v>
      </c>
      <c r="FR172" s="240" t="s">
        <v>231</v>
      </c>
      <c r="FS172" s="240" t="s">
        <v>231</v>
      </c>
      <c r="FT172" s="240" t="s">
        <v>231</v>
      </c>
      <c r="FU172" s="240" t="s">
        <v>231</v>
      </c>
      <c r="FV172" s="240" t="s">
        <v>231</v>
      </c>
      <c r="FW172" s="240" t="s">
        <v>231</v>
      </c>
      <c r="FX172" s="240" t="s">
        <v>231</v>
      </c>
      <c r="FY172" s="240" t="s">
        <v>492</v>
      </c>
      <c r="FZ172" s="240" t="s">
        <v>232</v>
      </c>
      <c r="GA172" s="240" t="s">
        <v>231</v>
      </c>
      <c r="GB172" s="240" t="s">
        <v>231</v>
      </c>
      <c r="GC172" s="240" t="s">
        <v>231</v>
      </c>
      <c r="GD172" s="240" t="s">
        <v>231</v>
      </c>
      <c r="GE172" s="240" t="s">
        <v>492</v>
      </c>
      <c r="GF172" s="240" t="s">
        <v>232</v>
      </c>
      <c r="GG172" s="240" t="s">
        <v>231</v>
      </c>
      <c r="GH172" s="240" t="s">
        <v>492</v>
      </c>
      <c r="GI172" s="240" t="s">
        <v>492</v>
      </c>
      <c r="GJ172" s="240" t="s">
        <v>231</v>
      </c>
      <c r="GK172" s="240" t="s">
        <v>231</v>
      </c>
      <c r="GL172" s="240" t="s">
        <v>231</v>
      </c>
      <c r="GM172" s="240" t="s">
        <v>231</v>
      </c>
      <c r="GN172" s="240" t="s">
        <v>492</v>
      </c>
      <c r="GO172" s="240" t="s">
        <v>231</v>
      </c>
      <c r="GP172" s="240" t="s">
        <v>231</v>
      </c>
      <c r="GQ172" s="240" t="s">
        <v>231</v>
      </c>
      <c r="GR172" s="240" t="s">
        <v>231</v>
      </c>
      <c r="GS172" s="240" t="s">
        <v>231</v>
      </c>
      <c r="GT172" s="240" t="s">
        <v>231</v>
      </c>
      <c r="GU172" s="240" t="s">
        <v>231</v>
      </c>
      <c r="GV172" s="240" t="s">
        <v>231</v>
      </c>
      <c r="GW172" s="240" t="s">
        <v>492</v>
      </c>
      <c r="GX172" s="240" t="s">
        <v>231</v>
      </c>
      <c r="GY172" s="240" t="s">
        <v>231</v>
      </c>
      <c r="GZ172" s="240" t="s">
        <v>492</v>
      </c>
      <c r="HA172" s="240" t="s">
        <v>492</v>
      </c>
      <c r="HB172" s="240" t="s">
        <v>492</v>
      </c>
      <c r="HC172" s="240" t="s">
        <v>492</v>
      </c>
      <c r="HD172" s="240" t="s">
        <v>231</v>
      </c>
      <c r="HE172" s="240" t="s">
        <v>231</v>
      </c>
      <c r="HF172" s="240" t="s">
        <v>231</v>
      </c>
      <c r="HG172" s="240" t="s">
        <v>231</v>
      </c>
      <c r="HH172" s="240" t="s">
        <v>231</v>
      </c>
      <c r="HI172" s="240" t="s">
        <v>231</v>
      </c>
      <c r="HJ172" s="240" t="s">
        <v>231</v>
      </c>
      <c r="HK172" s="240" t="s">
        <v>231</v>
      </c>
      <c r="HL172" s="240" t="s">
        <v>231</v>
      </c>
      <c r="HM172" s="240" t="s">
        <v>231</v>
      </c>
      <c r="HN172" s="240" t="s">
        <v>231</v>
      </c>
      <c r="HO172" s="240" t="s">
        <v>231</v>
      </c>
      <c r="HP172" s="240" t="s">
        <v>231</v>
      </c>
      <c r="HQ172" s="240" t="s">
        <v>231</v>
      </c>
      <c r="HR172" s="240" t="s">
        <v>231</v>
      </c>
      <c r="HS172" s="240" t="s">
        <v>231</v>
      </c>
      <c r="HT172" s="240" t="s">
        <v>232</v>
      </c>
      <c r="HU172" s="240" t="s">
        <v>232</v>
      </c>
      <c r="HV172" s="240" t="s">
        <v>232</v>
      </c>
      <c r="HW172" s="240" t="s">
        <v>232</v>
      </c>
      <c r="HX172" s="240" t="s">
        <v>220</v>
      </c>
      <c r="HY172" s="240" t="s">
        <v>493</v>
      </c>
      <c r="HZ172" s="240" t="s">
        <v>219</v>
      </c>
      <c r="IA172" s="240" t="s">
        <v>490</v>
      </c>
      <c r="IB172" s="240" t="s">
        <v>231</v>
      </c>
      <c r="IC172" s="240" t="s">
        <v>231</v>
      </c>
    </row>
    <row r="173" spans="1:237" ht="15" x14ac:dyDescent="0.25">
      <c r="A173" s="243" t="str">
        <f>HYPERLINK("http://www.ofsted.gov.uk/inspection-reports/find-inspection-report/provider/ELS/146340 ","Ofsted School Webpage")</f>
        <v>Ofsted School Webpage</v>
      </c>
      <c r="B173" s="237">
        <v>146340</v>
      </c>
      <c r="C173" s="237">
        <v>8936036</v>
      </c>
      <c r="D173" s="237" t="s">
        <v>1451</v>
      </c>
      <c r="E173" s="237" t="s">
        <v>248</v>
      </c>
      <c r="F173" s="237" t="s">
        <v>502</v>
      </c>
      <c r="G173" s="237" t="s">
        <v>502</v>
      </c>
      <c r="H173" s="237" t="s">
        <v>666</v>
      </c>
      <c r="I173" s="237" t="s">
        <v>1452</v>
      </c>
      <c r="J173" s="237" t="s">
        <v>93</v>
      </c>
      <c r="K173" s="237" t="s">
        <v>93</v>
      </c>
      <c r="L173" s="237" t="s">
        <v>93</v>
      </c>
      <c r="M173" s="237" t="s">
        <v>90</v>
      </c>
      <c r="N173" s="237" t="s">
        <v>486</v>
      </c>
      <c r="O173" s="237" t="s">
        <v>487</v>
      </c>
      <c r="P173" s="237">
        <v>10087124</v>
      </c>
      <c r="Q173" s="239">
        <v>43474</v>
      </c>
      <c r="R173" s="239">
        <v>43474</v>
      </c>
      <c r="S173" s="239">
        <v>43489</v>
      </c>
      <c r="T173" s="237" t="s">
        <v>1377</v>
      </c>
      <c r="U173" s="237" t="s">
        <v>1105</v>
      </c>
      <c r="V173" s="237" t="s">
        <v>490</v>
      </c>
      <c r="W173" s="237" t="s">
        <v>486</v>
      </c>
      <c r="X173" s="237" t="s">
        <v>486</v>
      </c>
      <c r="Y173" s="237" t="s">
        <v>486</v>
      </c>
      <c r="Z173" s="237" t="s">
        <v>486</v>
      </c>
      <c r="AA173" s="237" t="s">
        <v>486</v>
      </c>
      <c r="AB173" s="237" t="s">
        <v>486</v>
      </c>
      <c r="AC173" s="237" t="s">
        <v>486</v>
      </c>
      <c r="AD173" s="237" t="s">
        <v>1378</v>
      </c>
      <c r="AE173" s="237" t="s">
        <v>231</v>
      </c>
      <c r="AF173" s="237" t="s">
        <v>231</v>
      </c>
      <c r="AG173" s="237" t="s">
        <v>231</v>
      </c>
      <c r="AH173" s="237" t="s">
        <v>231</v>
      </c>
      <c r="AI173" s="237" t="s">
        <v>231</v>
      </c>
      <c r="AJ173" s="237" t="s">
        <v>231</v>
      </c>
      <c r="AK173" s="237" t="s">
        <v>231</v>
      </c>
      <c r="AL173" s="237" t="s">
        <v>231</v>
      </c>
      <c r="AM173" s="237" t="s">
        <v>492</v>
      </c>
      <c r="AN173" s="237" t="s">
        <v>231</v>
      </c>
      <c r="AO173" s="237" t="s">
        <v>231</v>
      </c>
      <c r="AP173" s="237" t="s">
        <v>231</v>
      </c>
      <c r="AQ173" s="237" t="s">
        <v>231</v>
      </c>
      <c r="AR173" s="237" t="s">
        <v>231</v>
      </c>
      <c r="AS173" s="237" t="s">
        <v>231</v>
      </c>
      <c r="AT173" s="237" t="s">
        <v>231</v>
      </c>
      <c r="AU173" s="237" t="s">
        <v>492</v>
      </c>
      <c r="AV173" s="237" t="s">
        <v>231</v>
      </c>
      <c r="AW173" s="237" t="s">
        <v>231</v>
      </c>
      <c r="AX173" s="237" t="s">
        <v>231</v>
      </c>
      <c r="AY173" s="237" t="s">
        <v>231</v>
      </c>
      <c r="AZ173" s="237" t="s">
        <v>231</v>
      </c>
      <c r="BA173" s="237" t="s">
        <v>231</v>
      </c>
      <c r="BB173" s="237" t="s">
        <v>231</v>
      </c>
      <c r="BC173" s="237" t="s">
        <v>231</v>
      </c>
      <c r="BD173" s="237" t="s">
        <v>231</v>
      </c>
      <c r="BE173" s="237" t="s">
        <v>231</v>
      </c>
      <c r="BF173" s="237" t="s">
        <v>231</v>
      </c>
      <c r="BG173" s="237" t="s">
        <v>231</v>
      </c>
      <c r="BH173" s="237" t="s">
        <v>231</v>
      </c>
      <c r="BI173" s="237" t="s">
        <v>231</v>
      </c>
      <c r="BJ173" s="237" t="s">
        <v>231</v>
      </c>
      <c r="BK173" s="237" t="s">
        <v>231</v>
      </c>
      <c r="BL173" s="237" t="s">
        <v>231</v>
      </c>
      <c r="BM173" s="237" t="s">
        <v>231</v>
      </c>
      <c r="BN173" s="237" t="s">
        <v>231</v>
      </c>
      <c r="BO173" s="237" t="s">
        <v>231</v>
      </c>
      <c r="BP173" s="237" t="s">
        <v>231</v>
      </c>
      <c r="BQ173" s="237" t="s">
        <v>231</v>
      </c>
      <c r="BR173" s="237" t="s">
        <v>231</v>
      </c>
      <c r="BS173" s="237" t="s">
        <v>231</v>
      </c>
      <c r="BT173" s="237" t="s">
        <v>231</v>
      </c>
      <c r="BU173" s="237" t="s">
        <v>231</v>
      </c>
      <c r="BV173" s="237" t="s">
        <v>231</v>
      </c>
      <c r="BW173" s="237" t="s">
        <v>231</v>
      </c>
      <c r="BX173" s="237" t="s">
        <v>231</v>
      </c>
      <c r="BY173" s="237" t="s">
        <v>231</v>
      </c>
      <c r="BZ173" s="237" t="s">
        <v>231</v>
      </c>
      <c r="CA173" s="237" t="s">
        <v>231</v>
      </c>
      <c r="CB173" s="237" t="s">
        <v>231</v>
      </c>
      <c r="CC173" s="237" t="s">
        <v>492</v>
      </c>
      <c r="CD173" s="237" t="s">
        <v>492</v>
      </c>
      <c r="CE173" s="237" t="s">
        <v>492</v>
      </c>
      <c r="CF173" s="237" t="s">
        <v>231</v>
      </c>
      <c r="CG173" s="237" t="s">
        <v>231</v>
      </c>
      <c r="CH173" s="237" t="s">
        <v>231</v>
      </c>
      <c r="CI173" s="237" t="s">
        <v>231</v>
      </c>
      <c r="CJ173" s="237" t="s">
        <v>231</v>
      </c>
      <c r="CK173" s="237" t="s">
        <v>231</v>
      </c>
      <c r="CL173" s="237" t="s">
        <v>231</v>
      </c>
      <c r="CM173" s="237" t="s">
        <v>231</v>
      </c>
      <c r="CN173" s="237" t="s">
        <v>231</v>
      </c>
      <c r="CO173" s="237" t="s">
        <v>231</v>
      </c>
      <c r="CP173" s="237" t="s">
        <v>231</v>
      </c>
      <c r="CQ173" s="237" t="s">
        <v>231</v>
      </c>
      <c r="CR173" s="237" t="s">
        <v>231</v>
      </c>
      <c r="CS173" s="237" t="s">
        <v>231</v>
      </c>
      <c r="CT173" s="237" t="s">
        <v>231</v>
      </c>
      <c r="CU173" s="237" t="s">
        <v>231</v>
      </c>
      <c r="CV173" s="237" t="s">
        <v>231</v>
      </c>
      <c r="CW173" s="237" t="s">
        <v>231</v>
      </c>
      <c r="CX173" s="237" t="s">
        <v>231</v>
      </c>
      <c r="CY173" s="237" t="s">
        <v>231</v>
      </c>
      <c r="CZ173" s="237" t="s">
        <v>231</v>
      </c>
      <c r="DA173" s="237" t="s">
        <v>231</v>
      </c>
      <c r="DB173" s="237" t="s">
        <v>231</v>
      </c>
      <c r="DC173" s="237" t="s">
        <v>492</v>
      </c>
      <c r="DD173" s="237" t="s">
        <v>231</v>
      </c>
      <c r="DE173" s="237" t="s">
        <v>492</v>
      </c>
      <c r="DF173" s="237" t="s">
        <v>492</v>
      </c>
      <c r="DG173" s="237" t="s">
        <v>492</v>
      </c>
      <c r="DH173" s="237" t="s">
        <v>492</v>
      </c>
      <c r="DI173" s="237" t="s">
        <v>492</v>
      </c>
      <c r="DJ173" s="237" t="s">
        <v>492</v>
      </c>
      <c r="DK173" s="237" t="s">
        <v>492</v>
      </c>
      <c r="DL173" s="237" t="s">
        <v>492</v>
      </c>
      <c r="DM173" s="237" t="s">
        <v>492</v>
      </c>
      <c r="DN173" s="237" t="s">
        <v>492</v>
      </c>
      <c r="DO173" s="237" t="s">
        <v>492</v>
      </c>
      <c r="DP173" s="237" t="s">
        <v>492</v>
      </c>
      <c r="DQ173" s="237" t="s">
        <v>492</v>
      </c>
      <c r="DR173" s="237" t="s">
        <v>492</v>
      </c>
      <c r="DS173" s="237" t="s">
        <v>231</v>
      </c>
      <c r="DT173" s="237" t="s">
        <v>231</v>
      </c>
      <c r="DU173" s="237" t="s">
        <v>231</v>
      </c>
      <c r="DV173" s="237" t="s">
        <v>231</v>
      </c>
      <c r="DW173" s="237" t="s">
        <v>231</v>
      </c>
      <c r="DX173" s="237" t="s">
        <v>231</v>
      </c>
      <c r="DY173" s="237" t="s">
        <v>231</v>
      </c>
      <c r="DZ173" s="237" t="s">
        <v>231</v>
      </c>
      <c r="EA173" s="237" t="s">
        <v>231</v>
      </c>
      <c r="EB173" s="237" t="s">
        <v>231</v>
      </c>
      <c r="EC173" s="237" t="s">
        <v>231</v>
      </c>
      <c r="ED173" s="237" t="s">
        <v>231</v>
      </c>
      <c r="EE173" s="237" t="s">
        <v>231</v>
      </c>
      <c r="EF173" s="237" t="s">
        <v>231</v>
      </c>
      <c r="EG173" s="237" t="s">
        <v>231</v>
      </c>
      <c r="EH173" s="237" t="s">
        <v>231</v>
      </c>
      <c r="EI173" s="237" t="s">
        <v>231</v>
      </c>
      <c r="EJ173" s="237" t="s">
        <v>231</v>
      </c>
      <c r="EK173" s="237" t="s">
        <v>231</v>
      </c>
      <c r="EL173" s="237" t="s">
        <v>231</v>
      </c>
      <c r="EM173" s="237" t="s">
        <v>231</v>
      </c>
      <c r="EN173" s="237" t="s">
        <v>231</v>
      </c>
      <c r="EO173" s="237" t="s">
        <v>492</v>
      </c>
      <c r="EP173" s="237" t="s">
        <v>492</v>
      </c>
      <c r="EQ173" s="237" t="s">
        <v>492</v>
      </c>
      <c r="ER173" s="237" t="s">
        <v>492</v>
      </c>
      <c r="ES173" s="237" t="s">
        <v>492</v>
      </c>
      <c r="ET173" s="237" t="s">
        <v>492</v>
      </c>
      <c r="EU173" s="237" t="s">
        <v>492</v>
      </c>
      <c r="EV173" s="237" t="s">
        <v>231</v>
      </c>
      <c r="EW173" s="237" t="s">
        <v>492</v>
      </c>
      <c r="EX173" s="237" t="s">
        <v>492</v>
      </c>
      <c r="EY173" s="237" t="s">
        <v>492</v>
      </c>
      <c r="EZ173" s="237" t="s">
        <v>231</v>
      </c>
      <c r="FA173" s="237" t="s">
        <v>231</v>
      </c>
      <c r="FB173" s="237" t="s">
        <v>231</v>
      </c>
      <c r="FC173" s="237" t="s">
        <v>231</v>
      </c>
      <c r="FD173" s="237" t="s">
        <v>231</v>
      </c>
      <c r="FE173" s="237" t="s">
        <v>231</v>
      </c>
      <c r="FF173" s="237" t="s">
        <v>231</v>
      </c>
      <c r="FG173" s="237" t="s">
        <v>492</v>
      </c>
      <c r="FH173" s="237" t="s">
        <v>231</v>
      </c>
      <c r="FI173" s="237" t="s">
        <v>231</v>
      </c>
      <c r="FJ173" s="237" t="s">
        <v>231</v>
      </c>
      <c r="FK173" s="237" t="s">
        <v>231</v>
      </c>
      <c r="FL173" s="237" t="s">
        <v>231</v>
      </c>
      <c r="FM173" s="237" t="s">
        <v>231</v>
      </c>
      <c r="FN173" s="237" t="s">
        <v>231</v>
      </c>
      <c r="FO173" s="237" t="s">
        <v>231</v>
      </c>
      <c r="FP173" s="237" t="s">
        <v>231</v>
      </c>
      <c r="FQ173" s="237" t="s">
        <v>231</v>
      </c>
      <c r="FR173" s="237" t="s">
        <v>231</v>
      </c>
      <c r="FS173" s="237" t="s">
        <v>231</v>
      </c>
      <c r="FT173" s="237" t="s">
        <v>231</v>
      </c>
      <c r="FU173" s="237" t="s">
        <v>231</v>
      </c>
      <c r="FV173" s="237" t="s">
        <v>231</v>
      </c>
      <c r="FW173" s="237" t="s">
        <v>231</v>
      </c>
      <c r="FX173" s="237" t="s">
        <v>231</v>
      </c>
      <c r="FY173" s="237" t="s">
        <v>492</v>
      </c>
      <c r="FZ173" s="237" t="s">
        <v>231</v>
      </c>
      <c r="GA173" s="237" t="s">
        <v>231</v>
      </c>
      <c r="GB173" s="237" t="s">
        <v>231</v>
      </c>
      <c r="GC173" s="237" t="s">
        <v>231</v>
      </c>
      <c r="GD173" s="237" t="s">
        <v>231</v>
      </c>
      <c r="GE173" s="237" t="s">
        <v>492</v>
      </c>
      <c r="GF173" s="237" t="s">
        <v>231</v>
      </c>
      <c r="GG173" s="237" t="s">
        <v>231</v>
      </c>
      <c r="GH173" s="237" t="s">
        <v>231</v>
      </c>
      <c r="GI173" s="237" t="s">
        <v>231</v>
      </c>
      <c r="GJ173" s="237" t="s">
        <v>231</v>
      </c>
      <c r="GK173" s="237" t="s">
        <v>231</v>
      </c>
      <c r="GL173" s="237" t="s">
        <v>231</v>
      </c>
      <c r="GM173" s="237" t="s">
        <v>231</v>
      </c>
      <c r="GN173" s="237" t="s">
        <v>492</v>
      </c>
      <c r="GO173" s="237" t="s">
        <v>231</v>
      </c>
      <c r="GP173" s="237" t="s">
        <v>492</v>
      </c>
      <c r="GQ173" s="237" t="s">
        <v>231</v>
      </c>
      <c r="GR173" s="237" t="s">
        <v>231</v>
      </c>
      <c r="GS173" s="237" t="s">
        <v>231</v>
      </c>
      <c r="GT173" s="237" t="s">
        <v>231</v>
      </c>
      <c r="GU173" s="237" t="s">
        <v>231</v>
      </c>
      <c r="GV173" s="237" t="s">
        <v>231</v>
      </c>
      <c r="GW173" s="237" t="s">
        <v>231</v>
      </c>
      <c r="GX173" s="237" t="s">
        <v>231</v>
      </c>
      <c r="GY173" s="237" t="s">
        <v>231</v>
      </c>
      <c r="GZ173" s="237" t="s">
        <v>231</v>
      </c>
      <c r="HA173" s="237" t="s">
        <v>231</v>
      </c>
      <c r="HB173" s="237" t="s">
        <v>231</v>
      </c>
      <c r="HC173" s="237" t="s">
        <v>231</v>
      </c>
      <c r="HD173" s="237" t="s">
        <v>231</v>
      </c>
      <c r="HE173" s="237" t="s">
        <v>231</v>
      </c>
      <c r="HF173" s="237" t="s">
        <v>231</v>
      </c>
      <c r="HG173" s="237" t="s">
        <v>231</v>
      </c>
      <c r="HH173" s="237" t="s">
        <v>231</v>
      </c>
      <c r="HI173" s="237" t="s">
        <v>231</v>
      </c>
      <c r="HJ173" s="237" t="s">
        <v>231</v>
      </c>
      <c r="HK173" s="237" t="s">
        <v>231</v>
      </c>
      <c r="HL173" s="237" t="s">
        <v>231</v>
      </c>
      <c r="HM173" s="237" t="s">
        <v>231</v>
      </c>
      <c r="HN173" s="237" t="s">
        <v>231</v>
      </c>
      <c r="HO173" s="237" t="s">
        <v>231</v>
      </c>
      <c r="HP173" s="237" t="s">
        <v>231</v>
      </c>
      <c r="HQ173" s="237" t="s">
        <v>231</v>
      </c>
      <c r="HR173" s="237" t="s">
        <v>231</v>
      </c>
      <c r="HS173" s="237" t="s">
        <v>231</v>
      </c>
      <c r="HT173" s="237" t="s">
        <v>231</v>
      </c>
      <c r="HU173" s="237" t="s">
        <v>231</v>
      </c>
      <c r="HV173" s="237" t="s">
        <v>231</v>
      </c>
      <c r="HW173" s="237" t="s">
        <v>231</v>
      </c>
      <c r="HX173" s="237" t="s">
        <v>220</v>
      </c>
      <c r="HY173" s="237" t="s">
        <v>493</v>
      </c>
      <c r="HZ173" s="237" t="s">
        <v>219</v>
      </c>
      <c r="IA173" s="237" t="s">
        <v>490</v>
      </c>
      <c r="IB173" s="237" t="s">
        <v>492</v>
      </c>
      <c r="IC173" s="237" t="s">
        <v>492</v>
      </c>
    </row>
    <row r="174" spans="1:237" ht="15" x14ac:dyDescent="0.25">
      <c r="A174" s="244" t="str">
        <f>HYPERLINK("http://www.ofsted.gov.uk/inspection-reports/find-inspection-report/provider/ELS/146338 ","Ofsted School Webpage")</f>
        <v>Ofsted School Webpage</v>
      </c>
      <c r="B174" s="240">
        <v>146338</v>
      </c>
      <c r="C174" s="240">
        <v>9366015</v>
      </c>
      <c r="D174" s="240" t="s">
        <v>1453</v>
      </c>
      <c r="E174" s="240" t="s">
        <v>248</v>
      </c>
      <c r="F174" s="240" t="s">
        <v>581</v>
      </c>
      <c r="G174" s="240" t="s">
        <v>581</v>
      </c>
      <c r="H174" s="240" t="s">
        <v>788</v>
      </c>
      <c r="I174" s="240" t="s">
        <v>1454</v>
      </c>
      <c r="J174" s="240" t="s">
        <v>93</v>
      </c>
      <c r="K174" s="240" t="s">
        <v>93</v>
      </c>
      <c r="L174" s="240" t="s">
        <v>93</v>
      </c>
      <c r="M174" s="240" t="s">
        <v>90</v>
      </c>
      <c r="N174" s="240" t="s">
        <v>486</v>
      </c>
      <c r="O174" s="240" t="s">
        <v>487</v>
      </c>
      <c r="P174" s="240">
        <v>10083799</v>
      </c>
      <c r="Q174" s="242">
        <v>43452</v>
      </c>
      <c r="R174" s="242">
        <v>43452</v>
      </c>
      <c r="S174" s="242">
        <v>43495</v>
      </c>
      <c r="T174" s="240" t="s">
        <v>1377</v>
      </c>
      <c r="U174" s="240" t="s">
        <v>1105</v>
      </c>
      <c r="V174" s="240" t="s">
        <v>490</v>
      </c>
      <c r="W174" s="240" t="s">
        <v>486</v>
      </c>
      <c r="X174" s="240" t="s">
        <v>486</v>
      </c>
      <c r="Y174" s="240" t="s">
        <v>486</v>
      </c>
      <c r="Z174" s="240" t="s">
        <v>486</v>
      </c>
      <c r="AA174" s="240" t="s">
        <v>486</v>
      </c>
      <c r="AB174" s="240" t="s">
        <v>486</v>
      </c>
      <c r="AC174" s="240" t="s">
        <v>486</v>
      </c>
      <c r="AD174" s="240" t="s">
        <v>1378</v>
      </c>
      <c r="AE174" s="240" t="s">
        <v>231</v>
      </c>
      <c r="AF174" s="240" t="s">
        <v>231</v>
      </c>
      <c r="AG174" s="240" t="s">
        <v>231</v>
      </c>
      <c r="AH174" s="240" t="s">
        <v>231</v>
      </c>
      <c r="AI174" s="240" t="s">
        <v>231</v>
      </c>
      <c r="AJ174" s="240" t="s">
        <v>231</v>
      </c>
      <c r="AK174" s="240" t="s">
        <v>231</v>
      </c>
      <c r="AL174" s="240" t="s">
        <v>231</v>
      </c>
      <c r="AM174" s="240" t="s">
        <v>492</v>
      </c>
      <c r="AN174" s="240" t="s">
        <v>231</v>
      </c>
      <c r="AO174" s="240" t="s">
        <v>231</v>
      </c>
      <c r="AP174" s="240" t="s">
        <v>231</v>
      </c>
      <c r="AQ174" s="240" t="s">
        <v>231</v>
      </c>
      <c r="AR174" s="240" t="s">
        <v>231</v>
      </c>
      <c r="AS174" s="240" t="s">
        <v>231</v>
      </c>
      <c r="AT174" s="240" t="s">
        <v>231</v>
      </c>
      <c r="AU174" s="240" t="s">
        <v>492</v>
      </c>
      <c r="AV174" s="240" t="s">
        <v>492</v>
      </c>
      <c r="AW174" s="240" t="s">
        <v>231</v>
      </c>
      <c r="AX174" s="240" t="s">
        <v>231</v>
      </c>
      <c r="AY174" s="240" t="s">
        <v>231</v>
      </c>
      <c r="AZ174" s="240" t="s">
        <v>231</v>
      </c>
      <c r="BA174" s="240" t="s">
        <v>231</v>
      </c>
      <c r="BB174" s="240" t="s">
        <v>231</v>
      </c>
      <c r="BC174" s="240" t="s">
        <v>231</v>
      </c>
      <c r="BD174" s="240" t="s">
        <v>231</v>
      </c>
      <c r="BE174" s="240" t="s">
        <v>231</v>
      </c>
      <c r="BF174" s="240" t="s">
        <v>231</v>
      </c>
      <c r="BG174" s="240" t="s">
        <v>231</v>
      </c>
      <c r="BH174" s="240" t="s">
        <v>231</v>
      </c>
      <c r="BI174" s="240" t="s">
        <v>231</v>
      </c>
      <c r="BJ174" s="240" t="s">
        <v>231</v>
      </c>
      <c r="BK174" s="240" t="s">
        <v>231</v>
      </c>
      <c r="BL174" s="240" t="s">
        <v>231</v>
      </c>
      <c r="BM174" s="240" t="s">
        <v>231</v>
      </c>
      <c r="BN174" s="240" t="s">
        <v>231</v>
      </c>
      <c r="BO174" s="240" t="s">
        <v>231</v>
      </c>
      <c r="BP174" s="240" t="s">
        <v>231</v>
      </c>
      <c r="BQ174" s="240" t="s">
        <v>231</v>
      </c>
      <c r="BR174" s="240" t="s">
        <v>231</v>
      </c>
      <c r="BS174" s="240" t="s">
        <v>231</v>
      </c>
      <c r="BT174" s="240" t="s">
        <v>231</v>
      </c>
      <c r="BU174" s="240" t="s">
        <v>231</v>
      </c>
      <c r="BV174" s="240" t="s">
        <v>231</v>
      </c>
      <c r="BW174" s="240" t="s">
        <v>231</v>
      </c>
      <c r="BX174" s="240" t="s">
        <v>231</v>
      </c>
      <c r="BY174" s="240" t="s">
        <v>231</v>
      </c>
      <c r="BZ174" s="240" t="s">
        <v>231</v>
      </c>
      <c r="CA174" s="240" t="s">
        <v>231</v>
      </c>
      <c r="CB174" s="240" t="s">
        <v>231</v>
      </c>
      <c r="CC174" s="240" t="s">
        <v>492</v>
      </c>
      <c r="CD174" s="240" t="s">
        <v>492</v>
      </c>
      <c r="CE174" s="240" t="s">
        <v>492</v>
      </c>
      <c r="CF174" s="240" t="s">
        <v>231</v>
      </c>
      <c r="CG174" s="240" t="s">
        <v>231</v>
      </c>
      <c r="CH174" s="240" t="s">
        <v>231</v>
      </c>
      <c r="CI174" s="240" t="s">
        <v>231</v>
      </c>
      <c r="CJ174" s="240" t="s">
        <v>231</v>
      </c>
      <c r="CK174" s="240" t="s">
        <v>231</v>
      </c>
      <c r="CL174" s="240" t="s">
        <v>231</v>
      </c>
      <c r="CM174" s="240" t="s">
        <v>231</v>
      </c>
      <c r="CN174" s="240" t="s">
        <v>231</v>
      </c>
      <c r="CO174" s="240" t="s">
        <v>231</v>
      </c>
      <c r="CP174" s="240" t="s">
        <v>231</v>
      </c>
      <c r="CQ174" s="240" t="s">
        <v>231</v>
      </c>
      <c r="CR174" s="240" t="s">
        <v>231</v>
      </c>
      <c r="CS174" s="240" t="s">
        <v>231</v>
      </c>
      <c r="CT174" s="240" t="s">
        <v>231</v>
      </c>
      <c r="CU174" s="240" t="s">
        <v>231</v>
      </c>
      <c r="CV174" s="240" t="s">
        <v>231</v>
      </c>
      <c r="CW174" s="240" t="s">
        <v>231</v>
      </c>
      <c r="CX174" s="240" t="s">
        <v>231</v>
      </c>
      <c r="CY174" s="240" t="s">
        <v>231</v>
      </c>
      <c r="CZ174" s="240" t="s">
        <v>231</v>
      </c>
      <c r="DA174" s="240" t="s">
        <v>231</v>
      </c>
      <c r="DB174" s="240" t="s">
        <v>231</v>
      </c>
      <c r="DC174" s="240" t="s">
        <v>492</v>
      </c>
      <c r="DD174" s="240" t="s">
        <v>231</v>
      </c>
      <c r="DE174" s="240" t="s">
        <v>492</v>
      </c>
      <c r="DF174" s="240" t="s">
        <v>492</v>
      </c>
      <c r="DG174" s="240" t="s">
        <v>492</v>
      </c>
      <c r="DH174" s="240" t="s">
        <v>492</v>
      </c>
      <c r="DI174" s="240" t="s">
        <v>492</v>
      </c>
      <c r="DJ174" s="240" t="s">
        <v>492</v>
      </c>
      <c r="DK174" s="240" t="s">
        <v>492</v>
      </c>
      <c r="DL174" s="240" t="s">
        <v>492</v>
      </c>
      <c r="DM174" s="240" t="s">
        <v>492</v>
      </c>
      <c r="DN174" s="240" t="s">
        <v>492</v>
      </c>
      <c r="DO174" s="240" t="s">
        <v>492</v>
      </c>
      <c r="DP174" s="240" t="s">
        <v>492</v>
      </c>
      <c r="DQ174" s="240" t="s">
        <v>492</v>
      </c>
      <c r="DR174" s="240" t="s">
        <v>492</v>
      </c>
      <c r="DS174" s="240" t="s">
        <v>492</v>
      </c>
      <c r="DT174" s="240" t="s">
        <v>492</v>
      </c>
      <c r="DU174" s="240" t="s">
        <v>492</v>
      </c>
      <c r="DV174" s="240" t="s">
        <v>492</v>
      </c>
      <c r="DW174" s="240" t="s">
        <v>492</v>
      </c>
      <c r="DX174" s="240" t="s">
        <v>492</v>
      </c>
      <c r="DY174" s="240" t="s">
        <v>492</v>
      </c>
      <c r="DZ174" s="240" t="s">
        <v>492</v>
      </c>
      <c r="EA174" s="240" t="s">
        <v>492</v>
      </c>
      <c r="EB174" s="240" t="s">
        <v>231</v>
      </c>
      <c r="EC174" s="240" t="s">
        <v>231</v>
      </c>
      <c r="ED174" s="240" t="s">
        <v>231</v>
      </c>
      <c r="EE174" s="240" t="s">
        <v>231</v>
      </c>
      <c r="EF174" s="240" t="s">
        <v>231</v>
      </c>
      <c r="EG174" s="240" t="s">
        <v>231</v>
      </c>
      <c r="EH174" s="240" t="s">
        <v>231</v>
      </c>
      <c r="EI174" s="240" t="s">
        <v>231</v>
      </c>
      <c r="EJ174" s="240" t="s">
        <v>231</v>
      </c>
      <c r="EK174" s="240" t="s">
        <v>231</v>
      </c>
      <c r="EL174" s="240" t="s">
        <v>231</v>
      </c>
      <c r="EM174" s="240" t="s">
        <v>231</v>
      </c>
      <c r="EN174" s="240" t="s">
        <v>231</v>
      </c>
      <c r="EO174" s="240" t="s">
        <v>231</v>
      </c>
      <c r="EP174" s="240" t="s">
        <v>492</v>
      </c>
      <c r="EQ174" s="240" t="s">
        <v>492</v>
      </c>
      <c r="ER174" s="240" t="s">
        <v>492</v>
      </c>
      <c r="ES174" s="240" t="s">
        <v>492</v>
      </c>
      <c r="ET174" s="240" t="s">
        <v>492</v>
      </c>
      <c r="EU174" s="240" t="s">
        <v>492</v>
      </c>
      <c r="EV174" s="240" t="s">
        <v>492</v>
      </c>
      <c r="EW174" s="240" t="s">
        <v>492</v>
      </c>
      <c r="EX174" s="240" t="s">
        <v>492</v>
      </c>
      <c r="EY174" s="240" t="s">
        <v>492</v>
      </c>
      <c r="EZ174" s="240" t="s">
        <v>231</v>
      </c>
      <c r="FA174" s="240" t="s">
        <v>231</v>
      </c>
      <c r="FB174" s="240" t="s">
        <v>231</v>
      </c>
      <c r="FC174" s="240" t="s">
        <v>231</v>
      </c>
      <c r="FD174" s="240" t="s">
        <v>231</v>
      </c>
      <c r="FE174" s="240" t="s">
        <v>231</v>
      </c>
      <c r="FF174" s="240" t="s">
        <v>231</v>
      </c>
      <c r="FG174" s="240" t="s">
        <v>492</v>
      </c>
      <c r="FH174" s="240" t="s">
        <v>231</v>
      </c>
      <c r="FI174" s="240" t="s">
        <v>231</v>
      </c>
      <c r="FJ174" s="240" t="s">
        <v>231</v>
      </c>
      <c r="FK174" s="240" t="s">
        <v>231</v>
      </c>
      <c r="FL174" s="240" t="s">
        <v>231</v>
      </c>
      <c r="FM174" s="240" t="s">
        <v>231</v>
      </c>
      <c r="FN174" s="240" t="s">
        <v>231</v>
      </c>
      <c r="FO174" s="240" t="s">
        <v>231</v>
      </c>
      <c r="FP174" s="240" t="s">
        <v>231</v>
      </c>
      <c r="FQ174" s="240" t="s">
        <v>231</v>
      </c>
      <c r="FR174" s="240" t="s">
        <v>231</v>
      </c>
      <c r="FS174" s="240" t="s">
        <v>231</v>
      </c>
      <c r="FT174" s="240" t="s">
        <v>231</v>
      </c>
      <c r="FU174" s="240" t="s">
        <v>231</v>
      </c>
      <c r="FV174" s="240" t="s">
        <v>231</v>
      </c>
      <c r="FW174" s="240" t="s">
        <v>231</v>
      </c>
      <c r="FX174" s="240" t="s">
        <v>231</v>
      </c>
      <c r="FY174" s="240" t="s">
        <v>492</v>
      </c>
      <c r="FZ174" s="240" t="s">
        <v>231</v>
      </c>
      <c r="GA174" s="240" t="s">
        <v>231</v>
      </c>
      <c r="GB174" s="240" t="s">
        <v>231</v>
      </c>
      <c r="GC174" s="240" t="s">
        <v>231</v>
      </c>
      <c r="GD174" s="240" t="s">
        <v>231</v>
      </c>
      <c r="GE174" s="240" t="s">
        <v>492</v>
      </c>
      <c r="GF174" s="240" t="s">
        <v>231</v>
      </c>
      <c r="GG174" s="240" t="s">
        <v>231</v>
      </c>
      <c r="GH174" s="240" t="s">
        <v>231</v>
      </c>
      <c r="GI174" s="240" t="s">
        <v>231</v>
      </c>
      <c r="GJ174" s="240" t="s">
        <v>231</v>
      </c>
      <c r="GK174" s="240" t="s">
        <v>231</v>
      </c>
      <c r="GL174" s="240" t="s">
        <v>231</v>
      </c>
      <c r="GM174" s="240" t="s">
        <v>231</v>
      </c>
      <c r="GN174" s="240" t="s">
        <v>231</v>
      </c>
      <c r="GO174" s="240" t="s">
        <v>492</v>
      </c>
      <c r="GP174" s="240" t="s">
        <v>492</v>
      </c>
      <c r="GQ174" s="240" t="s">
        <v>231</v>
      </c>
      <c r="GR174" s="240" t="s">
        <v>231</v>
      </c>
      <c r="GS174" s="240" t="s">
        <v>231</v>
      </c>
      <c r="GT174" s="240" t="s">
        <v>231</v>
      </c>
      <c r="GU174" s="240" t="s">
        <v>231</v>
      </c>
      <c r="GV174" s="240" t="s">
        <v>231</v>
      </c>
      <c r="GW174" s="240" t="s">
        <v>231</v>
      </c>
      <c r="GX174" s="240" t="s">
        <v>231</v>
      </c>
      <c r="GY174" s="240" t="s">
        <v>231</v>
      </c>
      <c r="GZ174" s="240" t="s">
        <v>231</v>
      </c>
      <c r="HA174" s="240" t="s">
        <v>231</v>
      </c>
      <c r="HB174" s="240" t="s">
        <v>231</v>
      </c>
      <c r="HC174" s="240" t="s">
        <v>231</v>
      </c>
      <c r="HD174" s="240" t="s">
        <v>231</v>
      </c>
      <c r="HE174" s="240" t="s">
        <v>231</v>
      </c>
      <c r="HF174" s="240" t="s">
        <v>231</v>
      </c>
      <c r="HG174" s="240" t="s">
        <v>231</v>
      </c>
      <c r="HH174" s="240" t="s">
        <v>231</v>
      </c>
      <c r="HI174" s="240" t="s">
        <v>231</v>
      </c>
      <c r="HJ174" s="240" t="s">
        <v>231</v>
      </c>
      <c r="HK174" s="240" t="s">
        <v>231</v>
      </c>
      <c r="HL174" s="240" t="s">
        <v>231</v>
      </c>
      <c r="HM174" s="240" t="s">
        <v>231</v>
      </c>
      <c r="HN174" s="240" t="s">
        <v>231</v>
      </c>
      <c r="HO174" s="240" t="s">
        <v>231</v>
      </c>
      <c r="HP174" s="240" t="s">
        <v>231</v>
      </c>
      <c r="HQ174" s="240" t="s">
        <v>231</v>
      </c>
      <c r="HR174" s="240" t="s">
        <v>231</v>
      </c>
      <c r="HS174" s="240" t="s">
        <v>231</v>
      </c>
      <c r="HT174" s="240" t="s">
        <v>231</v>
      </c>
      <c r="HU174" s="240" t="s">
        <v>231</v>
      </c>
      <c r="HV174" s="240" t="s">
        <v>231</v>
      </c>
      <c r="HW174" s="240" t="s">
        <v>231</v>
      </c>
      <c r="HX174" s="240" t="s">
        <v>220</v>
      </c>
      <c r="HY174" s="240" t="s">
        <v>493</v>
      </c>
      <c r="HZ174" s="240" t="s">
        <v>219</v>
      </c>
      <c r="IA174" s="240" t="s">
        <v>490</v>
      </c>
      <c r="IB174" s="240" t="s">
        <v>492</v>
      </c>
      <c r="IC174" s="240" t="s">
        <v>492</v>
      </c>
    </row>
    <row r="175" spans="1:237" ht="15" x14ac:dyDescent="0.25">
      <c r="A175" s="243" t="str">
        <f>HYPERLINK("http://www.ofsted.gov.uk/inspection-reports/find-inspection-report/provider/ELS/146659 ","Ofsted School Webpage")</f>
        <v>Ofsted School Webpage</v>
      </c>
      <c r="B175" s="237">
        <v>146659</v>
      </c>
      <c r="C175" s="237">
        <v>9376022</v>
      </c>
      <c r="D175" s="237" t="s">
        <v>1455</v>
      </c>
      <c r="E175" s="237" t="s">
        <v>248</v>
      </c>
      <c r="F175" s="237" t="s">
        <v>502</v>
      </c>
      <c r="G175" s="237" t="s">
        <v>502</v>
      </c>
      <c r="H175" s="237" t="s">
        <v>503</v>
      </c>
      <c r="I175" s="237" t="s">
        <v>1456</v>
      </c>
      <c r="J175" s="237" t="s">
        <v>498</v>
      </c>
      <c r="K175" s="237" t="s">
        <v>93</v>
      </c>
      <c r="L175" s="237" t="s">
        <v>498</v>
      </c>
      <c r="M175" s="237" t="s">
        <v>90</v>
      </c>
      <c r="N175" s="237" t="s">
        <v>486</v>
      </c>
      <c r="O175" s="237" t="s">
        <v>487</v>
      </c>
      <c r="P175" s="237">
        <v>10086975</v>
      </c>
      <c r="Q175" s="239">
        <v>43475</v>
      </c>
      <c r="R175" s="239">
        <v>43475</v>
      </c>
      <c r="S175" s="239">
        <v>43503</v>
      </c>
      <c r="T175" s="237" t="s">
        <v>1377</v>
      </c>
      <c r="U175" s="237" t="s">
        <v>1105</v>
      </c>
      <c r="V175" s="237" t="s">
        <v>490</v>
      </c>
      <c r="W175" s="237" t="s">
        <v>486</v>
      </c>
      <c r="X175" s="237" t="s">
        <v>486</v>
      </c>
      <c r="Y175" s="237" t="s">
        <v>486</v>
      </c>
      <c r="Z175" s="237" t="s">
        <v>486</v>
      </c>
      <c r="AA175" s="237" t="s">
        <v>486</v>
      </c>
      <c r="AB175" s="237" t="s">
        <v>486</v>
      </c>
      <c r="AC175" s="237" t="s">
        <v>486</v>
      </c>
      <c r="AD175" s="237" t="s">
        <v>1386</v>
      </c>
      <c r="AE175" s="237" t="s">
        <v>231</v>
      </c>
      <c r="AF175" s="237" t="s">
        <v>231</v>
      </c>
      <c r="AG175" s="237" t="s">
        <v>231</v>
      </c>
      <c r="AH175" s="237" t="s">
        <v>231</v>
      </c>
      <c r="AI175" s="237" t="s">
        <v>231</v>
      </c>
      <c r="AJ175" s="237" t="s">
        <v>231</v>
      </c>
      <c r="AK175" s="237" t="s">
        <v>231</v>
      </c>
      <c r="AL175" s="237" t="s">
        <v>231</v>
      </c>
      <c r="AM175" s="237" t="s">
        <v>492</v>
      </c>
      <c r="AN175" s="237" t="s">
        <v>231</v>
      </c>
      <c r="AO175" s="237" t="s">
        <v>231</v>
      </c>
      <c r="AP175" s="237" t="s">
        <v>231</v>
      </c>
      <c r="AQ175" s="237" t="s">
        <v>231</v>
      </c>
      <c r="AR175" s="237" t="s">
        <v>231</v>
      </c>
      <c r="AS175" s="237" t="s">
        <v>231</v>
      </c>
      <c r="AT175" s="237" t="s">
        <v>231</v>
      </c>
      <c r="AU175" s="237" t="s">
        <v>492</v>
      </c>
      <c r="AV175" s="237" t="s">
        <v>231</v>
      </c>
      <c r="AW175" s="237" t="s">
        <v>231</v>
      </c>
      <c r="AX175" s="237" t="s">
        <v>231</v>
      </c>
      <c r="AY175" s="237" t="s">
        <v>231</v>
      </c>
      <c r="AZ175" s="237" t="s">
        <v>231</v>
      </c>
      <c r="BA175" s="237" t="s">
        <v>231</v>
      </c>
      <c r="BB175" s="237" t="s">
        <v>231</v>
      </c>
      <c r="BC175" s="237" t="s">
        <v>231</v>
      </c>
      <c r="BD175" s="237" t="s">
        <v>231</v>
      </c>
      <c r="BE175" s="237" t="s">
        <v>231</v>
      </c>
      <c r="BF175" s="237" t="s">
        <v>231</v>
      </c>
      <c r="BG175" s="237" t="s">
        <v>231</v>
      </c>
      <c r="BH175" s="237" t="s">
        <v>231</v>
      </c>
      <c r="BI175" s="237" t="s">
        <v>231</v>
      </c>
      <c r="BJ175" s="237" t="s">
        <v>231</v>
      </c>
      <c r="BK175" s="237" t="s">
        <v>231</v>
      </c>
      <c r="BL175" s="237" t="s">
        <v>231</v>
      </c>
      <c r="BM175" s="237" t="s">
        <v>231</v>
      </c>
      <c r="BN175" s="237" t="s">
        <v>231</v>
      </c>
      <c r="BO175" s="237" t="s">
        <v>231</v>
      </c>
      <c r="BP175" s="237" t="s">
        <v>231</v>
      </c>
      <c r="BQ175" s="237" t="s">
        <v>231</v>
      </c>
      <c r="BR175" s="237" t="s">
        <v>231</v>
      </c>
      <c r="BS175" s="237" t="s">
        <v>231</v>
      </c>
      <c r="BT175" s="237" t="s">
        <v>231</v>
      </c>
      <c r="BU175" s="237" t="s">
        <v>231</v>
      </c>
      <c r="BV175" s="237" t="s">
        <v>231</v>
      </c>
      <c r="BW175" s="237" t="s">
        <v>231</v>
      </c>
      <c r="BX175" s="237" t="s">
        <v>231</v>
      </c>
      <c r="BY175" s="237" t="s">
        <v>231</v>
      </c>
      <c r="BZ175" s="237" t="s">
        <v>232</v>
      </c>
      <c r="CA175" s="237" t="s">
        <v>232</v>
      </c>
      <c r="CB175" s="237" t="s">
        <v>231</v>
      </c>
      <c r="CC175" s="237" t="s">
        <v>492</v>
      </c>
      <c r="CD175" s="237" t="s">
        <v>492</v>
      </c>
      <c r="CE175" s="237" t="s">
        <v>492</v>
      </c>
      <c r="CF175" s="237" t="s">
        <v>231</v>
      </c>
      <c r="CG175" s="237" t="s">
        <v>231</v>
      </c>
      <c r="CH175" s="237" t="s">
        <v>231</v>
      </c>
      <c r="CI175" s="237" t="s">
        <v>231</v>
      </c>
      <c r="CJ175" s="237" t="s">
        <v>231</v>
      </c>
      <c r="CK175" s="237" t="s">
        <v>232</v>
      </c>
      <c r="CL175" s="237" t="s">
        <v>231</v>
      </c>
      <c r="CM175" s="237" t="s">
        <v>231</v>
      </c>
      <c r="CN175" s="237" t="s">
        <v>231</v>
      </c>
      <c r="CO175" s="237" t="s">
        <v>231</v>
      </c>
      <c r="CP175" s="237" t="s">
        <v>232</v>
      </c>
      <c r="CQ175" s="237" t="s">
        <v>232</v>
      </c>
      <c r="CR175" s="237" t="s">
        <v>232</v>
      </c>
      <c r="CS175" s="237" t="s">
        <v>231</v>
      </c>
      <c r="CT175" s="237" t="s">
        <v>231</v>
      </c>
      <c r="CU175" s="237" t="s">
        <v>231</v>
      </c>
      <c r="CV175" s="237" t="s">
        <v>231</v>
      </c>
      <c r="CW175" s="237" t="s">
        <v>231</v>
      </c>
      <c r="CX175" s="237" t="s">
        <v>231</v>
      </c>
      <c r="CY175" s="237" t="s">
        <v>231</v>
      </c>
      <c r="CZ175" s="237" t="s">
        <v>231</v>
      </c>
      <c r="DA175" s="237" t="s">
        <v>231</v>
      </c>
      <c r="DB175" s="237" t="s">
        <v>231</v>
      </c>
      <c r="DC175" s="237" t="s">
        <v>231</v>
      </c>
      <c r="DD175" s="237" t="s">
        <v>231</v>
      </c>
      <c r="DE175" s="237" t="s">
        <v>231</v>
      </c>
      <c r="DF175" s="237" t="s">
        <v>231</v>
      </c>
      <c r="DG175" s="237" t="s">
        <v>231</v>
      </c>
      <c r="DH175" s="237" t="s">
        <v>231</v>
      </c>
      <c r="DI175" s="237" t="s">
        <v>231</v>
      </c>
      <c r="DJ175" s="237" t="s">
        <v>231</v>
      </c>
      <c r="DK175" s="237" t="s">
        <v>231</v>
      </c>
      <c r="DL175" s="237" t="s">
        <v>231</v>
      </c>
      <c r="DM175" s="237" t="s">
        <v>231</v>
      </c>
      <c r="DN175" s="237" t="s">
        <v>231</v>
      </c>
      <c r="DO175" s="237" t="s">
        <v>231</v>
      </c>
      <c r="DP175" s="237" t="s">
        <v>231</v>
      </c>
      <c r="DQ175" s="237" t="s">
        <v>492</v>
      </c>
      <c r="DR175" s="237" t="s">
        <v>231</v>
      </c>
      <c r="DS175" s="237" t="s">
        <v>231</v>
      </c>
      <c r="DT175" s="237" t="s">
        <v>231</v>
      </c>
      <c r="DU175" s="237" t="s">
        <v>231</v>
      </c>
      <c r="DV175" s="237" t="s">
        <v>231</v>
      </c>
      <c r="DW175" s="237" t="s">
        <v>231</v>
      </c>
      <c r="DX175" s="237" t="s">
        <v>231</v>
      </c>
      <c r="DY175" s="237" t="s">
        <v>231</v>
      </c>
      <c r="DZ175" s="237" t="s">
        <v>231</v>
      </c>
      <c r="EA175" s="237" t="s">
        <v>231</v>
      </c>
      <c r="EB175" s="237" t="s">
        <v>231</v>
      </c>
      <c r="EC175" s="237" t="s">
        <v>231</v>
      </c>
      <c r="ED175" s="237" t="s">
        <v>231</v>
      </c>
      <c r="EE175" s="237" t="s">
        <v>231</v>
      </c>
      <c r="EF175" s="237" t="s">
        <v>231</v>
      </c>
      <c r="EG175" s="237" t="s">
        <v>231</v>
      </c>
      <c r="EH175" s="237" t="s">
        <v>231</v>
      </c>
      <c r="EI175" s="237" t="s">
        <v>231</v>
      </c>
      <c r="EJ175" s="237" t="s">
        <v>231</v>
      </c>
      <c r="EK175" s="237" t="s">
        <v>231</v>
      </c>
      <c r="EL175" s="237" t="s">
        <v>231</v>
      </c>
      <c r="EM175" s="237" t="s">
        <v>231</v>
      </c>
      <c r="EN175" s="237" t="s">
        <v>231</v>
      </c>
      <c r="EO175" s="237" t="s">
        <v>492</v>
      </c>
      <c r="EP175" s="237" t="s">
        <v>231</v>
      </c>
      <c r="EQ175" s="237" t="s">
        <v>231</v>
      </c>
      <c r="ER175" s="237" t="s">
        <v>231</v>
      </c>
      <c r="ES175" s="237" t="s">
        <v>231</v>
      </c>
      <c r="ET175" s="237" t="s">
        <v>231</v>
      </c>
      <c r="EU175" s="237" t="s">
        <v>231</v>
      </c>
      <c r="EV175" s="237" t="s">
        <v>231</v>
      </c>
      <c r="EW175" s="237" t="s">
        <v>492</v>
      </c>
      <c r="EX175" s="237" t="s">
        <v>492</v>
      </c>
      <c r="EY175" s="237" t="s">
        <v>492</v>
      </c>
      <c r="EZ175" s="237" t="s">
        <v>231</v>
      </c>
      <c r="FA175" s="237" t="s">
        <v>231</v>
      </c>
      <c r="FB175" s="237" t="s">
        <v>231</v>
      </c>
      <c r="FC175" s="237" t="s">
        <v>231</v>
      </c>
      <c r="FD175" s="237" t="s">
        <v>232</v>
      </c>
      <c r="FE175" s="237" t="s">
        <v>232</v>
      </c>
      <c r="FF175" s="237" t="s">
        <v>232</v>
      </c>
      <c r="FG175" s="237" t="s">
        <v>492</v>
      </c>
      <c r="FH175" s="237" t="s">
        <v>231</v>
      </c>
      <c r="FI175" s="237" t="s">
        <v>232</v>
      </c>
      <c r="FJ175" s="237" t="s">
        <v>231</v>
      </c>
      <c r="FK175" s="237" t="s">
        <v>231</v>
      </c>
      <c r="FL175" s="237" t="s">
        <v>231</v>
      </c>
      <c r="FM175" s="237" t="s">
        <v>231</v>
      </c>
      <c r="FN175" s="237" t="s">
        <v>231</v>
      </c>
      <c r="FO175" s="237" t="s">
        <v>231</v>
      </c>
      <c r="FP175" s="237" t="s">
        <v>231</v>
      </c>
      <c r="FQ175" s="237" t="s">
        <v>231</v>
      </c>
      <c r="FR175" s="237" t="s">
        <v>231</v>
      </c>
      <c r="FS175" s="237" t="s">
        <v>231</v>
      </c>
      <c r="FT175" s="237" t="s">
        <v>231</v>
      </c>
      <c r="FU175" s="237" t="s">
        <v>231</v>
      </c>
      <c r="FV175" s="237" t="s">
        <v>231</v>
      </c>
      <c r="FW175" s="237" t="s">
        <v>231</v>
      </c>
      <c r="FX175" s="237" t="s">
        <v>231</v>
      </c>
      <c r="FY175" s="237" t="s">
        <v>492</v>
      </c>
      <c r="FZ175" s="237" t="s">
        <v>231</v>
      </c>
      <c r="GA175" s="237" t="s">
        <v>231</v>
      </c>
      <c r="GB175" s="237" t="s">
        <v>231</v>
      </c>
      <c r="GC175" s="237" t="s">
        <v>231</v>
      </c>
      <c r="GD175" s="237" t="s">
        <v>231</v>
      </c>
      <c r="GE175" s="237" t="s">
        <v>492</v>
      </c>
      <c r="GF175" s="237" t="s">
        <v>231</v>
      </c>
      <c r="GG175" s="237" t="s">
        <v>492</v>
      </c>
      <c r="GH175" s="237" t="s">
        <v>231</v>
      </c>
      <c r="GI175" s="237" t="s">
        <v>231</v>
      </c>
      <c r="GJ175" s="237" t="s">
        <v>231</v>
      </c>
      <c r="GK175" s="237" t="s">
        <v>231</v>
      </c>
      <c r="GL175" s="237" t="s">
        <v>231</v>
      </c>
      <c r="GM175" s="237" t="s">
        <v>231</v>
      </c>
      <c r="GN175" s="237" t="s">
        <v>492</v>
      </c>
      <c r="GO175" s="237" t="s">
        <v>231</v>
      </c>
      <c r="GP175" s="237" t="s">
        <v>492</v>
      </c>
      <c r="GQ175" s="237" t="s">
        <v>231</v>
      </c>
      <c r="GR175" s="237" t="s">
        <v>231</v>
      </c>
      <c r="GS175" s="237" t="s">
        <v>231</v>
      </c>
      <c r="GT175" s="237" t="s">
        <v>231</v>
      </c>
      <c r="GU175" s="237" t="s">
        <v>231</v>
      </c>
      <c r="GV175" s="237" t="s">
        <v>231</v>
      </c>
      <c r="GW175" s="237" t="s">
        <v>231</v>
      </c>
      <c r="GX175" s="237" t="s">
        <v>231</v>
      </c>
      <c r="GY175" s="237" t="s">
        <v>231</v>
      </c>
      <c r="GZ175" s="237" t="s">
        <v>492</v>
      </c>
      <c r="HA175" s="237" t="s">
        <v>492</v>
      </c>
      <c r="HB175" s="237" t="s">
        <v>492</v>
      </c>
      <c r="HC175" s="237" t="s">
        <v>492</v>
      </c>
      <c r="HD175" s="237" t="s">
        <v>231</v>
      </c>
      <c r="HE175" s="237" t="s">
        <v>231</v>
      </c>
      <c r="HF175" s="237" t="s">
        <v>231</v>
      </c>
      <c r="HG175" s="237" t="s">
        <v>231</v>
      </c>
      <c r="HH175" s="237" t="s">
        <v>231</v>
      </c>
      <c r="HI175" s="237" t="s">
        <v>231</v>
      </c>
      <c r="HJ175" s="237" t="s">
        <v>231</v>
      </c>
      <c r="HK175" s="237" t="s">
        <v>231</v>
      </c>
      <c r="HL175" s="237" t="s">
        <v>231</v>
      </c>
      <c r="HM175" s="237" t="s">
        <v>231</v>
      </c>
      <c r="HN175" s="237" t="s">
        <v>231</v>
      </c>
      <c r="HO175" s="237" t="s">
        <v>231</v>
      </c>
      <c r="HP175" s="237" t="s">
        <v>231</v>
      </c>
      <c r="HQ175" s="237" t="s">
        <v>231</v>
      </c>
      <c r="HR175" s="237" t="s">
        <v>231</v>
      </c>
      <c r="HS175" s="237" t="s">
        <v>231</v>
      </c>
      <c r="HT175" s="237" t="s">
        <v>232</v>
      </c>
      <c r="HU175" s="237" t="s">
        <v>232</v>
      </c>
      <c r="HV175" s="237" t="s">
        <v>232</v>
      </c>
      <c r="HW175" s="237" t="s">
        <v>232</v>
      </c>
      <c r="HX175" s="237" t="s">
        <v>220</v>
      </c>
      <c r="HY175" s="237" t="s">
        <v>493</v>
      </c>
      <c r="HZ175" s="237" t="s">
        <v>219</v>
      </c>
      <c r="IA175" s="237" t="s">
        <v>490</v>
      </c>
      <c r="IB175" s="237" t="s">
        <v>492</v>
      </c>
      <c r="IC175" s="237" t="s">
        <v>492</v>
      </c>
    </row>
    <row r="176" spans="1:237" ht="15" x14ac:dyDescent="0.25">
      <c r="A176" s="244" t="str">
        <f>HYPERLINK("http://www.ofsted.gov.uk/inspection-reports/find-inspection-report/provider/ELS/146654 ","Ofsted School Webpage")</f>
        <v>Ofsted School Webpage</v>
      </c>
      <c r="B176" s="240">
        <v>146654</v>
      </c>
      <c r="C176" s="240">
        <v>8656052</v>
      </c>
      <c r="D176" s="240" t="s">
        <v>1457</v>
      </c>
      <c r="E176" s="240" t="s">
        <v>247</v>
      </c>
      <c r="F176" s="240" t="s">
        <v>483</v>
      </c>
      <c r="G176" s="240" t="s">
        <v>483</v>
      </c>
      <c r="H176" s="240" t="s">
        <v>791</v>
      </c>
      <c r="I176" s="240" t="s">
        <v>1458</v>
      </c>
      <c r="J176" s="240" t="s">
        <v>498</v>
      </c>
      <c r="K176" s="240" t="s">
        <v>93</v>
      </c>
      <c r="L176" s="240" t="s">
        <v>498</v>
      </c>
      <c r="M176" s="240" t="s">
        <v>90</v>
      </c>
      <c r="N176" s="240" t="s">
        <v>486</v>
      </c>
      <c r="O176" s="240" t="s">
        <v>487</v>
      </c>
      <c r="P176" s="240">
        <v>10087233</v>
      </c>
      <c r="Q176" s="242">
        <v>43479</v>
      </c>
      <c r="R176" s="242">
        <v>43479</v>
      </c>
      <c r="S176" s="242">
        <v>43503</v>
      </c>
      <c r="T176" s="240" t="s">
        <v>1377</v>
      </c>
      <c r="U176" s="240" t="s">
        <v>1105</v>
      </c>
      <c r="V176" s="240" t="s">
        <v>490</v>
      </c>
      <c r="W176" s="240" t="s">
        <v>486</v>
      </c>
      <c r="X176" s="240" t="s">
        <v>486</v>
      </c>
      <c r="Y176" s="240" t="s">
        <v>486</v>
      </c>
      <c r="Z176" s="240" t="s">
        <v>486</v>
      </c>
      <c r="AA176" s="240" t="s">
        <v>486</v>
      </c>
      <c r="AB176" s="240" t="s">
        <v>486</v>
      </c>
      <c r="AC176" s="240" t="s">
        <v>486</v>
      </c>
      <c r="AD176" s="240" t="s">
        <v>1378</v>
      </c>
      <c r="AE176" s="240" t="s">
        <v>231</v>
      </c>
      <c r="AF176" s="240" t="s">
        <v>231</v>
      </c>
      <c r="AG176" s="240" t="s">
        <v>231</v>
      </c>
      <c r="AH176" s="240" t="s">
        <v>231</v>
      </c>
      <c r="AI176" s="240" t="s">
        <v>231</v>
      </c>
      <c r="AJ176" s="240" t="s">
        <v>231</v>
      </c>
      <c r="AK176" s="240" t="s">
        <v>231</v>
      </c>
      <c r="AL176" s="240" t="s">
        <v>231</v>
      </c>
      <c r="AM176" s="240" t="s">
        <v>492</v>
      </c>
      <c r="AN176" s="240" t="s">
        <v>231</v>
      </c>
      <c r="AO176" s="240" t="s">
        <v>231</v>
      </c>
      <c r="AP176" s="240" t="s">
        <v>231</v>
      </c>
      <c r="AQ176" s="240" t="s">
        <v>492</v>
      </c>
      <c r="AR176" s="240" t="s">
        <v>492</v>
      </c>
      <c r="AS176" s="240" t="s">
        <v>492</v>
      </c>
      <c r="AT176" s="240" t="s">
        <v>492</v>
      </c>
      <c r="AU176" s="240" t="s">
        <v>231</v>
      </c>
      <c r="AV176" s="240" t="s">
        <v>492</v>
      </c>
      <c r="AW176" s="240" t="s">
        <v>231</v>
      </c>
      <c r="AX176" s="240" t="s">
        <v>231</v>
      </c>
      <c r="AY176" s="240" t="s">
        <v>231</v>
      </c>
      <c r="AZ176" s="240" t="s">
        <v>231</v>
      </c>
      <c r="BA176" s="240" t="s">
        <v>231</v>
      </c>
      <c r="BB176" s="240" t="s">
        <v>231</v>
      </c>
      <c r="BC176" s="240" t="s">
        <v>231</v>
      </c>
      <c r="BD176" s="240" t="s">
        <v>231</v>
      </c>
      <c r="BE176" s="240" t="s">
        <v>231</v>
      </c>
      <c r="BF176" s="240" t="s">
        <v>231</v>
      </c>
      <c r="BG176" s="240" t="s">
        <v>231</v>
      </c>
      <c r="BH176" s="240" t="s">
        <v>231</v>
      </c>
      <c r="BI176" s="240" t="s">
        <v>231</v>
      </c>
      <c r="BJ176" s="240" t="s">
        <v>231</v>
      </c>
      <c r="BK176" s="240" t="s">
        <v>231</v>
      </c>
      <c r="BL176" s="240" t="s">
        <v>231</v>
      </c>
      <c r="BM176" s="240" t="s">
        <v>231</v>
      </c>
      <c r="BN176" s="240" t="s">
        <v>231</v>
      </c>
      <c r="BO176" s="240" t="s">
        <v>231</v>
      </c>
      <c r="BP176" s="240" t="s">
        <v>231</v>
      </c>
      <c r="BQ176" s="240" t="s">
        <v>231</v>
      </c>
      <c r="BR176" s="240" t="s">
        <v>231</v>
      </c>
      <c r="BS176" s="240" t="s">
        <v>231</v>
      </c>
      <c r="BT176" s="240" t="s">
        <v>231</v>
      </c>
      <c r="BU176" s="240" t="s">
        <v>231</v>
      </c>
      <c r="BV176" s="240" t="s">
        <v>231</v>
      </c>
      <c r="BW176" s="240" t="s">
        <v>231</v>
      </c>
      <c r="BX176" s="240" t="s">
        <v>231</v>
      </c>
      <c r="BY176" s="240" t="s">
        <v>231</v>
      </c>
      <c r="BZ176" s="240" t="s">
        <v>231</v>
      </c>
      <c r="CA176" s="240" t="s">
        <v>231</v>
      </c>
      <c r="CB176" s="240" t="s">
        <v>231</v>
      </c>
      <c r="CC176" s="240" t="s">
        <v>492</v>
      </c>
      <c r="CD176" s="240" t="s">
        <v>492</v>
      </c>
      <c r="CE176" s="240" t="s">
        <v>492</v>
      </c>
      <c r="CF176" s="240" t="s">
        <v>231</v>
      </c>
      <c r="CG176" s="240" t="s">
        <v>231</v>
      </c>
      <c r="CH176" s="240" t="s">
        <v>231</v>
      </c>
      <c r="CI176" s="240" t="s">
        <v>231</v>
      </c>
      <c r="CJ176" s="240" t="s">
        <v>231</v>
      </c>
      <c r="CK176" s="240" t="s">
        <v>231</v>
      </c>
      <c r="CL176" s="240" t="s">
        <v>231</v>
      </c>
      <c r="CM176" s="240" t="s">
        <v>231</v>
      </c>
      <c r="CN176" s="240" t="s">
        <v>231</v>
      </c>
      <c r="CO176" s="240" t="s">
        <v>231</v>
      </c>
      <c r="CP176" s="240" t="s">
        <v>231</v>
      </c>
      <c r="CQ176" s="240" t="s">
        <v>231</v>
      </c>
      <c r="CR176" s="240" t="s">
        <v>231</v>
      </c>
      <c r="CS176" s="240" t="s">
        <v>1107</v>
      </c>
      <c r="CT176" s="240" t="s">
        <v>231</v>
      </c>
      <c r="CU176" s="240" t="s">
        <v>231</v>
      </c>
      <c r="CV176" s="240" t="s">
        <v>231</v>
      </c>
      <c r="CW176" s="240" t="s">
        <v>231</v>
      </c>
      <c r="CX176" s="240" t="s">
        <v>231</v>
      </c>
      <c r="CY176" s="240" t="s">
        <v>231</v>
      </c>
      <c r="CZ176" s="240" t="s">
        <v>231</v>
      </c>
      <c r="DA176" s="240" t="s">
        <v>231</v>
      </c>
      <c r="DB176" s="240" t="s">
        <v>231</v>
      </c>
      <c r="DC176" s="240" t="s">
        <v>492</v>
      </c>
      <c r="DD176" s="240" t="s">
        <v>231</v>
      </c>
      <c r="DE176" s="240" t="s">
        <v>492</v>
      </c>
      <c r="DF176" s="240" t="s">
        <v>492</v>
      </c>
      <c r="DG176" s="240" t="s">
        <v>492</v>
      </c>
      <c r="DH176" s="240" t="s">
        <v>492</v>
      </c>
      <c r="DI176" s="240" t="s">
        <v>492</v>
      </c>
      <c r="DJ176" s="240" t="s">
        <v>492</v>
      </c>
      <c r="DK176" s="240" t="s">
        <v>492</v>
      </c>
      <c r="DL176" s="240" t="s">
        <v>492</v>
      </c>
      <c r="DM176" s="240" t="s">
        <v>492</v>
      </c>
      <c r="DN176" s="240" t="s">
        <v>492</v>
      </c>
      <c r="DO176" s="240" t="s">
        <v>492</v>
      </c>
      <c r="DP176" s="240" t="s">
        <v>492</v>
      </c>
      <c r="DQ176" s="240" t="s">
        <v>492</v>
      </c>
      <c r="DR176" s="240" t="s">
        <v>492</v>
      </c>
      <c r="DS176" s="240" t="s">
        <v>231</v>
      </c>
      <c r="DT176" s="240" t="s">
        <v>231</v>
      </c>
      <c r="DU176" s="240" t="s">
        <v>231</v>
      </c>
      <c r="DV176" s="240" t="s">
        <v>231</v>
      </c>
      <c r="DW176" s="240" t="s">
        <v>231</v>
      </c>
      <c r="DX176" s="240" t="s">
        <v>231</v>
      </c>
      <c r="DY176" s="240" t="s">
        <v>231</v>
      </c>
      <c r="DZ176" s="240" t="s">
        <v>231</v>
      </c>
      <c r="EA176" s="240" t="s">
        <v>231</v>
      </c>
      <c r="EB176" s="240" t="s">
        <v>231</v>
      </c>
      <c r="EC176" s="240" t="s">
        <v>231</v>
      </c>
      <c r="ED176" s="240" t="s">
        <v>231</v>
      </c>
      <c r="EE176" s="240" t="s">
        <v>231</v>
      </c>
      <c r="EF176" s="240" t="s">
        <v>231</v>
      </c>
      <c r="EG176" s="240" t="s">
        <v>231</v>
      </c>
      <c r="EH176" s="240" t="s">
        <v>231</v>
      </c>
      <c r="EI176" s="240" t="s">
        <v>231</v>
      </c>
      <c r="EJ176" s="240" t="s">
        <v>231</v>
      </c>
      <c r="EK176" s="240" t="s">
        <v>231</v>
      </c>
      <c r="EL176" s="240" t="s">
        <v>231</v>
      </c>
      <c r="EM176" s="240" t="s">
        <v>231</v>
      </c>
      <c r="EN176" s="240" t="s">
        <v>231</v>
      </c>
      <c r="EO176" s="240" t="s">
        <v>492</v>
      </c>
      <c r="EP176" s="240" t="s">
        <v>492</v>
      </c>
      <c r="EQ176" s="240" t="s">
        <v>492</v>
      </c>
      <c r="ER176" s="240" t="s">
        <v>492</v>
      </c>
      <c r="ES176" s="240" t="s">
        <v>492</v>
      </c>
      <c r="ET176" s="240" t="s">
        <v>492</v>
      </c>
      <c r="EU176" s="240" t="s">
        <v>492</v>
      </c>
      <c r="EV176" s="240" t="s">
        <v>492</v>
      </c>
      <c r="EW176" s="240" t="s">
        <v>492</v>
      </c>
      <c r="EX176" s="240" t="s">
        <v>492</v>
      </c>
      <c r="EY176" s="240" t="s">
        <v>492</v>
      </c>
      <c r="EZ176" s="240" t="s">
        <v>231</v>
      </c>
      <c r="FA176" s="240" t="s">
        <v>231</v>
      </c>
      <c r="FB176" s="240" t="s">
        <v>231</v>
      </c>
      <c r="FC176" s="240" t="s">
        <v>492</v>
      </c>
      <c r="FD176" s="240" t="s">
        <v>231</v>
      </c>
      <c r="FE176" s="240" t="s">
        <v>231</v>
      </c>
      <c r="FF176" s="240" t="s">
        <v>231</v>
      </c>
      <c r="FG176" s="240" t="s">
        <v>492</v>
      </c>
      <c r="FH176" s="240" t="s">
        <v>231</v>
      </c>
      <c r="FI176" s="240" t="s">
        <v>231</v>
      </c>
      <c r="FJ176" s="240" t="s">
        <v>231</v>
      </c>
      <c r="FK176" s="240" t="s">
        <v>231</v>
      </c>
      <c r="FL176" s="240" t="s">
        <v>231</v>
      </c>
      <c r="FM176" s="240" t="s">
        <v>231</v>
      </c>
      <c r="FN176" s="240" t="s">
        <v>231</v>
      </c>
      <c r="FO176" s="240" t="s">
        <v>231</v>
      </c>
      <c r="FP176" s="240" t="s">
        <v>231</v>
      </c>
      <c r="FQ176" s="240" t="s">
        <v>231</v>
      </c>
      <c r="FR176" s="240" t="s">
        <v>231</v>
      </c>
      <c r="FS176" s="240" t="s">
        <v>231</v>
      </c>
      <c r="FT176" s="240" t="s">
        <v>231</v>
      </c>
      <c r="FU176" s="240" t="s">
        <v>231</v>
      </c>
      <c r="FV176" s="240" t="s">
        <v>231</v>
      </c>
      <c r="FW176" s="240" t="s">
        <v>231</v>
      </c>
      <c r="FX176" s="240" t="s">
        <v>486</v>
      </c>
      <c r="FY176" s="240" t="s">
        <v>492</v>
      </c>
      <c r="FZ176" s="240" t="s">
        <v>231</v>
      </c>
      <c r="GA176" s="240" t="s">
        <v>231</v>
      </c>
      <c r="GB176" s="240" t="s">
        <v>231</v>
      </c>
      <c r="GC176" s="240" t="s">
        <v>231</v>
      </c>
      <c r="GD176" s="240" t="s">
        <v>492</v>
      </c>
      <c r="GE176" s="240" t="s">
        <v>492</v>
      </c>
      <c r="GF176" s="240" t="s">
        <v>231</v>
      </c>
      <c r="GG176" s="240" t="s">
        <v>231</v>
      </c>
      <c r="GH176" s="240" t="s">
        <v>492</v>
      </c>
      <c r="GI176" s="240" t="s">
        <v>492</v>
      </c>
      <c r="GJ176" s="240" t="s">
        <v>231</v>
      </c>
      <c r="GK176" s="240" t="s">
        <v>231</v>
      </c>
      <c r="GL176" s="240" t="s">
        <v>231</v>
      </c>
      <c r="GM176" s="240" t="s">
        <v>231</v>
      </c>
      <c r="GN176" s="240" t="s">
        <v>492</v>
      </c>
      <c r="GO176" s="240" t="s">
        <v>231</v>
      </c>
      <c r="GP176" s="240" t="s">
        <v>231</v>
      </c>
      <c r="GQ176" s="240" t="s">
        <v>231</v>
      </c>
      <c r="GR176" s="240" t="s">
        <v>231</v>
      </c>
      <c r="GS176" s="240" t="s">
        <v>231</v>
      </c>
      <c r="GT176" s="240" t="s">
        <v>492</v>
      </c>
      <c r="GU176" s="240" t="s">
        <v>231</v>
      </c>
      <c r="GV176" s="240" t="s">
        <v>231</v>
      </c>
      <c r="GW176" s="240" t="s">
        <v>492</v>
      </c>
      <c r="GX176" s="240" t="s">
        <v>231</v>
      </c>
      <c r="GY176" s="240" t="s">
        <v>492</v>
      </c>
      <c r="GZ176" s="240" t="s">
        <v>492</v>
      </c>
      <c r="HA176" s="240" t="s">
        <v>492</v>
      </c>
      <c r="HB176" s="240" t="s">
        <v>492</v>
      </c>
      <c r="HC176" s="240" t="s">
        <v>492</v>
      </c>
      <c r="HD176" s="240" t="s">
        <v>231</v>
      </c>
      <c r="HE176" s="240" t="s">
        <v>231</v>
      </c>
      <c r="HF176" s="240" t="s">
        <v>231</v>
      </c>
      <c r="HG176" s="240" t="s">
        <v>231</v>
      </c>
      <c r="HH176" s="240" t="s">
        <v>231</v>
      </c>
      <c r="HI176" s="240" t="s">
        <v>231</v>
      </c>
      <c r="HJ176" s="240" t="s">
        <v>231</v>
      </c>
      <c r="HK176" s="240" t="s">
        <v>231</v>
      </c>
      <c r="HL176" s="240" t="s">
        <v>231</v>
      </c>
      <c r="HM176" s="240" t="s">
        <v>231</v>
      </c>
      <c r="HN176" s="240" t="s">
        <v>231</v>
      </c>
      <c r="HO176" s="240" t="s">
        <v>231</v>
      </c>
      <c r="HP176" s="240" t="s">
        <v>231</v>
      </c>
      <c r="HQ176" s="240" t="s">
        <v>231</v>
      </c>
      <c r="HR176" s="240" t="s">
        <v>231</v>
      </c>
      <c r="HS176" s="240" t="s">
        <v>231</v>
      </c>
      <c r="HT176" s="240" t="s">
        <v>231</v>
      </c>
      <c r="HU176" s="240" t="s">
        <v>231</v>
      </c>
      <c r="HV176" s="240" t="s">
        <v>231</v>
      </c>
      <c r="HW176" s="240" t="s">
        <v>231</v>
      </c>
      <c r="HX176" s="240" t="s">
        <v>220</v>
      </c>
      <c r="HY176" s="240" t="s">
        <v>493</v>
      </c>
      <c r="HZ176" s="240" t="s">
        <v>219</v>
      </c>
      <c r="IA176" s="240" t="s">
        <v>490</v>
      </c>
      <c r="IB176" s="240" t="s">
        <v>231</v>
      </c>
      <c r="IC176" s="240" t="s">
        <v>231</v>
      </c>
    </row>
    <row r="177" spans="1:237" ht="15" x14ac:dyDescent="0.25">
      <c r="A177" s="243" t="str">
        <f>HYPERLINK("http://www.ofsted.gov.uk/inspection-reports/find-inspection-report/provider/ELS/145493 ","Ofsted School Webpage")</f>
        <v>Ofsted School Webpage</v>
      </c>
      <c r="B177" s="237">
        <v>145493</v>
      </c>
      <c r="C177" s="237">
        <v>8856046</v>
      </c>
      <c r="D177" s="237" t="s">
        <v>1459</v>
      </c>
      <c r="E177" s="237" t="s">
        <v>247</v>
      </c>
      <c r="F177" s="237" t="s">
        <v>502</v>
      </c>
      <c r="G177" s="237" t="s">
        <v>502</v>
      </c>
      <c r="H177" s="237" t="s">
        <v>550</v>
      </c>
      <c r="I177" s="237" t="s">
        <v>1460</v>
      </c>
      <c r="J177" s="237" t="s">
        <v>93</v>
      </c>
      <c r="K177" s="237" t="s">
        <v>93</v>
      </c>
      <c r="L177" s="237" t="s">
        <v>93</v>
      </c>
      <c r="M177" s="237" t="s">
        <v>90</v>
      </c>
      <c r="N177" s="237" t="s">
        <v>486</v>
      </c>
      <c r="O177" s="237" t="s">
        <v>487</v>
      </c>
      <c r="P177" s="237">
        <v>10085994</v>
      </c>
      <c r="Q177" s="239">
        <v>43487</v>
      </c>
      <c r="R177" s="239">
        <v>43487</v>
      </c>
      <c r="S177" s="239">
        <v>43517</v>
      </c>
      <c r="T177" s="237" t="s">
        <v>1377</v>
      </c>
      <c r="U177" s="237" t="s">
        <v>1105</v>
      </c>
      <c r="V177" s="237" t="s">
        <v>490</v>
      </c>
      <c r="W177" s="237" t="s">
        <v>486</v>
      </c>
      <c r="X177" s="237" t="s">
        <v>486</v>
      </c>
      <c r="Y177" s="237" t="s">
        <v>486</v>
      </c>
      <c r="Z177" s="237" t="s">
        <v>486</v>
      </c>
      <c r="AA177" s="237" t="s">
        <v>486</v>
      </c>
      <c r="AB177" s="237" t="s">
        <v>486</v>
      </c>
      <c r="AC177" s="237" t="s">
        <v>486</v>
      </c>
      <c r="AD177" s="237" t="s">
        <v>1378</v>
      </c>
      <c r="AE177" s="237" t="s">
        <v>231</v>
      </c>
      <c r="AF177" s="237" t="s">
        <v>231</v>
      </c>
      <c r="AG177" s="237" t="s">
        <v>231</v>
      </c>
      <c r="AH177" s="237" t="s">
        <v>231</v>
      </c>
      <c r="AI177" s="237" t="s">
        <v>231</v>
      </c>
      <c r="AJ177" s="237" t="s">
        <v>231</v>
      </c>
      <c r="AK177" s="237" t="s">
        <v>231</v>
      </c>
      <c r="AL177" s="237" t="s">
        <v>231</v>
      </c>
      <c r="AM177" s="237" t="s">
        <v>492</v>
      </c>
      <c r="AN177" s="237" t="s">
        <v>231</v>
      </c>
      <c r="AO177" s="237" t="s">
        <v>231</v>
      </c>
      <c r="AP177" s="237" t="s">
        <v>231</v>
      </c>
      <c r="AQ177" s="237" t="s">
        <v>492</v>
      </c>
      <c r="AR177" s="237" t="s">
        <v>492</v>
      </c>
      <c r="AS177" s="237" t="s">
        <v>492</v>
      </c>
      <c r="AT177" s="237" t="s">
        <v>492</v>
      </c>
      <c r="AU177" s="237" t="s">
        <v>492</v>
      </c>
      <c r="AV177" s="237" t="s">
        <v>492</v>
      </c>
      <c r="AW177" s="237" t="s">
        <v>231</v>
      </c>
      <c r="AX177" s="237" t="s">
        <v>231</v>
      </c>
      <c r="AY177" s="237" t="s">
        <v>231</v>
      </c>
      <c r="AZ177" s="237" t="s">
        <v>231</v>
      </c>
      <c r="BA177" s="237" t="s">
        <v>231</v>
      </c>
      <c r="BB177" s="237" t="s">
        <v>231</v>
      </c>
      <c r="BC177" s="237" t="s">
        <v>231</v>
      </c>
      <c r="BD177" s="237" t="s">
        <v>231</v>
      </c>
      <c r="BE177" s="237" t="s">
        <v>231</v>
      </c>
      <c r="BF177" s="237" t="s">
        <v>231</v>
      </c>
      <c r="BG177" s="237" t="s">
        <v>231</v>
      </c>
      <c r="BH177" s="237" t="s">
        <v>231</v>
      </c>
      <c r="BI177" s="237" t="s">
        <v>231</v>
      </c>
      <c r="BJ177" s="237" t="s">
        <v>231</v>
      </c>
      <c r="BK177" s="237" t="s">
        <v>231</v>
      </c>
      <c r="BL177" s="237" t="s">
        <v>231</v>
      </c>
      <c r="BM177" s="237" t="s">
        <v>231</v>
      </c>
      <c r="BN177" s="237" t="s">
        <v>231</v>
      </c>
      <c r="BO177" s="237" t="s">
        <v>231</v>
      </c>
      <c r="BP177" s="237" t="s">
        <v>231</v>
      </c>
      <c r="BQ177" s="237" t="s">
        <v>231</v>
      </c>
      <c r="BR177" s="237" t="s">
        <v>231</v>
      </c>
      <c r="BS177" s="237" t="s">
        <v>231</v>
      </c>
      <c r="BT177" s="237" t="s">
        <v>231</v>
      </c>
      <c r="BU177" s="237" t="s">
        <v>231</v>
      </c>
      <c r="BV177" s="237" t="s">
        <v>231</v>
      </c>
      <c r="BW177" s="237" t="s">
        <v>231</v>
      </c>
      <c r="BX177" s="237" t="s">
        <v>231</v>
      </c>
      <c r="BY177" s="237" t="s">
        <v>231</v>
      </c>
      <c r="BZ177" s="237" t="s">
        <v>231</v>
      </c>
      <c r="CA177" s="237" t="s">
        <v>231</v>
      </c>
      <c r="CB177" s="237" t="s">
        <v>231</v>
      </c>
      <c r="CC177" s="237" t="s">
        <v>492</v>
      </c>
      <c r="CD177" s="237" t="s">
        <v>492</v>
      </c>
      <c r="CE177" s="237" t="s">
        <v>492</v>
      </c>
      <c r="CF177" s="237" t="s">
        <v>231</v>
      </c>
      <c r="CG177" s="237" t="s">
        <v>231</v>
      </c>
      <c r="CH177" s="237" t="s">
        <v>231</v>
      </c>
      <c r="CI177" s="237" t="s">
        <v>231</v>
      </c>
      <c r="CJ177" s="237" t="s">
        <v>231</v>
      </c>
      <c r="CK177" s="237" t="s">
        <v>231</v>
      </c>
      <c r="CL177" s="237" t="s">
        <v>231</v>
      </c>
      <c r="CM177" s="237" t="s">
        <v>231</v>
      </c>
      <c r="CN177" s="237" t="s">
        <v>231</v>
      </c>
      <c r="CO177" s="237" t="s">
        <v>231</v>
      </c>
      <c r="CP177" s="237" t="s">
        <v>231</v>
      </c>
      <c r="CQ177" s="237" t="s">
        <v>231</v>
      </c>
      <c r="CR177" s="237" t="s">
        <v>231</v>
      </c>
      <c r="CS177" s="237" t="s">
        <v>231</v>
      </c>
      <c r="CT177" s="237" t="s">
        <v>231</v>
      </c>
      <c r="CU177" s="237" t="s">
        <v>231</v>
      </c>
      <c r="CV177" s="237" t="s">
        <v>231</v>
      </c>
      <c r="CW177" s="237" t="s">
        <v>231</v>
      </c>
      <c r="CX177" s="237" t="s">
        <v>231</v>
      </c>
      <c r="CY177" s="237" t="s">
        <v>231</v>
      </c>
      <c r="CZ177" s="237" t="s">
        <v>231</v>
      </c>
      <c r="DA177" s="237" t="s">
        <v>231</v>
      </c>
      <c r="DB177" s="237" t="s">
        <v>231</v>
      </c>
      <c r="DC177" s="237" t="s">
        <v>492</v>
      </c>
      <c r="DD177" s="237" t="s">
        <v>231</v>
      </c>
      <c r="DE177" s="237" t="s">
        <v>231</v>
      </c>
      <c r="DF177" s="237" t="s">
        <v>231</v>
      </c>
      <c r="DG177" s="237" t="s">
        <v>231</v>
      </c>
      <c r="DH177" s="237" t="s">
        <v>231</v>
      </c>
      <c r="DI177" s="237" t="s">
        <v>231</v>
      </c>
      <c r="DJ177" s="237" t="s">
        <v>231</v>
      </c>
      <c r="DK177" s="237" t="s">
        <v>231</v>
      </c>
      <c r="DL177" s="237" t="s">
        <v>231</v>
      </c>
      <c r="DM177" s="237" t="s">
        <v>231</v>
      </c>
      <c r="DN177" s="237" t="s">
        <v>231</v>
      </c>
      <c r="DO177" s="237" t="s">
        <v>486</v>
      </c>
      <c r="DP177" s="237" t="s">
        <v>231</v>
      </c>
      <c r="DQ177" s="237" t="s">
        <v>492</v>
      </c>
      <c r="DR177" s="237" t="s">
        <v>231</v>
      </c>
      <c r="DS177" s="237" t="s">
        <v>231</v>
      </c>
      <c r="DT177" s="237" t="s">
        <v>231</v>
      </c>
      <c r="DU177" s="237" t="s">
        <v>231</v>
      </c>
      <c r="DV177" s="237" t="s">
        <v>231</v>
      </c>
      <c r="DW177" s="237" t="s">
        <v>231</v>
      </c>
      <c r="DX177" s="237" t="s">
        <v>231</v>
      </c>
      <c r="DY177" s="237" t="s">
        <v>231</v>
      </c>
      <c r="DZ177" s="237" t="s">
        <v>231</v>
      </c>
      <c r="EA177" s="237" t="s">
        <v>231</v>
      </c>
      <c r="EB177" s="237" t="s">
        <v>231</v>
      </c>
      <c r="EC177" s="237" t="s">
        <v>231</v>
      </c>
      <c r="ED177" s="237" t="s">
        <v>231</v>
      </c>
      <c r="EE177" s="237" t="s">
        <v>231</v>
      </c>
      <c r="EF177" s="237" t="s">
        <v>231</v>
      </c>
      <c r="EG177" s="237" t="s">
        <v>231</v>
      </c>
      <c r="EH177" s="237" t="s">
        <v>231</v>
      </c>
      <c r="EI177" s="237" t="s">
        <v>231</v>
      </c>
      <c r="EJ177" s="237" t="s">
        <v>231</v>
      </c>
      <c r="EK177" s="237" t="s">
        <v>231</v>
      </c>
      <c r="EL177" s="237" t="s">
        <v>231</v>
      </c>
      <c r="EM177" s="237" t="s">
        <v>231</v>
      </c>
      <c r="EN177" s="237" t="s">
        <v>231</v>
      </c>
      <c r="EO177" s="237" t="s">
        <v>231</v>
      </c>
      <c r="EP177" s="237" t="s">
        <v>231</v>
      </c>
      <c r="EQ177" s="237" t="s">
        <v>231</v>
      </c>
      <c r="ER177" s="237" t="s">
        <v>231</v>
      </c>
      <c r="ES177" s="237" t="s">
        <v>231</v>
      </c>
      <c r="ET177" s="237" t="s">
        <v>231</v>
      </c>
      <c r="EU177" s="237" t="s">
        <v>231</v>
      </c>
      <c r="EV177" s="237" t="s">
        <v>231</v>
      </c>
      <c r="EW177" s="237" t="s">
        <v>231</v>
      </c>
      <c r="EX177" s="237" t="s">
        <v>231</v>
      </c>
      <c r="EY177" s="237" t="s">
        <v>231</v>
      </c>
      <c r="EZ177" s="237" t="s">
        <v>231</v>
      </c>
      <c r="FA177" s="237" t="s">
        <v>231</v>
      </c>
      <c r="FB177" s="237" t="s">
        <v>231</v>
      </c>
      <c r="FC177" s="237" t="s">
        <v>492</v>
      </c>
      <c r="FD177" s="237" t="s">
        <v>231</v>
      </c>
      <c r="FE177" s="237" t="s">
        <v>231</v>
      </c>
      <c r="FF177" s="237" t="s">
        <v>231</v>
      </c>
      <c r="FG177" s="237" t="s">
        <v>492</v>
      </c>
      <c r="FH177" s="237" t="s">
        <v>231</v>
      </c>
      <c r="FI177" s="237" t="s">
        <v>231</v>
      </c>
      <c r="FJ177" s="237" t="s">
        <v>231</v>
      </c>
      <c r="FK177" s="237" t="s">
        <v>231</v>
      </c>
      <c r="FL177" s="237" t="s">
        <v>231</v>
      </c>
      <c r="FM177" s="237" t="s">
        <v>231</v>
      </c>
      <c r="FN177" s="237" t="s">
        <v>231</v>
      </c>
      <c r="FO177" s="237" t="s">
        <v>231</v>
      </c>
      <c r="FP177" s="237" t="s">
        <v>231</v>
      </c>
      <c r="FQ177" s="237" t="s">
        <v>231</v>
      </c>
      <c r="FR177" s="237" t="s">
        <v>231</v>
      </c>
      <c r="FS177" s="237" t="s">
        <v>231</v>
      </c>
      <c r="FT177" s="237" t="s">
        <v>231</v>
      </c>
      <c r="FU177" s="237" t="s">
        <v>231</v>
      </c>
      <c r="FV177" s="237" t="s">
        <v>231</v>
      </c>
      <c r="FW177" s="237" t="s">
        <v>231</v>
      </c>
      <c r="FX177" s="237" t="s">
        <v>231</v>
      </c>
      <c r="FY177" s="237" t="s">
        <v>492</v>
      </c>
      <c r="FZ177" s="237" t="s">
        <v>231</v>
      </c>
      <c r="GA177" s="237" t="s">
        <v>231</v>
      </c>
      <c r="GB177" s="237" t="s">
        <v>231</v>
      </c>
      <c r="GC177" s="237" t="s">
        <v>231</v>
      </c>
      <c r="GD177" s="237" t="s">
        <v>492</v>
      </c>
      <c r="GE177" s="237" t="s">
        <v>492</v>
      </c>
      <c r="GF177" s="237" t="s">
        <v>231</v>
      </c>
      <c r="GG177" s="237" t="s">
        <v>231</v>
      </c>
      <c r="GH177" s="237" t="s">
        <v>231</v>
      </c>
      <c r="GI177" s="237" t="s">
        <v>231</v>
      </c>
      <c r="GJ177" s="237" t="s">
        <v>231</v>
      </c>
      <c r="GK177" s="237" t="s">
        <v>231</v>
      </c>
      <c r="GL177" s="237" t="s">
        <v>231</v>
      </c>
      <c r="GM177" s="237" t="s">
        <v>231</v>
      </c>
      <c r="GN177" s="237" t="s">
        <v>231</v>
      </c>
      <c r="GO177" s="237" t="s">
        <v>492</v>
      </c>
      <c r="GP177" s="237" t="s">
        <v>231</v>
      </c>
      <c r="GQ177" s="237" t="s">
        <v>231</v>
      </c>
      <c r="GR177" s="237" t="s">
        <v>486</v>
      </c>
      <c r="GS177" s="237" t="s">
        <v>231</v>
      </c>
      <c r="GT177" s="237" t="s">
        <v>231</v>
      </c>
      <c r="GU177" s="237" t="s">
        <v>231</v>
      </c>
      <c r="GV177" s="237" t="s">
        <v>231</v>
      </c>
      <c r="GW177" s="237" t="s">
        <v>231</v>
      </c>
      <c r="GX177" s="237" t="s">
        <v>231</v>
      </c>
      <c r="GY177" s="237" t="s">
        <v>231</v>
      </c>
      <c r="GZ177" s="237" t="s">
        <v>492</v>
      </c>
      <c r="HA177" s="237" t="s">
        <v>492</v>
      </c>
      <c r="HB177" s="237" t="s">
        <v>492</v>
      </c>
      <c r="HC177" s="237" t="s">
        <v>492</v>
      </c>
      <c r="HD177" s="237" t="s">
        <v>231</v>
      </c>
      <c r="HE177" s="237" t="s">
        <v>231</v>
      </c>
      <c r="HF177" s="237" t="s">
        <v>231</v>
      </c>
      <c r="HG177" s="237" t="s">
        <v>231</v>
      </c>
      <c r="HH177" s="237" t="s">
        <v>231</v>
      </c>
      <c r="HI177" s="237" t="s">
        <v>231</v>
      </c>
      <c r="HJ177" s="237" t="s">
        <v>231</v>
      </c>
      <c r="HK177" s="237" t="s">
        <v>231</v>
      </c>
      <c r="HL177" s="237" t="s">
        <v>231</v>
      </c>
      <c r="HM177" s="237" t="s">
        <v>231</v>
      </c>
      <c r="HN177" s="237" t="s">
        <v>231</v>
      </c>
      <c r="HO177" s="237" t="s">
        <v>231</v>
      </c>
      <c r="HP177" s="237" t="s">
        <v>231</v>
      </c>
      <c r="HQ177" s="237" t="s">
        <v>231</v>
      </c>
      <c r="HR177" s="237" t="s">
        <v>231</v>
      </c>
      <c r="HS177" s="237" t="s">
        <v>231</v>
      </c>
      <c r="HT177" s="237" t="s">
        <v>231</v>
      </c>
      <c r="HU177" s="237" t="s">
        <v>231</v>
      </c>
      <c r="HV177" s="237" t="s">
        <v>231</v>
      </c>
      <c r="HW177" s="237" t="s">
        <v>231</v>
      </c>
      <c r="HX177" s="237" t="s">
        <v>220</v>
      </c>
      <c r="HY177" s="237" t="s">
        <v>493</v>
      </c>
      <c r="HZ177" s="237" t="s">
        <v>219</v>
      </c>
      <c r="IA177" s="237" t="s">
        <v>490</v>
      </c>
      <c r="IB177" s="237" t="s">
        <v>492</v>
      </c>
      <c r="IC177" s="237" t="s">
        <v>492</v>
      </c>
    </row>
    <row r="178" spans="1:237" ht="15" x14ac:dyDescent="0.25">
      <c r="A178" s="244" t="str">
        <f>HYPERLINK("http://www.ofsted.gov.uk/inspection-reports/find-inspection-report/provider/ELS/146519 ","Ofsted School Webpage")</f>
        <v>Ofsted School Webpage</v>
      </c>
      <c r="B178" s="240">
        <v>146519</v>
      </c>
      <c r="C178" s="240">
        <v>9166021</v>
      </c>
      <c r="D178" s="240" t="s">
        <v>1461</v>
      </c>
      <c r="E178" s="240" t="s">
        <v>248</v>
      </c>
      <c r="F178" s="240" t="s">
        <v>483</v>
      </c>
      <c r="G178" s="240" t="s">
        <v>483</v>
      </c>
      <c r="H178" s="240" t="s">
        <v>948</v>
      </c>
      <c r="I178" s="240" t="s">
        <v>1409</v>
      </c>
      <c r="J178" s="240" t="s">
        <v>498</v>
      </c>
      <c r="K178" s="240" t="s">
        <v>93</v>
      </c>
      <c r="L178" s="240" t="s">
        <v>498</v>
      </c>
      <c r="M178" s="240" t="s">
        <v>90</v>
      </c>
      <c r="N178" s="240" t="s">
        <v>486</v>
      </c>
      <c r="O178" s="240" t="s">
        <v>487</v>
      </c>
      <c r="P178" s="240">
        <v>10086448</v>
      </c>
      <c r="Q178" s="242">
        <v>43496</v>
      </c>
      <c r="R178" s="242">
        <v>43496</v>
      </c>
      <c r="S178" s="242">
        <v>43518</v>
      </c>
      <c r="T178" s="240" t="s">
        <v>1377</v>
      </c>
      <c r="U178" s="240" t="s">
        <v>1105</v>
      </c>
      <c r="V178" s="240" t="s">
        <v>490</v>
      </c>
      <c r="W178" s="240" t="s">
        <v>486</v>
      </c>
      <c r="X178" s="240" t="s">
        <v>486</v>
      </c>
      <c r="Y178" s="240" t="s">
        <v>486</v>
      </c>
      <c r="Z178" s="240" t="s">
        <v>486</v>
      </c>
      <c r="AA178" s="240" t="s">
        <v>486</v>
      </c>
      <c r="AB178" s="240" t="s">
        <v>486</v>
      </c>
      <c r="AC178" s="240" t="s">
        <v>486</v>
      </c>
      <c r="AD178" s="240" t="s">
        <v>1378</v>
      </c>
      <c r="AE178" s="240" t="s">
        <v>231</v>
      </c>
      <c r="AF178" s="240" t="s">
        <v>231</v>
      </c>
      <c r="AG178" s="240" t="s">
        <v>231</v>
      </c>
      <c r="AH178" s="240" t="s">
        <v>231</v>
      </c>
      <c r="AI178" s="240" t="s">
        <v>231</v>
      </c>
      <c r="AJ178" s="240" t="s">
        <v>231</v>
      </c>
      <c r="AK178" s="240" t="s">
        <v>231</v>
      </c>
      <c r="AL178" s="240" t="s">
        <v>231</v>
      </c>
      <c r="AM178" s="240" t="s">
        <v>492</v>
      </c>
      <c r="AN178" s="240" t="s">
        <v>231</v>
      </c>
      <c r="AO178" s="240" t="s">
        <v>231</v>
      </c>
      <c r="AP178" s="240" t="s">
        <v>231</v>
      </c>
      <c r="AQ178" s="240" t="s">
        <v>231</v>
      </c>
      <c r="AR178" s="240" t="s">
        <v>231</v>
      </c>
      <c r="AS178" s="240" t="s">
        <v>231</v>
      </c>
      <c r="AT178" s="240" t="s">
        <v>231</v>
      </c>
      <c r="AU178" s="240" t="s">
        <v>492</v>
      </c>
      <c r="AV178" s="240" t="s">
        <v>492</v>
      </c>
      <c r="AW178" s="240" t="s">
        <v>231</v>
      </c>
      <c r="AX178" s="240" t="s">
        <v>231</v>
      </c>
      <c r="AY178" s="240" t="s">
        <v>231</v>
      </c>
      <c r="AZ178" s="240" t="s">
        <v>231</v>
      </c>
      <c r="BA178" s="240" t="s">
        <v>231</v>
      </c>
      <c r="BB178" s="240" t="s">
        <v>231</v>
      </c>
      <c r="BC178" s="240" t="s">
        <v>231</v>
      </c>
      <c r="BD178" s="240" t="s">
        <v>231</v>
      </c>
      <c r="BE178" s="240" t="s">
        <v>231</v>
      </c>
      <c r="BF178" s="240" t="s">
        <v>231</v>
      </c>
      <c r="BG178" s="240" t="s">
        <v>231</v>
      </c>
      <c r="BH178" s="240" t="s">
        <v>231</v>
      </c>
      <c r="BI178" s="240" t="s">
        <v>231</v>
      </c>
      <c r="BJ178" s="240" t="s">
        <v>231</v>
      </c>
      <c r="BK178" s="240" t="s">
        <v>231</v>
      </c>
      <c r="BL178" s="240" t="s">
        <v>231</v>
      </c>
      <c r="BM178" s="240" t="s">
        <v>231</v>
      </c>
      <c r="BN178" s="240" t="s">
        <v>231</v>
      </c>
      <c r="BO178" s="240" t="s">
        <v>231</v>
      </c>
      <c r="BP178" s="240" t="s">
        <v>231</v>
      </c>
      <c r="BQ178" s="240" t="s">
        <v>231</v>
      </c>
      <c r="BR178" s="240" t="s">
        <v>231</v>
      </c>
      <c r="BS178" s="240" t="s">
        <v>231</v>
      </c>
      <c r="BT178" s="240" t="s">
        <v>231</v>
      </c>
      <c r="BU178" s="240" t="s">
        <v>231</v>
      </c>
      <c r="BV178" s="240" t="s">
        <v>231</v>
      </c>
      <c r="BW178" s="240" t="s">
        <v>231</v>
      </c>
      <c r="BX178" s="240" t="s">
        <v>231</v>
      </c>
      <c r="BY178" s="240" t="s">
        <v>231</v>
      </c>
      <c r="BZ178" s="240" t="s">
        <v>231</v>
      </c>
      <c r="CA178" s="240" t="s">
        <v>231</v>
      </c>
      <c r="CB178" s="240" t="s">
        <v>231</v>
      </c>
      <c r="CC178" s="240" t="s">
        <v>492</v>
      </c>
      <c r="CD178" s="240" t="s">
        <v>492</v>
      </c>
      <c r="CE178" s="240" t="s">
        <v>492</v>
      </c>
      <c r="CF178" s="240" t="s">
        <v>231</v>
      </c>
      <c r="CG178" s="240" t="s">
        <v>231</v>
      </c>
      <c r="CH178" s="240" t="s">
        <v>231</v>
      </c>
      <c r="CI178" s="240" t="s">
        <v>231</v>
      </c>
      <c r="CJ178" s="240" t="s">
        <v>231</v>
      </c>
      <c r="CK178" s="240" t="s">
        <v>231</v>
      </c>
      <c r="CL178" s="240" t="s">
        <v>231</v>
      </c>
      <c r="CM178" s="240" t="s">
        <v>231</v>
      </c>
      <c r="CN178" s="240" t="s">
        <v>231</v>
      </c>
      <c r="CO178" s="240" t="s">
        <v>231</v>
      </c>
      <c r="CP178" s="240" t="s">
        <v>231</v>
      </c>
      <c r="CQ178" s="240" t="s">
        <v>231</v>
      </c>
      <c r="CR178" s="240" t="s">
        <v>231</v>
      </c>
      <c r="CS178" s="240" t="s">
        <v>231</v>
      </c>
      <c r="CT178" s="240" t="s">
        <v>231</v>
      </c>
      <c r="CU178" s="240" t="s">
        <v>231</v>
      </c>
      <c r="CV178" s="240" t="s">
        <v>231</v>
      </c>
      <c r="CW178" s="240" t="s">
        <v>231</v>
      </c>
      <c r="CX178" s="240" t="s">
        <v>231</v>
      </c>
      <c r="CY178" s="240" t="s">
        <v>231</v>
      </c>
      <c r="CZ178" s="240" t="s">
        <v>231</v>
      </c>
      <c r="DA178" s="240" t="s">
        <v>231</v>
      </c>
      <c r="DB178" s="240" t="s">
        <v>231</v>
      </c>
      <c r="DC178" s="240" t="s">
        <v>492</v>
      </c>
      <c r="DD178" s="240" t="s">
        <v>231</v>
      </c>
      <c r="DE178" s="240" t="s">
        <v>231</v>
      </c>
      <c r="DF178" s="240" t="s">
        <v>231</v>
      </c>
      <c r="DG178" s="240" t="s">
        <v>231</v>
      </c>
      <c r="DH178" s="240" t="s">
        <v>231</v>
      </c>
      <c r="DI178" s="240" t="s">
        <v>231</v>
      </c>
      <c r="DJ178" s="240" t="s">
        <v>231</v>
      </c>
      <c r="DK178" s="240" t="s">
        <v>231</v>
      </c>
      <c r="DL178" s="240" t="s">
        <v>231</v>
      </c>
      <c r="DM178" s="240" t="s">
        <v>231</v>
      </c>
      <c r="DN178" s="240" t="s">
        <v>231</v>
      </c>
      <c r="DO178" s="240" t="s">
        <v>231</v>
      </c>
      <c r="DP178" s="240" t="s">
        <v>231</v>
      </c>
      <c r="DQ178" s="240" t="s">
        <v>492</v>
      </c>
      <c r="DR178" s="240" t="s">
        <v>231</v>
      </c>
      <c r="DS178" s="240" t="s">
        <v>231</v>
      </c>
      <c r="DT178" s="240" t="s">
        <v>231</v>
      </c>
      <c r="DU178" s="240" t="s">
        <v>231</v>
      </c>
      <c r="DV178" s="240" t="s">
        <v>231</v>
      </c>
      <c r="DW178" s="240" t="s">
        <v>231</v>
      </c>
      <c r="DX178" s="240" t="s">
        <v>231</v>
      </c>
      <c r="DY178" s="240" t="s">
        <v>231</v>
      </c>
      <c r="DZ178" s="240" t="s">
        <v>231</v>
      </c>
      <c r="EA178" s="240" t="s">
        <v>231</v>
      </c>
      <c r="EB178" s="240" t="s">
        <v>231</v>
      </c>
      <c r="EC178" s="240" t="s">
        <v>231</v>
      </c>
      <c r="ED178" s="240" t="s">
        <v>231</v>
      </c>
      <c r="EE178" s="240" t="s">
        <v>231</v>
      </c>
      <c r="EF178" s="240" t="s">
        <v>231</v>
      </c>
      <c r="EG178" s="240" t="s">
        <v>231</v>
      </c>
      <c r="EH178" s="240" t="s">
        <v>231</v>
      </c>
      <c r="EI178" s="240" t="s">
        <v>231</v>
      </c>
      <c r="EJ178" s="240" t="s">
        <v>231</v>
      </c>
      <c r="EK178" s="240" t="s">
        <v>231</v>
      </c>
      <c r="EL178" s="240" t="s">
        <v>231</v>
      </c>
      <c r="EM178" s="240" t="s">
        <v>231</v>
      </c>
      <c r="EN178" s="240" t="s">
        <v>231</v>
      </c>
      <c r="EO178" s="240" t="s">
        <v>492</v>
      </c>
      <c r="EP178" s="240" t="s">
        <v>231</v>
      </c>
      <c r="EQ178" s="240" t="s">
        <v>231</v>
      </c>
      <c r="ER178" s="240" t="s">
        <v>231</v>
      </c>
      <c r="ES178" s="240" t="s">
        <v>231</v>
      </c>
      <c r="ET178" s="240" t="s">
        <v>231</v>
      </c>
      <c r="EU178" s="240" t="s">
        <v>231</v>
      </c>
      <c r="EV178" s="240" t="s">
        <v>231</v>
      </c>
      <c r="EW178" s="240" t="s">
        <v>231</v>
      </c>
      <c r="EX178" s="240" t="s">
        <v>231</v>
      </c>
      <c r="EY178" s="240" t="s">
        <v>231</v>
      </c>
      <c r="EZ178" s="240" t="s">
        <v>231</v>
      </c>
      <c r="FA178" s="240" t="s">
        <v>231</v>
      </c>
      <c r="FB178" s="240" t="s">
        <v>231</v>
      </c>
      <c r="FC178" s="240" t="s">
        <v>231</v>
      </c>
      <c r="FD178" s="240" t="s">
        <v>231</v>
      </c>
      <c r="FE178" s="240" t="s">
        <v>231</v>
      </c>
      <c r="FF178" s="240" t="s">
        <v>231</v>
      </c>
      <c r="FG178" s="240" t="s">
        <v>231</v>
      </c>
      <c r="FH178" s="240" t="s">
        <v>231</v>
      </c>
      <c r="FI178" s="240" t="s">
        <v>231</v>
      </c>
      <c r="FJ178" s="240" t="s">
        <v>231</v>
      </c>
      <c r="FK178" s="240" t="s">
        <v>231</v>
      </c>
      <c r="FL178" s="240" t="s">
        <v>231</v>
      </c>
      <c r="FM178" s="240" t="s">
        <v>231</v>
      </c>
      <c r="FN178" s="240" t="s">
        <v>231</v>
      </c>
      <c r="FO178" s="240" t="s">
        <v>231</v>
      </c>
      <c r="FP178" s="240" t="s">
        <v>231</v>
      </c>
      <c r="FQ178" s="240" t="s">
        <v>231</v>
      </c>
      <c r="FR178" s="240" t="s">
        <v>231</v>
      </c>
      <c r="FS178" s="240" t="s">
        <v>231</v>
      </c>
      <c r="FT178" s="240" t="s">
        <v>231</v>
      </c>
      <c r="FU178" s="240" t="s">
        <v>231</v>
      </c>
      <c r="FV178" s="240" t="s">
        <v>231</v>
      </c>
      <c r="FW178" s="240" t="s">
        <v>231</v>
      </c>
      <c r="FX178" s="240" t="s">
        <v>231</v>
      </c>
      <c r="FY178" s="240" t="s">
        <v>231</v>
      </c>
      <c r="FZ178" s="240" t="s">
        <v>231</v>
      </c>
      <c r="GA178" s="240" t="s">
        <v>231</v>
      </c>
      <c r="GB178" s="240" t="s">
        <v>231</v>
      </c>
      <c r="GC178" s="240" t="s">
        <v>231</v>
      </c>
      <c r="GD178" s="240" t="s">
        <v>231</v>
      </c>
      <c r="GE178" s="240" t="s">
        <v>492</v>
      </c>
      <c r="GF178" s="240" t="s">
        <v>231</v>
      </c>
      <c r="GG178" s="240" t="s">
        <v>231</v>
      </c>
      <c r="GH178" s="240" t="s">
        <v>231</v>
      </c>
      <c r="GI178" s="240" t="s">
        <v>231</v>
      </c>
      <c r="GJ178" s="240" t="s">
        <v>231</v>
      </c>
      <c r="GK178" s="240" t="s">
        <v>231</v>
      </c>
      <c r="GL178" s="240" t="s">
        <v>231</v>
      </c>
      <c r="GM178" s="240" t="s">
        <v>231</v>
      </c>
      <c r="GN178" s="240" t="s">
        <v>231</v>
      </c>
      <c r="GO178" s="240" t="s">
        <v>231</v>
      </c>
      <c r="GP178" s="240" t="s">
        <v>231</v>
      </c>
      <c r="GQ178" s="240" t="s">
        <v>231</v>
      </c>
      <c r="GR178" s="240" t="s">
        <v>231</v>
      </c>
      <c r="GS178" s="240" t="s">
        <v>231</v>
      </c>
      <c r="GT178" s="240" t="s">
        <v>231</v>
      </c>
      <c r="GU178" s="240" t="s">
        <v>231</v>
      </c>
      <c r="GV178" s="240" t="s">
        <v>231</v>
      </c>
      <c r="GW178" s="240" t="s">
        <v>231</v>
      </c>
      <c r="GX178" s="240" t="s">
        <v>231</v>
      </c>
      <c r="GY178" s="240" t="s">
        <v>231</v>
      </c>
      <c r="GZ178" s="240" t="s">
        <v>231</v>
      </c>
      <c r="HA178" s="240" t="s">
        <v>231</v>
      </c>
      <c r="HB178" s="240" t="s">
        <v>231</v>
      </c>
      <c r="HC178" s="240" t="s">
        <v>231</v>
      </c>
      <c r="HD178" s="240" t="s">
        <v>231</v>
      </c>
      <c r="HE178" s="240" t="s">
        <v>231</v>
      </c>
      <c r="HF178" s="240" t="s">
        <v>231</v>
      </c>
      <c r="HG178" s="240" t="s">
        <v>231</v>
      </c>
      <c r="HH178" s="240" t="s">
        <v>231</v>
      </c>
      <c r="HI178" s="240" t="s">
        <v>231</v>
      </c>
      <c r="HJ178" s="240" t="s">
        <v>231</v>
      </c>
      <c r="HK178" s="240" t="s">
        <v>231</v>
      </c>
      <c r="HL178" s="240" t="s">
        <v>231</v>
      </c>
      <c r="HM178" s="240" t="s">
        <v>231</v>
      </c>
      <c r="HN178" s="240" t="s">
        <v>231</v>
      </c>
      <c r="HO178" s="240" t="s">
        <v>231</v>
      </c>
      <c r="HP178" s="240" t="s">
        <v>231</v>
      </c>
      <c r="HQ178" s="240" t="s">
        <v>231</v>
      </c>
      <c r="HR178" s="240" t="s">
        <v>231</v>
      </c>
      <c r="HS178" s="240" t="s">
        <v>231</v>
      </c>
      <c r="HT178" s="240" t="s">
        <v>231</v>
      </c>
      <c r="HU178" s="240" t="s">
        <v>231</v>
      </c>
      <c r="HV178" s="240" t="s">
        <v>231</v>
      </c>
      <c r="HW178" s="240" t="s">
        <v>231</v>
      </c>
      <c r="HX178" s="240" t="s">
        <v>220</v>
      </c>
      <c r="HY178" s="240" t="s">
        <v>493</v>
      </c>
      <c r="HZ178" s="240" t="s">
        <v>219</v>
      </c>
      <c r="IA178" s="240" t="s">
        <v>490</v>
      </c>
      <c r="IB178" s="240" t="s">
        <v>492</v>
      </c>
      <c r="IC178" s="240" t="s">
        <v>492</v>
      </c>
    </row>
    <row r="179" spans="1:237" ht="15" x14ac:dyDescent="0.25">
      <c r="A179" s="243" t="str">
        <f>HYPERLINK("http://www.ofsted.gov.uk/inspection-reports/find-inspection-report/provider/ELS/146626 ","Ofsted School Webpage")</f>
        <v>Ofsted School Webpage</v>
      </c>
      <c r="B179" s="237">
        <v>146626</v>
      </c>
      <c r="C179" s="237">
        <v>9266021</v>
      </c>
      <c r="D179" s="237" t="s">
        <v>1462</v>
      </c>
      <c r="E179" s="237" t="s">
        <v>248</v>
      </c>
      <c r="F179" s="237" t="s">
        <v>516</v>
      </c>
      <c r="G179" s="237" t="s">
        <v>516</v>
      </c>
      <c r="H179" s="237" t="s">
        <v>528</v>
      </c>
      <c r="I179" s="237" t="s">
        <v>1463</v>
      </c>
      <c r="J179" s="237" t="s">
        <v>498</v>
      </c>
      <c r="K179" s="237" t="s">
        <v>93</v>
      </c>
      <c r="L179" s="237" t="s">
        <v>498</v>
      </c>
      <c r="M179" s="237" t="s">
        <v>90</v>
      </c>
      <c r="N179" s="237" t="s">
        <v>486</v>
      </c>
      <c r="O179" s="237" t="s">
        <v>487</v>
      </c>
      <c r="P179" s="237">
        <v>10086145</v>
      </c>
      <c r="Q179" s="239">
        <v>43493</v>
      </c>
      <c r="R179" s="239">
        <v>43493</v>
      </c>
      <c r="S179" s="239">
        <v>43521</v>
      </c>
      <c r="T179" s="237" t="s">
        <v>1377</v>
      </c>
      <c r="U179" s="237" t="s">
        <v>1105</v>
      </c>
      <c r="V179" s="237" t="s">
        <v>490</v>
      </c>
      <c r="W179" s="237" t="s">
        <v>486</v>
      </c>
      <c r="X179" s="237" t="s">
        <v>486</v>
      </c>
      <c r="Y179" s="237" t="s">
        <v>486</v>
      </c>
      <c r="Z179" s="237" t="s">
        <v>486</v>
      </c>
      <c r="AA179" s="237" t="s">
        <v>486</v>
      </c>
      <c r="AB179" s="237" t="s">
        <v>486</v>
      </c>
      <c r="AC179" s="237" t="s">
        <v>486</v>
      </c>
      <c r="AD179" s="237" t="s">
        <v>1378</v>
      </c>
      <c r="AE179" s="237" t="s">
        <v>231</v>
      </c>
      <c r="AF179" s="237" t="s">
        <v>231</v>
      </c>
      <c r="AG179" s="237" t="s">
        <v>231</v>
      </c>
      <c r="AH179" s="237" t="s">
        <v>231</v>
      </c>
      <c r="AI179" s="237" t="s">
        <v>231</v>
      </c>
      <c r="AJ179" s="237" t="s">
        <v>231</v>
      </c>
      <c r="AK179" s="237" t="s">
        <v>231</v>
      </c>
      <c r="AL179" s="237" t="s">
        <v>231</v>
      </c>
      <c r="AM179" s="237" t="s">
        <v>492</v>
      </c>
      <c r="AN179" s="237" t="s">
        <v>231</v>
      </c>
      <c r="AO179" s="237" t="s">
        <v>231</v>
      </c>
      <c r="AP179" s="237" t="s">
        <v>231</v>
      </c>
      <c r="AQ179" s="237" t="s">
        <v>231</v>
      </c>
      <c r="AR179" s="237" t="s">
        <v>231</v>
      </c>
      <c r="AS179" s="237" t="s">
        <v>231</v>
      </c>
      <c r="AT179" s="237" t="s">
        <v>231</v>
      </c>
      <c r="AU179" s="237" t="s">
        <v>492</v>
      </c>
      <c r="AV179" s="237" t="s">
        <v>492</v>
      </c>
      <c r="AW179" s="237" t="s">
        <v>231</v>
      </c>
      <c r="AX179" s="237" t="s">
        <v>231</v>
      </c>
      <c r="AY179" s="237" t="s">
        <v>231</v>
      </c>
      <c r="AZ179" s="237" t="s">
        <v>231</v>
      </c>
      <c r="BA179" s="237" t="s">
        <v>231</v>
      </c>
      <c r="BB179" s="237" t="s">
        <v>231</v>
      </c>
      <c r="BC179" s="237" t="s">
        <v>231</v>
      </c>
      <c r="BD179" s="237" t="s">
        <v>231</v>
      </c>
      <c r="BE179" s="237" t="s">
        <v>231</v>
      </c>
      <c r="BF179" s="237" t="s">
        <v>231</v>
      </c>
      <c r="BG179" s="237" t="s">
        <v>231</v>
      </c>
      <c r="BH179" s="237" t="s">
        <v>231</v>
      </c>
      <c r="BI179" s="237" t="s">
        <v>231</v>
      </c>
      <c r="BJ179" s="237" t="s">
        <v>231</v>
      </c>
      <c r="BK179" s="237" t="s">
        <v>231</v>
      </c>
      <c r="BL179" s="237" t="s">
        <v>231</v>
      </c>
      <c r="BM179" s="237" t="s">
        <v>231</v>
      </c>
      <c r="BN179" s="237" t="s">
        <v>231</v>
      </c>
      <c r="BO179" s="237" t="s">
        <v>231</v>
      </c>
      <c r="BP179" s="237" t="s">
        <v>231</v>
      </c>
      <c r="BQ179" s="237" t="s">
        <v>231</v>
      </c>
      <c r="BR179" s="237" t="s">
        <v>231</v>
      </c>
      <c r="BS179" s="237" t="s">
        <v>231</v>
      </c>
      <c r="BT179" s="237" t="s">
        <v>231</v>
      </c>
      <c r="BU179" s="237" t="s">
        <v>231</v>
      </c>
      <c r="BV179" s="237" t="s">
        <v>231</v>
      </c>
      <c r="BW179" s="237" t="s">
        <v>231</v>
      </c>
      <c r="BX179" s="237" t="s">
        <v>231</v>
      </c>
      <c r="BY179" s="237" t="s">
        <v>231</v>
      </c>
      <c r="BZ179" s="237" t="s">
        <v>231</v>
      </c>
      <c r="CA179" s="237" t="s">
        <v>231</v>
      </c>
      <c r="CB179" s="237" t="s">
        <v>231</v>
      </c>
      <c r="CC179" s="237" t="s">
        <v>492</v>
      </c>
      <c r="CD179" s="237" t="s">
        <v>492</v>
      </c>
      <c r="CE179" s="237" t="s">
        <v>492</v>
      </c>
      <c r="CF179" s="237" t="s">
        <v>231</v>
      </c>
      <c r="CG179" s="237" t="s">
        <v>231</v>
      </c>
      <c r="CH179" s="237" t="s">
        <v>231</v>
      </c>
      <c r="CI179" s="237" t="s">
        <v>231</v>
      </c>
      <c r="CJ179" s="237" t="s">
        <v>231</v>
      </c>
      <c r="CK179" s="237" t="s">
        <v>231</v>
      </c>
      <c r="CL179" s="237" t="s">
        <v>231</v>
      </c>
      <c r="CM179" s="237" t="s">
        <v>231</v>
      </c>
      <c r="CN179" s="237" t="s">
        <v>231</v>
      </c>
      <c r="CO179" s="237" t="s">
        <v>231</v>
      </c>
      <c r="CP179" s="237" t="s">
        <v>231</v>
      </c>
      <c r="CQ179" s="237" t="s">
        <v>231</v>
      </c>
      <c r="CR179" s="237" t="s">
        <v>231</v>
      </c>
      <c r="CS179" s="237" t="s">
        <v>231</v>
      </c>
      <c r="CT179" s="237" t="s">
        <v>231</v>
      </c>
      <c r="CU179" s="237" t="s">
        <v>231</v>
      </c>
      <c r="CV179" s="237" t="s">
        <v>231</v>
      </c>
      <c r="CW179" s="237" t="s">
        <v>231</v>
      </c>
      <c r="CX179" s="237" t="s">
        <v>231</v>
      </c>
      <c r="CY179" s="237" t="s">
        <v>231</v>
      </c>
      <c r="CZ179" s="237" t="s">
        <v>231</v>
      </c>
      <c r="DA179" s="237" t="s">
        <v>231</v>
      </c>
      <c r="DB179" s="237" t="s">
        <v>231</v>
      </c>
      <c r="DC179" s="237" t="s">
        <v>492</v>
      </c>
      <c r="DD179" s="237" t="s">
        <v>231</v>
      </c>
      <c r="DE179" s="237" t="s">
        <v>492</v>
      </c>
      <c r="DF179" s="237" t="s">
        <v>492</v>
      </c>
      <c r="DG179" s="237" t="s">
        <v>492</v>
      </c>
      <c r="DH179" s="237" t="s">
        <v>492</v>
      </c>
      <c r="DI179" s="237" t="s">
        <v>492</v>
      </c>
      <c r="DJ179" s="237" t="s">
        <v>492</v>
      </c>
      <c r="DK179" s="237" t="s">
        <v>492</v>
      </c>
      <c r="DL179" s="237" t="s">
        <v>492</v>
      </c>
      <c r="DM179" s="237" t="s">
        <v>492</v>
      </c>
      <c r="DN179" s="237" t="s">
        <v>492</v>
      </c>
      <c r="DO179" s="237" t="s">
        <v>492</v>
      </c>
      <c r="DP179" s="237" t="s">
        <v>492</v>
      </c>
      <c r="DQ179" s="237" t="s">
        <v>492</v>
      </c>
      <c r="DR179" s="237" t="s">
        <v>492</v>
      </c>
      <c r="DS179" s="237" t="s">
        <v>231</v>
      </c>
      <c r="DT179" s="237" t="s">
        <v>231</v>
      </c>
      <c r="DU179" s="237" t="s">
        <v>231</v>
      </c>
      <c r="DV179" s="237" t="s">
        <v>231</v>
      </c>
      <c r="DW179" s="237" t="s">
        <v>231</v>
      </c>
      <c r="DX179" s="237" t="s">
        <v>231</v>
      </c>
      <c r="DY179" s="237" t="s">
        <v>231</v>
      </c>
      <c r="DZ179" s="237" t="s">
        <v>231</v>
      </c>
      <c r="EA179" s="237" t="s">
        <v>231</v>
      </c>
      <c r="EB179" s="237" t="s">
        <v>231</v>
      </c>
      <c r="EC179" s="237" t="s">
        <v>231</v>
      </c>
      <c r="ED179" s="237" t="s">
        <v>231</v>
      </c>
      <c r="EE179" s="237" t="s">
        <v>231</v>
      </c>
      <c r="EF179" s="237" t="s">
        <v>231</v>
      </c>
      <c r="EG179" s="237" t="s">
        <v>231</v>
      </c>
      <c r="EH179" s="237" t="s">
        <v>231</v>
      </c>
      <c r="EI179" s="237" t="s">
        <v>231</v>
      </c>
      <c r="EJ179" s="237" t="s">
        <v>231</v>
      </c>
      <c r="EK179" s="237" t="s">
        <v>231</v>
      </c>
      <c r="EL179" s="237" t="s">
        <v>231</v>
      </c>
      <c r="EM179" s="237" t="s">
        <v>231</v>
      </c>
      <c r="EN179" s="237" t="s">
        <v>231</v>
      </c>
      <c r="EO179" s="237" t="s">
        <v>492</v>
      </c>
      <c r="EP179" s="237" t="s">
        <v>492</v>
      </c>
      <c r="EQ179" s="237" t="s">
        <v>492</v>
      </c>
      <c r="ER179" s="237" t="s">
        <v>492</v>
      </c>
      <c r="ES179" s="237" t="s">
        <v>492</v>
      </c>
      <c r="ET179" s="237" t="s">
        <v>492</v>
      </c>
      <c r="EU179" s="237" t="s">
        <v>492</v>
      </c>
      <c r="EV179" s="237" t="s">
        <v>231</v>
      </c>
      <c r="EW179" s="237" t="s">
        <v>492</v>
      </c>
      <c r="EX179" s="237" t="s">
        <v>492</v>
      </c>
      <c r="EY179" s="237" t="s">
        <v>492</v>
      </c>
      <c r="EZ179" s="237" t="s">
        <v>231</v>
      </c>
      <c r="FA179" s="237" t="s">
        <v>231</v>
      </c>
      <c r="FB179" s="237" t="s">
        <v>231</v>
      </c>
      <c r="FC179" s="237" t="s">
        <v>231</v>
      </c>
      <c r="FD179" s="237" t="s">
        <v>231</v>
      </c>
      <c r="FE179" s="237" t="s">
        <v>231</v>
      </c>
      <c r="FF179" s="237" t="s">
        <v>231</v>
      </c>
      <c r="FG179" s="237" t="s">
        <v>492</v>
      </c>
      <c r="FH179" s="237" t="s">
        <v>231</v>
      </c>
      <c r="FI179" s="237" t="s">
        <v>231</v>
      </c>
      <c r="FJ179" s="237" t="s">
        <v>231</v>
      </c>
      <c r="FK179" s="237" t="s">
        <v>231</v>
      </c>
      <c r="FL179" s="237" t="s">
        <v>231</v>
      </c>
      <c r="FM179" s="237" t="s">
        <v>231</v>
      </c>
      <c r="FN179" s="237" t="s">
        <v>231</v>
      </c>
      <c r="FO179" s="237" t="s">
        <v>231</v>
      </c>
      <c r="FP179" s="237" t="s">
        <v>231</v>
      </c>
      <c r="FQ179" s="237" t="s">
        <v>231</v>
      </c>
      <c r="FR179" s="237" t="s">
        <v>231</v>
      </c>
      <c r="FS179" s="237" t="s">
        <v>231</v>
      </c>
      <c r="FT179" s="237" t="s">
        <v>231</v>
      </c>
      <c r="FU179" s="237" t="s">
        <v>231</v>
      </c>
      <c r="FV179" s="237" t="s">
        <v>231</v>
      </c>
      <c r="FW179" s="237" t="s">
        <v>231</v>
      </c>
      <c r="FX179" s="237" t="s">
        <v>231</v>
      </c>
      <c r="FY179" s="237" t="s">
        <v>492</v>
      </c>
      <c r="FZ179" s="237" t="s">
        <v>231</v>
      </c>
      <c r="GA179" s="237" t="s">
        <v>231</v>
      </c>
      <c r="GB179" s="237" t="s">
        <v>231</v>
      </c>
      <c r="GC179" s="237" t="s">
        <v>231</v>
      </c>
      <c r="GD179" s="237" t="s">
        <v>231</v>
      </c>
      <c r="GE179" s="237" t="s">
        <v>492</v>
      </c>
      <c r="GF179" s="237" t="s">
        <v>231</v>
      </c>
      <c r="GG179" s="237" t="s">
        <v>231</v>
      </c>
      <c r="GH179" s="237" t="s">
        <v>231</v>
      </c>
      <c r="GI179" s="237" t="s">
        <v>231</v>
      </c>
      <c r="GJ179" s="237" t="s">
        <v>231</v>
      </c>
      <c r="GK179" s="237" t="s">
        <v>231</v>
      </c>
      <c r="GL179" s="237" t="s">
        <v>231</v>
      </c>
      <c r="GM179" s="237" t="s">
        <v>231</v>
      </c>
      <c r="GN179" s="237" t="s">
        <v>492</v>
      </c>
      <c r="GO179" s="237" t="s">
        <v>231</v>
      </c>
      <c r="GP179" s="237" t="s">
        <v>231</v>
      </c>
      <c r="GQ179" s="237" t="s">
        <v>231</v>
      </c>
      <c r="GR179" s="237" t="s">
        <v>231</v>
      </c>
      <c r="GS179" s="237" t="s">
        <v>231</v>
      </c>
      <c r="GT179" s="237" t="s">
        <v>231</v>
      </c>
      <c r="GU179" s="237" t="s">
        <v>231</v>
      </c>
      <c r="GV179" s="237" t="s">
        <v>231</v>
      </c>
      <c r="GW179" s="237" t="s">
        <v>231</v>
      </c>
      <c r="GX179" s="237" t="s">
        <v>231</v>
      </c>
      <c r="GY179" s="237" t="s">
        <v>231</v>
      </c>
      <c r="GZ179" s="237" t="s">
        <v>492</v>
      </c>
      <c r="HA179" s="237" t="s">
        <v>492</v>
      </c>
      <c r="HB179" s="237" t="s">
        <v>492</v>
      </c>
      <c r="HC179" s="237" t="s">
        <v>492</v>
      </c>
      <c r="HD179" s="237" t="s">
        <v>231</v>
      </c>
      <c r="HE179" s="237" t="s">
        <v>231</v>
      </c>
      <c r="HF179" s="237" t="s">
        <v>231</v>
      </c>
      <c r="HG179" s="237" t="s">
        <v>231</v>
      </c>
      <c r="HH179" s="237" t="s">
        <v>231</v>
      </c>
      <c r="HI179" s="237" t="s">
        <v>231</v>
      </c>
      <c r="HJ179" s="237" t="s">
        <v>231</v>
      </c>
      <c r="HK179" s="237" t="s">
        <v>231</v>
      </c>
      <c r="HL179" s="237" t="s">
        <v>231</v>
      </c>
      <c r="HM179" s="237" t="s">
        <v>231</v>
      </c>
      <c r="HN179" s="237" t="s">
        <v>231</v>
      </c>
      <c r="HO179" s="237" t="s">
        <v>231</v>
      </c>
      <c r="HP179" s="237" t="s">
        <v>231</v>
      </c>
      <c r="HQ179" s="237" t="s">
        <v>231</v>
      </c>
      <c r="HR179" s="237" t="s">
        <v>231</v>
      </c>
      <c r="HS179" s="237" t="s">
        <v>231</v>
      </c>
      <c r="HT179" s="237" t="s">
        <v>231</v>
      </c>
      <c r="HU179" s="237" t="s">
        <v>231</v>
      </c>
      <c r="HV179" s="237" t="s">
        <v>231</v>
      </c>
      <c r="HW179" s="237" t="s">
        <v>231</v>
      </c>
      <c r="HX179" s="237" t="s">
        <v>220</v>
      </c>
      <c r="HY179" s="237" t="s">
        <v>493</v>
      </c>
      <c r="HZ179" s="237" t="s">
        <v>219</v>
      </c>
      <c r="IA179" s="237" t="s">
        <v>490</v>
      </c>
      <c r="IB179" s="237" t="s">
        <v>492</v>
      </c>
      <c r="IC179" s="237" t="s">
        <v>492</v>
      </c>
    </row>
    <row r="180" spans="1:237" ht="15" x14ac:dyDescent="0.25">
      <c r="A180" s="244" t="str">
        <f>HYPERLINK("http://www.ofsted.gov.uk/inspection-reports/find-inspection-report/provider/ELS/146571 ","Ofsted School Webpage")</f>
        <v>Ofsted School Webpage</v>
      </c>
      <c r="B180" s="240">
        <v>146571</v>
      </c>
      <c r="C180" s="240">
        <v>3726000</v>
      </c>
      <c r="D180" s="240" t="s">
        <v>1464</v>
      </c>
      <c r="E180" s="240" t="s">
        <v>248</v>
      </c>
      <c r="F180" s="240" t="s">
        <v>523</v>
      </c>
      <c r="G180" s="240" t="s">
        <v>524</v>
      </c>
      <c r="H180" s="240" t="s">
        <v>1465</v>
      </c>
      <c r="I180" s="240" t="s">
        <v>1466</v>
      </c>
      <c r="J180" s="240" t="s">
        <v>498</v>
      </c>
      <c r="K180" s="240" t="s">
        <v>93</v>
      </c>
      <c r="L180" s="240" t="s">
        <v>498</v>
      </c>
      <c r="M180" s="240" t="s">
        <v>90</v>
      </c>
      <c r="N180" s="240" t="s">
        <v>486</v>
      </c>
      <c r="O180" s="240" t="s">
        <v>487</v>
      </c>
      <c r="P180" s="240">
        <v>10089285</v>
      </c>
      <c r="Q180" s="242">
        <v>43486</v>
      </c>
      <c r="R180" s="242">
        <v>43486</v>
      </c>
      <c r="S180" s="242">
        <v>43525</v>
      </c>
      <c r="T180" s="240" t="s">
        <v>1377</v>
      </c>
      <c r="U180" s="240" t="s">
        <v>1105</v>
      </c>
      <c r="V180" s="240" t="s">
        <v>490</v>
      </c>
      <c r="W180" s="240" t="s">
        <v>486</v>
      </c>
      <c r="X180" s="240" t="s">
        <v>486</v>
      </c>
      <c r="Y180" s="240" t="s">
        <v>486</v>
      </c>
      <c r="Z180" s="240" t="s">
        <v>486</v>
      </c>
      <c r="AA180" s="240" t="s">
        <v>486</v>
      </c>
      <c r="AB180" s="240" t="s">
        <v>486</v>
      </c>
      <c r="AC180" s="240" t="s">
        <v>486</v>
      </c>
      <c r="AD180" s="240" t="s">
        <v>1378</v>
      </c>
      <c r="AE180" s="240" t="s">
        <v>231</v>
      </c>
      <c r="AF180" s="240" t="s">
        <v>231</v>
      </c>
      <c r="AG180" s="240" t="s">
        <v>231</v>
      </c>
      <c r="AH180" s="240" t="s">
        <v>231</v>
      </c>
      <c r="AI180" s="240" t="s">
        <v>231</v>
      </c>
      <c r="AJ180" s="240" t="s">
        <v>231</v>
      </c>
      <c r="AK180" s="240" t="s">
        <v>231</v>
      </c>
      <c r="AL180" s="240" t="s">
        <v>231</v>
      </c>
      <c r="AM180" s="240" t="s">
        <v>492</v>
      </c>
      <c r="AN180" s="240" t="s">
        <v>231</v>
      </c>
      <c r="AO180" s="240" t="s">
        <v>231</v>
      </c>
      <c r="AP180" s="240" t="s">
        <v>231</v>
      </c>
      <c r="AQ180" s="240" t="s">
        <v>231</v>
      </c>
      <c r="AR180" s="240" t="s">
        <v>231</v>
      </c>
      <c r="AS180" s="240" t="s">
        <v>231</v>
      </c>
      <c r="AT180" s="240" t="s">
        <v>231</v>
      </c>
      <c r="AU180" s="240" t="s">
        <v>492</v>
      </c>
      <c r="AV180" s="240" t="s">
        <v>231</v>
      </c>
      <c r="AW180" s="240" t="s">
        <v>231</v>
      </c>
      <c r="AX180" s="240" t="s">
        <v>231</v>
      </c>
      <c r="AY180" s="240" t="s">
        <v>231</v>
      </c>
      <c r="AZ180" s="240" t="s">
        <v>231</v>
      </c>
      <c r="BA180" s="240" t="s">
        <v>231</v>
      </c>
      <c r="BB180" s="240" t="s">
        <v>231</v>
      </c>
      <c r="BC180" s="240" t="s">
        <v>231</v>
      </c>
      <c r="BD180" s="240" t="s">
        <v>231</v>
      </c>
      <c r="BE180" s="240" t="s">
        <v>231</v>
      </c>
      <c r="BF180" s="240" t="s">
        <v>231</v>
      </c>
      <c r="BG180" s="240" t="s">
        <v>231</v>
      </c>
      <c r="BH180" s="240" t="s">
        <v>231</v>
      </c>
      <c r="BI180" s="240" t="s">
        <v>231</v>
      </c>
      <c r="BJ180" s="240" t="s">
        <v>231</v>
      </c>
      <c r="BK180" s="240" t="s">
        <v>231</v>
      </c>
      <c r="BL180" s="240" t="s">
        <v>231</v>
      </c>
      <c r="BM180" s="240" t="s">
        <v>231</v>
      </c>
      <c r="BN180" s="240" t="s">
        <v>231</v>
      </c>
      <c r="BO180" s="240" t="s">
        <v>231</v>
      </c>
      <c r="BP180" s="240" t="s">
        <v>231</v>
      </c>
      <c r="BQ180" s="240" t="s">
        <v>231</v>
      </c>
      <c r="BR180" s="240" t="s">
        <v>231</v>
      </c>
      <c r="BS180" s="240" t="s">
        <v>231</v>
      </c>
      <c r="BT180" s="240" t="s">
        <v>231</v>
      </c>
      <c r="BU180" s="240" t="s">
        <v>231</v>
      </c>
      <c r="BV180" s="240" t="s">
        <v>231</v>
      </c>
      <c r="BW180" s="240" t="s">
        <v>231</v>
      </c>
      <c r="BX180" s="240" t="s">
        <v>231</v>
      </c>
      <c r="BY180" s="240" t="s">
        <v>231</v>
      </c>
      <c r="BZ180" s="240" t="s">
        <v>231</v>
      </c>
      <c r="CA180" s="240" t="s">
        <v>231</v>
      </c>
      <c r="CB180" s="240" t="s">
        <v>231</v>
      </c>
      <c r="CC180" s="240" t="s">
        <v>492</v>
      </c>
      <c r="CD180" s="240" t="s">
        <v>492</v>
      </c>
      <c r="CE180" s="240" t="s">
        <v>492</v>
      </c>
      <c r="CF180" s="240" t="s">
        <v>231</v>
      </c>
      <c r="CG180" s="240" t="s">
        <v>231</v>
      </c>
      <c r="CH180" s="240" t="s">
        <v>231</v>
      </c>
      <c r="CI180" s="240" t="s">
        <v>231</v>
      </c>
      <c r="CJ180" s="240" t="s">
        <v>231</v>
      </c>
      <c r="CK180" s="240" t="s">
        <v>231</v>
      </c>
      <c r="CL180" s="240" t="s">
        <v>231</v>
      </c>
      <c r="CM180" s="240" t="s">
        <v>231</v>
      </c>
      <c r="CN180" s="240" t="s">
        <v>231</v>
      </c>
      <c r="CO180" s="240" t="s">
        <v>231</v>
      </c>
      <c r="CP180" s="240" t="s">
        <v>231</v>
      </c>
      <c r="CQ180" s="240" t="s">
        <v>231</v>
      </c>
      <c r="CR180" s="240" t="s">
        <v>231</v>
      </c>
      <c r="CS180" s="240" t="s">
        <v>231</v>
      </c>
      <c r="CT180" s="240" t="s">
        <v>231</v>
      </c>
      <c r="CU180" s="240" t="s">
        <v>231</v>
      </c>
      <c r="CV180" s="240" t="s">
        <v>231</v>
      </c>
      <c r="CW180" s="240" t="s">
        <v>231</v>
      </c>
      <c r="CX180" s="240" t="s">
        <v>231</v>
      </c>
      <c r="CY180" s="240" t="s">
        <v>231</v>
      </c>
      <c r="CZ180" s="240" t="s">
        <v>231</v>
      </c>
      <c r="DA180" s="240" t="s">
        <v>231</v>
      </c>
      <c r="DB180" s="240" t="s">
        <v>231</v>
      </c>
      <c r="DC180" s="240" t="s">
        <v>492</v>
      </c>
      <c r="DD180" s="240" t="s">
        <v>231</v>
      </c>
      <c r="DE180" s="240" t="s">
        <v>492</v>
      </c>
      <c r="DF180" s="240" t="s">
        <v>492</v>
      </c>
      <c r="DG180" s="240" t="s">
        <v>492</v>
      </c>
      <c r="DH180" s="240" t="s">
        <v>492</v>
      </c>
      <c r="DI180" s="240" t="s">
        <v>492</v>
      </c>
      <c r="DJ180" s="240" t="s">
        <v>492</v>
      </c>
      <c r="DK180" s="240" t="s">
        <v>492</v>
      </c>
      <c r="DL180" s="240" t="s">
        <v>492</v>
      </c>
      <c r="DM180" s="240" t="s">
        <v>492</v>
      </c>
      <c r="DN180" s="240" t="s">
        <v>492</v>
      </c>
      <c r="DO180" s="240" t="s">
        <v>492</v>
      </c>
      <c r="DP180" s="240" t="s">
        <v>492</v>
      </c>
      <c r="DQ180" s="240" t="s">
        <v>492</v>
      </c>
      <c r="DR180" s="240" t="s">
        <v>231</v>
      </c>
      <c r="DS180" s="240" t="s">
        <v>231</v>
      </c>
      <c r="DT180" s="240" t="s">
        <v>231</v>
      </c>
      <c r="DU180" s="240" t="s">
        <v>231</v>
      </c>
      <c r="DV180" s="240" t="s">
        <v>231</v>
      </c>
      <c r="DW180" s="240" t="s">
        <v>231</v>
      </c>
      <c r="DX180" s="240" t="s">
        <v>231</v>
      </c>
      <c r="DY180" s="240" t="s">
        <v>231</v>
      </c>
      <c r="DZ180" s="240" t="s">
        <v>231</v>
      </c>
      <c r="EA180" s="240" t="s">
        <v>231</v>
      </c>
      <c r="EB180" s="240" t="s">
        <v>231</v>
      </c>
      <c r="EC180" s="240" t="s">
        <v>231</v>
      </c>
      <c r="ED180" s="240" t="s">
        <v>231</v>
      </c>
      <c r="EE180" s="240" t="s">
        <v>231</v>
      </c>
      <c r="EF180" s="240" t="s">
        <v>231</v>
      </c>
      <c r="EG180" s="240" t="s">
        <v>231</v>
      </c>
      <c r="EH180" s="240" t="s">
        <v>231</v>
      </c>
      <c r="EI180" s="240" t="s">
        <v>231</v>
      </c>
      <c r="EJ180" s="240" t="s">
        <v>231</v>
      </c>
      <c r="EK180" s="240" t="s">
        <v>231</v>
      </c>
      <c r="EL180" s="240" t="s">
        <v>231</v>
      </c>
      <c r="EM180" s="240" t="s">
        <v>231</v>
      </c>
      <c r="EN180" s="240" t="s">
        <v>231</v>
      </c>
      <c r="EO180" s="240" t="s">
        <v>492</v>
      </c>
      <c r="EP180" s="240" t="s">
        <v>492</v>
      </c>
      <c r="EQ180" s="240" t="s">
        <v>492</v>
      </c>
      <c r="ER180" s="240" t="s">
        <v>492</v>
      </c>
      <c r="ES180" s="240" t="s">
        <v>492</v>
      </c>
      <c r="ET180" s="240" t="s">
        <v>492</v>
      </c>
      <c r="EU180" s="240" t="s">
        <v>492</v>
      </c>
      <c r="EV180" s="240" t="s">
        <v>231</v>
      </c>
      <c r="EW180" s="240" t="s">
        <v>231</v>
      </c>
      <c r="EX180" s="240" t="s">
        <v>231</v>
      </c>
      <c r="EY180" s="240" t="s">
        <v>231</v>
      </c>
      <c r="EZ180" s="240" t="s">
        <v>231</v>
      </c>
      <c r="FA180" s="240" t="s">
        <v>231</v>
      </c>
      <c r="FB180" s="240" t="s">
        <v>231</v>
      </c>
      <c r="FC180" s="240" t="s">
        <v>231</v>
      </c>
      <c r="FD180" s="240" t="s">
        <v>231</v>
      </c>
      <c r="FE180" s="240" t="s">
        <v>231</v>
      </c>
      <c r="FF180" s="240" t="s">
        <v>231</v>
      </c>
      <c r="FG180" s="240" t="s">
        <v>492</v>
      </c>
      <c r="FH180" s="240" t="s">
        <v>231</v>
      </c>
      <c r="FI180" s="240" t="s">
        <v>231</v>
      </c>
      <c r="FJ180" s="240" t="s">
        <v>231</v>
      </c>
      <c r="FK180" s="240" t="s">
        <v>231</v>
      </c>
      <c r="FL180" s="240" t="s">
        <v>231</v>
      </c>
      <c r="FM180" s="240" t="s">
        <v>231</v>
      </c>
      <c r="FN180" s="240" t="s">
        <v>231</v>
      </c>
      <c r="FO180" s="240" t="s">
        <v>231</v>
      </c>
      <c r="FP180" s="240" t="s">
        <v>231</v>
      </c>
      <c r="FQ180" s="240" t="s">
        <v>231</v>
      </c>
      <c r="FR180" s="240" t="s">
        <v>231</v>
      </c>
      <c r="FS180" s="240" t="s">
        <v>231</v>
      </c>
      <c r="FT180" s="240" t="s">
        <v>231</v>
      </c>
      <c r="FU180" s="240" t="s">
        <v>231</v>
      </c>
      <c r="FV180" s="240" t="s">
        <v>231</v>
      </c>
      <c r="FW180" s="240" t="s">
        <v>231</v>
      </c>
      <c r="FX180" s="240" t="s">
        <v>231</v>
      </c>
      <c r="FY180" s="240" t="s">
        <v>492</v>
      </c>
      <c r="FZ180" s="240" t="s">
        <v>231</v>
      </c>
      <c r="GA180" s="240" t="s">
        <v>231</v>
      </c>
      <c r="GB180" s="240" t="s">
        <v>231</v>
      </c>
      <c r="GC180" s="240" t="s">
        <v>231</v>
      </c>
      <c r="GD180" s="240" t="s">
        <v>231</v>
      </c>
      <c r="GE180" s="240" t="s">
        <v>492</v>
      </c>
      <c r="GF180" s="240" t="s">
        <v>231</v>
      </c>
      <c r="GG180" s="240" t="s">
        <v>231</v>
      </c>
      <c r="GH180" s="240" t="s">
        <v>231</v>
      </c>
      <c r="GI180" s="240" t="s">
        <v>231</v>
      </c>
      <c r="GJ180" s="240" t="s">
        <v>231</v>
      </c>
      <c r="GK180" s="240" t="s">
        <v>231</v>
      </c>
      <c r="GL180" s="240" t="s">
        <v>231</v>
      </c>
      <c r="GM180" s="240" t="s">
        <v>231</v>
      </c>
      <c r="GN180" s="240" t="s">
        <v>231</v>
      </c>
      <c r="GO180" s="240" t="s">
        <v>231</v>
      </c>
      <c r="GP180" s="240" t="s">
        <v>231</v>
      </c>
      <c r="GQ180" s="240" t="s">
        <v>231</v>
      </c>
      <c r="GR180" s="240" t="s">
        <v>231</v>
      </c>
      <c r="GS180" s="240" t="s">
        <v>231</v>
      </c>
      <c r="GT180" s="240" t="s">
        <v>231</v>
      </c>
      <c r="GU180" s="240" t="s">
        <v>231</v>
      </c>
      <c r="GV180" s="240" t="s">
        <v>231</v>
      </c>
      <c r="GW180" s="240" t="s">
        <v>231</v>
      </c>
      <c r="GX180" s="240" t="s">
        <v>231</v>
      </c>
      <c r="GY180" s="240" t="s">
        <v>231</v>
      </c>
      <c r="GZ180" s="240" t="s">
        <v>492</v>
      </c>
      <c r="HA180" s="240" t="s">
        <v>492</v>
      </c>
      <c r="HB180" s="240" t="s">
        <v>492</v>
      </c>
      <c r="HC180" s="240" t="s">
        <v>492</v>
      </c>
      <c r="HD180" s="240" t="s">
        <v>231</v>
      </c>
      <c r="HE180" s="240" t="s">
        <v>231</v>
      </c>
      <c r="HF180" s="240" t="s">
        <v>231</v>
      </c>
      <c r="HG180" s="240" t="s">
        <v>231</v>
      </c>
      <c r="HH180" s="240" t="s">
        <v>231</v>
      </c>
      <c r="HI180" s="240" t="s">
        <v>231</v>
      </c>
      <c r="HJ180" s="240" t="s">
        <v>231</v>
      </c>
      <c r="HK180" s="240" t="s">
        <v>231</v>
      </c>
      <c r="HL180" s="240" t="s">
        <v>231</v>
      </c>
      <c r="HM180" s="240" t="s">
        <v>231</v>
      </c>
      <c r="HN180" s="240" t="s">
        <v>231</v>
      </c>
      <c r="HO180" s="240" t="s">
        <v>231</v>
      </c>
      <c r="HP180" s="240" t="s">
        <v>231</v>
      </c>
      <c r="HQ180" s="240" t="s">
        <v>231</v>
      </c>
      <c r="HR180" s="240" t="s">
        <v>231</v>
      </c>
      <c r="HS180" s="240" t="s">
        <v>231</v>
      </c>
      <c r="HT180" s="240" t="s">
        <v>231</v>
      </c>
      <c r="HU180" s="240" t="s">
        <v>231</v>
      </c>
      <c r="HV180" s="240" t="s">
        <v>231</v>
      </c>
      <c r="HW180" s="240" t="s">
        <v>231</v>
      </c>
      <c r="HX180" s="240" t="s">
        <v>220</v>
      </c>
      <c r="HY180" s="240" t="s">
        <v>493</v>
      </c>
      <c r="HZ180" s="240" t="s">
        <v>219</v>
      </c>
      <c r="IA180" s="240" t="s">
        <v>490</v>
      </c>
      <c r="IB180" s="240" t="s">
        <v>492</v>
      </c>
      <c r="IC180" s="240" t="s">
        <v>492</v>
      </c>
    </row>
    <row r="181" spans="1:237" ht="15" x14ac:dyDescent="0.25">
      <c r="A181" s="243" t="str">
        <f>HYPERLINK("http://www.ofsted.gov.uk/inspection-reports/find-inspection-report/provider/ELS/146521 ","Ofsted School Webpage")</f>
        <v>Ofsted School Webpage</v>
      </c>
      <c r="B181" s="237">
        <v>146521</v>
      </c>
      <c r="C181" s="237">
        <v>8866152</v>
      </c>
      <c r="D181" s="237" t="s">
        <v>1467</v>
      </c>
      <c r="E181" s="237" t="s">
        <v>248</v>
      </c>
      <c r="F181" s="237" t="s">
        <v>581</v>
      </c>
      <c r="G181" s="237" t="s">
        <v>581</v>
      </c>
      <c r="H181" s="237" t="s">
        <v>694</v>
      </c>
      <c r="I181" s="237" t="s">
        <v>1468</v>
      </c>
      <c r="J181" s="237" t="s">
        <v>498</v>
      </c>
      <c r="K181" s="237" t="s">
        <v>93</v>
      </c>
      <c r="L181" s="237" t="s">
        <v>498</v>
      </c>
      <c r="M181" s="237" t="s">
        <v>90</v>
      </c>
      <c r="N181" s="237" t="s">
        <v>486</v>
      </c>
      <c r="O181" s="237" t="s">
        <v>487</v>
      </c>
      <c r="P181" s="237">
        <v>10091036</v>
      </c>
      <c r="Q181" s="239">
        <v>43487</v>
      </c>
      <c r="R181" s="239">
        <v>43487</v>
      </c>
      <c r="S181" s="239">
        <v>43525</v>
      </c>
      <c r="T181" s="237" t="s">
        <v>1377</v>
      </c>
      <c r="U181" s="237" t="s">
        <v>1105</v>
      </c>
      <c r="V181" s="237" t="s">
        <v>490</v>
      </c>
      <c r="W181" s="237" t="s">
        <v>486</v>
      </c>
      <c r="X181" s="237" t="s">
        <v>486</v>
      </c>
      <c r="Y181" s="237" t="s">
        <v>486</v>
      </c>
      <c r="Z181" s="237" t="s">
        <v>486</v>
      </c>
      <c r="AA181" s="237" t="s">
        <v>486</v>
      </c>
      <c r="AB181" s="237" t="s">
        <v>486</v>
      </c>
      <c r="AC181" s="237" t="s">
        <v>486</v>
      </c>
      <c r="AD181" s="237" t="s">
        <v>1378</v>
      </c>
      <c r="AE181" s="237" t="s">
        <v>231</v>
      </c>
      <c r="AF181" s="237" t="s">
        <v>231</v>
      </c>
      <c r="AG181" s="237" t="s">
        <v>231</v>
      </c>
      <c r="AH181" s="237" t="s">
        <v>231</v>
      </c>
      <c r="AI181" s="237" t="s">
        <v>231</v>
      </c>
      <c r="AJ181" s="237" t="s">
        <v>231</v>
      </c>
      <c r="AK181" s="237" t="s">
        <v>231</v>
      </c>
      <c r="AL181" s="237" t="s">
        <v>231</v>
      </c>
      <c r="AM181" s="237" t="s">
        <v>492</v>
      </c>
      <c r="AN181" s="237" t="s">
        <v>231</v>
      </c>
      <c r="AO181" s="237" t="s">
        <v>231</v>
      </c>
      <c r="AP181" s="237" t="s">
        <v>231</v>
      </c>
      <c r="AQ181" s="237" t="s">
        <v>231</v>
      </c>
      <c r="AR181" s="237" t="s">
        <v>231</v>
      </c>
      <c r="AS181" s="237" t="s">
        <v>231</v>
      </c>
      <c r="AT181" s="237" t="s">
        <v>231</v>
      </c>
      <c r="AU181" s="237" t="s">
        <v>492</v>
      </c>
      <c r="AV181" s="237" t="s">
        <v>492</v>
      </c>
      <c r="AW181" s="237" t="s">
        <v>231</v>
      </c>
      <c r="AX181" s="237" t="s">
        <v>231</v>
      </c>
      <c r="AY181" s="237" t="s">
        <v>231</v>
      </c>
      <c r="AZ181" s="237" t="s">
        <v>231</v>
      </c>
      <c r="BA181" s="237" t="s">
        <v>231</v>
      </c>
      <c r="BB181" s="237" t="s">
        <v>231</v>
      </c>
      <c r="BC181" s="237" t="s">
        <v>231</v>
      </c>
      <c r="BD181" s="237" t="s">
        <v>231</v>
      </c>
      <c r="BE181" s="237" t="s">
        <v>231</v>
      </c>
      <c r="BF181" s="237" t="s">
        <v>231</v>
      </c>
      <c r="BG181" s="237" t="s">
        <v>231</v>
      </c>
      <c r="BH181" s="237" t="s">
        <v>231</v>
      </c>
      <c r="BI181" s="237" t="s">
        <v>231</v>
      </c>
      <c r="BJ181" s="237" t="s">
        <v>231</v>
      </c>
      <c r="BK181" s="237" t="s">
        <v>231</v>
      </c>
      <c r="BL181" s="237" t="s">
        <v>231</v>
      </c>
      <c r="BM181" s="237" t="s">
        <v>231</v>
      </c>
      <c r="BN181" s="237" t="s">
        <v>231</v>
      </c>
      <c r="BO181" s="237" t="s">
        <v>231</v>
      </c>
      <c r="BP181" s="237" t="s">
        <v>231</v>
      </c>
      <c r="BQ181" s="237" t="s">
        <v>231</v>
      </c>
      <c r="BR181" s="237" t="s">
        <v>231</v>
      </c>
      <c r="BS181" s="237" t="s">
        <v>231</v>
      </c>
      <c r="BT181" s="237" t="s">
        <v>231</v>
      </c>
      <c r="BU181" s="237" t="s">
        <v>231</v>
      </c>
      <c r="BV181" s="237" t="s">
        <v>231</v>
      </c>
      <c r="BW181" s="237" t="s">
        <v>231</v>
      </c>
      <c r="BX181" s="237" t="s">
        <v>231</v>
      </c>
      <c r="BY181" s="237" t="s">
        <v>231</v>
      </c>
      <c r="BZ181" s="237" t="s">
        <v>231</v>
      </c>
      <c r="CA181" s="237" t="s">
        <v>231</v>
      </c>
      <c r="CB181" s="237" t="s">
        <v>231</v>
      </c>
      <c r="CC181" s="237" t="s">
        <v>492</v>
      </c>
      <c r="CD181" s="237" t="s">
        <v>492</v>
      </c>
      <c r="CE181" s="237" t="s">
        <v>492</v>
      </c>
      <c r="CF181" s="237" t="s">
        <v>231</v>
      </c>
      <c r="CG181" s="237" t="s">
        <v>231</v>
      </c>
      <c r="CH181" s="237" t="s">
        <v>231</v>
      </c>
      <c r="CI181" s="237" t="s">
        <v>231</v>
      </c>
      <c r="CJ181" s="237" t="s">
        <v>231</v>
      </c>
      <c r="CK181" s="237" t="s">
        <v>231</v>
      </c>
      <c r="CL181" s="237" t="s">
        <v>231</v>
      </c>
      <c r="CM181" s="237" t="s">
        <v>231</v>
      </c>
      <c r="CN181" s="237" t="s">
        <v>231</v>
      </c>
      <c r="CO181" s="237" t="s">
        <v>231</v>
      </c>
      <c r="CP181" s="237" t="s">
        <v>231</v>
      </c>
      <c r="CQ181" s="237" t="s">
        <v>231</v>
      </c>
      <c r="CR181" s="237" t="s">
        <v>231</v>
      </c>
      <c r="CS181" s="237" t="s">
        <v>231</v>
      </c>
      <c r="CT181" s="237" t="s">
        <v>231</v>
      </c>
      <c r="CU181" s="237" t="s">
        <v>231</v>
      </c>
      <c r="CV181" s="237" t="s">
        <v>231</v>
      </c>
      <c r="CW181" s="237" t="s">
        <v>231</v>
      </c>
      <c r="CX181" s="237" t="s">
        <v>231</v>
      </c>
      <c r="CY181" s="237" t="s">
        <v>231</v>
      </c>
      <c r="CZ181" s="237" t="s">
        <v>231</v>
      </c>
      <c r="DA181" s="237" t="s">
        <v>231</v>
      </c>
      <c r="DB181" s="237" t="s">
        <v>231</v>
      </c>
      <c r="DC181" s="237" t="s">
        <v>492</v>
      </c>
      <c r="DD181" s="237" t="s">
        <v>231</v>
      </c>
      <c r="DE181" s="237" t="s">
        <v>231</v>
      </c>
      <c r="DF181" s="237" t="s">
        <v>231</v>
      </c>
      <c r="DG181" s="237" t="s">
        <v>231</v>
      </c>
      <c r="DH181" s="237" t="s">
        <v>231</v>
      </c>
      <c r="DI181" s="237" t="s">
        <v>231</v>
      </c>
      <c r="DJ181" s="237" t="s">
        <v>231</v>
      </c>
      <c r="DK181" s="237" t="s">
        <v>231</v>
      </c>
      <c r="DL181" s="237" t="s">
        <v>231</v>
      </c>
      <c r="DM181" s="237" t="s">
        <v>231</v>
      </c>
      <c r="DN181" s="237" t="s">
        <v>231</v>
      </c>
      <c r="DO181" s="237" t="s">
        <v>231</v>
      </c>
      <c r="DP181" s="237" t="s">
        <v>231</v>
      </c>
      <c r="DQ181" s="237" t="s">
        <v>492</v>
      </c>
      <c r="DR181" s="237" t="s">
        <v>231</v>
      </c>
      <c r="DS181" s="237" t="s">
        <v>231</v>
      </c>
      <c r="DT181" s="237" t="s">
        <v>231</v>
      </c>
      <c r="DU181" s="237" t="s">
        <v>231</v>
      </c>
      <c r="DV181" s="237" t="s">
        <v>231</v>
      </c>
      <c r="DW181" s="237" t="s">
        <v>231</v>
      </c>
      <c r="DX181" s="237" t="s">
        <v>231</v>
      </c>
      <c r="DY181" s="237" t="s">
        <v>231</v>
      </c>
      <c r="DZ181" s="237" t="s">
        <v>231</v>
      </c>
      <c r="EA181" s="237" t="s">
        <v>231</v>
      </c>
      <c r="EB181" s="237" t="s">
        <v>231</v>
      </c>
      <c r="EC181" s="237" t="s">
        <v>231</v>
      </c>
      <c r="ED181" s="237" t="s">
        <v>231</v>
      </c>
      <c r="EE181" s="237" t="s">
        <v>231</v>
      </c>
      <c r="EF181" s="237" t="s">
        <v>231</v>
      </c>
      <c r="EG181" s="237" t="s">
        <v>231</v>
      </c>
      <c r="EH181" s="237" t="s">
        <v>231</v>
      </c>
      <c r="EI181" s="237" t="s">
        <v>231</v>
      </c>
      <c r="EJ181" s="237" t="s">
        <v>231</v>
      </c>
      <c r="EK181" s="237" t="s">
        <v>231</v>
      </c>
      <c r="EL181" s="237" t="s">
        <v>231</v>
      </c>
      <c r="EM181" s="237" t="s">
        <v>231</v>
      </c>
      <c r="EN181" s="237" t="s">
        <v>231</v>
      </c>
      <c r="EO181" s="237" t="s">
        <v>492</v>
      </c>
      <c r="EP181" s="237" t="s">
        <v>231</v>
      </c>
      <c r="EQ181" s="237" t="s">
        <v>231</v>
      </c>
      <c r="ER181" s="237" t="s">
        <v>231</v>
      </c>
      <c r="ES181" s="237" t="s">
        <v>231</v>
      </c>
      <c r="ET181" s="237" t="s">
        <v>231</v>
      </c>
      <c r="EU181" s="237" t="s">
        <v>231</v>
      </c>
      <c r="EV181" s="237" t="s">
        <v>231</v>
      </c>
      <c r="EW181" s="237" t="s">
        <v>231</v>
      </c>
      <c r="EX181" s="237" t="s">
        <v>231</v>
      </c>
      <c r="EY181" s="237" t="s">
        <v>231</v>
      </c>
      <c r="EZ181" s="237" t="s">
        <v>231</v>
      </c>
      <c r="FA181" s="237" t="s">
        <v>231</v>
      </c>
      <c r="FB181" s="237" t="s">
        <v>231</v>
      </c>
      <c r="FC181" s="237" t="s">
        <v>231</v>
      </c>
      <c r="FD181" s="237" t="s">
        <v>231</v>
      </c>
      <c r="FE181" s="237" t="s">
        <v>231</v>
      </c>
      <c r="FF181" s="237" t="s">
        <v>231</v>
      </c>
      <c r="FG181" s="237" t="s">
        <v>492</v>
      </c>
      <c r="FH181" s="237" t="s">
        <v>231</v>
      </c>
      <c r="FI181" s="237" t="s">
        <v>231</v>
      </c>
      <c r="FJ181" s="237" t="s">
        <v>231</v>
      </c>
      <c r="FK181" s="237" t="s">
        <v>231</v>
      </c>
      <c r="FL181" s="237" t="s">
        <v>231</v>
      </c>
      <c r="FM181" s="237" t="s">
        <v>231</v>
      </c>
      <c r="FN181" s="237" t="s">
        <v>231</v>
      </c>
      <c r="FO181" s="237" t="s">
        <v>231</v>
      </c>
      <c r="FP181" s="237" t="s">
        <v>231</v>
      </c>
      <c r="FQ181" s="237" t="s">
        <v>231</v>
      </c>
      <c r="FR181" s="237" t="s">
        <v>231</v>
      </c>
      <c r="FS181" s="237" t="s">
        <v>231</v>
      </c>
      <c r="FT181" s="237" t="s">
        <v>231</v>
      </c>
      <c r="FU181" s="237" t="s">
        <v>231</v>
      </c>
      <c r="FV181" s="237" t="s">
        <v>231</v>
      </c>
      <c r="FW181" s="237" t="s">
        <v>231</v>
      </c>
      <c r="FX181" s="237" t="s">
        <v>231</v>
      </c>
      <c r="FY181" s="237" t="s">
        <v>492</v>
      </c>
      <c r="FZ181" s="237" t="s">
        <v>231</v>
      </c>
      <c r="GA181" s="237" t="s">
        <v>231</v>
      </c>
      <c r="GB181" s="237" t="s">
        <v>231</v>
      </c>
      <c r="GC181" s="237" t="s">
        <v>231</v>
      </c>
      <c r="GD181" s="237" t="s">
        <v>231</v>
      </c>
      <c r="GE181" s="237" t="s">
        <v>492</v>
      </c>
      <c r="GF181" s="237" t="s">
        <v>231</v>
      </c>
      <c r="GG181" s="237" t="s">
        <v>231</v>
      </c>
      <c r="GH181" s="237" t="s">
        <v>231</v>
      </c>
      <c r="GI181" s="237" t="s">
        <v>231</v>
      </c>
      <c r="GJ181" s="237" t="s">
        <v>231</v>
      </c>
      <c r="GK181" s="237" t="s">
        <v>231</v>
      </c>
      <c r="GL181" s="237" t="s">
        <v>231</v>
      </c>
      <c r="GM181" s="237" t="s">
        <v>231</v>
      </c>
      <c r="GN181" s="237" t="s">
        <v>492</v>
      </c>
      <c r="GO181" s="237" t="s">
        <v>231</v>
      </c>
      <c r="GP181" s="237" t="s">
        <v>231</v>
      </c>
      <c r="GQ181" s="237" t="s">
        <v>231</v>
      </c>
      <c r="GR181" s="237" t="s">
        <v>231</v>
      </c>
      <c r="GS181" s="237" t="s">
        <v>231</v>
      </c>
      <c r="GT181" s="237" t="s">
        <v>231</v>
      </c>
      <c r="GU181" s="237" t="s">
        <v>231</v>
      </c>
      <c r="GV181" s="237" t="s">
        <v>231</v>
      </c>
      <c r="GW181" s="237" t="s">
        <v>231</v>
      </c>
      <c r="GX181" s="237" t="s">
        <v>231</v>
      </c>
      <c r="GY181" s="237" t="s">
        <v>231</v>
      </c>
      <c r="GZ181" s="237" t="s">
        <v>231</v>
      </c>
      <c r="HA181" s="237" t="s">
        <v>231</v>
      </c>
      <c r="HB181" s="237" t="s">
        <v>231</v>
      </c>
      <c r="HC181" s="237" t="s">
        <v>231</v>
      </c>
      <c r="HD181" s="237" t="s">
        <v>231</v>
      </c>
      <c r="HE181" s="237" t="s">
        <v>231</v>
      </c>
      <c r="HF181" s="237" t="s">
        <v>231</v>
      </c>
      <c r="HG181" s="237" t="s">
        <v>231</v>
      </c>
      <c r="HH181" s="237" t="s">
        <v>231</v>
      </c>
      <c r="HI181" s="237" t="s">
        <v>231</v>
      </c>
      <c r="HJ181" s="237" t="s">
        <v>231</v>
      </c>
      <c r="HK181" s="237" t="s">
        <v>231</v>
      </c>
      <c r="HL181" s="237" t="s">
        <v>231</v>
      </c>
      <c r="HM181" s="237" t="s">
        <v>231</v>
      </c>
      <c r="HN181" s="237" t="s">
        <v>231</v>
      </c>
      <c r="HO181" s="237" t="s">
        <v>231</v>
      </c>
      <c r="HP181" s="237" t="s">
        <v>231</v>
      </c>
      <c r="HQ181" s="237" t="s">
        <v>231</v>
      </c>
      <c r="HR181" s="237" t="s">
        <v>231</v>
      </c>
      <c r="HS181" s="237" t="s">
        <v>231</v>
      </c>
      <c r="HT181" s="237" t="s">
        <v>231</v>
      </c>
      <c r="HU181" s="237" t="s">
        <v>231</v>
      </c>
      <c r="HV181" s="237" t="s">
        <v>231</v>
      </c>
      <c r="HW181" s="237" t="s">
        <v>231</v>
      </c>
      <c r="HX181" s="237" t="s">
        <v>220</v>
      </c>
      <c r="HY181" s="237" t="s">
        <v>493</v>
      </c>
      <c r="HZ181" s="237" t="s">
        <v>219</v>
      </c>
      <c r="IA181" s="237" t="s">
        <v>490</v>
      </c>
      <c r="IB181" s="237" t="s">
        <v>492</v>
      </c>
      <c r="IC181" s="237" t="s">
        <v>492</v>
      </c>
    </row>
    <row r="182" spans="1:237" ht="15" x14ac:dyDescent="0.25">
      <c r="A182" s="244" t="str">
        <f>HYPERLINK("http://www.ofsted.gov.uk/inspection-reports/find-inspection-report/provider/ELS/146207 ","Ofsted School Webpage")</f>
        <v>Ofsted School Webpage</v>
      </c>
      <c r="B182" s="240">
        <v>146207</v>
      </c>
      <c r="C182" s="240">
        <v>9366014</v>
      </c>
      <c r="D182" s="240" t="s">
        <v>1469</v>
      </c>
      <c r="E182" s="240" t="s">
        <v>247</v>
      </c>
      <c r="F182" s="240" t="s">
        <v>581</v>
      </c>
      <c r="G182" s="240" t="s">
        <v>581</v>
      </c>
      <c r="H182" s="240" t="s">
        <v>788</v>
      </c>
      <c r="I182" s="240" t="s">
        <v>1470</v>
      </c>
      <c r="J182" s="240" t="s">
        <v>93</v>
      </c>
      <c r="K182" s="240" t="s">
        <v>93</v>
      </c>
      <c r="L182" s="240" t="s">
        <v>93</v>
      </c>
      <c r="M182" s="240" t="s">
        <v>90</v>
      </c>
      <c r="N182" s="240" t="s">
        <v>486</v>
      </c>
      <c r="O182" s="240" t="s">
        <v>487</v>
      </c>
      <c r="P182" s="240">
        <v>10086002</v>
      </c>
      <c r="Q182" s="242">
        <v>43488</v>
      </c>
      <c r="R182" s="242">
        <v>43488</v>
      </c>
      <c r="S182" s="242">
        <v>43528</v>
      </c>
      <c r="T182" s="240" t="s">
        <v>1377</v>
      </c>
      <c r="U182" s="240" t="s">
        <v>1105</v>
      </c>
      <c r="V182" s="240" t="s">
        <v>490</v>
      </c>
      <c r="W182" s="240" t="s">
        <v>486</v>
      </c>
      <c r="X182" s="240" t="s">
        <v>486</v>
      </c>
      <c r="Y182" s="240" t="s">
        <v>486</v>
      </c>
      <c r="Z182" s="240" t="s">
        <v>486</v>
      </c>
      <c r="AA182" s="240" t="s">
        <v>486</v>
      </c>
      <c r="AB182" s="240" t="s">
        <v>486</v>
      </c>
      <c r="AC182" s="240" t="s">
        <v>486</v>
      </c>
      <c r="AD182" s="240" t="s">
        <v>1386</v>
      </c>
      <c r="AE182" s="240" t="s">
        <v>231</v>
      </c>
      <c r="AF182" s="240" t="s">
        <v>231</v>
      </c>
      <c r="AG182" s="240" t="s">
        <v>231</v>
      </c>
      <c r="AH182" s="240" t="s">
        <v>231</v>
      </c>
      <c r="AI182" s="240" t="s">
        <v>231</v>
      </c>
      <c r="AJ182" s="240" t="s">
        <v>231</v>
      </c>
      <c r="AK182" s="240" t="s">
        <v>231</v>
      </c>
      <c r="AL182" s="240" t="s">
        <v>231</v>
      </c>
      <c r="AM182" s="240" t="s">
        <v>492</v>
      </c>
      <c r="AN182" s="240" t="s">
        <v>231</v>
      </c>
      <c r="AO182" s="240" t="s">
        <v>231</v>
      </c>
      <c r="AP182" s="240" t="s">
        <v>231</v>
      </c>
      <c r="AQ182" s="240" t="s">
        <v>492</v>
      </c>
      <c r="AR182" s="240" t="s">
        <v>492</v>
      </c>
      <c r="AS182" s="240" t="s">
        <v>492</v>
      </c>
      <c r="AT182" s="240" t="s">
        <v>492</v>
      </c>
      <c r="AU182" s="240" t="s">
        <v>492</v>
      </c>
      <c r="AV182" s="240" t="s">
        <v>492</v>
      </c>
      <c r="AW182" s="240" t="s">
        <v>492</v>
      </c>
      <c r="AX182" s="240" t="s">
        <v>492</v>
      </c>
      <c r="AY182" s="240" t="s">
        <v>231</v>
      </c>
      <c r="AZ182" s="240" t="s">
        <v>231</v>
      </c>
      <c r="BA182" s="240" t="s">
        <v>231</v>
      </c>
      <c r="BB182" s="240" t="s">
        <v>231</v>
      </c>
      <c r="BC182" s="240" t="s">
        <v>231</v>
      </c>
      <c r="BD182" s="240" t="s">
        <v>231</v>
      </c>
      <c r="BE182" s="240" t="s">
        <v>231</v>
      </c>
      <c r="BF182" s="240" t="s">
        <v>231</v>
      </c>
      <c r="BG182" s="240" t="s">
        <v>231</v>
      </c>
      <c r="BH182" s="240" t="s">
        <v>231</v>
      </c>
      <c r="BI182" s="240" t="s">
        <v>231</v>
      </c>
      <c r="BJ182" s="240" t="s">
        <v>231</v>
      </c>
      <c r="BK182" s="240" t="s">
        <v>231</v>
      </c>
      <c r="BL182" s="240" t="s">
        <v>231</v>
      </c>
      <c r="BM182" s="240" t="s">
        <v>231</v>
      </c>
      <c r="BN182" s="240" t="s">
        <v>231</v>
      </c>
      <c r="BO182" s="240" t="s">
        <v>231</v>
      </c>
      <c r="BP182" s="240" t="s">
        <v>231</v>
      </c>
      <c r="BQ182" s="240" t="s">
        <v>231</v>
      </c>
      <c r="BR182" s="240" t="s">
        <v>231</v>
      </c>
      <c r="BS182" s="240" t="s">
        <v>231</v>
      </c>
      <c r="BT182" s="240" t="s">
        <v>231</v>
      </c>
      <c r="BU182" s="240" t="s">
        <v>231</v>
      </c>
      <c r="BV182" s="240" t="s">
        <v>231</v>
      </c>
      <c r="BW182" s="240" t="s">
        <v>231</v>
      </c>
      <c r="BX182" s="240" t="s">
        <v>231</v>
      </c>
      <c r="BY182" s="240" t="s">
        <v>231</v>
      </c>
      <c r="BZ182" s="240" t="s">
        <v>232</v>
      </c>
      <c r="CA182" s="240" t="s">
        <v>232</v>
      </c>
      <c r="CB182" s="240" t="s">
        <v>232</v>
      </c>
      <c r="CC182" s="240" t="s">
        <v>492</v>
      </c>
      <c r="CD182" s="240" t="s">
        <v>492</v>
      </c>
      <c r="CE182" s="240" t="s">
        <v>492</v>
      </c>
      <c r="CF182" s="240" t="s">
        <v>232</v>
      </c>
      <c r="CG182" s="240" t="s">
        <v>232</v>
      </c>
      <c r="CH182" s="240" t="s">
        <v>232</v>
      </c>
      <c r="CI182" s="240" t="s">
        <v>232</v>
      </c>
      <c r="CJ182" s="240" t="s">
        <v>232</v>
      </c>
      <c r="CK182" s="240" t="s">
        <v>232</v>
      </c>
      <c r="CL182" s="240" t="s">
        <v>232</v>
      </c>
      <c r="CM182" s="240" t="s">
        <v>232</v>
      </c>
      <c r="CN182" s="240" t="s">
        <v>231</v>
      </c>
      <c r="CO182" s="240" t="s">
        <v>232</v>
      </c>
      <c r="CP182" s="240" t="s">
        <v>232</v>
      </c>
      <c r="CQ182" s="240" t="s">
        <v>232</v>
      </c>
      <c r="CR182" s="240" t="s">
        <v>232</v>
      </c>
      <c r="CS182" s="240" t="s">
        <v>232</v>
      </c>
      <c r="CT182" s="240" t="s">
        <v>232</v>
      </c>
      <c r="CU182" s="240" t="s">
        <v>232</v>
      </c>
      <c r="CV182" s="240" t="s">
        <v>232</v>
      </c>
      <c r="CW182" s="240" t="s">
        <v>232</v>
      </c>
      <c r="CX182" s="240" t="s">
        <v>232</v>
      </c>
      <c r="CY182" s="240" t="s">
        <v>232</v>
      </c>
      <c r="CZ182" s="240" t="s">
        <v>232</v>
      </c>
      <c r="DA182" s="240" t="s">
        <v>232</v>
      </c>
      <c r="DB182" s="240" t="s">
        <v>492</v>
      </c>
      <c r="DC182" s="240" t="s">
        <v>492</v>
      </c>
      <c r="DD182" s="240" t="s">
        <v>232</v>
      </c>
      <c r="DE182" s="240" t="s">
        <v>492</v>
      </c>
      <c r="DF182" s="240" t="s">
        <v>492</v>
      </c>
      <c r="DG182" s="240" t="s">
        <v>492</v>
      </c>
      <c r="DH182" s="240" t="s">
        <v>492</v>
      </c>
      <c r="DI182" s="240" t="s">
        <v>492</v>
      </c>
      <c r="DJ182" s="240" t="s">
        <v>492</v>
      </c>
      <c r="DK182" s="240" t="s">
        <v>492</v>
      </c>
      <c r="DL182" s="240" t="s">
        <v>492</v>
      </c>
      <c r="DM182" s="240" t="s">
        <v>492</v>
      </c>
      <c r="DN182" s="240" t="s">
        <v>492</v>
      </c>
      <c r="DO182" s="240" t="s">
        <v>492</v>
      </c>
      <c r="DP182" s="240" t="s">
        <v>492</v>
      </c>
      <c r="DQ182" s="240" t="s">
        <v>492</v>
      </c>
      <c r="DR182" s="240" t="s">
        <v>492</v>
      </c>
      <c r="DS182" s="240" t="s">
        <v>232</v>
      </c>
      <c r="DT182" s="240" t="s">
        <v>232</v>
      </c>
      <c r="DU182" s="240" t="s">
        <v>232</v>
      </c>
      <c r="DV182" s="240" t="s">
        <v>232</v>
      </c>
      <c r="DW182" s="240" t="s">
        <v>232</v>
      </c>
      <c r="DX182" s="240" t="s">
        <v>232</v>
      </c>
      <c r="DY182" s="240" t="s">
        <v>232</v>
      </c>
      <c r="DZ182" s="240" t="s">
        <v>492</v>
      </c>
      <c r="EA182" s="240" t="s">
        <v>492</v>
      </c>
      <c r="EB182" s="240" t="s">
        <v>232</v>
      </c>
      <c r="EC182" s="240" t="s">
        <v>232</v>
      </c>
      <c r="ED182" s="240" t="s">
        <v>232</v>
      </c>
      <c r="EE182" s="240" t="s">
        <v>232</v>
      </c>
      <c r="EF182" s="240" t="s">
        <v>232</v>
      </c>
      <c r="EG182" s="240" t="s">
        <v>232</v>
      </c>
      <c r="EH182" s="240" t="s">
        <v>232</v>
      </c>
      <c r="EI182" s="240" t="s">
        <v>232</v>
      </c>
      <c r="EJ182" s="240" t="s">
        <v>232</v>
      </c>
      <c r="EK182" s="240" t="s">
        <v>232</v>
      </c>
      <c r="EL182" s="240" t="s">
        <v>232</v>
      </c>
      <c r="EM182" s="240" t="s">
        <v>492</v>
      </c>
      <c r="EN182" s="240" t="s">
        <v>232</v>
      </c>
      <c r="EO182" s="240" t="s">
        <v>492</v>
      </c>
      <c r="EP182" s="240" t="s">
        <v>492</v>
      </c>
      <c r="EQ182" s="240" t="s">
        <v>492</v>
      </c>
      <c r="ER182" s="240" t="s">
        <v>492</v>
      </c>
      <c r="ES182" s="240" t="s">
        <v>492</v>
      </c>
      <c r="ET182" s="240" t="s">
        <v>492</v>
      </c>
      <c r="EU182" s="240" t="s">
        <v>492</v>
      </c>
      <c r="EV182" s="240" t="s">
        <v>232</v>
      </c>
      <c r="EW182" s="240" t="s">
        <v>492</v>
      </c>
      <c r="EX182" s="240" t="s">
        <v>492</v>
      </c>
      <c r="EY182" s="240" t="s">
        <v>492</v>
      </c>
      <c r="EZ182" s="240" t="s">
        <v>232</v>
      </c>
      <c r="FA182" s="240" t="s">
        <v>232</v>
      </c>
      <c r="FB182" s="240" t="s">
        <v>232</v>
      </c>
      <c r="FC182" s="240" t="s">
        <v>492</v>
      </c>
      <c r="FD182" s="240" t="s">
        <v>232</v>
      </c>
      <c r="FE182" s="240" t="s">
        <v>232</v>
      </c>
      <c r="FF182" s="240" t="s">
        <v>232</v>
      </c>
      <c r="FG182" s="240" t="s">
        <v>492</v>
      </c>
      <c r="FH182" s="240" t="s">
        <v>232</v>
      </c>
      <c r="FI182" s="240" t="s">
        <v>232</v>
      </c>
      <c r="FJ182" s="240" t="s">
        <v>231</v>
      </c>
      <c r="FK182" s="240" t="s">
        <v>231</v>
      </c>
      <c r="FL182" s="240" t="s">
        <v>231</v>
      </c>
      <c r="FM182" s="240" t="s">
        <v>231</v>
      </c>
      <c r="FN182" s="240" t="s">
        <v>232</v>
      </c>
      <c r="FO182" s="240" t="s">
        <v>231</v>
      </c>
      <c r="FP182" s="240" t="s">
        <v>231</v>
      </c>
      <c r="FQ182" s="240" t="s">
        <v>232</v>
      </c>
      <c r="FR182" s="240" t="s">
        <v>232</v>
      </c>
      <c r="FS182" s="240" t="s">
        <v>231</v>
      </c>
      <c r="FT182" s="240" t="s">
        <v>231</v>
      </c>
      <c r="FU182" s="240" t="s">
        <v>231</v>
      </c>
      <c r="FV182" s="240" t="s">
        <v>231</v>
      </c>
      <c r="FW182" s="240" t="s">
        <v>231</v>
      </c>
      <c r="FX182" s="240" t="s">
        <v>231</v>
      </c>
      <c r="FY182" s="240" t="s">
        <v>492</v>
      </c>
      <c r="FZ182" s="240" t="s">
        <v>231</v>
      </c>
      <c r="GA182" s="240" t="s">
        <v>231</v>
      </c>
      <c r="GB182" s="240" t="s">
        <v>231</v>
      </c>
      <c r="GC182" s="240" t="s">
        <v>231</v>
      </c>
      <c r="GD182" s="240" t="s">
        <v>231</v>
      </c>
      <c r="GE182" s="240" t="s">
        <v>231</v>
      </c>
      <c r="GF182" s="240" t="s">
        <v>231</v>
      </c>
      <c r="GG182" s="240" t="s">
        <v>231</v>
      </c>
      <c r="GH182" s="240" t="s">
        <v>231</v>
      </c>
      <c r="GI182" s="240" t="s">
        <v>231</v>
      </c>
      <c r="GJ182" s="240" t="s">
        <v>231</v>
      </c>
      <c r="GK182" s="240" t="s">
        <v>231</v>
      </c>
      <c r="GL182" s="240" t="s">
        <v>231</v>
      </c>
      <c r="GM182" s="240" t="s">
        <v>231</v>
      </c>
      <c r="GN182" s="240" t="s">
        <v>231</v>
      </c>
      <c r="GO182" s="240" t="s">
        <v>492</v>
      </c>
      <c r="GP182" s="240" t="s">
        <v>492</v>
      </c>
      <c r="GQ182" s="240" t="s">
        <v>231</v>
      </c>
      <c r="GR182" s="240" t="s">
        <v>231</v>
      </c>
      <c r="GS182" s="240" t="s">
        <v>231</v>
      </c>
      <c r="GT182" s="240" t="s">
        <v>231</v>
      </c>
      <c r="GU182" s="240" t="s">
        <v>231</v>
      </c>
      <c r="GV182" s="240" t="s">
        <v>231</v>
      </c>
      <c r="GW182" s="240" t="s">
        <v>231</v>
      </c>
      <c r="GX182" s="240" t="s">
        <v>231</v>
      </c>
      <c r="GY182" s="240" t="s">
        <v>231</v>
      </c>
      <c r="GZ182" s="240" t="s">
        <v>231</v>
      </c>
      <c r="HA182" s="240" t="s">
        <v>231</v>
      </c>
      <c r="HB182" s="240" t="s">
        <v>231</v>
      </c>
      <c r="HC182" s="240" t="s">
        <v>231</v>
      </c>
      <c r="HD182" s="240" t="s">
        <v>232</v>
      </c>
      <c r="HE182" s="240" t="s">
        <v>231</v>
      </c>
      <c r="HF182" s="240" t="s">
        <v>231</v>
      </c>
      <c r="HG182" s="240" t="s">
        <v>231</v>
      </c>
      <c r="HH182" s="240" t="s">
        <v>232</v>
      </c>
      <c r="HI182" s="240" t="s">
        <v>232</v>
      </c>
      <c r="HJ182" s="240" t="s">
        <v>232</v>
      </c>
      <c r="HK182" s="240" t="s">
        <v>232</v>
      </c>
      <c r="HL182" s="240" t="s">
        <v>232</v>
      </c>
      <c r="HM182" s="240" t="s">
        <v>232</v>
      </c>
      <c r="HN182" s="240" t="s">
        <v>232</v>
      </c>
      <c r="HO182" s="240" t="s">
        <v>232</v>
      </c>
      <c r="HP182" s="240" t="s">
        <v>232</v>
      </c>
      <c r="HQ182" s="240" t="s">
        <v>232</v>
      </c>
      <c r="HR182" s="240" t="s">
        <v>232</v>
      </c>
      <c r="HS182" s="240" t="s">
        <v>232</v>
      </c>
      <c r="HT182" s="240" t="s">
        <v>232</v>
      </c>
      <c r="HU182" s="240" t="s">
        <v>232</v>
      </c>
      <c r="HV182" s="240" t="s">
        <v>232</v>
      </c>
      <c r="HW182" s="240" t="s">
        <v>232</v>
      </c>
      <c r="HX182" s="240" t="s">
        <v>220</v>
      </c>
      <c r="HY182" s="240" t="s">
        <v>493</v>
      </c>
      <c r="HZ182" s="240" t="s">
        <v>220</v>
      </c>
      <c r="IA182" s="240" t="s">
        <v>490</v>
      </c>
      <c r="IB182" s="240" t="s">
        <v>232</v>
      </c>
      <c r="IC182" s="240" t="s">
        <v>231</v>
      </c>
    </row>
    <row r="183" spans="1:237" ht="15" x14ac:dyDescent="0.25">
      <c r="A183" s="243" t="str">
        <f>HYPERLINK("http://www.ofsted.gov.uk/inspection-reports/find-inspection-report/provider/ELS/146030 ","Ofsted School Webpage")</f>
        <v>Ofsted School Webpage</v>
      </c>
      <c r="B183" s="237">
        <v>146030</v>
      </c>
      <c r="C183" s="237">
        <v>8886115</v>
      </c>
      <c r="D183" s="237" t="s">
        <v>1471</v>
      </c>
      <c r="E183" s="237" t="s">
        <v>247</v>
      </c>
      <c r="F183" s="237" t="s">
        <v>495</v>
      </c>
      <c r="G183" s="237" t="s">
        <v>495</v>
      </c>
      <c r="H183" s="237" t="s">
        <v>534</v>
      </c>
      <c r="I183" s="237" t="s">
        <v>1472</v>
      </c>
      <c r="J183" s="237" t="s">
        <v>93</v>
      </c>
      <c r="K183" s="237" t="s">
        <v>93</v>
      </c>
      <c r="L183" s="237" t="s">
        <v>93</v>
      </c>
      <c r="M183" s="237" t="s">
        <v>90</v>
      </c>
      <c r="N183" s="237" t="s">
        <v>486</v>
      </c>
      <c r="O183" s="237" t="s">
        <v>487</v>
      </c>
      <c r="P183" s="237">
        <v>10093789</v>
      </c>
      <c r="Q183" s="239">
        <v>43503</v>
      </c>
      <c r="R183" s="239">
        <v>43503</v>
      </c>
      <c r="S183" s="239">
        <v>43528</v>
      </c>
      <c r="T183" s="237" t="s">
        <v>1377</v>
      </c>
      <c r="U183" s="237" t="s">
        <v>1105</v>
      </c>
      <c r="V183" s="237" t="s">
        <v>490</v>
      </c>
      <c r="W183" s="237" t="s">
        <v>486</v>
      </c>
      <c r="X183" s="237" t="s">
        <v>486</v>
      </c>
      <c r="Y183" s="237" t="s">
        <v>486</v>
      </c>
      <c r="Z183" s="237" t="s">
        <v>486</v>
      </c>
      <c r="AA183" s="237" t="s">
        <v>486</v>
      </c>
      <c r="AB183" s="237" t="s">
        <v>486</v>
      </c>
      <c r="AC183" s="237" t="s">
        <v>486</v>
      </c>
      <c r="AD183" s="237" t="s">
        <v>1378</v>
      </c>
      <c r="AE183" s="237" t="s">
        <v>231</v>
      </c>
      <c r="AF183" s="237" t="s">
        <v>231</v>
      </c>
      <c r="AG183" s="237" t="s">
        <v>231</v>
      </c>
      <c r="AH183" s="237" t="s">
        <v>231</v>
      </c>
      <c r="AI183" s="237" t="s">
        <v>231</v>
      </c>
      <c r="AJ183" s="237" t="s">
        <v>231</v>
      </c>
      <c r="AK183" s="237" t="s">
        <v>231</v>
      </c>
      <c r="AL183" s="237" t="s">
        <v>231</v>
      </c>
      <c r="AM183" s="237" t="s">
        <v>231</v>
      </c>
      <c r="AN183" s="237" t="s">
        <v>231</v>
      </c>
      <c r="AO183" s="237" t="s">
        <v>231</v>
      </c>
      <c r="AP183" s="237" t="s">
        <v>231</v>
      </c>
      <c r="AQ183" s="237" t="s">
        <v>231</v>
      </c>
      <c r="AR183" s="237" t="s">
        <v>231</v>
      </c>
      <c r="AS183" s="237" t="s">
        <v>231</v>
      </c>
      <c r="AT183" s="237" t="s">
        <v>231</v>
      </c>
      <c r="AU183" s="237" t="s">
        <v>231</v>
      </c>
      <c r="AV183" s="237" t="s">
        <v>231</v>
      </c>
      <c r="AW183" s="237" t="s">
        <v>231</v>
      </c>
      <c r="AX183" s="237" t="s">
        <v>231</v>
      </c>
      <c r="AY183" s="237" t="s">
        <v>231</v>
      </c>
      <c r="AZ183" s="237" t="s">
        <v>231</v>
      </c>
      <c r="BA183" s="237" t="s">
        <v>231</v>
      </c>
      <c r="BB183" s="237" t="s">
        <v>231</v>
      </c>
      <c r="BC183" s="237" t="s">
        <v>231</v>
      </c>
      <c r="BD183" s="237" t="s">
        <v>231</v>
      </c>
      <c r="BE183" s="237" t="s">
        <v>231</v>
      </c>
      <c r="BF183" s="237" t="s">
        <v>231</v>
      </c>
      <c r="BG183" s="237" t="s">
        <v>231</v>
      </c>
      <c r="BH183" s="237" t="s">
        <v>231</v>
      </c>
      <c r="BI183" s="237" t="s">
        <v>231</v>
      </c>
      <c r="BJ183" s="237" t="s">
        <v>231</v>
      </c>
      <c r="BK183" s="237" t="s">
        <v>231</v>
      </c>
      <c r="BL183" s="237" t="s">
        <v>231</v>
      </c>
      <c r="BM183" s="237" t="s">
        <v>231</v>
      </c>
      <c r="BN183" s="237" t="s">
        <v>231</v>
      </c>
      <c r="BO183" s="237" t="s">
        <v>231</v>
      </c>
      <c r="BP183" s="237" t="s">
        <v>231</v>
      </c>
      <c r="BQ183" s="237" t="s">
        <v>231</v>
      </c>
      <c r="BR183" s="237" t="s">
        <v>231</v>
      </c>
      <c r="BS183" s="237" t="s">
        <v>231</v>
      </c>
      <c r="BT183" s="237" t="s">
        <v>231</v>
      </c>
      <c r="BU183" s="237" t="s">
        <v>231</v>
      </c>
      <c r="BV183" s="237" t="s">
        <v>231</v>
      </c>
      <c r="BW183" s="237" t="s">
        <v>231</v>
      </c>
      <c r="BX183" s="237" t="s">
        <v>231</v>
      </c>
      <c r="BY183" s="237" t="s">
        <v>231</v>
      </c>
      <c r="BZ183" s="237" t="s">
        <v>231</v>
      </c>
      <c r="CA183" s="237" t="s">
        <v>231</v>
      </c>
      <c r="CB183" s="237" t="s">
        <v>231</v>
      </c>
      <c r="CC183" s="237" t="s">
        <v>231</v>
      </c>
      <c r="CD183" s="237" t="s">
        <v>231</v>
      </c>
      <c r="CE183" s="237" t="s">
        <v>492</v>
      </c>
      <c r="CF183" s="237" t="s">
        <v>231</v>
      </c>
      <c r="CG183" s="237" t="s">
        <v>231</v>
      </c>
      <c r="CH183" s="237" t="s">
        <v>231</v>
      </c>
      <c r="CI183" s="237" t="s">
        <v>231</v>
      </c>
      <c r="CJ183" s="237" t="s">
        <v>231</v>
      </c>
      <c r="CK183" s="237" t="s">
        <v>231</v>
      </c>
      <c r="CL183" s="237" t="s">
        <v>231</v>
      </c>
      <c r="CM183" s="237" t="s">
        <v>231</v>
      </c>
      <c r="CN183" s="237" t="s">
        <v>231</v>
      </c>
      <c r="CO183" s="237" t="s">
        <v>231</v>
      </c>
      <c r="CP183" s="237" t="s">
        <v>231</v>
      </c>
      <c r="CQ183" s="237" t="s">
        <v>231</v>
      </c>
      <c r="CR183" s="237" t="s">
        <v>231</v>
      </c>
      <c r="CS183" s="237" t="s">
        <v>231</v>
      </c>
      <c r="CT183" s="237" t="s">
        <v>231</v>
      </c>
      <c r="CU183" s="237" t="s">
        <v>231</v>
      </c>
      <c r="CV183" s="237" t="s">
        <v>231</v>
      </c>
      <c r="CW183" s="237" t="s">
        <v>231</v>
      </c>
      <c r="CX183" s="237" t="s">
        <v>231</v>
      </c>
      <c r="CY183" s="237" t="s">
        <v>231</v>
      </c>
      <c r="CZ183" s="237" t="s">
        <v>231</v>
      </c>
      <c r="DA183" s="237" t="s">
        <v>231</v>
      </c>
      <c r="DB183" s="237" t="s">
        <v>231</v>
      </c>
      <c r="DC183" s="237" t="s">
        <v>492</v>
      </c>
      <c r="DD183" s="237" t="s">
        <v>231</v>
      </c>
      <c r="DE183" s="237" t="s">
        <v>231</v>
      </c>
      <c r="DF183" s="237" t="s">
        <v>231</v>
      </c>
      <c r="DG183" s="237" t="s">
        <v>231</v>
      </c>
      <c r="DH183" s="237" t="s">
        <v>231</v>
      </c>
      <c r="DI183" s="237" t="s">
        <v>231</v>
      </c>
      <c r="DJ183" s="237" t="s">
        <v>231</v>
      </c>
      <c r="DK183" s="237" t="s">
        <v>231</v>
      </c>
      <c r="DL183" s="237" t="s">
        <v>231</v>
      </c>
      <c r="DM183" s="237" t="s">
        <v>231</v>
      </c>
      <c r="DN183" s="237" t="s">
        <v>231</v>
      </c>
      <c r="DO183" s="237" t="s">
        <v>231</v>
      </c>
      <c r="DP183" s="237" t="s">
        <v>231</v>
      </c>
      <c r="DQ183" s="237" t="s">
        <v>492</v>
      </c>
      <c r="DR183" s="237" t="s">
        <v>231</v>
      </c>
      <c r="DS183" s="237" t="s">
        <v>231</v>
      </c>
      <c r="DT183" s="237" t="s">
        <v>231</v>
      </c>
      <c r="DU183" s="237" t="s">
        <v>231</v>
      </c>
      <c r="DV183" s="237" t="s">
        <v>231</v>
      </c>
      <c r="DW183" s="237" t="s">
        <v>231</v>
      </c>
      <c r="DX183" s="237" t="s">
        <v>231</v>
      </c>
      <c r="DY183" s="237" t="s">
        <v>231</v>
      </c>
      <c r="DZ183" s="237" t="s">
        <v>231</v>
      </c>
      <c r="EA183" s="237" t="s">
        <v>231</v>
      </c>
      <c r="EB183" s="237" t="s">
        <v>231</v>
      </c>
      <c r="EC183" s="237" t="s">
        <v>231</v>
      </c>
      <c r="ED183" s="237" t="s">
        <v>231</v>
      </c>
      <c r="EE183" s="237" t="s">
        <v>231</v>
      </c>
      <c r="EF183" s="237" t="s">
        <v>231</v>
      </c>
      <c r="EG183" s="237" t="s">
        <v>231</v>
      </c>
      <c r="EH183" s="237" t="s">
        <v>231</v>
      </c>
      <c r="EI183" s="237" t="s">
        <v>231</v>
      </c>
      <c r="EJ183" s="237" t="s">
        <v>231</v>
      </c>
      <c r="EK183" s="237" t="s">
        <v>231</v>
      </c>
      <c r="EL183" s="237" t="s">
        <v>231</v>
      </c>
      <c r="EM183" s="237" t="s">
        <v>231</v>
      </c>
      <c r="EN183" s="237" t="s">
        <v>231</v>
      </c>
      <c r="EO183" s="237" t="s">
        <v>231</v>
      </c>
      <c r="EP183" s="237" t="s">
        <v>231</v>
      </c>
      <c r="EQ183" s="237" t="s">
        <v>231</v>
      </c>
      <c r="ER183" s="237" t="s">
        <v>231</v>
      </c>
      <c r="ES183" s="237" t="s">
        <v>231</v>
      </c>
      <c r="ET183" s="237" t="s">
        <v>231</v>
      </c>
      <c r="EU183" s="237" t="s">
        <v>231</v>
      </c>
      <c r="EV183" s="237" t="s">
        <v>231</v>
      </c>
      <c r="EW183" s="237" t="s">
        <v>231</v>
      </c>
      <c r="EX183" s="237" t="s">
        <v>231</v>
      </c>
      <c r="EY183" s="237" t="s">
        <v>231</v>
      </c>
      <c r="EZ183" s="237" t="s">
        <v>231</v>
      </c>
      <c r="FA183" s="237" t="s">
        <v>231</v>
      </c>
      <c r="FB183" s="237" t="s">
        <v>231</v>
      </c>
      <c r="FC183" s="237" t="s">
        <v>231</v>
      </c>
      <c r="FD183" s="237" t="s">
        <v>231</v>
      </c>
      <c r="FE183" s="237" t="s">
        <v>231</v>
      </c>
      <c r="FF183" s="237" t="s">
        <v>231</v>
      </c>
      <c r="FG183" s="237" t="s">
        <v>231</v>
      </c>
      <c r="FH183" s="237" t="s">
        <v>231</v>
      </c>
      <c r="FI183" s="237" t="s">
        <v>231</v>
      </c>
      <c r="FJ183" s="237" t="s">
        <v>231</v>
      </c>
      <c r="FK183" s="237" t="s">
        <v>231</v>
      </c>
      <c r="FL183" s="237" t="s">
        <v>231</v>
      </c>
      <c r="FM183" s="237" t="s">
        <v>231</v>
      </c>
      <c r="FN183" s="237" t="s">
        <v>231</v>
      </c>
      <c r="FO183" s="237" t="s">
        <v>231</v>
      </c>
      <c r="FP183" s="237" t="s">
        <v>231</v>
      </c>
      <c r="FQ183" s="237" t="s">
        <v>231</v>
      </c>
      <c r="FR183" s="237" t="s">
        <v>231</v>
      </c>
      <c r="FS183" s="237" t="s">
        <v>231</v>
      </c>
      <c r="FT183" s="237" t="s">
        <v>231</v>
      </c>
      <c r="FU183" s="237" t="s">
        <v>231</v>
      </c>
      <c r="FV183" s="237" t="s">
        <v>231</v>
      </c>
      <c r="FW183" s="237" t="s">
        <v>231</v>
      </c>
      <c r="FX183" s="237" t="s">
        <v>231</v>
      </c>
      <c r="FY183" s="237" t="s">
        <v>492</v>
      </c>
      <c r="FZ183" s="237" t="s">
        <v>231</v>
      </c>
      <c r="GA183" s="237" t="s">
        <v>231</v>
      </c>
      <c r="GB183" s="237" t="s">
        <v>231</v>
      </c>
      <c r="GC183" s="237" t="s">
        <v>231</v>
      </c>
      <c r="GD183" s="237" t="s">
        <v>231</v>
      </c>
      <c r="GE183" s="237" t="s">
        <v>231</v>
      </c>
      <c r="GF183" s="237" t="s">
        <v>231</v>
      </c>
      <c r="GG183" s="237" t="s">
        <v>231</v>
      </c>
      <c r="GH183" s="237" t="s">
        <v>231</v>
      </c>
      <c r="GI183" s="237" t="s">
        <v>231</v>
      </c>
      <c r="GJ183" s="237" t="s">
        <v>231</v>
      </c>
      <c r="GK183" s="237" t="s">
        <v>231</v>
      </c>
      <c r="GL183" s="237" t="s">
        <v>231</v>
      </c>
      <c r="GM183" s="237" t="s">
        <v>231</v>
      </c>
      <c r="GN183" s="237" t="s">
        <v>231</v>
      </c>
      <c r="GO183" s="237" t="s">
        <v>231</v>
      </c>
      <c r="GP183" s="237" t="s">
        <v>231</v>
      </c>
      <c r="GQ183" s="237" t="s">
        <v>231</v>
      </c>
      <c r="GR183" s="237" t="s">
        <v>231</v>
      </c>
      <c r="GS183" s="237" t="s">
        <v>231</v>
      </c>
      <c r="GT183" s="237" t="s">
        <v>231</v>
      </c>
      <c r="GU183" s="237" t="s">
        <v>231</v>
      </c>
      <c r="GV183" s="237" t="s">
        <v>231</v>
      </c>
      <c r="GW183" s="237" t="s">
        <v>231</v>
      </c>
      <c r="GX183" s="237" t="s">
        <v>231</v>
      </c>
      <c r="GY183" s="237" t="s">
        <v>231</v>
      </c>
      <c r="GZ183" s="237" t="s">
        <v>231</v>
      </c>
      <c r="HA183" s="237" t="s">
        <v>231</v>
      </c>
      <c r="HB183" s="237" t="s">
        <v>231</v>
      </c>
      <c r="HC183" s="237" t="s">
        <v>231</v>
      </c>
      <c r="HD183" s="237" t="s">
        <v>231</v>
      </c>
      <c r="HE183" s="237" t="s">
        <v>231</v>
      </c>
      <c r="HF183" s="237" t="s">
        <v>231</v>
      </c>
      <c r="HG183" s="237" t="s">
        <v>231</v>
      </c>
      <c r="HH183" s="237" t="s">
        <v>231</v>
      </c>
      <c r="HI183" s="237" t="s">
        <v>231</v>
      </c>
      <c r="HJ183" s="237" t="s">
        <v>231</v>
      </c>
      <c r="HK183" s="237" t="s">
        <v>231</v>
      </c>
      <c r="HL183" s="237" t="s">
        <v>231</v>
      </c>
      <c r="HM183" s="237" t="s">
        <v>231</v>
      </c>
      <c r="HN183" s="237" t="s">
        <v>231</v>
      </c>
      <c r="HO183" s="237" t="s">
        <v>231</v>
      </c>
      <c r="HP183" s="237" t="s">
        <v>231</v>
      </c>
      <c r="HQ183" s="237" t="s">
        <v>231</v>
      </c>
      <c r="HR183" s="237" t="s">
        <v>231</v>
      </c>
      <c r="HS183" s="237" t="s">
        <v>231</v>
      </c>
      <c r="HT183" s="237" t="s">
        <v>231</v>
      </c>
      <c r="HU183" s="237" t="s">
        <v>231</v>
      </c>
      <c r="HV183" s="237" t="s">
        <v>231</v>
      </c>
      <c r="HW183" s="237" t="s">
        <v>231</v>
      </c>
      <c r="HX183" s="237" t="s">
        <v>220</v>
      </c>
      <c r="HY183" s="237" t="s">
        <v>493</v>
      </c>
      <c r="HZ183" s="237" t="s">
        <v>219</v>
      </c>
      <c r="IA183" s="237" t="s">
        <v>490</v>
      </c>
      <c r="IB183" s="237" t="s">
        <v>492</v>
      </c>
      <c r="IC183" s="237" t="s">
        <v>492</v>
      </c>
    </row>
    <row r="184" spans="1:237" ht="15" x14ac:dyDescent="0.25">
      <c r="A184" s="244" t="str">
        <f>HYPERLINK("http://www.ofsted.gov.uk/inspection-reports/find-inspection-report/provider/ELS/146628 ","Ofsted School Webpage")</f>
        <v>Ofsted School Webpage</v>
      </c>
      <c r="B184" s="240">
        <v>146628</v>
      </c>
      <c r="C184" s="240">
        <v>2086005</v>
      </c>
      <c r="D184" s="240" t="s">
        <v>1473</v>
      </c>
      <c r="E184" s="240" t="s">
        <v>247</v>
      </c>
      <c r="F184" s="240" t="s">
        <v>506</v>
      </c>
      <c r="G184" s="240" t="s">
        <v>506</v>
      </c>
      <c r="H184" s="240" t="s">
        <v>820</v>
      </c>
      <c r="I184" s="240" t="s">
        <v>1474</v>
      </c>
      <c r="J184" s="240" t="s">
        <v>498</v>
      </c>
      <c r="K184" s="240" t="s">
        <v>83</v>
      </c>
      <c r="L184" s="240" t="s">
        <v>83</v>
      </c>
      <c r="M184" s="240" t="s">
        <v>84</v>
      </c>
      <c r="N184" s="240" t="s">
        <v>486</v>
      </c>
      <c r="O184" s="240" t="s">
        <v>487</v>
      </c>
      <c r="P184" s="240">
        <v>10085640</v>
      </c>
      <c r="Q184" s="242">
        <v>43503</v>
      </c>
      <c r="R184" s="242">
        <v>43503</v>
      </c>
      <c r="S184" s="242">
        <v>43530</v>
      </c>
      <c r="T184" s="240" t="s">
        <v>1377</v>
      </c>
      <c r="U184" s="240" t="s">
        <v>1105</v>
      </c>
      <c r="V184" s="240" t="s">
        <v>490</v>
      </c>
      <c r="W184" s="240" t="s">
        <v>486</v>
      </c>
      <c r="X184" s="240" t="s">
        <v>486</v>
      </c>
      <c r="Y184" s="240" t="s">
        <v>486</v>
      </c>
      <c r="Z184" s="240" t="s">
        <v>486</v>
      </c>
      <c r="AA184" s="240" t="s">
        <v>486</v>
      </c>
      <c r="AB184" s="240" t="s">
        <v>486</v>
      </c>
      <c r="AC184" s="240" t="s">
        <v>486</v>
      </c>
      <c r="AD184" s="240" t="s">
        <v>1475</v>
      </c>
      <c r="AE184" s="240" t="s">
        <v>232</v>
      </c>
      <c r="AF184" s="240" t="s">
        <v>232</v>
      </c>
      <c r="AG184" s="240" t="s">
        <v>231</v>
      </c>
      <c r="AH184" s="240" t="s">
        <v>231</v>
      </c>
      <c r="AI184" s="240" t="s">
        <v>231</v>
      </c>
      <c r="AJ184" s="240" t="s">
        <v>232</v>
      </c>
      <c r="AK184" s="240" t="s">
        <v>231</v>
      </c>
      <c r="AL184" s="240" t="s">
        <v>231</v>
      </c>
      <c r="AM184" s="240" t="s">
        <v>492</v>
      </c>
      <c r="AN184" s="240" t="s">
        <v>232</v>
      </c>
      <c r="AO184" s="240" t="s">
        <v>231</v>
      </c>
      <c r="AP184" s="240" t="s">
        <v>232</v>
      </c>
      <c r="AQ184" s="240" t="s">
        <v>232</v>
      </c>
      <c r="AR184" s="240" t="s">
        <v>232</v>
      </c>
      <c r="AS184" s="240" t="s">
        <v>232</v>
      </c>
      <c r="AT184" s="240" t="s">
        <v>232</v>
      </c>
      <c r="AU184" s="240" t="s">
        <v>232</v>
      </c>
      <c r="AV184" s="240" t="s">
        <v>492</v>
      </c>
      <c r="AW184" s="240" t="s">
        <v>231</v>
      </c>
      <c r="AX184" s="240" t="s">
        <v>232</v>
      </c>
      <c r="AY184" s="240" t="s">
        <v>232</v>
      </c>
      <c r="AZ184" s="240" t="s">
        <v>232</v>
      </c>
      <c r="BA184" s="240" t="s">
        <v>231</v>
      </c>
      <c r="BB184" s="240" t="s">
        <v>232</v>
      </c>
      <c r="BC184" s="240" t="s">
        <v>232</v>
      </c>
      <c r="BD184" s="240" t="s">
        <v>232</v>
      </c>
      <c r="BE184" s="240" t="s">
        <v>231</v>
      </c>
      <c r="BF184" s="240" t="s">
        <v>232</v>
      </c>
      <c r="BG184" s="240" t="s">
        <v>231</v>
      </c>
      <c r="BH184" s="240" t="s">
        <v>231</v>
      </c>
      <c r="BI184" s="240" t="s">
        <v>231</v>
      </c>
      <c r="BJ184" s="240" t="s">
        <v>231</v>
      </c>
      <c r="BK184" s="240" t="s">
        <v>232</v>
      </c>
      <c r="BL184" s="240" t="s">
        <v>232</v>
      </c>
      <c r="BM184" s="240" t="s">
        <v>232</v>
      </c>
      <c r="BN184" s="240" t="s">
        <v>231</v>
      </c>
      <c r="BO184" s="240" t="s">
        <v>232</v>
      </c>
      <c r="BP184" s="240" t="s">
        <v>231</v>
      </c>
      <c r="BQ184" s="240" t="s">
        <v>232</v>
      </c>
      <c r="BR184" s="240" t="s">
        <v>232</v>
      </c>
      <c r="BS184" s="240" t="s">
        <v>232</v>
      </c>
      <c r="BT184" s="240" t="s">
        <v>232</v>
      </c>
      <c r="BU184" s="240" t="s">
        <v>232</v>
      </c>
      <c r="BV184" s="240" t="s">
        <v>232</v>
      </c>
      <c r="BW184" s="240" t="s">
        <v>232</v>
      </c>
      <c r="BX184" s="240" t="s">
        <v>232</v>
      </c>
      <c r="BY184" s="240" t="s">
        <v>232</v>
      </c>
      <c r="BZ184" s="240" t="s">
        <v>232</v>
      </c>
      <c r="CA184" s="240" t="s">
        <v>232</v>
      </c>
      <c r="CB184" s="240" t="s">
        <v>232</v>
      </c>
      <c r="CC184" s="240" t="s">
        <v>492</v>
      </c>
      <c r="CD184" s="240" t="s">
        <v>492</v>
      </c>
      <c r="CE184" s="240" t="s">
        <v>492</v>
      </c>
      <c r="CF184" s="240" t="s">
        <v>231</v>
      </c>
      <c r="CG184" s="240" t="s">
        <v>231</v>
      </c>
      <c r="CH184" s="240" t="s">
        <v>231</v>
      </c>
      <c r="CI184" s="240" t="s">
        <v>231</v>
      </c>
      <c r="CJ184" s="240" t="s">
        <v>232</v>
      </c>
      <c r="CK184" s="240" t="s">
        <v>231</v>
      </c>
      <c r="CL184" s="240" t="s">
        <v>231</v>
      </c>
      <c r="CM184" s="240" t="s">
        <v>232</v>
      </c>
      <c r="CN184" s="240" t="s">
        <v>231</v>
      </c>
      <c r="CO184" s="240" t="s">
        <v>232</v>
      </c>
      <c r="CP184" s="240" t="s">
        <v>232</v>
      </c>
      <c r="CQ184" s="240" t="s">
        <v>232</v>
      </c>
      <c r="CR184" s="240" t="s">
        <v>232</v>
      </c>
      <c r="CS184" s="240" t="s">
        <v>232</v>
      </c>
      <c r="CT184" s="240" t="s">
        <v>232</v>
      </c>
      <c r="CU184" s="240" t="s">
        <v>232</v>
      </c>
      <c r="CV184" s="240" t="s">
        <v>232</v>
      </c>
      <c r="CW184" s="240" t="s">
        <v>231</v>
      </c>
      <c r="CX184" s="240" t="s">
        <v>232</v>
      </c>
      <c r="CY184" s="240" t="s">
        <v>231</v>
      </c>
      <c r="CZ184" s="240" t="s">
        <v>231</v>
      </c>
      <c r="DA184" s="240" t="s">
        <v>232</v>
      </c>
      <c r="DB184" s="240" t="s">
        <v>232</v>
      </c>
      <c r="DC184" s="240" t="s">
        <v>492</v>
      </c>
      <c r="DD184" s="240" t="s">
        <v>232</v>
      </c>
      <c r="DE184" s="240" t="s">
        <v>492</v>
      </c>
      <c r="DF184" s="240" t="s">
        <v>492</v>
      </c>
      <c r="DG184" s="240" t="s">
        <v>492</v>
      </c>
      <c r="DH184" s="240" t="s">
        <v>492</v>
      </c>
      <c r="DI184" s="240" t="s">
        <v>492</v>
      </c>
      <c r="DJ184" s="240" t="s">
        <v>492</v>
      </c>
      <c r="DK184" s="240" t="s">
        <v>492</v>
      </c>
      <c r="DL184" s="240" t="s">
        <v>492</v>
      </c>
      <c r="DM184" s="240" t="s">
        <v>492</v>
      </c>
      <c r="DN184" s="240" t="s">
        <v>492</v>
      </c>
      <c r="DO184" s="240" t="s">
        <v>492</v>
      </c>
      <c r="DP184" s="240" t="s">
        <v>492</v>
      </c>
      <c r="DQ184" s="240" t="s">
        <v>492</v>
      </c>
      <c r="DR184" s="240" t="s">
        <v>492</v>
      </c>
      <c r="DS184" s="240" t="s">
        <v>492</v>
      </c>
      <c r="DT184" s="240" t="s">
        <v>492</v>
      </c>
      <c r="DU184" s="240" t="s">
        <v>492</v>
      </c>
      <c r="DV184" s="240" t="s">
        <v>492</v>
      </c>
      <c r="DW184" s="240" t="s">
        <v>492</v>
      </c>
      <c r="DX184" s="240" t="s">
        <v>492</v>
      </c>
      <c r="DY184" s="240" t="s">
        <v>492</v>
      </c>
      <c r="DZ184" s="240" t="s">
        <v>492</v>
      </c>
      <c r="EA184" s="240" t="s">
        <v>492</v>
      </c>
      <c r="EB184" s="240" t="s">
        <v>232</v>
      </c>
      <c r="EC184" s="240" t="s">
        <v>231</v>
      </c>
      <c r="ED184" s="240" t="s">
        <v>232</v>
      </c>
      <c r="EE184" s="240" t="s">
        <v>232</v>
      </c>
      <c r="EF184" s="240" t="s">
        <v>231</v>
      </c>
      <c r="EG184" s="240" t="s">
        <v>232</v>
      </c>
      <c r="EH184" s="240" t="s">
        <v>232</v>
      </c>
      <c r="EI184" s="240" t="s">
        <v>231</v>
      </c>
      <c r="EJ184" s="240" t="s">
        <v>232</v>
      </c>
      <c r="EK184" s="240" t="s">
        <v>232</v>
      </c>
      <c r="EL184" s="240" t="s">
        <v>231</v>
      </c>
      <c r="EM184" s="240" t="s">
        <v>232</v>
      </c>
      <c r="EN184" s="240" t="s">
        <v>232</v>
      </c>
      <c r="EO184" s="240" t="s">
        <v>492</v>
      </c>
      <c r="EP184" s="240" t="s">
        <v>492</v>
      </c>
      <c r="EQ184" s="240" t="s">
        <v>492</v>
      </c>
      <c r="ER184" s="240" t="s">
        <v>492</v>
      </c>
      <c r="ES184" s="240" t="s">
        <v>492</v>
      </c>
      <c r="ET184" s="240" t="s">
        <v>492</v>
      </c>
      <c r="EU184" s="240" t="s">
        <v>492</v>
      </c>
      <c r="EV184" s="240" t="s">
        <v>492</v>
      </c>
      <c r="EW184" s="240" t="s">
        <v>492</v>
      </c>
      <c r="EX184" s="240" t="s">
        <v>492</v>
      </c>
      <c r="EY184" s="240" t="s">
        <v>492</v>
      </c>
      <c r="EZ184" s="240" t="s">
        <v>232</v>
      </c>
      <c r="FA184" s="240" t="s">
        <v>232</v>
      </c>
      <c r="FB184" s="240" t="s">
        <v>231</v>
      </c>
      <c r="FC184" s="240" t="s">
        <v>232</v>
      </c>
      <c r="FD184" s="240" t="s">
        <v>232</v>
      </c>
      <c r="FE184" s="240" t="s">
        <v>231</v>
      </c>
      <c r="FF184" s="240" t="s">
        <v>232</v>
      </c>
      <c r="FG184" s="240" t="s">
        <v>492</v>
      </c>
      <c r="FH184" s="240" t="s">
        <v>231</v>
      </c>
      <c r="FI184" s="240" t="s">
        <v>231</v>
      </c>
      <c r="FJ184" s="240" t="s">
        <v>231</v>
      </c>
      <c r="FK184" s="240" t="s">
        <v>231</v>
      </c>
      <c r="FL184" s="240" t="s">
        <v>231</v>
      </c>
      <c r="FM184" s="240" t="s">
        <v>231</v>
      </c>
      <c r="FN184" s="240" t="s">
        <v>231</v>
      </c>
      <c r="FO184" s="240" t="s">
        <v>231</v>
      </c>
      <c r="FP184" s="240" t="s">
        <v>231</v>
      </c>
      <c r="FQ184" s="240" t="s">
        <v>231</v>
      </c>
      <c r="FR184" s="240" t="s">
        <v>231</v>
      </c>
      <c r="FS184" s="240" t="s">
        <v>231</v>
      </c>
      <c r="FT184" s="240" t="s">
        <v>231</v>
      </c>
      <c r="FU184" s="240" t="s">
        <v>231</v>
      </c>
      <c r="FV184" s="240" t="s">
        <v>231</v>
      </c>
      <c r="FW184" s="240" t="s">
        <v>231</v>
      </c>
      <c r="FX184" s="240" t="s">
        <v>231</v>
      </c>
      <c r="FY184" s="240" t="s">
        <v>492</v>
      </c>
      <c r="FZ184" s="240" t="s">
        <v>232</v>
      </c>
      <c r="GA184" s="240" t="s">
        <v>232</v>
      </c>
      <c r="GB184" s="240" t="s">
        <v>232</v>
      </c>
      <c r="GC184" s="240" t="s">
        <v>231</v>
      </c>
      <c r="GD184" s="240" t="s">
        <v>492</v>
      </c>
      <c r="GE184" s="240" t="s">
        <v>492</v>
      </c>
      <c r="GF184" s="240" t="s">
        <v>231</v>
      </c>
      <c r="GG184" s="240" t="s">
        <v>231</v>
      </c>
      <c r="GH184" s="240" t="s">
        <v>492</v>
      </c>
      <c r="GI184" s="240" t="s">
        <v>492</v>
      </c>
      <c r="GJ184" s="240" t="s">
        <v>492</v>
      </c>
      <c r="GK184" s="240" t="s">
        <v>232</v>
      </c>
      <c r="GL184" s="240" t="s">
        <v>231</v>
      </c>
      <c r="GM184" s="240" t="s">
        <v>232</v>
      </c>
      <c r="GN184" s="240" t="s">
        <v>232</v>
      </c>
      <c r="GO184" s="240" t="s">
        <v>492</v>
      </c>
      <c r="GP184" s="240" t="s">
        <v>492</v>
      </c>
      <c r="GQ184" s="240" t="s">
        <v>231</v>
      </c>
      <c r="GR184" s="240" t="s">
        <v>232</v>
      </c>
      <c r="GS184" s="240" t="s">
        <v>232</v>
      </c>
      <c r="GT184" s="240" t="s">
        <v>492</v>
      </c>
      <c r="GU184" s="240" t="s">
        <v>231</v>
      </c>
      <c r="GV184" s="240" t="s">
        <v>232</v>
      </c>
      <c r="GW184" s="240" t="s">
        <v>492</v>
      </c>
      <c r="GX184" s="240" t="s">
        <v>232</v>
      </c>
      <c r="GY184" s="240" t="s">
        <v>492</v>
      </c>
      <c r="GZ184" s="240" t="s">
        <v>492</v>
      </c>
      <c r="HA184" s="240" t="s">
        <v>492</v>
      </c>
      <c r="HB184" s="240" t="s">
        <v>492</v>
      </c>
      <c r="HC184" s="240" t="s">
        <v>492</v>
      </c>
      <c r="HD184" s="240" t="s">
        <v>232</v>
      </c>
      <c r="HE184" s="240" t="s">
        <v>231</v>
      </c>
      <c r="HF184" s="240" t="s">
        <v>231</v>
      </c>
      <c r="HG184" s="240" t="s">
        <v>231</v>
      </c>
      <c r="HH184" s="240" t="s">
        <v>231</v>
      </c>
      <c r="HI184" s="240" t="s">
        <v>231</v>
      </c>
      <c r="HJ184" s="240" t="s">
        <v>232</v>
      </c>
      <c r="HK184" s="240" t="s">
        <v>232</v>
      </c>
      <c r="HL184" s="240" t="s">
        <v>231</v>
      </c>
      <c r="HM184" s="240" t="s">
        <v>232</v>
      </c>
      <c r="HN184" s="240" t="s">
        <v>232</v>
      </c>
      <c r="HO184" s="240" t="s">
        <v>231</v>
      </c>
      <c r="HP184" s="240" t="s">
        <v>231</v>
      </c>
      <c r="HQ184" s="240" t="s">
        <v>231</v>
      </c>
      <c r="HR184" s="240" t="s">
        <v>231</v>
      </c>
      <c r="HS184" s="240" t="s">
        <v>232</v>
      </c>
      <c r="HT184" s="240" t="s">
        <v>232</v>
      </c>
      <c r="HU184" s="240" t="s">
        <v>232</v>
      </c>
      <c r="HV184" s="240" t="s">
        <v>232</v>
      </c>
      <c r="HW184" s="240" t="s">
        <v>232</v>
      </c>
      <c r="HX184" s="240" t="s">
        <v>220</v>
      </c>
      <c r="HY184" s="240" t="s">
        <v>493</v>
      </c>
      <c r="HZ184" s="240" t="s">
        <v>219</v>
      </c>
      <c r="IA184" s="240" t="s">
        <v>512</v>
      </c>
      <c r="IB184" s="240" t="s">
        <v>232</v>
      </c>
      <c r="IC184" s="240" t="s">
        <v>232</v>
      </c>
    </row>
    <row r="185" spans="1:237" ht="15" x14ac:dyDescent="0.25">
      <c r="A185" s="243" t="str">
        <f>HYPERLINK("http://www.ofsted.gov.uk/inspection-reports/find-inspection-report/provider/ELS/145499 ","Ofsted School Webpage")</f>
        <v>Ofsted School Webpage</v>
      </c>
      <c r="B185" s="237">
        <v>145499</v>
      </c>
      <c r="C185" s="237">
        <v>3806015</v>
      </c>
      <c r="D185" s="237" t="s">
        <v>1476</v>
      </c>
      <c r="E185" s="237" t="s">
        <v>247</v>
      </c>
      <c r="F185" s="237" t="s">
        <v>523</v>
      </c>
      <c r="G185" s="237" t="s">
        <v>524</v>
      </c>
      <c r="H185" s="237" t="s">
        <v>674</v>
      </c>
      <c r="I185" s="237" t="s">
        <v>1477</v>
      </c>
      <c r="J185" s="237" t="s">
        <v>93</v>
      </c>
      <c r="K185" s="237" t="s">
        <v>83</v>
      </c>
      <c r="L185" s="237" t="s">
        <v>83</v>
      </c>
      <c r="M185" s="237" t="s">
        <v>84</v>
      </c>
      <c r="N185" s="237" t="s">
        <v>486</v>
      </c>
      <c r="O185" s="237" t="s">
        <v>487</v>
      </c>
      <c r="P185" s="237">
        <v>10087047</v>
      </c>
      <c r="Q185" s="239">
        <v>43472</v>
      </c>
      <c r="R185" s="239">
        <v>43472</v>
      </c>
      <c r="S185" s="239">
        <v>43531</v>
      </c>
      <c r="T185" s="237" t="s">
        <v>1377</v>
      </c>
      <c r="U185" s="237" t="s">
        <v>1105</v>
      </c>
      <c r="V185" s="237" t="s">
        <v>512</v>
      </c>
      <c r="W185" s="237" t="s">
        <v>486</v>
      </c>
      <c r="X185" s="237" t="s">
        <v>486</v>
      </c>
      <c r="Y185" s="237" t="s">
        <v>486</v>
      </c>
      <c r="Z185" s="237" t="s">
        <v>490</v>
      </c>
      <c r="AA185" s="237" t="s">
        <v>486</v>
      </c>
      <c r="AB185" s="237" t="s">
        <v>486</v>
      </c>
      <c r="AC185" s="237" t="s">
        <v>486</v>
      </c>
      <c r="AD185" s="237" t="s">
        <v>1386</v>
      </c>
      <c r="AE185" s="237" t="s">
        <v>232</v>
      </c>
      <c r="AF185" s="237" t="s">
        <v>232</v>
      </c>
      <c r="AG185" s="237" t="s">
        <v>232</v>
      </c>
      <c r="AH185" s="237" t="s">
        <v>232</v>
      </c>
      <c r="AI185" s="237" t="s">
        <v>231</v>
      </c>
      <c r="AJ185" s="237" t="s">
        <v>232</v>
      </c>
      <c r="AK185" s="237" t="s">
        <v>231</v>
      </c>
      <c r="AL185" s="237" t="s">
        <v>231</v>
      </c>
      <c r="AM185" s="237" t="s">
        <v>231</v>
      </c>
      <c r="AN185" s="237" t="s">
        <v>231</v>
      </c>
      <c r="AO185" s="237" t="s">
        <v>231</v>
      </c>
      <c r="AP185" s="237" t="s">
        <v>231</v>
      </c>
      <c r="AQ185" s="237" t="s">
        <v>232</v>
      </c>
      <c r="AR185" s="237" t="s">
        <v>232</v>
      </c>
      <c r="AS185" s="237" t="s">
        <v>232</v>
      </c>
      <c r="AT185" s="237" t="s">
        <v>232</v>
      </c>
      <c r="AU185" s="237" t="s">
        <v>492</v>
      </c>
      <c r="AV185" s="237" t="s">
        <v>492</v>
      </c>
      <c r="AW185" s="237" t="s">
        <v>231</v>
      </c>
      <c r="AX185" s="237" t="s">
        <v>231</v>
      </c>
      <c r="AY185" s="237" t="s">
        <v>231</v>
      </c>
      <c r="AZ185" s="237" t="s">
        <v>231</v>
      </c>
      <c r="BA185" s="237" t="s">
        <v>231</v>
      </c>
      <c r="BB185" s="237" t="s">
        <v>231</v>
      </c>
      <c r="BC185" s="237" t="s">
        <v>231</v>
      </c>
      <c r="BD185" s="237" t="s">
        <v>231</v>
      </c>
      <c r="BE185" s="237" t="s">
        <v>231</v>
      </c>
      <c r="BF185" s="237" t="s">
        <v>231</v>
      </c>
      <c r="BG185" s="237" t="s">
        <v>231</v>
      </c>
      <c r="BH185" s="237" t="s">
        <v>231</v>
      </c>
      <c r="BI185" s="237" t="s">
        <v>231</v>
      </c>
      <c r="BJ185" s="237" t="s">
        <v>231</v>
      </c>
      <c r="BK185" s="237" t="s">
        <v>232</v>
      </c>
      <c r="BL185" s="237" t="s">
        <v>231</v>
      </c>
      <c r="BM185" s="237" t="s">
        <v>232</v>
      </c>
      <c r="BN185" s="237" t="s">
        <v>231</v>
      </c>
      <c r="BO185" s="237" t="s">
        <v>231</v>
      </c>
      <c r="BP185" s="237" t="s">
        <v>231</v>
      </c>
      <c r="BQ185" s="237" t="s">
        <v>232</v>
      </c>
      <c r="BR185" s="237" t="s">
        <v>232</v>
      </c>
      <c r="BS185" s="237" t="s">
        <v>231</v>
      </c>
      <c r="BT185" s="237" t="s">
        <v>231</v>
      </c>
      <c r="BU185" s="237" t="s">
        <v>231</v>
      </c>
      <c r="BV185" s="237" t="s">
        <v>231</v>
      </c>
      <c r="BW185" s="237" t="s">
        <v>231</v>
      </c>
      <c r="BX185" s="237" t="s">
        <v>231</v>
      </c>
      <c r="BY185" s="237" t="s">
        <v>231</v>
      </c>
      <c r="BZ185" s="237" t="s">
        <v>231</v>
      </c>
      <c r="CA185" s="237" t="s">
        <v>231</v>
      </c>
      <c r="CB185" s="237" t="s">
        <v>231</v>
      </c>
      <c r="CC185" s="237" t="s">
        <v>492</v>
      </c>
      <c r="CD185" s="237" t="s">
        <v>492</v>
      </c>
      <c r="CE185" s="237" t="s">
        <v>492</v>
      </c>
      <c r="CF185" s="237" t="s">
        <v>231</v>
      </c>
      <c r="CG185" s="237" t="s">
        <v>231</v>
      </c>
      <c r="CH185" s="237" t="s">
        <v>231</v>
      </c>
      <c r="CI185" s="237" t="s">
        <v>231</v>
      </c>
      <c r="CJ185" s="237" t="s">
        <v>231</v>
      </c>
      <c r="CK185" s="237" t="s">
        <v>231</v>
      </c>
      <c r="CL185" s="237" t="s">
        <v>231</v>
      </c>
      <c r="CM185" s="237" t="s">
        <v>231</v>
      </c>
      <c r="CN185" s="237" t="s">
        <v>231</v>
      </c>
      <c r="CO185" s="237" t="s">
        <v>231</v>
      </c>
      <c r="CP185" s="237" t="s">
        <v>231</v>
      </c>
      <c r="CQ185" s="237" t="s">
        <v>231</v>
      </c>
      <c r="CR185" s="237" t="s">
        <v>231</v>
      </c>
      <c r="CS185" s="237" t="s">
        <v>231</v>
      </c>
      <c r="CT185" s="237" t="s">
        <v>231</v>
      </c>
      <c r="CU185" s="237" t="s">
        <v>231</v>
      </c>
      <c r="CV185" s="237" t="s">
        <v>231</v>
      </c>
      <c r="CW185" s="237" t="s">
        <v>231</v>
      </c>
      <c r="CX185" s="237" t="s">
        <v>231</v>
      </c>
      <c r="CY185" s="237" t="s">
        <v>231</v>
      </c>
      <c r="CZ185" s="237" t="s">
        <v>231</v>
      </c>
      <c r="DA185" s="237" t="s">
        <v>231</v>
      </c>
      <c r="DB185" s="237" t="s">
        <v>231</v>
      </c>
      <c r="DC185" s="237" t="s">
        <v>492</v>
      </c>
      <c r="DD185" s="237" t="s">
        <v>231</v>
      </c>
      <c r="DE185" s="237" t="s">
        <v>492</v>
      </c>
      <c r="DF185" s="237" t="s">
        <v>492</v>
      </c>
      <c r="DG185" s="237" t="s">
        <v>492</v>
      </c>
      <c r="DH185" s="237" t="s">
        <v>492</v>
      </c>
      <c r="DI185" s="237" t="s">
        <v>492</v>
      </c>
      <c r="DJ185" s="237" t="s">
        <v>492</v>
      </c>
      <c r="DK185" s="237" t="s">
        <v>492</v>
      </c>
      <c r="DL185" s="237" t="s">
        <v>492</v>
      </c>
      <c r="DM185" s="237" t="s">
        <v>492</v>
      </c>
      <c r="DN185" s="237" t="s">
        <v>492</v>
      </c>
      <c r="DO185" s="237" t="s">
        <v>492</v>
      </c>
      <c r="DP185" s="237" t="s">
        <v>492</v>
      </c>
      <c r="DQ185" s="237" t="s">
        <v>492</v>
      </c>
      <c r="DR185" s="237" t="s">
        <v>492</v>
      </c>
      <c r="DS185" s="237" t="s">
        <v>231</v>
      </c>
      <c r="DT185" s="237" t="s">
        <v>231</v>
      </c>
      <c r="DU185" s="237" t="s">
        <v>231</v>
      </c>
      <c r="DV185" s="237" t="s">
        <v>231</v>
      </c>
      <c r="DW185" s="237" t="s">
        <v>231</v>
      </c>
      <c r="DX185" s="237" t="s">
        <v>231</v>
      </c>
      <c r="DY185" s="237" t="s">
        <v>231</v>
      </c>
      <c r="DZ185" s="237" t="s">
        <v>231</v>
      </c>
      <c r="EA185" s="237" t="s">
        <v>231</v>
      </c>
      <c r="EB185" s="237" t="s">
        <v>231</v>
      </c>
      <c r="EC185" s="237" t="s">
        <v>231</v>
      </c>
      <c r="ED185" s="237" t="s">
        <v>231</v>
      </c>
      <c r="EE185" s="237" t="s">
        <v>231</v>
      </c>
      <c r="EF185" s="237" t="s">
        <v>231</v>
      </c>
      <c r="EG185" s="237" t="s">
        <v>231</v>
      </c>
      <c r="EH185" s="237" t="s">
        <v>231</v>
      </c>
      <c r="EI185" s="237" t="s">
        <v>231</v>
      </c>
      <c r="EJ185" s="237" t="s">
        <v>231</v>
      </c>
      <c r="EK185" s="237" t="s">
        <v>231</v>
      </c>
      <c r="EL185" s="237" t="s">
        <v>231</v>
      </c>
      <c r="EM185" s="237" t="s">
        <v>231</v>
      </c>
      <c r="EN185" s="237" t="s">
        <v>231</v>
      </c>
      <c r="EO185" s="237" t="s">
        <v>231</v>
      </c>
      <c r="EP185" s="237" t="s">
        <v>492</v>
      </c>
      <c r="EQ185" s="237" t="s">
        <v>492</v>
      </c>
      <c r="ER185" s="237" t="s">
        <v>492</v>
      </c>
      <c r="ES185" s="237" t="s">
        <v>492</v>
      </c>
      <c r="ET185" s="237" t="s">
        <v>492</v>
      </c>
      <c r="EU185" s="237" t="s">
        <v>492</v>
      </c>
      <c r="EV185" s="237" t="s">
        <v>231</v>
      </c>
      <c r="EW185" s="237" t="s">
        <v>492</v>
      </c>
      <c r="EX185" s="237" t="s">
        <v>492</v>
      </c>
      <c r="EY185" s="237" t="s">
        <v>492</v>
      </c>
      <c r="EZ185" s="237" t="s">
        <v>231</v>
      </c>
      <c r="FA185" s="237" t="s">
        <v>231</v>
      </c>
      <c r="FB185" s="237" t="s">
        <v>231</v>
      </c>
      <c r="FC185" s="237" t="s">
        <v>231</v>
      </c>
      <c r="FD185" s="237" t="s">
        <v>231</v>
      </c>
      <c r="FE185" s="237" t="s">
        <v>231</v>
      </c>
      <c r="FF185" s="237" t="s">
        <v>231</v>
      </c>
      <c r="FG185" s="237" t="s">
        <v>492</v>
      </c>
      <c r="FH185" s="237" t="s">
        <v>231</v>
      </c>
      <c r="FI185" s="237" t="s">
        <v>231</v>
      </c>
      <c r="FJ185" s="237" t="s">
        <v>231</v>
      </c>
      <c r="FK185" s="237" t="s">
        <v>231</v>
      </c>
      <c r="FL185" s="237" t="s">
        <v>231</v>
      </c>
      <c r="FM185" s="237" t="s">
        <v>231</v>
      </c>
      <c r="FN185" s="237" t="s">
        <v>231</v>
      </c>
      <c r="FO185" s="237" t="s">
        <v>231</v>
      </c>
      <c r="FP185" s="237" t="s">
        <v>231</v>
      </c>
      <c r="FQ185" s="237" t="s">
        <v>231</v>
      </c>
      <c r="FR185" s="237" t="s">
        <v>231</v>
      </c>
      <c r="FS185" s="237" t="s">
        <v>231</v>
      </c>
      <c r="FT185" s="237" t="s">
        <v>231</v>
      </c>
      <c r="FU185" s="237" t="s">
        <v>231</v>
      </c>
      <c r="FV185" s="237" t="s">
        <v>232</v>
      </c>
      <c r="FW185" s="237" t="s">
        <v>231</v>
      </c>
      <c r="FX185" s="237" t="s">
        <v>232</v>
      </c>
      <c r="FY185" s="237" t="s">
        <v>492</v>
      </c>
      <c r="FZ185" s="237" t="s">
        <v>231</v>
      </c>
      <c r="GA185" s="237" t="s">
        <v>231</v>
      </c>
      <c r="GB185" s="237" t="s">
        <v>231</v>
      </c>
      <c r="GC185" s="237" t="s">
        <v>231</v>
      </c>
      <c r="GD185" s="237" t="s">
        <v>231</v>
      </c>
      <c r="GE185" s="237" t="s">
        <v>492</v>
      </c>
      <c r="GF185" s="237" t="s">
        <v>231</v>
      </c>
      <c r="GG185" s="237" t="s">
        <v>231</v>
      </c>
      <c r="GH185" s="237" t="s">
        <v>231</v>
      </c>
      <c r="GI185" s="237" t="s">
        <v>231</v>
      </c>
      <c r="GJ185" s="237" t="s">
        <v>231</v>
      </c>
      <c r="GK185" s="237" t="s">
        <v>231</v>
      </c>
      <c r="GL185" s="237" t="s">
        <v>231</v>
      </c>
      <c r="GM185" s="237" t="s">
        <v>231</v>
      </c>
      <c r="GN185" s="237" t="s">
        <v>231</v>
      </c>
      <c r="GO185" s="237" t="s">
        <v>492</v>
      </c>
      <c r="GP185" s="237" t="s">
        <v>492</v>
      </c>
      <c r="GQ185" s="237" t="s">
        <v>231</v>
      </c>
      <c r="GR185" s="237" t="s">
        <v>231</v>
      </c>
      <c r="GS185" s="237" t="s">
        <v>231</v>
      </c>
      <c r="GT185" s="237" t="s">
        <v>231</v>
      </c>
      <c r="GU185" s="237" t="s">
        <v>231</v>
      </c>
      <c r="GV185" s="237" t="s">
        <v>231</v>
      </c>
      <c r="GW185" s="237" t="s">
        <v>231</v>
      </c>
      <c r="GX185" s="237" t="s">
        <v>231</v>
      </c>
      <c r="GY185" s="237" t="s">
        <v>492</v>
      </c>
      <c r="GZ185" s="237" t="s">
        <v>492</v>
      </c>
      <c r="HA185" s="237" t="s">
        <v>492</v>
      </c>
      <c r="HB185" s="237" t="s">
        <v>492</v>
      </c>
      <c r="HC185" s="237" t="s">
        <v>492</v>
      </c>
      <c r="HD185" s="237" t="s">
        <v>231</v>
      </c>
      <c r="HE185" s="237" t="s">
        <v>231</v>
      </c>
      <c r="HF185" s="237" t="s">
        <v>231</v>
      </c>
      <c r="HG185" s="237" t="s">
        <v>231</v>
      </c>
      <c r="HH185" s="237" t="s">
        <v>231</v>
      </c>
      <c r="HI185" s="237" t="s">
        <v>231</v>
      </c>
      <c r="HJ185" s="237" t="s">
        <v>231</v>
      </c>
      <c r="HK185" s="237" t="s">
        <v>231</v>
      </c>
      <c r="HL185" s="237" t="s">
        <v>231</v>
      </c>
      <c r="HM185" s="237" t="s">
        <v>231</v>
      </c>
      <c r="HN185" s="237" t="s">
        <v>231</v>
      </c>
      <c r="HO185" s="237" t="s">
        <v>231</v>
      </c>
      <c r="HP185" s="237" t="s">
        <v>231</v>
      </c>
      <c r="HQ185" s="237" t="s">
        <v>231</v>
      </c>
      <c r="HR185" s="237" t="s">
        <v>231</v>
      </c>
      <c r="HS185" s="237" t="s">
        <v>231</v>
      </c>
      <c r="HT185" s="237" t="s">
        <v>232</v>
      </c>
      <c r="HU185" s="237" t="s">
        <v>232</v>
      </c>
      <c r="HV185" s="237" t="s">
        <v>232</v>
      </c>
      <c r="HW185" s="237" t="s">
        <v>231</v>
      </c>
      <c r="HX185" s="237" t="s">
        <v>220</v>
      </c>
      <c r="HY185" s="237" t="s">
        <v>493</v>
      </c>
      <c r="HZ185" s="237" t="s">
        <v>219</v>
      </c>
      <c r="IA185" s="237" t="s">
        <v>490</v>
      </c>
      <c r="IB185" s="237" t="s">
        <v>492</v>
      </c>
      <c r="IC185" s="237" t="s">
        <v>492</v>
      </c>
    </row>
    <row r="186" spans="1:237" ht="15" x14ac:dyDescent="0.25">
      <c r="A186" s="244" t="str">
        <f>HYPERLINK("http://www.ofsted.gov.uk/inspection-reports/find-inspection-report/provider/ELS/146351 ","Ofsted School Webpage")</f>
        <v>Ofsted School Webpage</v>
      </c>
      <c r="B186" s="240">
        <v>146351</v>
      </c>
      <c r="C186" s="240">
        <v>9096013</v>
      </c>
      <c r="D186" s="240" t="s">
        <v>1402</v>
      </c>
      <c r="E186" s="240" t="s">
        <v>248</v>
      </c>
      <c r="F186" s="240" t="s">
        <v>495</v>
      </c>
      <c r="G186" s="240" t="s">
        <v>495</v>
      </c>
      <c r="H186" s="240" t="s">
        <v>663</v>
      </c>
      <c r="I186" s="240" t="s">
        <v>1403</v>
      </c>
      <c r="J186" s="240" t="s">
        <v>498</v>
      </c>
      <c r="K186" s="240" t="s">
        <v>93</v>
      </c>
      <c r="L186" s="240" t="s">
        <v>498</v>
      </c>
      <c r="M186" s="240" t="s">
        <v>90</v>
      </c>
      <c r="N186" s="240" t="s">
        <v>486</v>
      </c>
      <c r="O186" s="240" t="s">
        <v>487</v>
      </c>
      <c r="P186" s="240">
        <v>10093241</v>
      </c>
      <c r="Q186" s="242">
        <v>43494</v>
      </c>
      <c r="R186" s="242">
        <v>43494</v>
      </c>
      <c r="S186" s="242">
        <v>43531</v>
      </c>
      <c r="T186" s="240" t="s">
        <v>1377</v>
      </c>
      <c r="U186" s="240" t="s">
        <v>1105</v>
      </c>
      <c r="V186" s="240" t="s">
        <v>490</v>
      </c>
      <c r="W186" s="240" t="s">
        <v>486</v>
      </c>
      <c r="X186" s="240" t="s">
        <v>486</v>
      </c>
      <c r="Y186" s="240" t="s">
        <v>486</v>
      </c>
      <c r="Z186" s="240" t="s">
        <v>486</v>
      </c>
      <c r="AA186" s="240" t="s">
        <v>486</v>
      </c>
      <c r="AB186" s="240" t="s">
        <v>486</v>
      </c>
      <c r="AC186" s="240" t="s">
        <v>486</v>
      </c>
      <c r="AD186" s="240" t="s">
        <v>1386</v>
      </c>
      <c r="AE186" s="240" t="s">
        <v>232</v>
      </c>
      <c r="AF186" s="240" t="s">
        <v>231</v>
      </c>
      <c r="AG186" s="240" t="s">
        <v>231</v>
      </c>
      <c r="AH186" s="240" t="s">
        <v>231</v>
      </c>
      <c r="AI186" s="240" t="s">
        <v>231</v>
      </c>
      <c r="AJ186" s="240" t="s">
        <v>231</v>
      </c>
      <c r="AK186" s="240" t="s">
        <v>231</v>
      </c>
      <c r="AL186" s="240" t="s">
        <v>231</v>
      </c>
      <c r="AM186" s="240" t="s">
        <v>492</v>
      </c>
      <c r="AN186" s="240" t="s">
        <v>231</v>
      </c>
      <c r="AO186" s="240" t="s">
        <v>231</v>
      </c>
      <c r="AP186" s="240" t="s">
        <v>232</v>
      </c>
      <c r="AQ186" s="240" t="s">
        <v>231</v>
      </c>
      <c r="AR186" s="240" t="s">
        <v>231</v>
      </c>
      <c r="AS186" s="240" t="s">
        <v>231</v>
      </c>
      <c r="AT186" s="240" t="s">
        <v>231</v>
      </c>
      <c r="AU186" s="240" t="s">
        <v>492</v>
      </c>
      <c r="AV186" s="240" t="s">
        <v>231</v>
      </c>
      <c r="AW186" s="240" t="s">
        <v>231</v>
      </c>
      <c r="AX186" s="240" t="s">
        <v>231</v>
      </c>
      <c r="AY186" s="240" t="s">
        <v>231</v>
      </c>
      <c r="AZ186" s="240" t="s">
        <v>231</v>
      </c>
      <c r="BA186" s="240" t="s">
        <v>231</v>
      </c>
      <c r="BB186" s="240" t="s">
        <v>231</v>
      </c>
      <c r="BC186" s="240" t="s">
        <v>231</v>
      </c>
      <c r="BD186" s="240" t="s">
        <v>231</v>
      </c>
      <c r="BE186" s="240" t="s">
        <v>231</v>
      </c>
      <c r="BF186" s="240" t="s">
        <v>231</v>
      </c>
      <c r="BG186" s="240" t="s">
        <v>231</v>
      </c>
      <c r="BH186" s="240" t="s">
        <v>231</v>
      </c>
      <c r="BI186" s="240" t="s">
        <v>231</v>
      </c>
      <c r="BJ186" s="240" t="s">
        <v>231</v>
      </c>
      <c r="BK186" s="240" t="s">
        <v>232</v>
      </c>
      <c r="BL186" s="240" t="s">
        <v>231</v>
      </c>
      <c r="BM186" s="240" t="s">
        <v>232</v>
      </c>
      <c r="BN186" s="240" t="s">
        <v>231</v>
      </c>
      <c r="BO186" s="240" t="s">
        <v>231</v>
      </c>
      <c r="BP186" s="240" t="s">
        <v>231</v>
      </c>
      <c r="BQ186" s="240" t="s">
        <v>231</v>
      </c>
      <c r="BR186" s="240" t="s">
        <v>231</v>
      </c>
      <c r="BS186" s="240" t="s">
        <v>232</v>
      </c>
      <c r="BT186" s="240" t="s">
        <v>231</v>
      </c>
      <c r="BU186" s="240" t="s">
        <v>231</v>
      </c>
      <c r="BV186" s="240" t="s">
        <v>231</v>
      </c>
      <c r="BW186" s="240" t="s">
        <v>231</v>
      </c>
      <c r="BX186" s="240" t="s">
        <v>231</v>
      </c>
      <c r="BY186" s="240" t="s">
        <v>231</v>
      </c>
      <c r="BZ186" s="240" t="s">
        <v>232</v>
      </c>
      <c r="CA186" s="240" t="s">
        <v>232</v>
      </c>
      <c r="CB186" s="240" t="s">
        <v>232</v>
      </c>
      <c r="CC186" s="240" t="s">
        <v>492</v>
      </c>
      <c r="CD186" s="240" t="s">
        <v>492</v>
      </c>
      <c r="CE186" s="240" t="s">
        <v>492</v>
      </c>
      <c r="CF186" s="240" t="s">
        <v>231</v>
      </c>
      <c r="CG186" s="240" t="s">
        <v>231</v>
      </c>
      <c r="CH186" s="240" t="s">
        <v>231</v>
      </c>
      <c r="CI186" s="240" t="s">
        <v>231</v>
      </c>
      <c r="CJ186" s="240" t="s">
        <v>231</v>
      </c>
      <c r="CK186" s="240" t="s">
        <v>232</v>
      </c>
      <c r="CL186" s="240" t="s">
        <v>232</v>
      </c>
      <c r="CM186" s="240" t="s">
        <v>231</v>
      </c>
      <c r="CN186" s="240" t="s">
        <v>232</v>
      </c>
      <c r="CO186" s="240" t="s">
        <v>231</v>
      </c>
      <c r="CP186" s="240" t="s">
        <v>232</v>
      </c>
      <c r="CQ186" s="240" t="s">
        <v>232</v>
      </c>
      <c r="CR186" s="240" t="s">
        <v>232</v>
      </c>
      <c r="CS186" s="240" t="s">
        <v>232</v>
      </c>
      <c r="CT186" s="240" t="s">
        <v>231</v>
      </c>
      <c r="CU186" s="240" t="s">
        <v>232</v>
      </c>
      <c r="CV186" s="240" t="s">
        <v>231</v>
      </c>
      <c r="CW186" s="240" t="s">
        <v>231</v>
      </c>
      <c r="CX186" s="240" t="s">
        <v>231</v>
      </c>
      <c r="CY186" s="240" t="s">
        <v>231</v>
      </c>
      <c r="CZ186" s="240" t="s">
        <v>231</v>
      </c>
      <c r="DA186" s="240" t="s">
        <v>231</v>
      </c>
      <c r="DB186" s="240" t="s">
        <v>231</v>
      </c>
      <c r="DC186" s="240" t="s">
        <v>492</v>
      </c>
      <c r="DD186" s="240" t="s">
        <v>232</v>
      </c>
      <c r="DE186" s="240" t="s">
        <v>492</v>
      </c>
      <c r="DF186" s="240" t="s">
        <v>492</v>
      </c>
      <c r="DG186" s="240" t="s">
        <v>492</v>
      </c>
      <c r="DH186" s="240" t="s">
        <v>492</v>
      </c>
      <c r="DI186" s="240" t="s">
        <v>492</v>
      </c>
      <c r="DJ186" s="240" t="s">
        <v>492</v>
      </c>
      <c r="DK186" s="240" t="s">
        <v>492</v>
      </c>
      <c r="DL186" s="240" t="s">
        <v>492</v>
      </c>
      <c r="DM186" s="240" t="s">
        <v>492</v>
      </c>
      <c r="DN186" s="240" t="s">
        <v>492</v>
      </c>
      <c r="DO186" s="240" t="s">
        <v>492</v>
      </c>
      <c r="DP186" s="240" t="s">
        <v>492</v>
      </c>
      <c r="DQ186" s="240" t="s">
        <v>492</v>
      </c>
      <c r="DR186" s="240" t="s">
        <v>492</v>
      </c>
      <c r="DS186" s="240" t="s">
        <v>232</v>
      </c>
      <c r="DT186" s="240" t="s">
        <v>232</v>
      </c>
      <c r="DU186" s="240" t="s">
        <v>231</v>
      </c>
      <c r="DV186" s="240" t="s">
        <v>232</v>
      </c>
      <c r="DW186" s="240" t="s">
        <v>492</v>
      </c>
      <c r="DX186" s="240" t="s">
        <v>231</v>
      </c>
      <c r="DY186" s="240" t="s">
        <v>231</v>
      </c>
      <c r="DZ186" s="240" t="s">
        <v>231</v>
      </c>
      <c r="EA186" s="240" t="s">
        <v>231</v>
      </c>
      <c r="EB186" s="240" t="s">
        <v>232</v>
      </c>
      <c r="EC186" s="240" t="s">
        <v>231</v>
      </c>
      <c r="ED186" s="240" t="s">
        <v>232</v>
      </c>
      <c r="EE186" s="240" t="s">
        <v>232</v>
      </c>
      <c r="EF186" s="240" t="s">
        <v>231</v>
      </c>
      <c r="EG186" s="240" t="s">
        <v>231</v>
      </c>
      <c r="EH186" s="240" t="s">
        <v>232</v>
      </c>
      <c r="EI186" s="240" t="s">
        <v>231</v>
      </c>
      <c r="EJ186" s="240" t="s">
        <v>231</v>
      </c>
      <c r="EK186" s="240" t="s">
        <v>231</v>
      </c>
      <c r="EL186" s="240" t="s">
        <v>231</v>
      </c>
      <c r="EM186" s="240" t="s">
        <v>231</v>
      </c>
      <c r="EN186" s="240" t="s">
        <v>232</v>
      </c>
      <c r="EO186" s="240" t="s">
        <v>492</v>
      </c>
      <c r="EP186" s="240" t="s">
        <v>492</v>
      </c>
      <c r="EQ186" s="240" t="s">
        <v>492</v>
      </c>
      <c r="ER186" s="240" t="s">
        <v>492</v>
      </c>
      <c r="ES186" s="240" t="s">
        <v>492</v>
      </c>
      <c r="ET186" s="240" t="s">
        <v>492</v>
      </c>
      <c r="EU186" s="240" t="s">
        <v>492</v>
      </c>
      <c r="EV186" s="240" t="s">
        <v>492</v>
      </c>
      <c r="EW186" s="240" t="s">
        <v>492</v>
      </c>
      <c r="EX186" s="240" t="s">
        <v>492</v>
      </c>
      <c r="EY186" s="240" t="s">
        <v>492</v>
      </c>
      <c r="EZ186" s="240" t="s">
        <v>231</v>
      </c>
      <c r="FA186" s="240" t="s">
        <v>231</v>
      </c>
      <c r="FB186" s="240" t="s">
        <v>231</v>
      </c>
      <c r="FC186" s="240" t="s">
        <v>231</v>
      </c>
      <c r="FD186" s="240" t="s">
        <v>231</v>
      </c>
      <c r="FE186" s="240" t="s">
        <v>231</v>
      </c>
      <c r="FF186" s="240" t="s">
        <v>231</v>
      </c>
      <c r="FG186" s="240" t="s">
        <v>492</v>
      </c>
      <c r="FH186" s="240" t="s">
        <v>231</v>
      </c>
      <c r="FI186" s="240" t="s">
        <v>231</v>
      </c>
      <c r="FJ186" s="240" t="s">
        <v>231</v>
      </c>
      <c r="FK186" s="240" t="s">
        <v>231</v>
      </c>
      <c r="FL186" s="240" t="s">
        <v>231</v>
      </c>
      <c r="FM186" s="240" t="s">
        <v>231</v>
      </c>
      <c r="FN186" s="240" t="s">
        <v>231</v>
      </c>
      <c r="FO186" s="240" t="s">
        <v>231</v>
      </c>
      <c r="FP186" s="240" t="s">
        <v>231</v>
      </c>
      <c r="FQ186" s="240" t="s">
        <v>231</v>
      </c>
      <c r="FR186" s="240" t="s">
        <v>231</v>
      </c>
      <c r="FS186" s="240" t="s">
        <v>231</v>
      </c>
      <c r="FT186" s="240" t="s">
        <v>231</v>
      </c>
      <c r="FU186" s="240" t="s">
        <v>231</v>
      </c>
      <c r="FV186" s="240" t="s">
        <v>231</v>
      </c>
      <c r="FW186" s="240" t="s">
        <v>231</v>
      </c>
      <c r="FX186" s="240" t="s">
        <v>231</v>
      </c>
      <c r="FY186" s="240" t="s">
        <v>492</v>
      </c>
      <c r="FZ186" s="240" t="s">
        <v>231</v>
      </c>
      <c r="GA186" s="240" t="s">
        <v>231</v>
      </c>
      <c r="GB186" s="240" t="s">
        <v>231</v>
      </c>
      <c r="GC186" s="240" t="s">
        <v>231</v>
      </c>
      <c r="GD186" s="240" t="s">
        <v>492</v>
      </c>
      <c r="GE186" s="240" t="s">
        <v>492</v>
      </c>
      <c r="GF186" s="240" t="s">
        <v>231</v>
      </c>
      <c r="GG186" s="240" t="s">
        <v>231</v>
      </c>
      <c r="GH186" s="240" t="s">
        <v>231</v>
      </c>
      <c r="GI186" s="240" t="s">
        <v>231</v>
      </c>
      <c r="GJ186" s="240" t="s">
        <v>231</v>
      </c>
      <c r="GK186" s="240" t="s">
        <v>231</v>
      </c>
      <c r="GL186" s="240" t="s">
        <v>231</v>
      </c>
      <c r="GM186" s="240" t="s">
        <v>231</v>
      </c>
      <c r="GN186" s="240" t="s">
        <v>231</v>
      </c>
      <c r="GO186" s="240" t="s">
        <v>492</v>
      </c>
      <c r="GP186" s="240" t="s">
        <v>492</v>
      </c>
      <c r="GQ186" s="240" t="s">
        <v>231</v>
      </c>
      <c r="GR186" s="240" t="s">
        <v>231</v>
      </c>
      <c r="GS186" s="240" t="s">
        <v>231</v>
      </c>
      <c r="GT186" s="240" t="s">
        <v>231</v>
      </c>
      <c r="GU186" s="240" t="s">
        <v>231</v>
      </c>
      <c r="GV186" s="240" t="s">
        <v>231</v>
      </c>
      <c r="GW186" s="240" t="s">
        <v>492</v>
      </c>
      <c r="GX186" s="240" t="s">
        <v>231</v>
      </c>
      <c r="GY186" s="240" t="s">
        <v>492</v>
      </c>
      <c r="GZ186" s="240" t="s">
        <v>492</v>
      </c>
      <c r="HA186" s="240" t="s">
        <v>492</v>
      </c>
      <c r="HB186" s="240" t="s">
        <v>492</v>
      </c>
      <c r="HC186" s="240" t="s">
        <v>492</v>
      </c>
      <c r="HD186" s="240" t="s">
        <v>231</v>
      </c>
      <c r="HE186" s="240" t="s">
        <v>231</v>
      </c>
      <c r="HF186" s="240" t="s">
        <v>231</v>
      </c>
      <c r="HG186" s="240" t="s">
        <v>231</v>
      </c>
      <c r="HH186" s="240" t="s">
        <v>231</v>
      </c>
      <c r="HI186" s="240" t="s">
        <v>231</v>
      </c>
      <c r="HJ186" s="240" t="s">
        <v>231</v>
      </c>
      <c r="HK186" s="240" t="s">
        <v>231</v>
      </c>
      <c r="HL186" s="240" t="s">
        <v>231</v>
      </c>
      <c r="HM186" s="240" t="s">
        <v>231</v>
      </c>
      <c r="HN186" s="240" t="s">
        <v>231</v>
      </c>
      <c r="HO186" s="240" t="s">
        <v>231</v>
      </c>
      <c r="HP186" s="240" t="s">
        <v>231</v>
      </c>
      <c r="HQ186" s="240" t="s">
        <v>231</v>
      </c>
      <c r="HR186" s="240" t="s">
        <v>231</v>
      </c>
      <c r="HS186" s="240" t="s">
        <v>231</v>
      </c>
      <c r="HT186" s="240" t="s">
        <v>232</v>
      </c>
      <c r="HU186" s="240" t="s">
        <v>232</v>
      </c>
      <c r="HV186" s="240" t="s">
        <v>232</v>
      </c>
      <c r="HW186" s="240" t="s">
        <v>232</v>
      </c>
      <c r="HX186" s="240" t="s">
        <v>220</v>
      </c>
      <c r="HY186" s="240" t="s">
        <v>493</v>
      </c>
      <c r="HZ186" s="240" t="s">
        <v>219</v>
      </c>
      <c r="IA186" s="240" t="s">
        <v>490</v>
      </c>
      <c r="IB186" s="240" t="s">
        <v>232</v>
      </c>
      <c r="IC186" s="240" t="s">
        <v>231</v>
      </c>
    </row>
    <row r="187" spans="1:237" ht="15" x14ac:dyDescent="0.25">
      <c r="A187" s="243" t="str">
        <f>HYPERLINK("http://www.ofsted.gov.uk/inspection-reports/find-inspection-report/provider/ELS/146633 ","Ofsted School Webpage")</f>
        <v>Ofsted School Webpage</v>
      </c>
      <c r="B187" s="237">
        <v>146633</v>
      </c>
      <c r="C187" s="237">
        <v>3836009</v>
      </c>
      <c r="D187" s="237" t="s">
        <v>1478</v>
      </c>
      <c r="E187" s="237" t="s">
        <v>247</v>
      </c>
      <c r="F187" s="237" t="s">
        <v>523</v>
      </c>
      <c r="G187" s="237" t="s">
        <v>524</v>
      </c>
      <c r="H187" s="237" t="s">
        <v>702</v>
      </c>
      <c r="I187" s="237" t="s">
        <v>1479</v>
      </c>
      <c r="J187" s="237" t="s">
        <v>498</v>
      </c>
      <c r="K187" s="237" t="s">
        <v>93</v>
      </c>
      <c r="L187" s="237" t="s">
        <v>498</v>
      </c>
      <c r="M187" s="237" t="s">
        <v>90</v>
      </c>
      <c r="N187" s="237" t="s">
        <v>486</v>
      </c>
      <c r="O187" s="237" t="s">
        <v>487</v>
      </c>
      <c r="P187" s="237">
        <v>10087052</v>
      </c>
      <c r="Q187" s="239">
        <v>43501</v>
      </c>
      <c r="R187" s="239">
        <v>43501</v>
      </c>
      <c r="S187" s="239">
        <v>43537</v>
      </c>
      <c r="T187" s="237" t="s">
        <v>1377</v>
      </c>
      <c r="U187" s="237" t="s">
        <v>1105</v>
      </c>
      <c r="V187" s="237" t="s">
        <v>490</v>
      </c>
      <c r="W187" s="237" t="s">
        <v>486</v>
      </c>
      <c r="X187" s="237" t="s">
        <v>486</v>
      </c>
      <c r="Y187" s="237" t="s">
        <v>486</v>
      </c>
      <c r="Z187" s="237" t="s">
        <v>486</v>
      </c>
      <c r="AA187" s="237" t="s">
        <v>486</v>
      </c>
      <c r="AB187" s="237" t="s">
        <v>486</v>
      </c>
      <c r="AC187" s="237" t="s">
        <v>486</v>
      </c>
      <c r="AD187" s="237" t="s">
        <v>1480</v>
      </c>
      <c r="AE187" s="237" t="s">
        <v>231</v>
      </c>
      <c r="AF187" s="237" t="s">
        <v>231</v>
      </c>
      <c r="AG187" s="237" t="s">
        <v>231</v>
      </c>
      <c r="AH187" s="237" t="s">
        <v>231</v>
      </c>
      <c r="AI187" s="237" t="s">
        <v>231</v>
      </c>
      <c r="AJ187" s="237" t="s">
        <v>231</v>
      </c>
      <c r="AK187" s="237" t="s">
        <v>231</v>
      </c>
      <c r="AL187" s="237" t="s">
        <v>231</v>
      </c>
      <c r="AM187" s="237" t="s">
        <v>492</v>
      </c>
      <c r="AN187" s="237" t="s">
        <v>231</v>
      </c>
      <c r="AO187" s="237" t="s">
        <v>231</v>
      </c>
      <c r="AP187" s="237" t="s">
        <v>231</v>
      </c>
      <c r="AQ187" s="237" t="s">
        <v>231</v>
      </c>
      <c r="AR187" s="237" t="s">
        <v>231</v>
      </c>
      <c r="AS187" s="237" t="s">
        <v>231</v>
      </c>
      <c r="AT187" s="237" t="s">
        <v>231</v>
      </c>
      <c r="AU187" s="237" t="s">
        <v>492</v>
      </c>
      <c r="AV187" s="237" t="s">
        <v>492</v>
      </c>
      <c r="AW187" s="237" t="s">
        <v>231</v>
      </c>
      <c r="AX187" s="237" t="s">
        <v>231</v>
      </c>
      <c r="AY187" s="237" t="s">
        <v>231</v>
      </c>
      <c r="AZ187" s="237" t="s">
        <v>231</v>
      </c>
      <c r="BA187" s="237" t="s">
        <v>231</v>
      </c>
      <c r="BB187" s="237" t="s">
        <v>231</v>
      </c>
      <c r="BC187" s="237" t="s">
        <v>231</v>
      </c>
      <c r="BD187" s="237" t="s">
        <v>231</v>
      </c>
      <c r="BE187" s="237" t="s">
        <v>231</v>
      </c>
      <c r="BF187" s="237" t="s">
        <v>231</v>
      </c>
      <c r="BG187" s="237" t="s">
        <v>231</v>
      </c>
      <c r="BH187" s="237" t="s">
        <v>231</v>
      </c>
      <c r="BI187" s="237" t="s">
        <v>231</v>
      </c>
      <c r="BJ187" s="237" t="s">
        <v>231</v>
      </c>
      <c r="BK187" s="237" t="s">
        <v>231</v>
      </c>
      <c r="BL187" s="237" t="s">
        <v>231</v>
      </c>
      <c r="BM187" s="237" t="s">
        <v>231</v>
      </c>
      <c r="BN187" s="237" t="s">
        <v>231</v>
      </c>
      <c r="BO187" s="237" t="s">
        <v>231</v>
      </c>
      <c r="BP187" s="237" t="s">
        <v>231</v>
      </c>
      <c r="BQ187" s="237" t="s">
        <v>231</v>
      </c>
      <c r="BR187" s="237" t="s">
        <v>231</v>
      </c>
      <c r="BS187" s="237" t="s">
        <v>231</v>
      </c>
      <c r="BT187" s="237" t="s">
        <v>231</v>
      </c>
      <c r="BU187" s="237" t="s">
        <v>231</v>
      </c>
      <c r="BV187" s="237" t="s">
        <v>231</v>
      </c>
      <c r="BW187" s="237" t="s">
        <v>231</v>
      </c>
      <c r="BX187" s="237" t="s">
        <v>231</v>
      </c>
      <c r="BY187" s="237" t="s">
        <v>231</v>
      </c>
      <c r="BZ187" s="237" t="s">
        <v>231</v>
      </c>
      <c r="CA187" s="237" t="s">
        <v>231</v>
      </c>
      <c r="CB187" s="237" t="s">
        <v>231</v>
      </c>
      <c r="CC187" s="237" t="s">
        <v>492</v>
      </c>
      <c r="CD187" s="237" t="s">
        <v>492</v>
      </c>
      <c r="CE187" s="237" t="s">
        <v>492</v>
      </c>
      <c r="CF187" s="237" t="s">
        <v>231</v>
      </c>
      <c r="CG187" s="237" t="s">
        <v>231</v>
      </c>
      <c r="CH187" s="237" t="s">
        <v>231</v>
      </c>
      <c r="CI187" s="237" t="s">
        <v>231</v>
      </c>
      <c r="CJ187" s="237" t="s">
        <v>231</v>
      </c>
      <c r="CK187" s="237" t="s">
        <v>231</v>
      </c>
      <c r="CL187" s="237" t="s">
        <v>231</v>
      </c>
      <c r="CM187" s="237" t="s">
        <v>231</v>
      </c>
      <c r="CN187" s="237" t="s">
        <v>231</v>
      </c>
      <c r="CO187" s="237" t="s">
        <v>231</v>
      </c>
      <c r="CP187" s="237" t="s">
        <v>231</v>
      </c>
      <c r="CQ187" s="237" t="s">
        <v>231</v>
      </c>
      <c r="CR187" s="237" t="s">
        <v>231</v>
      </c>
      <c r="CS187" s="237" t="s">
        <v>231</v>
      </c>
      <c r="CT187" s="237" t="s">
        <v>231</v>
      </c>
      <c r="CU187" s="237" t="s">
        <v>231</v>
      </c>
      <c r="CV187" s="237" t="s">
        <v>231</v>
      </c>
      <c r="CW187" s="237" t="s">
        <v>231</v>
      </c>
      <c r="CX187" s="237" t="s">
        <v>231</v>
      </c>
      <c r="CY187" s="237" t="s">
        <v>231</v>
      </c>
      <c r="CZ187" s="237" t="s">
        <v>231</v>
      </c>
      <c r="DA187" s="237" t="s">
        <v>231</v>
      </c>
      <c r="DB187" s="237" t="s">
        <v>231</v>
      </c>
      <c r="DC187" s="237" t="s">
        <v>492</v>
      </c>
      <c r="DD187" s="237" t="s">
        <v>231</v>
      </c>
      <c r="DE187" s="237" t="s">
        <v>231</v>
      </c>
      <c r="DF187" s="237" t="s">
        <v>231</v>
      </c>
      <c r="DG187" s="237" t="s">
        <v>231</v>
      </c>
      <c r="DH187" s="237" t="s">
        <v>231</v>
      </c>
      <c r="DI187" s="237" t="s">
        <v>231</v>
      </c>
      <c r="DJ187" s="237" t="s">
        <v>231</v>
      </c>
      <c r="DK187" s="237" t="s">
        <v>231</v>
      </c>
      <c r="DL187" s="237" t="s">
        <v>231</v>
      </c>
      <c r="DM187" s="237" t="s">
        <v>231</v>
      </c>
      <c r="DN187" s="237" t="s">
        <v>231</v>
      </c>
      <c r="DO187" s="237" t="s">
        <v>231</v>
      </c>
      <c r="DP187" s="237" t="s">
        <v>231</v>
      </c>
      <c r="DQ187" s="237" t="s">
        <v>492</v>
      </c>
      <c r="DR187" s="237" t="s">
        <v>231</v>
      </c>
      <c r="DS187" s="237" t="s">
        <v>231</v>
      </c>
      <c r="DT187" s="237" t="s">
        <v>231</v>
      </c>
      <c r="DU187" s="237" t="s">
        <v>231</v>
      </c>
      <c r="DV187" s="237" t="s">
        <v>231</v>
      </c>
      <c r="DW187" s="237" t="s">
        <v>231</v>
      </c>
      <c r="DX187" s="237" t="s">
        <v>231</v>
      </c>
      <c r="DY187" s="237" t="s">
        <v>231</v>
      </c>
      <c r="DZ187" s="237" t="s">
        <v>231</v>
      </c>
      <c r="EA187" s="237" t="s">
        <v>231</v>
      </c>
      <c r="EB187" s="237" t="s">
        <v>231</v>
      </c>
      <c r="EC187" s="237" t="s">
        <v>231</v>
      </c>
      <c r="ED187" s="237" t="s">
        <v>231</v>
      </c>
      <c r="EE187" s="237" t="s">
        <v>231</v>
      </c>
      <c r="EF187" s="237" t="s">
        <v>231</v>
      </c>
      <c r="EG187" s="237" t="s">
        <v>231</v>
      </c>
      <c r="EH187" s="237" t="s">
        <v>231</v>
      </c>
      <c r="EI187" s="237" t="s">
        <v>231</v>
      </c>
      <c r="EJ187" s="237" t="s">
        <v>231</v>
      </c>
      <c r="EK187" s="237" t="s">
        <v>231</v>
      </c>
      <c r="EL187" s="237" t="s">
        <v>231</v>
      </c>
      <c r="EM187" s="237" t="s">
        <v>231</v>
      </c>
      <c r="EN187" s="237" t="s">
        <v>231</v>
      </c>
      <c r="EO187" s="237" t="s">
        <v>231</v>
      </c>
      <c r="EP187" s="237" t="s">
        <v>231</v>
      </c>
      <c r="EQ187" s="237" t="s">
        <v>231</v>
      </c>
      <c r="ER187" s="237" t="s">
        <v>231</v>
      </c>
      <c r="ES187" s="237" t="s">
        <v>231</v>
      </c>
      <c r="ET187" s="237" t="s">
        <v>231</v>
      </c>
      <c r="EU187" s="237" t="s">
        <v>231</v>
      </c>
      <c r="EV187" s="237" t="s">
        <v>231</v>
      </c>
      <c r="EW187" s="237" t="s">
        <v>492</v>
      </c>
      <c r="EX187" s="237" t="s">
        <v>492</v>
      </c>
      <c r="EY187" s="237" t="s">
        <v>492</v>
      </c>
      <c r="EZ187" s="237" t="s">
        <v>231</v>
      </c>
      <c r="FA187" s="237" t="s">
        <v>231</v>
      </c>
      <c r="FB187" s="237" t="s">
        <v>231</v>
      </c>
      <c r="FC187" s="237" t="s">
        <v>231</v>
      </c>
      <c r="FD187" s="237" t="s">
        <v>231</v>
      </c>
      <c r="FE187" s="237" t="s">
        <v>231</v>
      </c>
      <c r="FF187" s="237" t="s">
        <v>231</v>
      </c>
      <c r="FG187" s="237" t="s">
        <v>492</v>
      </c>
      <c r="FH187" s="237" t="s">
        <v>231</v>
      </c>
      <c r="FI187" s="237" t="s">
        <v>231</v>
      </c>
      <c r="FJ187" s="237" t="s">
        <v>231</v>
      </c>
      <c r="FK187" s="237" t="s">
        <v>231</v>
      </c>
      <c r="FL187" s="237" t="s">
        <v>231</v>
      </c>
      <c r="FM187" s="237" t="s">
        <v>231</v>
      </c>
      <c r="FN187" s="237" t="s">
        <v>231</v>
      </c>
      <c r="FO187" s="237" t="s">
        <v>231</v>
      </c>
      <c r="FP187" s="237" t="s">
        <v>231</v>
      </c>
      <c r="FQ187" s="237" t="s">
        <v>231</v>
      </c>
      <c r="FR187" s="237" t="s">
        <v>231</v>
      </c>
      <c r="FS187" s="237" t="s">
        <v>231</v>
      </c>
      <c r="FT187" s="237" t="s">
        <v>231</v>
      </c>
      <c r="FU187" s="237" t="s">
        <v>231</v>
      </c>
      <c r="FV187" s="237" t="s">
        <v>231</v>
      </c>
      <c r="FW187" s="237" t="s">
        <v>231</v>
      </c>
      <c r="FX187" s="237" t="s">
        <v>231</v>
      </c>
      <c r="FY187" s="237" t="s">
        <v>492</v>
      </c>
      <c r="FZ187" s="237" t="s">
        <v>231</v>
      </c>
      <c r="GA187" s="237" t="s">
        <v>231</v>
      </c>
      <c r="GB187" s="237" t="s">
        <v>231</v>
      </c>
      <c r="GC187" s="237" t="s">
        <v>231</v>
      </c>
      <c r="GD187" s="237" t="s">
        <v>231</v>
      </c>
      <c r="GE187" s="237" t="s">
        <v>492</v>
      </c>
      <c r="GF187" s="237" t="s">
        <v>231</v>
      </c>
      <c r="GG187" s="237" t="s">
        <v>231</v>
      </c>
      <c r="GH187" s="237" t="s">
        <v>231</v>
      </c>
      <c r="GI187" s="237" t="s">
        <v>231</v>
      </c>
      <c r="GJ187" s="237" t="s">
        <v>231</v>
      </c>
      <c r="GK187" s="237" t="s">
        <v>231</v>
      </c>
      <c r="GL187" s="237" t="s">
        <v>231</v>
      </c>
      <c r="GM187" s="237" t="s">
        <v>231</v>
      </c>
      <c r="GN187" s="237" t="s">
        <v>492</v>
      </c>
      <c r="GO187" s="237" t="s">
        <v>231</v>
      </c>
      <c r="GP187" s="237" t="s">
        <v>231</v>
      </c>
      <c r="GQ187" s="237" t="s">
        <v>231</v>
      </c>
      <c r="GR187" s="237" t="s">
        <v>231</v>
      </c>
      <c r="GS187" s="237" t="s">
        <v>231</v>
      </c>
      <c r="GT187" s="237" t="s">
        <v>231</v>
      </c>
      <c r="GU187" s="237" t="s">
        <v>231</v>
      </c>
      <c r="GV187" s="237" t="s">
        <v>231</v>
      </c>
      <c r="GW187" s="237" t="s">
        <v>231</v>
      </c>
      <c r="GX187" s="237" t="s">
        <v>231</v>
      </c>
      <c r="GY187" s="237" t="s">
        <v>492</v>
      </c>
      <c r="GZ187" s="237" t="s">
        <v>492</v>
      </c>
      <c r="HA187" s="237" t="s">
        <v>492</v>
      </c>
      <c r="HB187" s="237" t="s">
        <v>492</v>
      </c>
      <c r="HC187" s="237" t="s">
        <v>492</v>
      </c>
      <c r="HD187" s="237" t="s">
        <v>231</v>
      </c>
      <c r="HE187" s="237" t="s">
        <v>231</v>
      </c>
      <c r="HF187" s="237" t="s">
        <v>231</v>
      </c>
      <c r="HG187" s="237" t="s">
        <v>231</v>
      </c>
      <c r="HH187" s="237" t="s">
        <v>231</v>
      </c>
      <c r="HI187" s="237" t="s">
        <v>231</v>
      </c>
      <c r="HJ187" s="237" t="s">
        <v>231</v>
      </c>
      <c r="HK187" s="237" t="s">
        <v>231</v>
      </c>
      <c r="HL187" s="237" t="s">
        <v>231</v>
      </c>
      <c r="HM187" s="237" t="s">
        <v>231</v>
      </c>
      <c r="HN187" s="237" t="s">
        <v>231</v>
      </c>
      <c r="HO187" s="237" t="s">
        <v>231</v>
      </c>
      <c r="HP187" s="237" t="s">
        <v>231</v>
      </c>
      <c r="HQ187" s="237" t="s">
        <v>231</v>
      </c>
      <c r="HR187" s="237" t="s">
        <v>231</v>
      </c>
      <c r="HS187" s="237" t="s">
        <v>231</v>
      </c>
      <c r="HT187" s="237" t="s">
        <v>231</v>
      </c>
      <c r="HU187" s="237" t="s">
        <v>231</v>
      </c>
      <c r="HV187" s="237" t="s">
        <v>231</v>
      </c>
      <c r="HW187" s="237" t="s">
        <v>231</v>
      </c>
      <c r="HX187" s="237" t="s">
        <v>219</v>
      </c>
      <c r="HY187" s="237" t="s">
        <v>219</v>
      </c>
      <c r="HZ187" s="237" t="s">
        <v>219</v>
      </c>
      <c r="IA187" s="237" t="s">
        <v>490</v>
      </c>
      <c r="IB187" s="237" t="s">
        <v>492</v>
      </c>
      <c r="IC187" s="237" t="s">
        <v>492</v>
      </c>
    </row>
    <row r="188" spans="1:237" ht="15" x14ac:dyDescent="0.25">
      <c r="A188" s="244" t="str">
        <f>HYPERLINK("http://www.ofsted.gov.uk/inspection-reports/find-inspection-report/provider/ELS/146563 ","Ofsted School Webpage")</f>
        <v>Ofsted School Webpage</v>
      </c>
      <c r="B188" s="240">
        <v>146563</v>
      </c>
      <c r="C188" s="240">
        <v>3306044</v>
      </c>
      <c r="D188" s="240" t="s">
        <v>1481</v>
      </c>
      <c r="E188" s="240" t="s">
        <v>248</v>
      </c>
      <c r="F188" s="240" t="s">
        <v>502</v>
      </c>
      <c r="G188" s="240" t="s">
        <v>502</v>
      </c>
      <c r="H188" s="240" t="s">
        <v>909</v>
      </c>
      <c r="I188" s="240" t="s">
        <v>486</v>
      </c>
      <c r="J188" s="240" t="s">
        <v>498</v>
      </c>
      <c r="K188" s="240" t="s">
        <v>93</v>
      </c>
      <c r="L188" s="240" t="s">
        <v>498</v>
      </c>
      <c r="M188" s="240" t="s">
        <v>90</v>
      </c>
      <c r="N188" s="240" t="s">
        <v>486</v>
      </c>
      <c r="O188" s="240" t="s">
        <v>487</v>
      </c>
      <c r="P188" s="240">
        <v>10093236</v>
      </c>
      <c r="Q188" s="242">
        <v>43515</v>
      </c>
      <c r="R188" s="242">
        <v>43515</v>
      </c>
      <c r="S188" s="242">
        <v>43542</v>
      </c>
      <c r="T188" s="240" t="s">
        <v>1377</v>
      </c>
      <c r="U188" s="240" t="s">
        <v>1105</v>
      </c>
      <c r="V188" s="240" t="s">
        <v>490</v>
      </c>
      <c r="W188" s="240" t="s">
        <v>486</v>
      </c>
      <c r="X188" s="240" t="s">
        <v>486</v>
      </c>
      <c r="Y188" s="240" t="s">
        <v>486</v>
      </c>
      <c r="Z188" s="240" t="s">
        <v>486</v>
      </c>
      <c r="AA188" s="240" t="s">
        <v>486</v>
      </c>
      <c r="AB188" s="240" t="s">
        <v>486</v>
      </c>
      <c r="AC188" s="240" t="s">
        <v>486</v>
      </c>
      <c r="AD188" s="240" t="s">
        <v>1378</v>
      </c>
      <c r="AE188" s="240" t="s">
        <v>231</v>
      </c>
      <c r="AF188" s="240" t="s">
        <v>231</v>
      </c>
      <c r="AG188" s="240" t="s">
        <v>231</v>
      </c>
      <c r="AH188" s="240" t="s">
        <v>231</v>
      </c>
      <c r="AI188" s="240" t="s">
        <v>231</v>
      </c>
      <c r="AJ188" s="240" t="s">
        <v>231</v>
      </c>
      <c r="AK188" s="240" t="s">
        <v>231</v>
      </c>
      <c r="AL188" s="240" t="s">
        <v>231</v>
      </c>
      <c r="AM188" s="240" t="s">
        <v>492</v>
      </c>
      <c r="AN188" s="240" t="s">
        <v>231</v>
      </c>
      <c r="AO188" s="240" t="s">
        <v>231</v>
      </c>
      <c r="AP188" s="240" t="s">
        <v>231</v>
      </c>
      <c r="AQ188" s="240" t="s">
        <v>231</v>
      </c>
      <c r="AR188" s="240" t="s">
        <v>231</v>
      </c>
      <c r="AS188" s="240" t="s">
        <v>231</v>
      </c>
      <c r="AT188" s="240" t="s">
        <v>231</v>
      </c>
      <c r="AU188" s="240" t="s">
        <v>492</v>
      </c>
      <c r="AV188" s="240" t="s">
        <v>231</v>
      </c>
      <c r="AW188" s="240" t="s">
        <v>231</v>
      </c>
      <c r="AX188" s="240" t="s">
        <v>231</v>
      </c>
      <c r="AY188" s="240" t="s">
        <v>231</v>
      </c>
      <c r="AZ188" s="240" t="s">
        <v>231</v>
      </c>
      <c r="BA188" s="240" t="s">
        <v>231</v>
      </c>
      <c r="BB188" s="240" t="s">
        <v>231</v>
      </c>
      <c r="BC188" s="240" t="s">
        <v>231</v>
      </c>
      <c r="BD188" s="240" t="s">
        <v>231</v>
      </c>
      <c r="BE188" s="240" t="s">
        <v>231</v>
      </c>
      <c r="BF188" s="240" t="s">
        <v>231</v>
      </c>
      <c r="BG188" s="240" t="s">
        <v>231</v>
      </c>
      <c r="BH188" s="240" t="s">
        <v>231</v>
      </c>
      <c r="BI188" s="240" t="s">
        <v>231</v>
      </c>
      <c r="BJ188" s="240" t="s">
        <v>231</v>
      </c>
      <c r="BK188" s="240" t="s">
        <v>231</v>
      </c>
      <c r="BL188" s="240" t="s">
        <v>231</v>
      </c>
      <c r="BM188" s="240" t="s">
        <v>231</v>
      </c>
      <c r="BN188" s="240" t="s">
        <v>231</v>
      </c>
      <c r="BO188" s="240" t="s">
        <v>231</v>
      </c>
      <c r="BP188" s="240" t="s">
        <v>231</v>
      </c>
      <c r="BQ188" s="240" t="s">
        <v>231</v>
      </c>
      <c r="BR188" s="240" t="s">
        <v>231</v>
      </c>
      <c r="BS188" s="240" t="s">
        <v>231</v>
      </c>
      <c r="BT188" s="240" t="s">
        <v>231</v>
      </c>
      <c r="BU188" s="240" t="s">
        <v>231</v>
      </c>
      <c r="BV188" s="240" t="s">
        <v>231</v>
      </c>
      <c r="BW188" s="240" t="s">
        <v>231</v>
      </c>
      <c r="BX188" s="240" t="s">
        <v>231</v>
      </c>
      <c r="BY188" s="240" t="s">
        <v>231</v>
      </c>
      <c r="BZ188" s="240" t="s">
        <v>231</v>
      </c>
      <c r="CA188" s="240" t="s">
        <v>231</v>
      </c>
      <c r="CB188" s="240" t="s">
        <v>231</v>
      </c>
      <c r="CC188" s="240" t="s">
        <v>492</v>
      </c>
      <c r="CD188" s="240" t="s">
        <v>492</v>
      </c>
      <c r="CE188" s="240" t="s">
        <v>492</v>
      </c>
      <c r="CF188" s="240" t="s">
        <v>231</v>
      </c>
      <c r="CG188" s="240" t="s">
        <v>231</v>
      </c>
      <c r="CH188" s="240" t="s">
        <v>231</v>
      </c>
      <c r="CI188" s="240" t="s">
        <v>231</v>
      </c>
      <c r="CJ188" s="240" t="s">
        <v>231</v>
      </c>
      <c r="CK188" s="240" t="s">
        <v>231</v>
      </c>
      <c r="CL188" s="240" t="s">
        <v>231</v>
      </c>
      <c r="CM188" s="240" t="s">
        <v>231</v>
      </c>
      <c r="CN188" s="240" t="s">
        <v>231</v>
      </c>
      <c r="CO188" s="240" t="s">
        <v>231</v>
      </c>
      <c r="CP188" s="240" t="s">
        <v>231</v>
      </c>
      <c r="CQ188" s="240" t="s">
        <v>231</v>
      </c>
      <c r="CR188" s="240" t="s">
        <v>231</v>
      </c>
      <c r="CS188" s="240" t="s">
        <v>231</v>
      </c>
      <c r="CT188" s="240" t="s">
        <v>231</v>
      </c>
      <c r="CU188" s="240" t="s">
        <v>231</v>
      </c>
      <c r="CV188" s="240" t="s">
        <v>231</v>
      </c>
      <c r="CW188" s="240" t="s">
        <v>231</v>
      </c>
      <c r="CX188" s="240" t="s">
        <v>231</v>
      </c>
      <c r="CY188" s="240" t="s">
        <v>231</v>
      </c>
      <c r="CZ188" s="240" t="s">
        <v>231</v>
      </c>
      <c r="DA188" s="240" t="s">
        <v>231</v>
      </c>
      <c r="DB188" s="240" t="s">
        <v>231</v>
      </c>
      <c r="DC188" s="240" t="s">
        <v>231</v>
      </c>
      <c r="DD188" s="240" t="s">
        <v>231</v>
      </c>
      <c r="DE188" s="240" t="s">
        <v>492</v>
      </c>
      <c r="DF188" s="240" t="s">
        <v>492</v>
      </c>
      <c r="DG188" s="240" t="s">
        <v>492</v>
      </c>
      <c r="DH188" s="240" t="s">
        <v>492</v>
      </c>
      <c r="DI188" s="240" t="s">
        <v>492</v>
      </c>
      <c r="DJ188" s="240" t="s">
        <v>492</v>
      </c>
      <c r="DK188" s="240" t="s">
        <v>492</v>
      </c>
      <c r="DL188" s="240" t="s">
        <v>492</v>
      </c>
      <c r="DM188" s="240" t="s">
        <v>492</v>
      </c>
      <c r="DN188" s="240" t="s">
        <v>492</v>
      </c>
      <c r="DO188" s="240" t="s">
        <v>492</v>
      </c>
      <c r="DP188" s="240" t="s">
        <v>492</v>
      </c>
      <c r="DQ188" s="240" t="s">
        <v>492</v>
      </c>
      <c r="DR188" s="240" t="s">
        <v>492</v>
      </c>
      <c r="DS188" s="240" t="s">
        <v>231</v>
      </c>
      <c r="DT188" s="240" t="s">
        <v>231</v>
      </c>
      <c r="DU188" s="240" t="s">
        <v>231</v>
      </c>
      <c r="DV188" s="240" t="s">
        <v>231</v>
      </c>
      <c r="DW188" s="240" t="s">
        <v>231</v>
      </c>
      <c r="DX188" s="240" t="s">
        <v>231</v>
      </c>
      <c r="DY188" s="240" t="s">
        <v>231</v>
      </c>
      <c r="DZ188" s="240" t="s">
        <v>231</v>
      </c>
      <c r="EA188" s="240" t="s">
        <v>231</v>
      </c>
      <c r="EB188" s="240" t="s">
        <v>231</v>
      </c>
      <c r="EC188" s="240" t="s">
        <v>231</v>
      </c>
      <c r="ED188" s="240" t="s">
        <v>231</v>
      </c>
      <c r="EE188" s="240" t="s">
        <v>231</v>
      </c>
      <c r="EF188" s="240" t="s">
        <v>231</v>
      </c>
      <c r="EG188" s="240" t="s">
        <v>231</v>
      </c>
      <c r="EH188" s="240" t="s">
        <v>231</v>
      </c>
      <c r="EI188" s="240" t="s">
        <v>231</v>
      </c>
      <c r="EJ188" s="240" t="s">
        <v>231</v>
      </c>
      <c r="EK188" s="240" t="s">
        <v>231</v>
      </c>
      <c r="EL188" s="240" t="s">
        <v>231</v>
      </c>
      <c r="EM188" s="240" t="s">
        <v>231</v>
      </c>
      <c r="EN188" s="240" t="s">
        <v>231</v>
      </c>
      <c r="EO188" s="240" t="s">
        <v>231</v>
      </c>
      <c r="EP188" s="240" t="s">
        <v>492</v>
      </c>
      <c r="EQ188" s="240" t="s">
        <v>492</v>
      </c>
      <c r="ER188" s="240" t="s">
        <v>492</v>
      </c>
      <c r="ES188" s="240" t="s">
        <v>492</v>
      </c>
      <c r="ET188" s="240" t="s">
        <v>492</v>
      </c>
      <c r="EU188" s="240" t="s">
        <v>492</v>
      </c>
      <c r="EV188" s="240" t="s">
        <v>231</v>
      </c>
      <c r="EW188" s="240" t="s">
        <v>231</v>
      </c>
      <c r="EX188" s="240" t="s">
        <v>231</v>
      </c>
      <c r="EY188" s="240" t="s">
        <v>231</v>
      </c>
      <c r="EZ188" s="240" t="s">
        <v>231</v>
      </c>
      <c r="FA188" s="240" t="s">
        <v>231</v>
      </c>
      <c r="FB188" s="240" t="s">
        <v>231</v>
      </c>
      <c r="FC188" s="240" t="s">
        <v>231</v>
      </c>
      <c r="FD188" s="240" t="s">
        <v>231</v>
      </c>
      <c r="FE188" s="240" t="s">
        <v>231</v>
      </c>
      <c r="FF188" s="240" t="s">
        <v>231</v>
      </c>
      <c r="FG188" s="240" t="s">
        <v>492</v>
      </c>
      <c r="FH188" s="240" t="s">
        <v>231</v>
      </c>
      <c r="FI188" s="240" t="s">
        <v>231</v>
      </c>
      <c r="FJ188" s="240" t="s">
        <v>231</v>
      </c>
      <c r="FK188" s="240" t="s">
        <v>231</v>
      </c>
      <c r="FL188" s="240" t="s">
        <v>231</v>
      </c>
      <c r="FM188" s="240" t="s">
        <v>231</v>
      </c>
      <c r="FN188" s="240" t="s">
        <v>231</v>
      </c>
      <c r="FO188" s="240" t="s">
        <v>231</v>
      </c>
      <c r="FP188" s="240" t="s">
        <v>231</v>
      </c>
      <c r="FQ188" s="240" t="s">
        <v>231</v>
      </c>
      <c r="FR188" s="240" t="s">
        <v>231</v>
      </c>
      <c r="FS188" s="240" t="s">
        <v>231</v>
      </c>
      <c r="FT188" s="240" t="s">
        <v>231</v>
      </c>
      <c r="FU188" s="240" t="s">
        <v>231</v>
      </c>
      <c r="FV188" s="240" t="s">
        <v>231</v>
      </c>
      <c r="FW188" s="240" t="s">
        <v>492</v>
      </c>
      <c r="FX188" s="240" t="s">
        <v>231</v>
      </c>
      <c r="FY188" s="240" t="s">
        <v>492</v>
      </c>
      <c r="FZ188" s="240" t="s">
        <v>231</v>
      </c>
      <c r="GA188" s="240" t="s">
        <v>231</v>
      </c>
      <c r="GB188" s="240" t="s">
        <v>231</v>
      </c>
      <c r="GC188" s="240" t="s">
        <v>231</v>
      </c>
      <c r="GD188" s="240" t="s">
        <v>492</v>
      </c>
      <c r="GE188" s="240" t="s">
        <v>492</v>
      </c>
      <c r="GF188" s="240" t="s">
        <v>231</v>
      </c>
      <c r="GG188" s="240" t="s">
        <v>231</v>
      </c>
      <c r="GH188" s="240" t="s">
        <v>231</v>
      </c>
      <c r="GI188" s="240" t="s">
        <v>231</v>
      </c>
      <c r="GJ188" s="240" t="s">
        <v>492</v>
      </c>
      <c r="GK188" s="240" t="s">
        <v>231</v>
      </c>
      <c r="GL188" s="240" t="s">
        <v>231</v>
      </c>
      <c r="GM188" s="240" t="s">
        <v>231</v>
      </c>
      <c r="GN188" s="240" t="s">
        <v>492</v>
      </c>
      <c r="GO188" s="240" t="s">
        <v>231</v>
      </c>
      <c r="GP188" s="240" t="s">
        <v>231</v>
      </c>
      <c r="GQ188" s="240" t="s">
        <v>231</v>
      </c>
      <c r="GR188" s="240" t="s">
        <v>231</v>
      </c>
      <c r="GS188" s="240" t="s">
        <v>231</v>
      </c>
      <c r="GT188" s="240" t="s">
        <v>231</v>
      </c>
      <c r="GU188" s="240" t="s">
        <v>231</v>
      </c>
      <c r="GV188" s="240" t="s">
        <v>231</v>
      </c>
      <c r="GW188" s="240" t="s">
        <v>231</v>
      </c>
      <c r="GX188" s="240" t="s">
        <v>231</v>
      </c>
      <c r="GY188" s="240" t="s">
        <v>492</v>
      </c>
      <c r="GZ188" s="240" t="s">
        <v>492</v>
      </c>
      <c r="HA188" s="240" t="s">
        <v>492</v>
      </c>
      <c r="HB188" s="240" t="s">
        <v>492</v>
      </c>
      <c r="HC188" s="240" t="s">
        <v>492</v>
      </c>
      <c r="HD188" s="240" t="s">
        <v>231</v>
      </c>
      <c r="HE188" s="240" t="s">
        <v>231</v>
      </c>
      <c r="HF188" s="240" t="s">
        <v>231</v>
      </c>
      <c r="HG188" s="240" t="s">
        <v>231</v>
      </c>
      <c r="HH188" s="240" t="s">
        <v>231</v>
      </c>
      <c r="HI188" s="240" t="s">
        <v>231</v>
      </c>
      <c r="HJ188" s="240" t="s">
        <v>231</v>
      </c>
      <c r="HK188" s="240" t="s">
        <v>231</v>
      </c>
      <c r="HL188" s="240" t="s">
        <v>231</v>
      </c>
      <c r="HM188" s="240" t="s">
        <v>231</v>
      </c>
      <c r="HN188" s="240" t="s">
        <v>231</v>
      </c>
      <c r="HO188" s="240" t="s">
        <v>231</v>
      </c>
      <c r="HP188" s="240" t="s">
        <v>231</v>
      </c>
      <c r="HQ188" s="240" t="s">
        <v>231</v>
      </c>
      <c r="HR188" s="240" t="s">
        <v>231</v>
      </c>
      <c r="HS188" s="240" t="s">
        <v>231</v>
      </c>
      <c r="HT188" s="240" t="s">
        <v>231</v>
      </c>
      <c r="HU188" s="240" t="s">
        <v>231</v>
      </c>
      <c r="HV188" s="240" t="s">
        <v>231</v>
      </c>
      <c r="HW188" s="240" t="s">
        <v>231</v>
      </c>
      <c r="HX188" s="240" t="s">
        <v>220</v>
      </c>
      <c r="HY188" s="240" t="s">
        <v>493</v>
      </c>
      <c r="HZ188" s="240" t="s">
        <v>219</v>
      </c>
      <c r="IA188" s="240" t="s">
        <v>490</v>
      </c>
      <c r="IB188" s="240" t="s">
        <v>492</v>
      </c>
      <c r="IC188" s="240" t="s">
        <v>492</v>
      </c>
    </row>
    <row r="189" spans="1:237" ht="15" x14ac:dyDescent="0.25">
      <c r="A189" s="243" t="str">
        <f>HYPERLINK("http://www.ofsted.gov.uk/inspection-reports/find-inspection-report/provider/ELS/146524 ","Ofsted School Webpage")</f>
        <v>Ofsted School Webpage</v>
      </c>
      <c r="B189" s="237">
        <v>146524</v>
      </c>
      <c r="C189" s="237">
        <v>9166023</v>
      </c>
      <c r="D189" s="237" t="s">
        <v>1412</v>
      </c>
      <c r="E189" s="237" t="s">
        <v>248</v>
      </c>
      <c r="F189" s="237" t="s">
        <v>483</v>
      </c>
      <c r="G189" s="237" t="s">
        <v>483</v>
      </c>
      <c r="H189" s="237" t="s">
        <v>948</v>
      </c>
      <c r="I189" s="237" t="s">
        <v>1413</v>
      </c>
      <c r="J189" s="237" t="s">
        <v>498</v>
      </c>
      <c r="K189" s="237" t="s">
        <v>93</v>
      </c>
      <c r="L189" s="237" t="s">
        <v>498</v>
      </c>
      <c r="M189" s="237" t="s">
        <v>90</v>
      </c>
      <c r="N189" s="237" t="s">
        <v>486</v>
      </c>
      <c r="O189" s="237" t="s">
        <v>487</v>
      </c>
      <c r="P189" s="237">
        <v>10087238</v>
      </c>
      <c r="Q189" s="239">
        <v>43521</v>
      </c>
      <c r="R189" s="239">
        <v>43521</v>
      </c>
      <c r="S189" s="239">
        <v>43543</v>
      </c>
      <c r="T189" s="237" t="s">
        <v>1377</v>
      </c>
      <c r="U189" s="237" t="s">
        <v>1105</v>
      </c>
      <c r="V189" s="237" t="s">
        <v>490</v>
      </c>
      <c r="W189" s="237" t="s">
        <v>486</v>
      </c>
      <c r="X189" s="237" t="s">
        <v>486</v>
      </c>
      <c r="Y189" s="237" t="s">
        <v>486</v>
      </c>
      <c r="Z189" s="237" t="s">
        <v>486</v>
      </c>
      <c r="AA189" s="237" t="s">
        <v>486</v>
      </c>
      <c r="AB189" s="237" t="s">
        <v>486</v>
      </c>
      <c r="AC189" s="237" t="s">
        <v>486</v>
      </c>
      <c r="AD189" s="237" t="s">
        <v>1378</v>
      </c>
      <c r="AE189" s="237" t="s">
        <v>231</v>
      </c>
      <c r="AF189" s="237" t="s">
        <v>231</v>
      </c>
      <c r="AG189" s="237" t="s">
        <v>231</v>
      </c>
      <c r="AH189" s="237" t="s">
        <v>231</v>
      </c>
      <c r="AI189" s="237" t="s">
        <v>231</v>
      </c>
      <c r="AJ189" s="237" t="s">
        <v>231</v>
      </c>
      <c r="AK189" s="237" t="s">
        <v>231</v>
      </c>
      <c r="AL189" s="237" t="s">
        <v>231</v>
      </c>
      <c r="AM189" s="237" t="s">
        <v>231</v>
      </c>
      <c r="AN189" s="237" t="s">
        <v>231</v>
      </c>
      <c r="AO189" s="237" t="s">
        <v>231</v>
      </c>
      <c r="AP189" s="237" t="s">
        <v>231</v>
      </c>
      <c r="AQ189" s="237" t="s">
        <v>231</v>
      </c>
      <c r="AR189" s="237" t="s">
        <v>231</v>
      </c>
      <c r="AS189" s="237" t="s">
        <v>231</v>
      </c>
      <c r="AT189" s="237" t="s">
        <v>231</v>
      </c>
      <c r="AU189" s="237" t="s">
        <v>492</v>
      </c>
      <c r="AV189" s="237" t="s">
        <v>231</v>
      </c>
      <c r="AW189" s="237" t="s">
        <v>231</v>
      </c>
      <c r="AX189" s="237" t="s">
        <v>231</v>
      </c>
      <c r="AY189" s="237" t="s">
        <v>231</v>
      </c>
      <c r="AZ189" s="237" t="s">
        <v>231</v>
      </c>
      <c r="BA189" s="237" t="s">
        <v>231</v>
      </c>
      <c r="BB189" s="237" t="s">
        <v>231</v>
      </c>
      <c r="BC189" s="237" t="s">
        <v>231</v>
      </c>
      <c r="BD189" s="237" t="s">
        <v>231</v>
      </c>
      <c r="BE189" s="237" t="s">
        <v>231</v>
      </c>
      <c r="BF189" s="237" t="s">
        <v>231</v>
      </c>
      <c r="BG189" s="237" t="s">
        <v>231</v>
      </c>
      <c r="BH189" s="237" t="s">
        <v>231</v>
      </c>
      <c r="BI189" s="237" t="s">
        <v>231</v>
      </c>
      <c r="BJ189" s="237" t="s">
        <v>231</v>
      </c>
      <c r="BK189" s="237" t="s">
        <v>231</v>
      </c>
      <c r="BL189" s="237" t="s">
        <v>231</v>
      </c>
      <c r="BM189" s="237" t="s">
        <v>231</v>
      </c>
      <c r="BN189" s="237" t="s">
        <v>231</v>
      </c>
      <c r="BO189" s="237" t="s">
        <v>231</v>
      </c>
      <c r="BP189" s="237" t="s">
        <v>231</v>
      </c>
      <c r="BQ189" s="237" t="s">
        <v>231</v>
      </c>
      <c r="BR189" s="237" t="s">
        <v>231</v>
      </c>
      <c r="BS189" s="237" t="s">
        <v>231</v>
      </c>
      <c r="BT189" s="237" t="s">
        <v>231</v>
      </c>
      <c r="BU189" s="237" t="s">
        <v>231</v>
      </c>
      <c r="BV189" s="237" t="s">
        <v>231</v>
      </c>
      <c r="BW189" s="237" t="s">
        <v>231</v>
      </c>
      <c r="BX189" s="237" t="s">
        <v>231</v>
      </c>
      <c r="BY189" s="237" t="s">
        <v>231</v>
      </c>
      <c r="BZ189" s="237" t="s">
        <v>231</v>
      </c>
      <c r="CA189" s="237" t="s">
        <v>231</v>
      </c>
      <c r="CB189" s="237" t="s">
        <v>231</v>
      </c>
      <c r="CC189" s="237" t="s">
        <v>492</v>
      </c>
      <c r="CD189" s="237" t="s">
        <v>492</v>
      </c>
      <c r="CE189" s="237" t="s">
        <v>492</v>
      </c>
      <c r="CF189" s="237" t="s">
        <v>231</v>
      </c>
      <c r="CG189" s="237" t="s">
        <v>231</v>
      </c>
      <c r="CH189" s="237" t="s">
        <v>231</v>
      </c>
      <c r="CI189" s="237" t="s">
        <v>231</v>
      </c>
      <c r="CJ189" s="237" t="s">
        <v>231</v>
      </c>
      <c r="CK189" s="237" t="s">
        <v>231</v>
      </c>
      <c r="CL189" s="237" t="s">
        <v>231</v>
      </c>
      <c r="CM189" s="237" t="s">
        <v>231</v>
      </c>
      <c r="CN189" s="237" t="s">
        <v>231</v>
      </c>
      <c r="CO189" s="237" t="s">
        <v>231</v>
      </c>
      <c r="CP189" s="237" t="s">
        <v>231</v>
      </c>
      <c r="CQ189" s="237" t="s">
        <v>231</v>
      </c>
      <c r="CR189" s="237" t="s">
        <v>231</v>
      </c>
      <c r="CS189" s="237" t="s">
        <v>231</v>
      </c>
      <c r="CT189" s="237" t="s">
        <v>231</v>
      </c>
      <c r="CU189" s="237" t="s">
        <v>231</v>
      </c>
      <c r="CV189" s="237" t="s">
        <v>231</v>
      </c>
      <c r="CW189" s="237" t="s">
        <v>231</v>
      </c>
      <c r="CX189" s="237" t="s">
        <v>231</v>
      </c>
      <c r="CY189" s="237" t="s">
        <v>231</v>
      </c>
      <c r="CZ189" s="237" t="s">
        <v>231</v>
      </c>
      <c r="DA189" s="237" t="s">
        <v>231</v>
      </c>
      <c r="DB189" s="237" t="s">
        <v>231</v>
      </c>
      <c r="DC189" s="237" t="s">
        <v>492</v>
      </c>
      <c r="DD189" s="237" t="s">
        <v>231</v>
      </c>
      <c r="DE189" s="237" t="s">
        <v>492</v>
      </c>
      <c r="DF189" s="237" t="s">
        <v>492</v>
      </c>
      <c r="DG189" s="237" t="s">
        <v>492</v>
      </c>
      <c r="DH189" s="237" t="s">
        <v>492</v>
      </c>
      <c r="DI189" s="237" t="s">
        <v>492</v>
      </c>
      <c r="DJ189" s="237" t="s">
        <v>492</v>
      </c>
      <c r="DK189" s="237" t="s">
        <v>492</v>
      </c>
      <c r="DL189" s="237" t="s">
        <v>492</v>
      </c>
      <c r="DM189" s="237" t="s">
        <v>492</v>
      </c>
      <c r="DN189" s="237" t="s">
        <v>492</v>
      </c>
      <c r="DO189" s="237" t="s">
        <v>492</v>
      </c>
      <c r="DP189" s="237" t="s">
        <v>492</v>
      </c>
      <c r="DQ189" s="237" t="s">
        <v>492</v>
      </c>
      <c r="DR189" s="237" t="s">
        <v>492</v>
      </c>
      <c r="DS189" s="237" t="s">
        <v>231</v>
      </c>
      <c r="DT189" s="237" t="s">
        <v>231</v>
      </c>
      <c r="DU189" s="237" t="s">
        <v>231</v>
      </c>
      <c r="DV189" s="237" t="s">
        <v>231</v>
      </c>
      <c r="DW189" s="237" t="s">
        <v>231</v>
      </c>
      <c r="DX189" s="237" t="s">
        <v>231</v>
      </c>
      <c r="DY189" s="237" t="s">
        <v>231</v>
      </c>
      <c r="DZ189" s="237" t="s">
        <v>231</v>
      </c>
      <c r="EA189" s="237" t="s">
        <v>492</v>
      </c>
      <c r="EB189" s="237" t="s">
        <v>231</v>
      </c>
      <c r="EC189" s="237" t="s">
        <v>231</v>
      </c>
      <c r="ED189" s="237" t="s">
        <v>231</v>
      </c>
      <c r="EE189" s="237" t="s">
        <v>231</v>
      </c>
      <c r="EF189" s="237" t="s">
        <v>231</v>
      </c>
      <c r="EG189" s="237" t="s">
        <v>231</v>
      </c>
      <c r="EH189" s="237" t="s">
        <v>231</v>
      </c>
      <c r="EI189" s="237" t="s">
        <v>231</v>
      </c>
      <c r="EJ189" s="237" t="s">
        <v>231</v>
      </c>
      <c r="EK189" s="237" t="s">
        <v>231</v>
      </c>
      <c r="EL189" s="237" t="s">
        <v>231</v>
      </c>
      <c r="EM189" s="237" t="s">
        <v>231</v>
      </c>
      <c r="EN189" s="237" t="s">
        <v>231</v>
      </c>
      <c r="EO189" s="237" t="s">
        <v>492</v>
      </c>
      <c r="EP189" s="237" t="s">
        <v>492</v>
      </c>
      <c r="EQ189" s="237" t="s">
        <v>492</v>
      </c>
      <c r="ER189" s="237" t="s">
        <v>492</v>
      </c>
      <c r="ES189" s="237" t="s">
        <v>492</v>
      </c>
      <c r="ET189" s="237" t="s">
        <v>492</v>
      </c>
      <c r="EU189" s="237" t="s">
        <v>492</v>
      </c>
      <c r="EV189" s="237" t="s">
        <v>231</v>
      </c>
      <c r="EW189" s="237" t="s">
        <v>231</v>
      </c>
      <c r="EX189" s="237" t="s">
        <v>231</v>
      </c>
      <c r="EY189" s="237" t="s">
        <v>231</v>
      </c>
      <c r="EZ189" s="237" t="s">
        <v>231</v>
      </c>
      <c r="FA189" s="237" t="s">
        <v>231</v>
      </c>
      <c r="FB189" s="237" t="s">
        <v>231</v>
      </c>
      <c r="FC189" s="237" t="s">
        <v>231</v>
      </c>
      <c r="FD189" s="237" t="s">
        <v>231</v>
      </c>
      <c r="FE189" s="237" t="s">
        <v>231</v>
      </c>
      <c r="FF189" s="237" t="s">
        <v>231</v>
      </c>
      <c r="FG189" s="237" t="s">
        <v>231</v>
      </c>
      <c r="FH189" s="237" t="s">
        <v>231</v>
      </c>
      <c r="FI189" s="237" t="s">
        <v>231</v>
      </c>
      <c r="FJ189" s="237" t="s">
        <v>231</v>
      </c>
      <c r="FK189" s="237" t="s">
        <v>231</v>
      </c>
      <c r="FL189" s="237" t="s">
        <v>231</v>
      </c>
      <c r="FM189" s="237" t="s">
        <v>231</v>
      </c>
      <c r="FN189" s="237" t="s">
        <v>231</v>
      </c>
      <c r="FO189" s="237" t="s">
        <v>231</v>
      </c>
      <c r="FP189" s="237" t="s">
        <v>231</v>
      </c>
      <c r="FQ189" s="237" t="s">
        <v>231</v>
      </c>
      <c r="FR189" s="237" t="s">
        <v>231</v>
      </c>
      <c r="FS189" s="237" t="s">
        <v>231</v>
      </c>
      <c r="FT189" s="237" t="s">
        <v>231</v>
      </c>
      <c r="FU189" s="237" t="s">
        <v>231</v>
      </c>
      <c r="FV189" s="237" t="s">
        <v>231</v>
      </c>
      <c r="FW189" s="237" t="s">
        <v>231</v>
      </c>
      <c r="FX189" s="237" t="s">
        <v>231</v>
      </c>
      <c r="FY189" s="237" t="s">
        <v>492</v>
      </c>
      <c r="FZ189" s="237" t="s">
        <v>231</v>
      </c>
      <c r="GA189" s="237" t="s">
        <v>231</v>
      </c>
      <c r="GB189" s="237" t="s">
        <v>231</v>
      </c>
      <c r="GC189" s="237" t="s">
        <v>231</v>
      </c>
      <c r="GD189" s="237" t="s">
        <v>231</v>
      </c>
      <c r="GE189" s="237" t="s">
        <v>492</v>
      </c>
      <c r="GF189" s="237" t="s">
        <v>231</v>
      </c>
      <c r="GG189" s="237" t="s">
        <v>231</v>
      </c>
      <c r="GH189" s="237" t="s">
        <v>231</v>
      </c>
      <c r="GI189" s="237" t="s">
        <v>231</v>
      </c>
      <c r="GJ189" s="237" t="s">
        <v>492</v>
      </c>
      <c r="GK189" s="237" t="s">
        <v>231</v>
      </c>
      <c r="GL189" s="237" t="s">
        <v>231</v>
      </c>
      <c r="GM189" s="237" t="s">
        <v>231</v>
      </c>
      <c r="GN189" s="237" t="s">
        <v>231</v>
      </c>
      <c r="GO189" s="237" t="s">
        <v>231</v>
      </c>
      <c r="GP189" s="237" t="s">
        <v>231</v>
      </c>
      <c r="GQ189" s="237" t="s">
        <v>231</v>
      </c>
      <c r="GR189" s="237" t="s">
        <v>231</v>
      </c>
      <c r="GS189" s="237" t="s">
        <v>231</v>
      </c>
      <c r="GT189" s="237" t="s">
        <v>231</v>
      </c>
      <c r="GU189" s="237" t="s">
        <v>231</v>
      </c>
      <c r="GV189" s="237" t="s">
        <v>231</v>
      </c>
      <c r="GW189" s="237" t="s">
        <v>231</v>
      </c>
      <c r="GX189" s="237" t="s">
        <v>231</v>
      </c>
      <c r="GY189" s="237" t="s">
        <v>231</v>
      </c>
      <c r="GZ189" s="237" t="s">
        <v>492</v>
      </c>
      <c r="HA189" s="237" t="s">
        <v>492</v>
      </c>
      <c r="HB189" s="237" t="s">
        <v>492</v>
      </c>
      <c r="HC189" s="237" t="s">
        <v>492</v>
      </c>
      <c r="HD189" s="237" t="s">
        <v>231</v>
      </c>
      <c r="HE189" s="237" t="s">
        <v>231</v>
      </c>
      <c r="HF189" s="237" t="s">
        <v>231</v>
      </c>
      <c r="HG189" s="237" t="s">
        <v>231</v>
      </c>
      <c r="HH189" s="237" t="s">
        <v>231</v>
      </c>
      <c r="HI189" s="237" t="s">
        <v>231</v>
      </c>
      <c r="HJ189" s="237" t="s">
        <v>231</v>
      </c>
      <c r="HK189" s="237" t="s">
        <v>231</v>
      </c>
      <c r="HL189" s="237" t="s">
        <v>231</v>
      </c>
      <c r="HM189" s="237" t="s">
        <v>231</v>
      </c>
      <c r="HN189" s="237" t="s">
        <v>231</v>
      </c>
      <c r="HO189" s="237" t="s">
        <v>231</v>
      </c>
      <c r="HP189" s="237" t="s">
        <v>231</v>
      </c>
      <c r="HQ189" s="237" t="s">
        <v>231</v>
      </c>
      <c r="HR189" s="237" t="s">
        <v>231</v>
      </c>
      <c r="HS189" s="237" t="s">
        <v>231</v>
      </c>
      <c r="HT189" s="237" t="s">
        <v>231</v>
      </c>
      <c r="HU189" s="237" t="s">
        <v>231</v>
      </c>
      <c r="HV189" s="237" t="s">
        <v>231</v>
      </c>
      <c r="HW189" s="237" t="s">
        <v>231</v>
      </c>
      <c r="HX189" s="237" t="s">
        <v>220</v>
      </c>
      <c r="HY189" s="237" t="s">
        <v>493</v>
      </c>
      <c r="HZ189" s="237" t="s">
        <v>219</v>
      </c>
      <c r="IA189" s="237" t="s">
        <v>490</v>
      </c>
      <c r="IB189" s="237" t="s">
        <v>492</v>
      </c>
      <c r="IC189" s="237" t="s">
        <v>492</v>
      </c>
    </row>
    <row r="190" spans="1:237" ht="15" x14ac:dyDescent="0.25">
      <c r="A190" s="244" t="str">
        <f>HYPERLINK("http://www.ofsted.gov.uk/inspection-reports/find-inspection-report/provider/ELS/146553 ","Ofsted School Webpage")</f>
        <v>Ofsted School Webpage</v>
      </c>
      <c r="B190" s="240">
        <v>146553</v>
      </c>
      <c r="C190" s="240">
        <v>2026005</v>
      </c>
      <c r="D190" s="240" t="s">
        <v>1482</v>
      </c>
      <c r="E190" s="240" t="s">
        <v>247</v>
      </c>
      <c r="F190" s="240" t="s">
        <v>506</v>
      </c>
      <c r="G190" s="240" t="s">
        <v>506</v>
      </c>
      <c r="H190" s="240" t="s">
        <v>1177</v>
      </c>
      <c r="I190" s="240" t="s">
        <v>486</v>
      </c>
      <c r="J190" s="240" t="s">
        <v>498</v>
      </c>
      <c r="K190" s="240" t="s">
        <v>93</v>
      </c>
      <c r="L190" s="240" t="s">
        <v>498</v>
      </c>
      <c r="M190" s="240" t="s">
        <v>90</v>
      </c>
      <c r="N190" s="240" t="s">
        <v>486</v>
      </c>
      <c r="O190" s="240" t="s">
        <v>487</v>
      </c>
      <c r="P190" s="240">
        <v>10086453</v>
      </c>
      <c r="Q190" s="242">
        <v>43529</v>
      </c>
      <c r="R190" s="242">
        <v>43529</v>
      </c>
      <c r="S190" s="242">
        <v>43549</v>
      </c>
      <c r="T190" s="240" t="s">
        <v>1377</v>
      </c>
      <c r="U190" s="240" t="s">
        <v>1105</v>
      </c>
      <c r="V190" s="240" t="s">
        <v>490</v>
      </c>
      <c r="W190" s="240" t="s">
        <v>486</v>
      </c>
      <c r="X190" s="240" t="s">
        <v>486</v>
      </c>
      <c r="Y190" s="240" t="s">
        <v>486</v>
      </c>
      <c r="Z190" s="240" t="s">
        <v>486</v>
      </c>
      <c r="AA190" s="240" t="s">
        <v>486</v>
      </c>
      <c r="AB190" s="240" t="s">
        <v>486</v>
      </c>
      <c r="AC190" s="240" t="s">
        <v>486</v>
      </c>
      <c r="AD190" s="240" t="s">
        <v>1386</v>
      </c>
      <c r="AE190" s="240" t="s">
        <v>232</v>
      </c>
      <c r="AF190" s="240" t="s">
        <v>232</v>
      </c>
      <c r="AG190" s="240" t="s">
        <v>232</v>
      </c>
      <c r="AH190" s="240" t="s">
        <v>231</v>
      </c>
      <c r="AI190" s="240" t="s">
        <v>231</v>
      </c>
      <c r="AJ190" s="240" t="s">
        <v>232</v>
      </c>
      <c r="AK190" s="240" t="s">
        <v>232</v>
      </c>
      <c r="AL190" s="240" t="s">
        <v>231</v>
      </c>
      <c r="AM190" s="240" t="s">
        <v>492</v>
      </c>
      <c r="AN190" s="240" t="s">
        <v>231</v>
      </c>
      <c r="AO190" s="240" t="s">
        <v>231</v>
      </c>
      <c r="AP190" s="240" t="s">
        <v>231</v>
      </c>
      <c r="AQ190" s="240" t="s">
        <v>232</v>
      </c>
      <c r="AR190" s="240" t="s">
        <v>232</v>
      </c>
      <c r="AS190" s="240" t="s">
        <v>232</v>
      </c>
      <c r="AT190" s="240" t="s">
        <v>232</v>
      </c>
      <c r="AU190" s="240" t="s">
        <v>492</v>
      </c>
      <c r="AV190" s="240" t="s">
        <v>231</v>
      </c>
      <c r="AW190" s="240" t="s">
        <v>231</v>
      </c>
      <c r="AX190" s="240" t="s">
        <v>231</v>
      </c>
      <c r="AY190" s="240" t="s">
        <v>231</v>
      </c>
      <c r="AZ190" s="240" t="s">
        <v>231</v>
      </c>
      <c r="BA190" s="240" t="s">
        <v>231</v>
      </c>
      <c r="BB190" s="240" t="s">
        <v>231</v>
      </c>
      <c r="BC190" s="240" t="s">
        <v>231</v>
      </c>
      <c r="BD190" s="240" t="s">
        <v>231</v>
      </c>
      <c r="BE190" s="240" t="s">
        <v>231</v>
      </c>
      <c r="BF190" s="240" t="s">
        <v>231</v>
      </c>
      <c r="BG190" s="240" t="s">
        <v>231</v>
      </c>
      <c r="BH190" s="240" t="s">
        <v>231</v>
      </c>
      <c r="BI190" s="240" t="s">
        <v>231</v>
      </c>
      <c r="BJ190" s="240" t="s">
        <v>231</v>
      </c>
      <c r="BK190" s="240" t="s">
        <v>231</v>
      </c>
      <c r="BL190" s="240" t="s">
        <v>231</v>
      </c>
      <c r="BM190" s="240" t="s">
        <v>231</v>
      </c>
      <c r="BN190" s="240" t="s">
        <v>231</v>
      </c>
      <c r="BO190" s="240" t="s">
        <v>231</v>
      </c>
      <c r="BP190" s="240" t="s">
        <v>231</v>
      </c>
      <c r="BQ190" s="240" t="s">
        <v>231</v>
      </c>
      <c r="BR190" s="240" t="s">
        <v>231</v>
      </c>
      <c r="BS190" s="240" t="s">
        <v>231</v>
      </c>
      <c r="BT190" s="240" t="s">
        <v>231</v>
      </c>
      <c r="BU190" s="240" t="s">
        <v>231</v>
      </c>
      <c r="BV190" s="240" t="s">
        <v>231</v>
      </c>
      <c r="BW190" s="240" t="s">
        <v>231</v>
      </c>
      <c r="BX190" s="240" t="s">
        <v>231</v>
      </c>
      <c r="BY190" s="240" t="s">
        <v>231</v>
      </c>
      <c r="BZ190" s="240" t="s">
        <v>232</v>
      </c>
      <c r="CA190" s="240" t="s">
        <v>232</v>
      </c>
      <c r="CB190" s="240" t="s">
        <v>232</v>
      </c>
      <c r="CC190" s="240" t="s">
        <v>492</v>
      </c>
      <c r="CD190" s="240" t="s">
        <v>492</v>
      </c>
      <c r="CE190" s="240" t="s">
        <v>492</v>
      </c>
      <c r="CF190" s="240" t="s">
        <v>231</v>
      </c>
      <c r="CG190" s="240" t="s">
        <v>231</v>
      </c>
      <c r="CH190" s="240" t="s">
        <v>231</v>
      </c>
      <c r="CI190" s="240" t="s">
        <v>231</v>
      </c>
      <c r="CJ190" s="240" t="s">
        <v>231</v>
      </c>
      <c r="CK190" s="240" t="s">
        <v>231</v>
      </c>
      <c r="CL190" s="240" t="s">
        <v>232</v>
      </c>
      <c r="CM190" s="240" t="s">
        <v>231</v>
      </c>
      <c r="CN190" s="240" t="s">
        <v>231</v>
      </c>
      <c r="CO190" s="240" t="s">
        <v>232</v>
      </c>
      <c r="CP190" s="240" t="s">
        <v>232</v>
      </c>
      <c r="CQ190" s="240" t="s">
        <v>231</v>
      </c>
      <c r="CR190" s="240" t="s">
        <v>232</v>
      </c>
      <c r="CS190" s="240" t="s">
        <v>232</v>
      </c>
      <c r="CT190" s="240" t="s">
        <v>231</v>
      </c>
      <c r="CU190" s="240" t="s">
        <v>232</v>
      </c>
      <c r="CV190" s="240" t="s">
        <v>231</v>
      </c>
      <c r="CW190" s="240" t="s">
        <v>231</v>
      </c>
      <c r="CX190" s="240" t="s">
        <v>231</v>
      </c>
      <c r="CY190" s="240" t="s">
        <v>231</v>
      </c>
      <c r="CZ190" s="240" t="s">
        <v>231</v>
      </c>
      <c r="DA190" s="240" t="s">
        <v>231</v>
      </c>
      <c r="DB190" s="240" t="s">
        <v>232</v>
      </c>
      <c r="DC190" s="240" t="s">
        <v>492</v>
      </c>
      <c r="DD190" s="240" t="s">
        <v>232</v>
      </c>
      <c r="DE190" s="240" t="s">
        <v>492</v>
      </c>
      <c r="DF190" s="240" t="s">
        <v>492</v>
      </c>
      <c r="DG190" s="240" t="s">
        <v>492</v>
      </c>
      <c r="DH190" s="240" t="s">
        <v>492</v>
      </c>
      <c r="DI190" s="240" t="s">
        <v>492</v>
      </c>
      <c r="DJ190" s="240" t="s">
        <v>492</v>
      </c>
      <c r="DK190" s="240" t="s">
        <v>492</v>
      </c>
      <c r="DL190" s="240" t="s">
        <v>492</v>
      </c>
      <c r="DM190" s="240" t="s">
        <v>492</v>
      </c>
      <c r="DN190" s="240" t="s">
        <v>492</v>
      </c>
      <c r="DO190" s="240" t="s">
        <v>492</v>
      </c>
      <c r="DP190" s="240" t="s">
        <v>492</v>
      </c>
      <c r="DQ190" s="240" t="s">
        <v>492</v>
      </c>
      <c r="DR190" s="240" t="s">
        <v>492</v>
      </c>
      <c r="DS190" s="240" t="s">
        <v>232</v>
      </c>
      <c r="DT190" s="240" t="s">
        <v>232</v>
      </c>
      <c r="DU190" s="240" t="s">
        <v>231</v>
      </c>
      <c r="DV190" s="240" t="s">
        <v>232</v>
      </c>
      <c r="DW190" s="240" t="s">
        <v>232</v>
      </c>
      <c r="DX190" s="240" t="s">
        <v>232</v>
      </c>
      <c r="DY190" s="240" t="s">
        <v>232</v>
      </c>
      <c r="DZ190" s="240" t="s">
        <v>232</v>
      </c>
      <c r="EA190" s="240" t="s">
        <v>231</v>
      </c>
      <c r="EB190" s="240" t="s">
        <v>232</v>
      </c>
      <c r="EC190" s="240" t="s">
        <v>231</v>
      </c>
      <c r="ED190" s="240" t="s">
        <v>232</v>
      </c>
      <c r="EE190" s="240" t="s">
        <v>232</v>
      </c>
      <c r="EF190" s="240" t="s">
        <v>231</v>
      </c>
      <c r="EG190" s="240" t="s">
        <v>232</v>
      </c>
      <c r="EH190" s="240" t="s">
        <v>232</v>
      </c>
      <c r="EI190" s="240" t="s">
        <v>231</v>
      </c>
      <c r="EJ190" s="240" t="s">
        <v>231</v>
      </c>
      <c r="EK190" s="240" t="s">
        <v>231</v>
      </c>
      <c r="EL190" s="240" t="s">
        <v>231</v>
      </c>
      <c r="EM190" s="240" t="s">
        <v>232</v>
      </c>
      <c r="EN190" s="240" t="s">
        <v>232</v>
      </c>
      <c r="EO190" s="240" t="s">
        <v>492</v>
      </c>
      <c r="EP190" s="240" t="s">
        <v>492</v>
      </c>
      <c r="EQ190" s="240" t="s">
        <v>492</v>
      </c>
      <c r="ER190" s="240" t="s">
        <v>492</v>
      </c>
      <c r="ES190" s="240" t="s">
        <v>492</v>
      </c>
      <c r="ET190" s="240" t="s">
        <v>492</v>
      </c>
      <c r="EU190" s="240" t="s">
        <v>492</v>
      </c>
      <c r="EV190" s="240" t="s">
        <v>232</v>
      </c>
      <c r="EW190" s="240" t="s">
        <v>492</v>
      </c>
      <c r="EX190" s="240" t="s">
        <v>492</v>
      </c>
      <c r="EY190" s="240" t="s">
        <v>492</v>
      </c>
      <c r="EZ190" s="240" t="s">
        <v>231</v>
      </c>
      <c r="FA190" s="240" t="s">
        <v>231</v>
      </c>
      <c r="FB190" s="240" t="s">
        <v>231</v>
      </c>
      <c r="FC190" s="240" t="s">
        <v>231</v>
      </c>
      <c r="FD190" s="240" t="s">
        <v>231</v>
      </c>
      <c r="FE190" s="240" t="s">
        <v>231</v>
      </c>
      <c r="FF190" s="240" t="s">
        <v>231</v>
      </c>
      <c r="FG190" s="240" t="s">
        <v>492</v>
      </c>
      <c r="FH190" s="240" t="s">
        <v>231</v>
      </c>
      <c r="FI190" s="240" t="s">
        <v>231</v>
      </c>
      <c r="FJ190" s="240" t="s">
        <v>231</v>
      </c>
      <c r="FK190" s="240" t="s">
        <v>231</v>
      </c>
      <c r="FL190" s="240" t="s">
        <v>231</v>
      </c>
      <c r="FM190" s="240" t="s">
        <v>231</v>
      </c>
      <c r="FN190" s="240" t="s">
        <v>231</v>
      </c>
      <c r="FO190" s="240" t="s">
        <v>231</v>
      </c>
      <c r="FP190" s="240" t="s">
        <v>231</v>
      </c>
      <c r="FQ190" s="240" t="s">
        <v>231</v>
      </c>
      <c r="FR190" s="240" t="s">
        <v>231</v>
      </c>
      <c r="FS190" s="240" t="s">
        <v>231</v>
      </c>
      <c r="FT190" s="240" t="s">
        <v>231</v>
      </c>
      <c r="FU190" s="240" t="s">
        <v>231</v>
      </c>
      <c r="FV190" s="240" t="s">
        <v>231</v>
      </c>
      <c r="FW190" s="240" t="s">
        <v>231</v>
      </c>
      <c r="FX190" s="240" t="s">
        <v>231</v>
      </c>
      <c r="FY190" s="240" t="s">
        <v>492</v>
      </c>
      <c r="FZ190" s="240" t="s">
        <v>231</v>
      </c>
      <c r="GA190" s="240" t="s">
        <v>231</v>
      </c>
      <c r="GB190" s="240" t="s">
        <v>231</v>
      </c>
      <c r="GC190" s="240" t="s">
        <v>231</v>
      </c>
      <c r="GD190" s="240" t="s">
        <v>492</v>
      </c>
      <c r="GE190" s="240" t="s">
        <v>492</v>
      </c>
      <c r="GF190" s="240" t="s">
        <v>231</v>
      </c>
      <c r="GG190" s="240" t="s">
        <v>231</v>
      </c>
      <c r="GH190" s="240" t="s">
        <v>231</v>
      </c>
      <c r="GI190" s="240" t="s">
        <v>231</v>
      </c>
      <c r="GJ190" s="240" t="s">
        <v>231</v>
      </c>
      <c r="GK190" s="240" t="s">
        <v>231</v>
      </c>
      <c r="GL190" s="240" t="s">
        <v>231</v>
      </c>
      <c r="GM190" s="240" t="s">
        <v>231</v>
      </c>
      <c r="GN190" s="240" t="s">
        <v>492</v>
      </c>
      <c r="GO190" s="240" t="s">
        <v>231</v>
      </c>
      <c r="GP190" s="240" t="s">
        <v>231</v>
      </c>
      <c r="GQ190" s="240" t="s">
        <v>231</v>
      </c>
      <c r="GR190" s="240" t="s">
        <v>231</v>
      </c>
      <c r="GS190" s="240" t="s">
        <v>231</v>
      </c>
      <c r="GT190" s="240" t="s">
        <v>231</v>
      </c>
      <c r="GU190" s="240" t="s">
        <v>231</v>
      </c>
      <c r="GV190" s="240" t="s">
        <v>231</v>
      </c>
      <c r="GW190" s="240" t="s">
        <v>231</v>
      </c>
      <c r="GX190" s="240" t="s">
        <v>231</v>
      </c>
      <c r="GY190" s="240" t="s">
        <v>492</v>
      </c>
      <c r="GZ190" s="240" t="s">
        <v>492</v>
      </c>
      <c r="HA190" s="240" t="s">
        <v>492</v>
      </c>
      <c r="HB190" s="240" t="s">
        <v>492</v>
      </c>
      <c r="HC190" s="240" t="s">
        <v>492</v>
      </c>
      <c r="HD190" s="240" t="s">
        <v>231</v>
      </c>
      <c r="HE190" s="240" t="s">
        <v>231</v>
      </c>
      <c r="HF190" s="240" t="s">
        <v>231</v>
      </c>
      <c r="HG190" s="240" t="s">
        <v>231</v>
      </c>
      <c r="HH190" s="240" t="s">
        <v>231</v>
      </c>
      <c r="HI190" s="240" t="s">
        <v>231</v>
      </c>
      <c r="HJ190" s="240" t="s">
        <v>231</v>
      </c>
      <c r="HK190" s="240" t="s">
        <v>231</v>
      </c>
      <c r="HL190" s="240" t="s">
        <v>231</v>
      </c>
      <c r="HM190" s="240" t="s">
        <v>231</v>
      </c>
      <c r="HN190" s="240" t="s">
        <v>231</v>
      </c>
      <c r="HO190" s="240" t="s">
        <v>231</v>
      </c>
      <c r="HP190" s="240" t="s">
        <v>231</v>
      </c>
      <c r="HQ190" s="240" t="s">
        <v>231</v>
      </c>
      <c r="HR190" s="240" t="s">
        <v>231</v>
      </c>
      <c r="HS190" s="240" t="s">
        <v>231</v>
      </c>
      <c r="HT190" s="240" t="s">
        <v>232</v>
      </c>
      <c r="HU190" s="240" t="s">
        <v>232</v>
      </c>
      <c r="HV190" s="240" t="s">
        <v>232</v>
      </c>
      <c r="HW190" s="240" t="s">
        <v>232</v>
      </c>
      <c r="HX190" s="240" t="s">
        <v>220</v>
      </c>
      <c r="HY190" s="240" t="s">
        <v>493</v>
      </c>
      <c r="HZ190" s="240" t="s">
        <v>219</v>
      </c>
      <c r="IA190" s="240" t="s">
        <v>490</v>
      </c>
      <c r="IB190" s="240" t="s">
        <v>492</v>
      </c>
      <c r="IC190" s="240" t="s">
        <v>492</v>
      </c>
    </row>
    <row r="191" spans="1:237" ht="15" x14ac:dyDescent="0.25">
      <c r="A191" s="243" t="str">
        <f>HYPERLINK("http://www.ofsted.gov.uk/inspection-reports/find-inspection-report/provider/ELS/146777 ","Ofsted School Webpage")</f>
        <v>Ofsted School Webpage</v>
      </c>
      <c r="B191" s="237">
        <v>146777</v>
      </c>
      <c r="C191" s="237">
        <v>9086004</v>
      </c>
      <c r="D191" s="237" t="s">
        <v>1483</v>
      </c>
      <c r="E191" s="237" t="s">
        <v>247</v>
      </c>
      <c r="F191" s="237" t="s">
        <v>483</v>
      </c>
      <c r="G191" s="237" t="s">
        <v>483</v>
      </c>
      <c r="H191" s="237" t="s">
        <v>1371</v>
      </c>
      <c r="I191" s="237" t="s">
        <v>1484</v>
      </c>
      <c r="J191" s="237" t="s">
        <v>93</v>
      </c>
      <c r="K191" s="237" t="s">
        <v>93</v>
      </c>
      <c r="L191" s="237" t="s">
        <v>93</v>
      </c>
      <c r="M191" s="237" t="s">
        <v>90</v>
      </c>
      <c r="N191" s="237" t="s">
        <v>486</v>
      </c>
      <c r="O191" s="237" t="s">
        <v>487</v>
      </c>
      <c r="P191" s="237">
        <v>10093463</v>
      </c>
      <c r="Q191" s="239">
        <v>43531</v>
      </c>
      <c r="R191" s="239">
        <v>43531</v>
      </c>
      <c r="S191" s="239">
        <v>43553</v>
      </c>
      <c r="T191" s="237" t="s">
        <v>1377</v>
      </c>
      <c r="U191" s="237" t="s">
        <v>1105</v>
      </c>
      <c r="V191" s="237" t="s">
        <v>490</v>
      </c>
      <c r="W191" s="237" t="s">
        <v>486</v>
      </c>
      <c r="X191" s="237" t="s">
        <v>486</v>
      </c>
      <c r="Y191" s="237" t="s">
        <v>486</v>
      </c>
      <c r="Z191" s="237" t="s">
        <v>486</v>
      </c>
      <c r="AA191" s="237" t="s">
        <v>486</v>
      </c>
      <c r="AB191" s="237" t="s">
        <v>486</v>
      </c>
      <c r="AC191" s="237" t="s">
        <v>486</v>
      </c>
      <c r="AD191" s="237" t="s">
        <v>1386</v>
      </c>
      <c r="AE191" s="237" t="s">
        <v>231</v>
      </c>
      <c r="AF191" s="237" t="s">
        <v>231</v>
      </c>
      <c r="AG191" s="237" t="s">
        <v>231</v>
      </c>
      <c r="AH191" s="237" t="s">
        <v>231</v>
      </c>
      <c r="AI191" s="237" t="s">
        <v>231</v>
      </c>
      <c r="AJ191" s="237" t="s">
        <v>231</v>
      </c>
      <c r="AK191" s="237" t="s">
        <v>231</v>
      </c>
      <c r="AL191" s="237" t="s">
        <v>231</v>
      </c>
      <c r="AM191" s="237" t="s">
        <v>492</v>
      </c>
      <c r="AN191" s="237" t="s">
        <v>231</v>
      </c>
      <c r="AO191" s="237" t="s">
        <v>231</v>
      </c>
      <c r="AP191" s="237" t="s">
        <v>231</v>
      </c>
      <c r="AQ191" s="237" t="s">
        <v>492</v>
      </c>
      <c r="AR191" s="237" t="s">
        <v>492</v>
      </c>
      <c r="AS191" s="237" t="s">
        <v>492</v>
      </c>
      <c r="AT191" s="237" t="s">
        <v>231</v>
      </c>
      <c r="AU191" s="237" t="s">
        <v>231</v>
      </c>
      <c r="AV191" s="237" t="s">
        <v>231</v>
      </c>
      <c r="AW191" s="237" t="s">
        <v>231</v>
      </c>
      <c r="AX191" s="237" t="s">
        <v>231</v>
      </c>
      <c r="AY191" s="237" t="s">
        <v>231</v>
      </c>
      <c r="AZ191" s="237" t="s">
        <v>231</v>
      </c>
      <c r="BA191" s="237" t="s">
        <v>231</v>
      </c>
      <c r="BB191" s="237" t="s">
        <v>231</v>
      </c>
      <c r="BC191" s="237" t="s">
        <v>231</v>
      </c>
      <c r="BD191" s="237" t="s">
        <v>231</v>
      </c>
      <c r="BE191" s="237" t="s">
        <v>231</v>
      </c>
      <c r="BF191" s="237" t="s">
        <v>231</v>
      </c>
      <c r="BG191" s="237" t="s">
        <v>231</v>
      </c>
      <c r="BH191" s="237" t="s">
        <v>231</v>
      </c>
      <c r="BI191" s="237" t="s">
        <v>231</v>
      </c>
      <c r="BJ191" s="237" t="s">
        <v>231</v>
      </c>
      <c r="BK191" s="237" t="s">
        <v>231</v>
      </c>
      <c r="BL191" s="237" t="s">
        <v>231</v>
      </c>
      <c r="BM191" s="237" t="s">
        <v>231</v>
      </c>
      <c r="BN191" s="237" t="s">
        <v>231</v>
      </c>
      <c r="BO191" s="237" t="s">
        <v>231</v>
      </c>
      <c r="BP191" s="237" t="s">
        <v>231</v>
      </c>
      <c r="BQ191" s="237" t="s">
        <v>231</v>
      </c>
      <c r="BR191" s="237" t="s">
        <v>231</v>
      </c>
      <c r="BS191" s="237" t="s">
        <v>231</v>
      </c>
      <c r="BT191" s="237" t="s">
        <v>231</v>
      </c>
      <c r="BU191" s="237" t="s">
        <v>231</v>
      </c>
      <c r="BV191" s="237" t="s">
        <v>231</v>
      </c>
      <c r="BW191" s="237" t="s">
        <v>231</v>
      </c>
      <c r="BX191" s="237" t="s">
        <v>231</v>
      </c>
      <c r="BY191" s="237" t="s">
        <v>231</v>
      </c>
      <c r="BZ191" s="237" t="s">
        <v>232</v>
      </c>
      <c r="CA191" s="237" t="s">
        <v>232</v>
      </c>
      <c r="CB191" s="237" t="s">
        <v>232</v>
      </c>
      <c r="CC191" s="237" t="s">
        <v>492</v>
      </c>
      <c r="CD191" s="237" t="s">
        <v>492</v>
      </c>
      <c r="CE191" s="237" t="s">
        <v>492</v>
      </c>
      <c r="CF191" s="237" t="s">
        <v>231</v>
      </c>
      <c r="CG191" s="237" t="s">
        <v>231</v>
      </c>
      <c r="CH191" s="237" t="s">
        <v>231</v>
      </c>
      <c r="CI191" s="237" t="s">
        <v>231</v>
      </c>
      <c r="CJ191" s="237" t="s">
        <v>231</v>
      </c>
      <c r="CK191" s="237" t="s">
        <v>231</v>
      </c>
      <c r="CL191" s="237" t="s">
        <v>231</v>
      </c>
      <c r="CM191" s="237" t="s">
        <v>231</v>
      </c>
      <c r="CN191" s="237" t="s">
        <v>231</v>
      </c>
      <c r="CO191" s="237" t="s">
        <v>232</v>
      </c>
      <c r="CP191" s="237" t="s">
        <v>231</v>
      </c>
      <c r="CQ191" s="237" t="s">
        <v>231</v>
      </c>
      <c r="CR191" s="237" t="s">
        <v>231</v>
      </c>
      <c r="CS191" s="237" t="s">
        <v>232</v>
      </c>
      <c r="CT191" s="237" t="s">
        <v>231</v>
      </c>
      <c r="CU191" s="237" t="s">
        <v>232</v>
      </c>
      <c r="CV191" s="237" t="s">
        <v>232</v>
      </c>
      <c r="CW191" s="237" t="s">
        <v>232</v>
      </c>
      <c r="CX191" s="237" t="s">
        <v>231</v>
      </c>
      <c r="CY191" s="237" t="s">
        <v>232</v>
      </c>
      <c r="CZ191" s="237" t="s">
        <v>231</v>
      </c>
      <c r="DA191" s="237" t="s">
        <v>231</v>
      </c>
      <c r="DB191" s="237" t="s">
        <v>232</v>
      </c>
      <c r="DC191" s="237" t="s">
        <v>492</v>
      </c>
      <c r="DD191" s="237" t="s">
        <v>232</v>
      </c>
      <c r="DE191" s="237" t="s">
        <v>492</v>
      </c>
      <c r="DF191" s="237" t="s">
        <v>492</v>
      </c>
      <c r="DG191" s="237" t="s">
        <v>492</v>
      </c>
      <c r="DH191" s="237" t="s">
        <v>492</v>
      </c>
      <c r="DI191" s="237" t="s">
        <v>492</v>
      </c>
      <c r="DJ191" s="237" t="s">
        <v>492</v>
      </c>
      <c r="DK191" s="237" t="s">
        <v>492</v>
      </c>
      <c r="DL191" s="237" t="s">
        <v>492</v>
      </c>
      <c r="DM191" s="237" t="s">
        <v>492</v>
      </c>
      <c r="DN191" s="237" t="s">
        <v>492</v>
      </c>
      <c r="DO191" s="237" t="s">
        <v>492</v>
      </c>
      <c r="DP191" s="237" t="s">
        <v>492</v>
      </c>
      <c r="DQ191" s="237" t="s">
        <v>492</v>
      </c>
      <c r="DR191" s="237" t="s">
        <v>492</v>
      </c>
      <c r="DS191" s="237" t="s">
        <v>232</v>
      </c>
      <c r="DT191" s="237" t="s">
        <v>232</v>
      </c>
      <c r="DU191" s="237" t="s">
        <v>231</v>
      </c>
      <c r="DV191" s="237" t="s">
        <v>232</v>
      </c>
      <c r="DW191" s="237" t="s">
        <v>232</v>
      </c>
      <c r="DX191" s="237" t="s">
        <v>231</v>
      </c>
      <c r="DY191" s="237" t="s">
        <v>232</v>
      </c>
      <c r="DZ191" s="237" t="s">
        <v>232</v>
      </c>
      <c r="EA191" s="237" t="s">
        <v>231</v>
      </c>
      <c r="EB191" s="237" t="s">
        <v>232</v>
      </c>
      <c r="EC191" s="237" t="s">
        <v>231</v>
      </c>
      <c r="ED191" s="237" t="s">
        <v>232</v>
      </c>
      <c r="EE191" s="237" t="s">
        <v>232</v>
      </c>
      <c r="EF191" s="237" t="s">
        <v>232</v>
      </c>
      <c r="EG191" s="237" t="s">
        <v>231</v>
      </c>
      <c r="EH191" s="237" t="s">
        <v>232</v>
      </c>
      <c r="EI191" s="237" t="s">
        <v>232</v>
      </c>
      <c r="EJ191" s="237" t="s">
        <v>232</v>
      </c>
      <c r="EK191" s="237" t="s">
        <v>231</v>
      </c>
      <c r="EL191" s="237" t="s">
        <v>232</v>
      </c>
      <c r="EM191" s="237" t="s">
        <v>232</v>
      </c>
      <c r="EN191" s="237" t="s">
        <v>232</v>
      </c>
      <c r="EO191" s="237" t="s">
        <v>492</v>
      </c>
      <c r="EP191" s="237" t="s">
        <v>492</v>
      </c>
      <c r="EQ191" s="237" t="s">
        <v>492</v>
      </c>
      <c r="ER191" s="237" t="s">
        <v>492</v>
      </c>
      <c r="ES191" s="237" t="s">
        <v>492</v>
      </c>
      <c r="ET191" s="237" t="s">
        <v>492</v>
      </c>
      <c r="EU191" s="237" t="s">
        <v>492</v>
      </c>
      <c r="EV191" s="237" t="s">
        <v>232</v>
      </c>
      <c r="EW191" s="237" t="s">
        <v>492</v>
      </c>
      <c r="EX191" s="237" t="s">
        <v>492</v>
      </c>
      <c r="EY191" s="237" t="s">
        <v>492</v>
      </c>
      <c r="EZ191" s="237" t="s">
        <v>231</v>
      </c>
      <c r="FA191" s="237" t="s">
        <v>231</v>
      </c>
      <c r="FB191" s="237" t="s">
        <v>231</v>
      </c>
      <c r="FC191" s="237" t="s">
        <v>231</v>
      </c>
      <c r="FD191" s="237" t="s">
        <v>231</v>
      </c>
      <c r="FE191" s="237" t="s">
        <v>231</v>
      </c>
      <c r="FF191" s="237" t="s">
        <v>231</v>
      </c>
      <c r="FG191" s="237" t="s">
        <v>492</v>
      </c>
      <c r="FH191" s="237" t="s">
        <v>231</v>
      </c>
      <c r="FI191" s="237" t="s">
        <v>231</v>
      </c>
      <c r="FJ191" s="237" t="s">
        <v>231</v>
      </c>
      <c r="FK191" s="237" t="s">
        <v>231</v>
      </c>
      <c r="FL191" s="237" t="s">
        <v>231</v>
      </c>
      <c r="FM191" s="237" t="s">
        <v>231</v>
      </c>
      <c r="FN191" s="237" t="s">
        <v>231</v>
      </c>
      <c r="FO191" s="237" t="s">
        <v>231</v>
      </c>
      <c r="FP191" s="237" t="s">
        <v>231</v>
      </c>
      <c r="FQ191" s="237" t="s">
        <v>231</v>
      </c>
      <c r="FR191" s="237" t="s">
        <v>231</v>
      </c>
      <c r="FS191" s="237" t="s">
        <v>231</v>
      </c>
      <c r="FT191" s="237" t="s">
        <v>231</v>
      </c>
      <c r="FU191" s="237" t="s">
        <v>231</v>
      </c>
      <c r="FV191" s="237" t="s">
        <v>231</v>
      </c>
      <c r="FW191" s="237" t="s">
        <v>231</v>
      </c>
      <c r="FX191" s="237" t="s">
        <v>231</v>
      </c>
      <c r="FY191" s="237" t="s">
        <v>492</v>
      </c>
      <c r="FZ191" s="237" t="s">
        <v>231</v>
      </c>
      <c r="GA191" s="237" t="s">
        <v>231</v>
      </c>
      <c r="GB191" s="237" t="s">
        <v>231</v>
      </c>
      <c r="GC191" s="237" t="s">
        <v>231</v>
      </c>
      <c r="GD191" s="237" t="s">
        <v>492</v>
      </c>
      <c r="GE191" s="237" t="s">
        <v>492</v>
      </c>
      <c r="GF191" s="237" t="s">
        <v>231</v>
      </c>
      <c r="GG191" s="237" t="s">
        <v>231</v>
      </c>
      <c r="GH191" s="237" t="s">
        <v>231</v>
      </c>
      <c r="GI191" s="237" t="s">
        <v>231</v>
      </c>
      <c r="GJ191" s="237" t="s">
        <v>492</v>
      </c>
      <c r="GK191" s="237" t="s">
        <v>231</v>
      </c>
      <c r="GL191" s="237" t="s">
        <v>231</v>
      </c>
      <c r="GM191" s="237" t="s">
        <v>231</v>
      </c>
      <c r="GN191" s="237" t="s">
        <v>492</v>
      </c>
      <c r="GO191" s="237" t="s">
        <v>231</v>
      </c>
      <c r="GP191" s="237" t="s">
        <v>231</v>
      </c>
      <c r="GQ191" s="237" t="s">
        <v>231</v>
      </c>
      <c r="GR191" s="237" t="s">
        <v>231</v>
      </c>
      <c r="GS191" s="237" t="s">
        <v>231</v>
      </c>
      <c r="GT191" s="237" t="s">
        <v>231</v>
      </c>
      <c r="GU191" s="237" t="s">
        <v>231</v>
      </c>
      <c r="GV191" s="237" t="s">
        <v>231</v>
      </c>
      <c r="GW191" s="237" t="s">
        <v>231</v>
      </c>
      <c r="GX191" s="237" t="s">
        <v>231</v>
      </c>
      <c r="GY191" s="237" t="s">
        <v>492</v>
      </c>
      <c r="GZ191" s="237" t="s">
        <v>492</v>
      </c>
      <c r="HA191" s="237" t="s">
        <v>492</v>
      </c>
      <c r="HB191" s="237" t="s">
        <v>492</v>
      </c>
      <c r="HC191" s="237" t="s">
        <v>492</v>
      </c>
      <c r="HD191" s="237" t="s">
        <v>231</v>
      </c>
      <c r="HE191" s="237" t="s">
        <v>231</v>
      </c>
      <c r="HF191" s="237" t="s">
        <v>231</v>
      </c>
      <c r="HG191" s="237" t="s">
        <v>231</v>
      </c>
      <c r="HH191" s="237" t="s">
        <v>231</v>
      </c>
      <c r="HI191" s="237" t="s">
        <v>231</v>
      </c>
      <c r="HJ191" s="237" t="s">
        <v>231</v>
      </c>
      <c r="HK191" s="237" t="s">
        <v>231</v>
      </c>
      <c r="HL191" s="237" t="s">
        <v>231</v>
      </c>
      <c r="HM191" s="237" t="s">
        <v>231</v>
      </c>
      <c r="HN191" s="237" t="s">
        <v>231</v>
      </c>
      <c r="HO191" s="237" t="s">
        <v>231</v>
      </c>
      <c r="HP191" s="237" t="s">
        <v>231</v>
      </c>
      <c r="HQ191" s="237" t="s">
        <v>231</v>
      </c>
      <c r="HR191" s="237" t="s">
        <v>231</v>
      </c>
      <c r="HS191" s="237" t="s">
        <v>231</v>
      </c>
      <c r="HT191" s="237" t="s">
        <v>232</v>
      </c>
      <c r="HU191" s="237" t="s">
        <v>232</v>
      </c>
      <c r="HV191" s="237" t="s">
        <v>232</v>
      </c>
      <c r="HW191" s="237" t="s">
        <v>232</v>
      </c>
      <c r="HX191" s="237" t="s">
        <v>220</v>
      </c>
      <c r="HY191" s="237" t="s">
        <v>493</v>
      </c>
      <c r="HZ191" s="237" t="s">
        <v>219</v>
      </c>
      <c r="IA191" s="237" t="s">
        <v>490</v>
      </c>
      <c r="IB191" s="237" t="s">
        <v>231</v>
      </c>
      <c r="IC191" s="237" t="s">
        <v>231</v>
      </c>
    </row>
  </sheetData>
  <sheetProtection sheet="1" objects="1" scenarios="1" autoFilter="0"/>
  <autoFilter ref="A4:IC191" xr:uid="{60EEC22C-B4A3-4021-BB42-47B38B3E4DAA}"/>
  <conditionalFormatting sqref="P1:P3">
    <cfRule type="duplicateValues" dxfId="2" priority="12"/>
  </conditionalFormatting>
  <conditionalFormatting sqref="P4:P6">
    <cfRule type="duplicateValues" dxfId="1" priority="2"/>
  </conditionalFormatting>
  <conditionalFormatting sqref="P7:P191">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2321e7ae57145009a616bed4e4763a0 xmlns="4d26f180-144a-42ee-8122-e88c3adfe28e">
      <Terms xmlns="http://schemas.microsoft.com/office/infopath/2007/PartnerControls"/>
    </f2321e7ae57145009a616bed4e4763a0>
    <jf9d5451340646c7809b6948a13e369a xmlns="4d26f180-144a-42ee-8122-e88c3adfe28e">
      <Terms xmlns="http://schemas.microsoft.com/office/infopath/2007/PartnerControls"/>
    </jf9d5451340646c7809b6948a13e369a>
    <e89c4b80759c40b1b9d7062f4c2d89c9 xmlns="4d26f180-144a-42ee-8122-e88c3adfe28e">
      <Terms xmlns="http://schemas.microsoft.com/office/infopath/2007/PartnerControls"/>
    </e89c4b80759c40b1b9d7062f4c2d89c9>
    <oa1a93a5a7ef480181db2f87de7cba9a xmlns="4d26f180-144a-42ee-8122-e88c3adfe28e">
      <Terms xmlns="http://schemas.microsoft.com/office/infopath/2007/PartnerControls"/>
    </oa1a93a5a7ef480181db2f87de7cba9a>
    <TaxCatchAll xmlns="4d26f180-144a-42ee-8122-e88c3adfe28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01d8099-d132-40b0-ae0a-bd77b23f6837" ContentTypeId="0x0101009C2B7C2BCED2CC498D2131C55000F427" PreviousValue="false"/>
</file>

<file path=customXml/item4.xml><?xml version="1.0" encoding="utf-8"?>
<ct:contentTypeSchema xmlns:ct="http://schemas.microsoft.com/office/2006/metadata/contentType" xmlns:ma="http://schemas.microsoft.com/office/2006/metadata/properties/metaAttributes" ct:_="" ma:_="" ma:contentTypeName="File" ma:contentTypeID="0x0101009C2B7C2BCED2CC498D2131C55000F427003FE50328F9312647AF96F9DB9070BB15" ma:contentTypeVersion="20" ma:contentTypeDescription="Create a new document." ma:contentTypeScope="" ma:versionID="eef5745078b6dbeaa4ff200a49ecc322">
  <xsd:schema xmlns:xsd="http://www.w3.org/2001/XMLSchema" xmlns:xs="http://www.w3.org/2001/XMLSchema" xmlns:p="http://schemas.microsoft.com/office/2006/metadata/properties" xmlns:ns2="4d26f180-144a-42ee-8122-e88c3adfe28e" xmlns:ns3="74c693eb-c119-4d22-855e-574c8d8ba48d" xmlns:ns4="e8240a81-3eda-4d5a-9b4e-ee250ef1a0e2" targetNamespace="http://schemas.microsoft.com/office/2006/metadata/properties" ma:root="true" ma:fieldsID="a7e8c31fc177377ba9dfa04aa89fc11e" ns2:_="" ns3:_="" ns4:_="">
    <xsd:import namespace="4d26f180-144a-42ee-8122-e88c3adfe28e"/>
    <xsd:import namespace="74c693eb-c119-4d22-855e-574c8d8ba48d"/>
    <xsd:import namespace="e8240a81-3eda-4d5a-9b4e-ee250ef1a0e2"/>
    <xsd:element name="properties">
      <xsd:complexType>
        <xsd:sequence>
          <xsd:element name="documentManagement">
            <xsd:complexType>
              <xsd:all>
                <xsd:element ref="ns2:TaxCatchAll" minOccurs="0"/>
                <xsd:element ref="ns2:TaxCatchAllLabel" minOccurs="0"/>
                <xsd:element ref="ns2:oa1a93a5a7ef480181db2f87de7cba9a" minOccurs="0"/>
                <xsd:element ref="ns2:f2321e7ae57145009a616bed4e4763a0" minOccurs="0"/>
                <xsd:element ref="ns2:jf9d5451340646c7809b6948a13e369a" minOccurs="0"/>
                <xsd:element ref="ns2:e89c4b80759c40b1b9d7062f4c2d89c9" minOccurs="0"/>
                <xsd:element ref="ns3:SharedWithUsers" minOccurs="0"/>
                <xsd:element ref="ns3:SharedWithDetails" minOccurs="0"/>
                <xsd:element ref="ns4:MediaServiceEventHashCode" minOccurs="0"/>
                <xsd:element ref="ns4:MediaServiceGenerationTime"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180-144a-42ee-8122-e88c3adfe28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DC03F46-C3C5-44CF-83FF-787E69CDB6E6}" ma:internalName="TaxCatchAll" ma:showField="CatchAllData"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DC03F46-C3C5-44CF-83FF-787E69CDB6E6}" ma:internalName="TaxCatchAllLabel" ma:readOnly="true" ma:showField="CatchAllDataLabel"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oa1a93a5a7ef480181db2f87de7cba9a" ma:index="14" nillable="true" ma:taxonomy="true" ma:internalName="oa1a93a5a7ef480181db2f87de7cba9a" ma:taxonomyFieldName="Directorate" ma:displayName="Directorate" ma:default="" ma:fieldId="{8a1a93a5-a7ef-4801-81db-2f87de7cba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f2321e7ae57145009a616bed4e4763a0" ma:index="15" nillable="true" ma:taxonomy="true" ma:internalName="f2321e7ae57145009a616bed4e4763a0" ma:taxonomyFieldName="OfstedDepartment" ma:displayName="Ofsted Department" ma:default="" ma:fieldId="{f2321e7a-e571-4500-9a61-6bed4e4763a0}"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jf9d5451340646c7809b6948a13e369a" ma:index="16" nillable="true" ma:taxonomy="true" ma:internalName="jf9d5451340646c7809b6948a13e369a" ma:taxonomyFieldName="OfstedTeam" ma:displayName="Ofsted Team" ma:default="" ma:fieldId="{3f9d5451-3406-46c7-809b-6948a13e36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e89c4b80759c40b1b9d7062f4c2d89c9" ma:index="17" nillable="true" ma:taxonomy="true" ma:internalName="e89c4b80759c40b1b9d7062f4c2d89c9" ma:taxonomyFieldName="DocumentType" ma:displayName="Document Type" ma:default="" ma:fieldId="{e89c4b80-759c-40b1-b9d7-062f4c2d89c9}" ma:sspId="301d8099-d132-40b0-ae0a-bd77b23f6837" ma:termSetId="da3bd2f9-5d60-4585-8c46-4849b8568b1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c693eb-c119-4d22-855e-574c8d8ba48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240a81-3eda-4d5a-9b4e-ee250ef1a0e2" elementFormDefault="qualified">
    <xsd:import namespace="http://schemas.microsoft.com/office/2006/documentManagement/types"/>
    <xsd:import namespace="http://schemas.microsoft.com/office/infopath/2007/PartnerControls"/>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E43AD-F844-464D-9759-DF986A0117BB}">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74c693eb-c119-4d22-855e-574c8d8ba48d"/>
    <ds:schemaRef ds:uri="http://schemas.openxmlformats.org/package/2006/metadata/core-properties"/>
    <ds:schemaRef ds:uri="e8240a81-3eda-4d5a-9b4e-ee250ef1a0e2"/>
    <ds:schemaRef ds:uri="http://purl.org/dc/elements/1.1/"/>
    <ds:schemaRef ds:uri="4d26f180-144a-42ee-8122-e88c3adfe28e"/>
    <ds:schemaRef ds:uri="http://www.w3.org/XML/1998/namespace"/>
    <ds:schemaRef ds:uri="http://purl.org/dc/dcmitype/"/>
  </ds:schemaRefs>
</ds:datastoreItem>
</file>

<file path=customXml/itemProps2.xml><?xml version="1.0" encoding="utf-8"?>
<ds:datastoreItem xmlns:ds="http://schemas.openxmlformats.org/officeDocument/2006/customXml" ds:itemID="{0D666583-E6DF-4380-93F3-60FFDC0BD62C}">
  <ds:schemaRefs>
    <ds:schemaRef ds:uri="http://schemas.microsoft.com/sharepoint/v3/contenttype/forms"/>
  </ds:schemaRefs>
</ds:datastoreItem>
</file>

<file path=customXml/itemProps3.xml><?xml version="1.0" encoding="utf-8"?>
<ds:datastoreItem xmlns:ds="http://schemas.openxmlformats.org/officeDocument/2006/customXml" ds:itemID="{934742AD-A4BA-45BC-992B-83DCDBE653DC}">
  <ds:schemaRefs>
    <ds:schemaRef ds:uri="Microsoft.SharePoint.Taxonomy.ContentTypeSync"/>
  </ds:schemaRefs>
</ds:datastoreItem>
</file>

<file path=customXml/itemProps4.xml><?xml version="1.0" encoding="utf-8"?>
<ds:datastoreItem xmlns:ds="http://schemas.openxmlformats.org/officeDocument/2006/customXml" ds:itemID="{7949AF73-21C5-4F05-8FEA-81E4E66C1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180-144a-42ee-8122-e88c3adfe28e"/>
    <ds:schemaRef ds:uri="74c693eb-c119-4d22-855e-574c8d8ba48d"/>
    <ds:schemaRef ds:uri="e8240a81-3eda-4d5a-9b4e-ee250ef1a0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Contents and guidance</vt:lpstr>
      <vt:lpstr>Data dictionary</vt:lpstr>
      <vt:lpstr>T1 In-year inspections</vt:lpstr>
      <vt:lpstr>T2 In-year standards</vt:lpstr>
      <vt:lpstr>T3 In-year monitoring</vt:lpstr>
      <vt:lpstr>T4 Most recent inspections</vt:lpstr>
      <vt:lpstr>D1 In-year standard inspections</vt:lpstr>
      <vt:lpstr>D2 In-year additional</vt:lpstr>
      <vt:lpstr>D3 Most recent inspections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Bowman</dc:creator>
  <cp:lastModifiedBy>Lucy Conway</cp:lastModifiedBy>
  <dcterms:created xsi:type="dcterms:W3CDTF">2019-04-26T10:40:12Z</dcterms:created>
  <dcterms:modified xsi:type="dcterms:W3CDTF">2019-12-18T12:40:05Z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0x0101009C2B7C2BCED2CC498D2131C55000F427003FE50328F9312647AF96F9DB9070BB15</vt:lpwstr>
  </property>
  <property fmtid="{D5CDD505-2E9C-101B-9397-08002B2CF9AE}" pid="3" name="OfstedDepartment">
    <vt:lpwstr/>
  </property>
  <property fmtid="{D5CDD505-2E9C-101B-9397-08002B2CF9AE}" pid="4" name="Directorate">
    <vt:lpwstr/>
  </property>
  <property fmtid="{D5CDD505-2E9C-101B-9397-08002B2CF9AE}" pid="5" name="OfstedTeam">
    <vt:lpwstr/>
  </property>
  <property fmtid="{D5CDD505-2E9C-101B-9397-08002B2CF9AE}" pid="6" name="DocumentType">
    <vt:lpwstr/>
  </property>
</Properties>
</file>